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5 ME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7" r:id="rId17"/>
  </pivotCaches>
</workbook>
</file>

<file path=xl/calcChain.xml><?xml version="1.0" encoding="utf-8"?>
<calcChain xmlns="http://schemas.openxmlformats.org/spreadsheetml/2006/main">
  <c r="M1081" i="1" l="1"/>
  <c r="M1082" i="1"/>
  <c r="M1080" i="1"/>
  <c r="M1079" i="1"/>
  <c r="M1075" i="1"/>
  <c r="M1074" i="1"/>
  <c r="M1066" i="1"/>
  <c r="M1069" i="1"/>
  <c r="M1068" i="1"/>
  <c r="M1067" i="1"/>
  <c r="M1065" i="1"/>
  <c r="W1057" i="1"/>
  <c r="M1063" i="1" l="1"/>
  <c r="B1001" i="1" l="1"/>
  <c r="C1001" i="1" s="1"/>
  <c r="AF1001" i="1"/>
  <c r="AE1001" i="1" s="1"/>
  <c r="AL1001" i="1"/>
  <c r="AO1001" i="1"/>
  <c r="AP1001" i="1" s="1"/>
  <c r="W3" i="1"/>
  <c r="W4" i="1"/>
  <c r="W5" i="1"/>
  <c r="W6" i="1"/>
  <c r="W7" i="1"/>
  <c r="W8" i="1"/>
  <c r="W9" i="1"/>
  <c r="W10" i="1"/>
  <c r="W11" i="1"/>
  <c r="W12" i="1"/>
  <c r="W37" i="1"/>
  <c r="W38" i="1"/>
  <c r="W40" i="1"/>
  <c r="W87" i="1"/>
  <c r="W89" i="1"/>
  <c r="W90" i="1"/>
  <c r="W91" i="1"/>
  <c r="W92" i="1"/>
  <c r="W93" i="1"/>
  <c r="W94" i="1"/>
  <c r="W95" i="1"/>
  <c r="W96" i="1"/>
  <c r="W98" i="1"/>
  <c r="W99" i="1"/>
  <c r="W100" i="1"/>
  <c r="W101" i="1"/>
  <c r="W126" i="1"/>
  <c r="W168" i="1"/>
  <c r="W169" i="1"/>
  <c r="W170" i="1"/>
  <c r="W172" i="1"/>
  <c r="W173" i="1"/>
  <c r="W259" i="1"/>
  <c r="W260" i="1"/>
  <c r="W262" i="1"/>
  <c r="W263" i="1"/>
  <c r="W264" i="1"/>
  <c r="W265" i="1"/>
  <c r="W293" i="1"/>
  <c r="W294" i="1"/>
  <c r="W295" i="1"/>
  <c r="W296" i="1"/>
  <c r="W297" i="1"/>
  <c r="W457" i="1"/>
  <c r="W458" i="1"/>
  <c r="W459" i="1"/>
  <c r="W460" i="1"/>
  <c r="W461" i="1"/>
  <c r="W462" i="1"/>
  <c r="W463" i="1"/>
  <c r="W464" i="1"/>
  <c r="W465" i="1"/>
  <c r="W466" i="1"/>
  <c r="W468" i="1"/>
  <c r="W469" i="1"/>
  <c r="W470" i="1"/>
  <c r="W471" i="1"/>
  <c r="W472" i="1"/>
  <c r="W473" i="1"/>
  <c r="W474" i="1"/>
  <c r="W475" i="1"/>
  <c r="W476" i="1"/>
  <c r="W477" i="1"/>
  <c r="W479" i="1"/>
  <c r="W480" i="1"/>
  <c r="W481" i="1"/>
  <c r="W482" i="1"/>
  <c r="W484" i="1"/>
  <c r="W485" i="1"/>
  <c r="W486" i="1"/>
  <c r="W487" i="1"/>
  <c r="W488" i="1"/>
  <c r="W489" i="1"/>
  <c r="W490" i="1"/>
  <c r="W491" i="1"/>
  <c r="W492" i="1"/>
  <c r="W493" i="1"/>
  <c r="W495" i="1"/>
  <c r="W496" i="1"/>
  <c r="W497" i="1"/>
  <c r="W498" i="1"/>
  <c r="W499" i="1"/>
  <c r="W500" i="1"/>
  <c r="W501" i="1"/>
  <c r="W503" i="1"/>
  <c r="W504" i="1"/>
  <c r="W505" i="1"/>
  <c r="W506" i="1"/>
  <c r="W507" i="1"/>
  <c r="W508" i="1"/>
  <c r="W509" i="1"/>
  <c r="W510" i="1"/>
  <c r="W511" i="1"/>
  <c r="W512" i="1"/>
  <c r="W514" i="1"/>
  <c r="W515" i="1"/>
  <c r="W516" i="1"/>
  <c r="W517" i="1"/>
  <c r="W518" i="1"/>
  <c r="W519" i="1"/>
  <c r="W520" i="1"/>
  <c r="W521" i="1"/>
  <c r="W522" i="1"/>
  <c r="W523" i="1"/>
  <c r="W559" i="1"/>
  <c r="W560" i="1"/>
  <c r="W561" i="1"/>
  <c r="W562" i="1"/>
  <c r="W563" i="1"/>
  <c r="W634" i="1"/>
  <c r="W635" i="1"/>
  <c r="W636" i="1"/>
  <c r="W638" i="1"/>
  <c r="W640" i="1"/>
  <c r="W641" i="1"/>
  <c r="W642" i="1"/>
  <c r="W643" i="1"/>
  <c r="W645" i="1"/>
  <c r="W646" i="1"/>
  <c r="W647" i="1"/>
  <c r="W648" i="1"/>
  <c r="W649" i="1"/>
  <c r="W650" i="1"/>
  <c r="W652" i="1"/>
  <c r="W654" i="1"/>
  <c r="W655" i="1"/>
  <c r="W656" i="1"/>
  <c r="W657" i="1"/>
  <c r="W658" i="1"/>
  <c r="W659" i="1"/>
  <c r="W660" i="1"/>
  <c r="W661" i="1"/>
  <c r="W662" i="1"/>
  <c r="W693" i="1"/>
  <c r="W694" i="1"/>
  <c r="W717" i="1"/>
  <c r="W718" i="1"/>
  <c r="W719" i="1"/>
  <c r="W721" i="1"/>
  <c r="W722" i="1"/>
  <c r="W723" i="1"/>
  <c r="B923" i="1"/>
  <c r="C923" i="1" s="1"/>
  <c r="AF923" i="1"/>
  <c r="AL923" i="1"/>
  <c r="AO923" i="1"/>
  <c r="AP923" i="1" s="1"/>
  <c r="B900" i="1"/>
  <c r="C900" i="1" s="1"/>
  <c r="AF900" i="1"/>
  <c r="AL900" i="1"/>
  <c r="AO900" i="1"/>
  <c r="AP900" i="1" s="1"/>
  <c r="B895" i="1"/>
  <c r="B897" i="1"/>
  <c r="B898" i="1"/>
  <c r="B899" i="1"/>
  <c r="B901" i="1"/>
  <c r="C901" i="1" s="1"/>
  <c r="B902" i="1"/>
  <c r="C902" i="1" s="1"/>
  <c r="B903" i="1"/>
  <c r="C903" i="1" s="1"/>
  <c r="B904" i="1"/>
  <c r="B905" i="1"/>
  <c r="C905" i="1" s="1"/>
  <c r="B906" i="1"/>
  <c r="C906" i="1" s="1"/>
  <c r="B908" i="1"/>
  <c r="C908" i="1" s="1"/>
  <c r="B909" i="1"/>
  <c r="B910" i="1"/>
  <c r="C910" i="1" s="1"/>
  <c r="B911" i="1"/>
  <c r="C911" i="1" s="1"/>
  <c r="B912" i="1"/>
  <c r="C912" i="1" s="1"/>
  <c r="B913" i="1"/>
  <c r="B914" i="1"/>
  <c r="C914" i="1" s="1"/>
  <c r="B915" i="1"/>
  <c r="C915" i="1" s="1"/>
  <c r="B917" i="1"/>
  <c r="C917" i="1" s="1"/>
  <c r="B918" i="1"/>
  <c r="B919" i="1"/>
  <c r="C919" i="1" s="1"/>
  <c r="B920" i="1"/>
  <c r="C920" i="1" s="1"/>
  <c r="B921" i="1"/>
  <c r="C921" i="1" s="1"/>
  <c r="B922" i="1"/>
  <c r="B924" i="1"/>
  <c r="C924" i="1" s="1"/>
  <c r="B925" i="1"/>
  <c r="C925" i="1" s="1"/>
  <c r="B926" i="1"/>
  <c r="C926" i="1" s="1"/>
  <c r="B927" i="1"/>
  <c r="B929" i="1"/>
  <c r="C929" i="1" s="1"/>
  <c r="B930" i="1"/>
  <c r="C930" i="1" s="1"/>
  <c r="B931" i="1"/>
  <c r="C931" i="1" s="1"/>
  <c r="B932" i="1"/>
  <c r="B933" i="1"/>
  <c r="C933" i="1" s="1"/>
  <c r="B934" i="1"/>
  <c r="C934" i="1" s="1"/>
  <c r="B935" i="1"/>
  <c r="C935" i="1" s="1"/>
  <c r="B936" i="1"/>
  <c r="B937" i="1"/>
  <c r="C937" i="1" s="1"/>
  <c r="B939" i="1"/>
  <c r="C939" i="1" s="1"/>
  <c r="B940" i="1"/>
  <c r="C940" i="1" s="1"/>
  <c r="B941" i="1"/>
  <c r="B942" i="1"/>
  <c r="C942" i="1" s="1"/>
  <c r="B943" i="1"/>
  <c r="C943" i="1" s="1"/>
  <c r="B944" i="1"/>
  <c r="C944" i="1" s="1"/>
  <c r="B945" i="1"/>
  <c r="B946" i="1"/>
  <c r="C946" i="1" s="1"/>
  <c r="B947" i="1"/>
  <c r="C947" i="1" s="1"/>
  <c r="B948" i="1"/>
  <c r="C948" i="1" s="1"/>
  <c r="B949" i="1"/>
  <c r="B951" i="1"/>
  <c r="C951" i="1" s="1"/>
  <c r="B952" i="1"/>
  <c r="C952" i="1" s="1"/>
  <c r="B953" i="1"/>
  <c r="C953" i="1" s="1"/>
  <c r="B954" i="1"/>
  <c r="B955" i="1"/>
  <c r="C955" i="1" s="1"/>
  <c r="B956" i="1"/>
  <c r="C956" i="1" s="1"/>
  <c r="B957" i="1"/>
  <c r="C957" i="1" s="1"/>
  <c r="B958" i="1"/>
  <c r="B959" i="1"/>
  <c r="C959" i="1" s="1"/>
  <c r="B960" i="1"/>
  <c r="C960" i="1" s="1"/>
  <c r="B961" i="1"/>
  <c r="C961" i="1" s="1"/>
  <c r="B962" i="1"/>
  <c r="B964" i="1"/>
  <c r="C964" i="1" s="1"/>
  <c r="B965" i="1"/>
  <c r="C965" i="1" s="1"/>
  <c r="B966" i="1"/>
  <c r="C966" i="1" s="1"/>
  <c r="B967" i="1"/>
  <c r="B968" i="1"/>
  <c r="C968" i="1" s="1"/>
  <c r="B970" i="1"/>
  <c r="C970" i="1" s="1"/>
  <c r="B971" i="1"/>
  <c r="C971" i="1" s="1"/>
  <c r="B972" i="1"/>
  <c r="B973" i="1"/>
  <c r="C973" i="1" s="1"/>
  <c r="B974" i="1"/>
  <c r="C974" i="1" s="1"/>
  <c r="B975" i="1"/>
  <c r="C975" i="1" s="1"/>
  <c r="B976" i="1"/>
  <c r="B977" i="1"/>
  <c r="C977" i="1" s="1"/>
  <c r="B978" i="1"/>
  <c r="C978" i="1" s="1"/>
  <c r="B979" i="1"/>
  <c r="C979" i="1" s="1"/>
  <c r="B980" i="1"/>
  <c r="B982" i="1"/>
  <c r="C982" i="1" s="1"/>
  <c r="B983" i="1"/>
  <c r="C983" i="1" s="1"/>
  <c r="B984" i="1"/>
  <c r="C984" i="1" s="1"/>
  <c r="B985" i="1"/>
  <c r="B986" i="1"/>
  <c r="C986" i="1" s="1"/>
  <c r="B987" i="1"/>
  <c r="C987" i="1" s="1"/>
  <c r="B988" i="1"/>
  <c r="C988" i="1" s="1"/>
  <c r="B990" i="1"/>
  <c r="B991" i="1"/>
  <c r="C991" i="1" s="1"/>
  <c r="B992" i="1"/>
  <c r="C992" i="1" s="1"/>
  <c r="B993" i="1"/>
  <c r="C993" i="1" s="1"/>
  <c r="B994" i="1"/>
  <c r="B995" i="1"/>
  <c r="C995" i="1" s="1"/>
  <c r="B996" i="1"/>
  <c r="C996" i="1" s="1"/>
  <c r="B997" i="1"/>
  <c r="C997" i="1" s="1"/>
  <c r="B998" i="1"/>
  <c r="B1000" i="1"/>
  <c r="C1000" i="1" s="1"/>
  <c r="B1002" i="1"/>
  <c r="C1002" i="1" s="1"/>
  <c r="B1003" i="1"/>
  <c r="C1003" i="1" s="1"/>
  <c r="B1004" i="1"/>
  <c r="B1005" i="1"/>
  <c r="C1005" i="1" s="1"/>
  <c r="B1006" i="1"/>
  <c r="C1006" i="1" s="1"/>
  <c r="B1007" i="1"/>
  <c r="C1007" i="1" s="1"/>
  <c r="B1008" i="1"/>
  <c r="B1010" i="1"/>
  <c r="C1010" i="1" s="1"/>
  <c r="B1012" i="1"/>
  <c r="C1012" i="1" s="1"/>
  <c r="B1013" i="1"/>
  <c r="C1013" i="1" s="1"/>
  <c r="B1015" i="1"/>
  <c r="B1016" i="1"/>
  <c r="C1016" i="1" s="1"/>
  <c r="B1017" i="1"/>
  <c r="C1017" i="1" s="1"/>
  <c r="B1018" i="1"/>
  <c r="C1018" i="1" s="1"/>
  <c r="B1019" i="1"/>
  <c r="B1020" i="1"/>
  <c r="C1020" i="1" s="1"/>
  <c r="B1021" i="1"/>
  <c r="C1021" i="1" s="1"/>
  <c r="B1022" i="1"/>
  <c r="C1022" i="1" s="1"/>
  <c r="B1023" i="1"/>
  <c r="B1024" i="1"/>
  <c r="C1024" i="1" s="1"/>
  <c r="B1026" i="1"/>
  <c r="C1026" i="1" s="1"/>
  <c r="B1027" i="1"/>
  <c r="C1027" i="1" s="1"/>
  <c r="B1028" i="1"/>
  <c r="B1029" i="1"/>
  <c r="C1029" i="1" s="1"/>
  <c r="B1030" i="1"/>
  <c r="C1030" i="1" s="1"/>
  <c r="B1031" i="1"/>
  <c r="C1031" i="1" s="1"/>
  <c r="B1032" i="1"/>
  <c r="B1033" i="1"/>
  <c r="C1033" i="1" s="1"/>
  <c r="B1034" i="1"/>
  <c r="C1034" i="1" s="1"/>
  <c r="B1036" i="1"/>
  <c r="C1036" i="1" s="1"/>
  <c r="B1037" i="1"/>
  <c r="B1038" i="1"/>
  <c r="C1038" i="1" s="1"/>
  <c r="B1039" i="1"/>
  <c r="C1039" i="1" s="1"/>
  <c r="B1040" i="1"/>
  <c r="C1040" i="1" s="1"/>
  <c r="B1041" i="1"/>
  <c r="B1042" i="1"/>
  <c r="C1042" i="1" s="1"/>
  <c r="B1044" i="1"/>
  <c r="C1044" i="1" s="1"/>
  <c r="B1045" i="1"/>
  <c r="C1045" i="1" s="1"/>
  <c r="B1046" i="1"/>
  <c r="B1048" i="1"/>
  <c r="C1048" i="1" s="1"/>
  <c r="B1049" i="1"/>
  <c r="C1049" i="1" s="1"/>
  <c r="B1051" i="1"/>
  <c r="C1051" i="1" s="1"/>
  <c r="B1052" i="1"/>
  <c r="B1053" i="1"/>
  <c r="C1053" i="1" s="1"/>
  <c r="B1055" i="1"/>
  <c r="C1055" i="1" s="1"/>
  <c r="B1056" i="1"/>
  <c r="C1056" i="1" s="1"/>
  <c r="B1057" i="1"/>
  <c r="B1058" i="1"/>
  <c r="C1058" i="1" s="1"/>
  <c r="B1059" i="1"/>
  <c r="C1059" i="1" s="1"/>
  <c r="B1060" i="1"/>
  <c r="C1060" i="1" s="1"/>
  <c r="B1061" i="1"/>
  <c r="B1062" i="1"/>
  <c r="C1062" i="1" s="1"/>
  <c r="B1063" i="1"/>
  <c r="C1063" i="1" s="1"/>
  <c r="B1064" i="1"/>
  <c r="C1064" i="1" s="1"/>
  <c r="B1066" i="1"/>
  <c r="B1067" i="1"/>
  <c r="C1067" i="1" s="1"/>
  <c r="B1068" i="1"/>
  <c r="C1068" i="1" s="1"/>
  <c r="B1069" i="1"/>
  <c r="C1069" i="1" s="1"/>
  <c r="B1070" i="1"/>
  <c r="B1071" i="1"/>
  <c r="C1071" i="1" s="1"/>
  <c r="B1072" i="1"/>
  <c r="C1072" i="1" s="1"/>
  <c r="B1073" i="1"/>
  <c r="C1073" i="1" s="1"/>
  <c r="B1075" i="1"/>
  <c r="B1076" i="1"/>
  <c r="C1076" i="1" s="1"/>
  <c r="B1078" i="1"/>
  <c r="C1078" i="1" s="1"/>
  <c r="B1080" i="1"/>
  <c r="C1080" i="1" s="1"/>
  <c r="B1081" i="1"/>
  <c r="B1082" i="1"/>
  <c r="C1082" i="1" s="1"/>
  <c r="B1083" i="1"/>
  <c r="C1083" i="1" s="1"/>
  <c r="B1085" i="1"/>
  <c r="C1085" i="1" s="1"/>
  <c r="B1086" i="1"/>
  <c r="B1087" i="1"/>
  <c r="C1087" i="1" s="1"/>
  <c r="B1088" i="1"/>
  <c r="C1088" i="1" s="1"/>
  <c r="B1090" i="1"/>
  <c r="C1090" i="1" s="1"/>
  <c r="B1091" i="1"/>
  <c r="B1092" i="1"/>
  <c r="C1092" i="1" s="1"/>
  <c r="B1093" i="1"/>
  <c r="C1093" i="1" s="1"/>
  <c r="B1094" i="1"/>
  <c r="C1094" i="1" s="1"/>
  <c r="B1095" i="1"/>
  <c r="B1098" i="1"/>
  <c r="C1098" i="1" s="1"/>
  <c r="B1099" i="1"/>
  <c r="C1099" i="1" s="1"/>
  <c r="B1100" i="1"/>
  <c r="C1100" i="1" s="1"/>
  <c r="B1101" i="1"/>
  <c r="B1102" i="1"/>
  <c r="B1103" i="1"/>
  <c r="B1105" i="1"/>
  <c r="B1106" i="1"/>
  <c r="B1107" i="1"/>
  <c r="B1108" i="1"/>
  <c r="B1109" i="1"/>
  <c r="B1110" i="1"/>
  <c r="B1111" i="1"/>
  <c r="B1112" i="1"/>
  <c r="B1113" i="1"/>
  <c r="B1114" i="1"/>
  <c r="B1115" i="1"/>
  <c r="B1117" i="1"/>
  <c r="B1118" i="1"/>
  <c r="B1119" i="1"/>
  <c r="B1120" i="1"/>
  <c r="B1121" i="1"/>
  <c r="B1122" i="1"/>
  <c r="B1123" i="1"/>
  <c r="B1125" i="1"/>
  <c r="B1127" i="1"/>
  <c r="B1129" i="1"/>
  <c r="B1130" i="1"/>
  <c r="B1131" i="1"/>
  <c r="B1132" i="1"/>
  <c r="B1133" i="1"/>
  <c r="B1134" i="1"/>
  <c r="B1135" i="1"/>
  <c r="B1136" i="1"/>
  <c r="B1138" i="1"/>
  <c r="B1140" i="1"/>
  <c r="B1141" i="1"/>
  <c r="B1142" i="1"/>
  <c r="B1143" i="1"/>
  <c r="B1144" i="1"/>
  <c r="B1145" i="1"/>
  <c r="B1146" i="1"/>
  <c r="B1147" i="1"/>
  <c r="B1149" i="1"/>
  <c r="B1150" i="1"/>
  <c r="C1150" i="1" s="1"/>
  <c r="B1151" i="1"/>
  <c r="B1152" i="1"/>
  <c r="C1152" i="1" s="1"/>
  <c r="B1153" i="1"/>
  <c r="B1154" i="1"/>
  <c r="C1154" i="1" s="1"/>
  <c r="B1155" i="1"/>
  <c r="B1156" i="1"/>
  <c r="C1156" i="1" s="1"/>
  <c r="B1157" i="1"/>
  <c r="B1159" i="1"/>
  <c r="C1159" i="1" s="1"/>
  <c r="B1160" i="1"/>
  <c r="B1162" i="1"/>
  <c r="C1162" i="1" s="1"/>
  <c r="B1163" i="1"/>
  <c r="B1164" i="1"/>
  <c r="C1164" i="1" s="1"/>
  <c r="B1165" i="1"/>
  <c r="B1166" i="1"/>
  <c r="C1166" i="1" s="1"/>
  <c r="B1167" i="1"/>
  <c r="B1168" i="1"/>
  <c r="C1168" i="1" s="1"/>
  <c r="B1169" i="1"/>
  <c r="B1170" i="1"/>
  <c r="C1170" i="1" s="1"/>
  <c r="B1171" i="1"/>
  <c r="B1172" i="1"/>
  <c r="C1172" i="1" s="1"/>
  <c r="B1173" i="1"/>
  <c r="B1174" i="1"/>
  <c r="C1174" i="1" s="1"/>
  <c r="B1175" i="1"/>
  <c r="B1176" i="1"/>
  <c r="C1176" i="1" s="1"/>
  <c r="B1177" i="1"/>
  <c r="B1178" i="1"/>
  <c r="C1178" i="1" s="1"/>
  <c r="B1179" i="1"/>
  <c r="B1180" i="1"/>
  <c r="C1180" i="1" s="1"/>
  <c r="B1181" i="1"/>
  <c r="B1182" i="1"/>
  <c r="C1182" i="1" s="1"/>
  <c r="B1183" i="1"/>
  <c r="B1184" i="1"/>
  <c r="C1184" i="1" s="1"/>
  <c r="B1185" i="1"/>
  <c r="B1186" i="1"/>
  <c r="C1186" i="1" s="1"/>
  <c r="B1187" i="1"/>
  <c r="B1188" i="1"/>
  <c r="C1188" i="1" s="1"/>
  <c r="B1189" i="1"/>
  <c r="B1190" i="1"/>
  <c r="C1190" i="1" s="1"/>
  <c r="B1191" i="1"/>
  <c r="B1192" i="1"/>
  <c r="C1192" i="1" s="1"/>
  <c r="B1193" i="1"/>
  <c r="C895" i="1"/>
  <c r="C897" i="1"/>
  <c r="C898" i="1"/>
  <c r="C899" i="1"/>
  <c r="C904" i="1"/>
  <c r="C909" i="1"/>
  <c r="C913" i="1"/>
  <c r="C918" i="1"/>
  <c r="C922" i="1"/>
  <c r="C927" i="1"/>
  <c r="C932" i="1"/>
  <c r="C936" i="1"/>
  <c r="C941" i="1"/>
  <c r="C945" i="1"/>
  <c r="C949" i="1"/>
  <c r="C954" i="1"/>
  <c r="C958" i="1"/>
  <c r="C962" i="1"/>
  <c r="C967" i="1"/>
  <c r="C972" i="1"/>
  <c r="C976" i="1"/>
  <c r="C980" i="1"/>
  <c r="C985" i="1"/>
  <c r="C990" i="1"/>
  <c r="C994" i="1"/>
  <c r="C998" i="1"/>
  <c r="C1004" i="1"/>
  <c r="C1008" i="1"/>
  <c r="C1015" i="1"/>
  <c r="C1019" i="1"/>
  <c r="C1023" i="1"/>
  <c r="C1028" i="1"/>
  <c r="C1032" i="1"/>
  <c r="C1037" i="1"/>
  <c r="C1041" i="1"/>
  <c r="C1046" i="1"/>
  <c r="C1052" i="1"/>
  <c r="C1057" i="1"/>
  <c r="C1061" i="1"/>
  <c r="C1066" i="1"/>
  <c r="C1070" i="1"/>
  <c r="C1075" i="1"/>
  <c r="C1081" i="1"/>
  <c r="C1086" i="1"/>
  <c r="C1091" i="1"/>
  <c r="C1095" i="1"/>
  <c r="C1101" i="1"/>
  <c r="C1102" i="1"/>
  <c r="C1103" i="1"/>
  <c r="C1105" i="1"/>
  <c r="C1106" i="1"/>
  <c r="C1107" i="1"/>
  <c r="C1108" i="1"/>
  <c r="C1109" i="1"/>
  <c r="C1110" i="1"/>
  <c r="C1111" i="1"/>
  <c r="C1112" i="1"/>
  <c r="C1113" i="1"/>
  <c r="C1114" i="1"/>
  <c r="C1115" i="1"/>
  <c r="C1117" i="1"/>
  <c r="C1118" i="1"/>
  <c r="C1119" i="1"/>
  <c r="C1120" i="1"/>
  <c r="C1121" i="1"/>
  <c r="C1122" i="1"/>
  <c r="C1123" i="1"/>
  <c r="C1125" i="1"/>
  <c r="C1127" i="1"/>
  <c r="C1129" i="1"/>
  <c r="C1130" i="1"/>
  <c r="C1131" i="1"/>
  <c r="C1132" i="1"/>
  <c r="C1133" i="1"/>
  <c r="C1134" i="1"/>
  <c r="C1135" i="1"/>
  <c r="C1136" i="1"/>
  <c r="C1138" i="1"/>
  <c r="C1140" i="1"/>
  <c r="C1141" i="1"/>
  <c r="C1142" i="1"/>
  <c r="C1143" i="1"/>
  <c r="C1144" i="1"/>
  <c r="C1145" i="1"/>
  <c r="C1146" i="1"/>
  <c r="C1147" i="1"/>
  <c r="C1149" i="1"/>
  <c r="C1151" i="1"/>
  <c r="C1153" i="1"/>
  <c r="C1155" i="1"/>
  <c r="C1157" i="1"/>
  <c r="C1160" i="1"/>
  <c r="C1163" i="1"/>
  <c r="C1165" i="1"/>
  <c r="C1167" i="1"/>
  <c r="C1169" i="1"/>
  <c r="C1171" i="1"/>
  <c r="C1173" i="1"/>
  <c r="C1175" i="1"/>
  <c r="C1177" i="1"/>
  <c r="C1179" i="1"/>
  <c r="C1181" i="1"/>
  <c r="C1183" i="1"/>
  <c r="C1185" i="1"/>
  <c r="C1187" i="1"/>
  <c r="C1189" i="1"/>
  <c r="C1191" i="1"/>
  <c r="C1193" i="1"/>
  <c r="D895" i="1"/>
  <c r="D906" i="1"/>
  <c r="D915" i="1"/>
  <c r="AI915" i="1" s="1"/>
  <c r="D927" i="1"/>
  <c r="AC927" i="1" s="1"/>
  <c r="D937" i="1"/>
  <c r="D949" i="1"/>
  <c r="AG949" i="1" s="1"/>
  <c r="D962" i="1"/>
  <c r="AI962" i="1" s="1"/>
  <c r="D968" i="1"/>
  <c r="AI968" i="1" s="1"/>
  <c r="D980" i="1"/>
  <c r="AI980" i="1" s="1"/>
  <c r="D988" i="1"/>
  <c r="AI988" i="1" s="1"/>
  <c r="D998" i="1"/>
  <c r="AI998" i="1" s="1"/>
  <c r="D1008" i="1"/>
  <c r="AD1008" i="1" s="1"/>
  <c r="D1010" i="1"/>
  <c r="AG1010" i="1" s="1"/>
  <c r="D1013" i="1"/>
  <c r="AI1013" i="1" s="1"/>
  <c r="D1024" i="1"/>
  <c r="AD1024" i="1" s="1"/>
  <c r="D1034" i="1"/>
  <c r="AG1034" i="1" s="1"/>
  <c r="D1042" i="1"/>
  <c r="AG1042" i="1" s="1"/>
  <c r="D1046" i="1"/>
  <c r="AG1046" i="1" s="1"/>
  <c r="D1049" i="1"/>
  <c r="AI1049" i="1" s="1"/>
  <c r="D1053" i="1"/>
  <c r="AI1053" i="1" s="1"/>
  <c r="D1064" i="1"/>
  <c r="AD1064" i="1" s="1"/>
  <c r="D1073" i="1"/>
  <c r="AI1073" i="1" s="1"/>
  <c r="D1076" i="1"/>
  <c r="D1078" i="1"/>
  <c r="AC1078" i="1" s="1"/>
  <c r="D1083" i="1"/>
  <c r="D1088" i="1"/>
  <c r="D1095" i="1"/>
  <c r="AG1095" i="1" s="1"/>
  <c r="D1103" i="1"/>
  <c r="D1115" i="1"/>
  <c r="D1123" i="1"/>
  <c r="D1125" i="1"/>
  <c r="D1127" i="1"/>
  <c r="AC1127" i="1" s="1"/>
  <c r="D1136" i="1"/>
  <c r="D1138" i="1"/>
  <c r="AI1138" i="1" s="1"/>
  <c r="D1147" i="1"/>
  <c r="AC1147" i="1" s="1"/>
  <c r="D1157" i="1"/>
  <c r="D1160" i="1"/>
  <c r="AG1160" i="1" s="1"/>
  <c r="D1162" i="1"/>
  <c r="AI1162" i="1" s="1"/>
  <c r="D1163" i="1"/>
  <c r="AC1163" i="1" s="1"/>
  <c r="D1164" i="1"/>
  <c r="D1165" i="1"/>
  <c r="D1166" i="1"/>
  <c r="AC1166" i="1" s="1"/>
  <c r="D1167" i="1"/>
  <c r="D1168" i="1"/>
  <c r="D1169" i="1"/>
  <c r="D1170" i="1"/>
  <c r="AI1170" i="1" s="1"/>
  <c r="D1171" i="1"/>
  <c r="AC1171" i="1" s="1"/>
  <c r="D1172" i="1"/>
  <c r="D1173" i="1"/>
  <c r="D1174" i="1"/>
  <c r="D1175" i="1"/>
  <c r="AC1175" i="1" s="1"/>
  <c r="D1176" i="1"/>
  <c r="AG1176" i="1" s="1"/>
  <c r="D1177" i="1"/>
  <c r="D1178" i="1"/>
  <c r="AI1178" i="1" s="1"/>
  <c r="D1179" i="1"/>
  <c r="AC1179" i="1" s="1"/>
  <c r="D1180" i="1"/>
  <c r="D1181" i="1"/>
  <c r="D1182" i="1"/>
  <c r="AC1182" i="1" s="1"/>
  <c r="D1183" i="1"/>
  <c r="AC1183" i="1" s="1"/>
  <c r="D1184" i="1"/>
  <c r="D1185" i="1"/>
  <c r="D1186" i="1"/>
  <c r="AI1186" i="1" s="1"/>
  <c r="D1187" i="1"/>
  <c r="AC1187" i="1" s="1"/>
  <c r="D1188" i="1"/>
  <c r="D1189" i="1"/>
  <c r="D1190" i="1"/>
  <c r="D1191" i="1"/>
  <c r="AC1191" i="1" s="1"/>
  <c r="D1192" i="1"/>
  <c r="AG1192" i="1" s="1"/>
  <c r="D1193" i="1"/>
  <c r="AE895" i="1"/>
  <c r="AE906" i="1"/>
  <c r="AE915" i="1"/>
  <c r="AE927" i="1"/>
  <c r="AE937" i="1"/>
  <c r="AE949" i="1"/>
  <c r="AE962" i="1"/>
  <c r="AE968" i="1"/>
  <c r="AE980" i="1"/>
  <c r="AE988" i="1"/>
  <c r="AE998" i="1"/>
  <c r="AE1008" i="1"/>
  <c r="AE1010" i="1"/>
  <c r="AE1013" i="1"/>
  <c r="AE1024" i="1"/>
  <c r="AE1034" i="1"/>
  <c r="AE1042" i="1"/>
  <c r="AE1046" i="1"/>
  <c r="AE1049" i="1"/>
  <c r="AE1053" i="1"/>
  <c r="AE1064" i="1"/>
  <c r="AE1073" i="1"/>
  <c r="AE1076" i="1"/>
  <c r="AE1078" i="1"/>
  <c r="AE1083" i="1"/>
  <c r="AE1088" i="1"/>
  <c r="AE1095" i="1"/>
  <c r="AE1103" i="1"/>
  <c r="AE1115" i="1"/>
  <c r="AE1123" i="1"/>
  <c r="AE1125" i="1"/>
  <c r="AE1127" i="1"/>
  <c r="AE1136" i="1"/>
  <c r="AE1138" i="1"/>
  <c r="AE1147" i="1"/>
  <c r="AE1157" i="1"/>
  <c r="AE1160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F895" i="1"/>
  <c r="W895" i="1" s="1"/>
  <c r="AF896" i="1"/>
  <c r="W896" i="1" s="1"/>
  <c r="AF897" i="1"/>
  <c r="W897" i="1" s="1"/>
  <c r="AF898" i="1"/>
  <c r="W898" i="1" s="1"/>
  <c r="AF899" i="1"/>
  <c r="W899" i="1" s="1"/>
  <c r="AF901" i="1"/>
  <c r="W901" i="1" s="1"/>
  <c r="AF902" i="1"/>
  <c r="W902" i="1" s="1"/>
  <c r="AF903" i="1"/>
  <c r="W903" i="1" s="1"/>
  <c r="AF904" i="1"/>
  <c r="W904" i="1" s="1"/>
  <c r="AF905" i="1"/>
  <c r="W905" i="1" s="1"/>
  <c r="AF906" i="1"/>
  <c r="W906" i="1" s="1"/>
  <c r="AF907" i="1"/>
  <c r="W907" i="1" s="1"/>
  <c r="AF908" i="1"/>
  <c r="W908" i="1" s="1"/>
  <c r="AF909" i="1"/>
  <c r="W909" i="1" s="1"/>
  <c r="AF910" i="1"/>
  <c r="W910" i="1" s="1"/>
  <c r="AF911" i="1"/>
  <c r="W911" i="1" s="1"/>
  <c r="AF912" i="1"/>
  <c r="W912" i="1" s="1"/>
  <c r="AF913" i="1"/>
  <c r="W913" i="1" s="1"/>
  <c r="AF914" i="1"/>
  <c r="W914" i="1" s="1"/>
  <c r="AF915" i="1"/>
  <c r="W915" i="1" s="1"/>
  <c r="AF916" i="1"/>
  <c r="W916" i="1" s="1"/>
  <c r="AF917" i="1"/>
  <c r="W917" i="1" s="1"/>
  <c r="AF918" i="1"/>
  <c r="W918" i="1" s="1"/>
  <c r="AF919" i="1"/>
  <c r="AE919" i="1" s="1"/>
  <c r="AF920" i="1"/>
  <c r="W920" i="1" s="1"/>
  <c r="AF921" i="1"/>
  <c r="W921" i="1" s="1"/>
  <c r="AF922" i="1"/>
  <c r="W922" i="1" s="1"/>
  <c r="AF924" i="1"/>
  <c r="W924" i="1" s="1"/>
  <c r="AF925" i="1"/>
  <c r="W925" i="1" s="1"/>
  <c r="AF926" i="1"/>
  <c r="W926" i="1" s="1"/>
  <c r="AF927" i="1"/>
  <c r="W927" i="1" s="1"/>
  <c r="AF928" i="1"/>
  <c r="W928" i="1" s="1"/>
  <c r="AF929" i="1"/>
  <c r="AF930" i="1"/>
  <c r="W930" i="1" s="1"/>
  <c r="AF931" i="1"/>
  <c r="AF932" i="1"/>
  <c r="W932" i="1" s="1"/>
  <c r="X932" i="1" s="1"/>
  <c r="AF933" i="1"/>
  <c r="W933" i="1" s="1"/>
  <c r="AF934" i="1"/>
  <c r="W934" i="1" s="1"/>
  <c r="AF935" i="1"/>
  <c r="W935" i="1" s="1"/>
  <c r="AF936" i="1"/>
  <c r="W936" i="1" s="1"/>
  <c r="AF937" i="1"/>
  <c r="W937" i="1" s="1"/>
  <c r="AF938" i="1"/>
  <c r="W938" i="1" s="1"/>
  <c r="AF939" i="1"/>
  <c r="W939" i="1" s="1"/>
  <c r="AF940" i="1"/>
  <c r="W940" i="1" s="1"/>
  <c r="AF941" i="1"/>
  <c r="W941" i="1" s="1"/>
  <c r="AF942" i="1"/>
  <c r="W942" i="1" s="1"/>
  <c r="AF943" i="1"/>
  <c r="W943" i="1" s="1"/>
  <c r="AF944" i="1"/>
  <c r="W944" i="1" s="1"/>
  <c r="AF945" i="1"/>
  <c r="W945" i="1" s="1"/>
  <c r="AF946" i="1"/>
  <c r="W946" i="1" s="1"/>
  <c r="AF947" i="1"/>
  <c r="W947" i="1" s="1"/>
  <c r="AF948" i="1"/>
  <c r="W948" i="1" s="1"/>
  <c r="AF949" i="1"/>
  <c r="W949" i="1" s="1"/>
  <c r="AF950" i="1"/>
  <c r="AF951" i="1"/>
  <c r="W951" i="1" s="1"/>
  <c r="AF952" i="1"/>
  <c r="W952" i="1" s="1"/>
  <c r="AF953" i="1"/>
  <c r="W953" i="1" s="1"/>
  <c r="AF954" i="1"/>
  <c r="W954" i="1" s="1"/>
  <c r="AF955" i="1"/>
  <c r="W955" i="1" s="1"/>
  <c r="AF956" i="1"/>
  <c r="W956" i="1" s="1"/>
  <c r="AF957" i="1"/>
  <c r="W957" i="1" s="1"/>
  <c r="AF958" i="1"/>
  <c r="W958" i="1" s="1"/>
  <c r="AF959" i="1"/>
  <c r="AE959" i="1" s="1"/>
  <c r="AF960" i="1"/>
  <c r="W960" i="1" s="1"/>
  <c r="AF961" i="1"/>
  <c r="W961" i="1" s="1"/>
  <c r="AF962" i="1"/>
  <c r="W962" i="1" s="1"/>
  <c r="AF963" i="1"/>
  <c r="AF964" i="1"/>
  <c r="W964" i="1" s="1"/>
  <c r="AF965" i="1"/>
  <c r="W965" i="1" s="1"/>
  <c r="AF966" i="1"/>
  <c r="W966" i="1" s="1"/>
  <c r="AF967" i="1"/>
  <c r="W967" i="1" s="1"/>
  <c r="AF968" i="1"/>
  <c r="W968" i="1" s="1"/>
  <c r="AF969" i="1"/>
  <c r="AE969" i="1" s="1"/>
  <c r="AF970" i="1"/>
  <c r="AE970" i="1" s="1"/>
  <c r="AF971" i="1"/>
  <c r="W971" i="1" s="1"/>
  <c r="AF972" i="1"/>
  <c r="W972" i="1" s="1"/>
  <c r="AF973" i="1"/>
  <c r="W973" i="1" s="1"/>
  <c r="AF974" i="1"/>
  <c r="W974" i="1" s="1"/>
  <c r="AF975" i="1"/>
  <c r="W975" i="1" s="1"/>
  <c r="AF976" i="1"/>
  <c r="W976" i="1" s="1"/>
  <c r="AF977" i="1"/>
  <c r="W977" i="1" s="1"/>
  <c r="AF978" i="1"/>
  <c r="W978" i="1" s="1"/>
  <c r="AF979" i="1"/>
  <c r="W979" i="1" s="1"/>
  <c r="AF980" i="1"/>
  <c r="W980" i="1" s="1"/>
  <c r="AF981" i="1"/>
  <c r="AF982" i="1"/>
  <c r="W982" i="1" s="1"/>
  <c r="AF983" i="1"/>
  <c r="W983" i="1" s="1"/>
  <c r="AF984" i="1"/>
  <c r="W984" i="1" s="1"/>
  <c r="AF985" i="1"/>
  <c r="W985" i="1" s="1"/>
  <c r="AF986" i="1"/>
  <c r="W986" i="1" s="1"/>
  <c r="AF987" i="1"/>
  <c r="W987" i="1" s="1"/>
  <c r="AF988" i="1"/>
  <c r="W988" i="1" s="1"/>
  <c r="AF989" i="1"/>
  <c r="W989" i="1" s="1"/>
  <c r="AF990" i="1"/>
  <c r="W990" i="1" s="1"/>
  <c r="AF991" i="1"/>
  <c r="W991" i="1" s="1"/>
  <c r="AF992" i="1"/>
  <c r="W992" i="1" s="1"/>
  <c r="AF993" i="1"/>
  <c r="W993" i="1" s="1"/>
  <c r="AF994" i="1"/>
  <c r="W994" i="1" s="1"/>
  <c r="AF995" i="1"/>
  <c r="W995" i="1" s="1"/>
  <c r="AF996" i="1"/>
  <c r="W996" i="1" s="1"/>
  <c r="AF997" i="1"/>
  <c r="W997" i="1" s="1"/>
  <c r="AF998" i="1"/>
  <c r="W998" i="1" s="1"/>
  <c r="AF999" i="1"/>
  <c r="AF1000" i="1"/>
  <c r="W1000" i="1" s="1"/>
  <c r="AF1002" i="1"/>
  <c r="W1002" i="1" s="1"/>
  <c r="AF1003" i="1"/>
  <c r="AE1003" i="1" s="1"/>
  <c r="AF1004" i="1"/>
  <c r="AF1005" i="1"/>
  <c r="AE1005" i="1" s="1"/>
  <c r="AF1006" i="1"/>
  <c r="W1006" i="1" s="1"/>
  <c r="AF1007" i="1"/>
  <c r="AE1007" i="1" s="1"/>
  <c r="AF1008" i="1"/>
  <c r="W1008" i="1" s="1"/>
  <c r="AF1009" i="1"/>
  <c r="W1009" i="1" s="1"/>
  <c r="AF1010" i="1"/>
  <c r="W1010" i="1" s="1"/>
  <c r="AF1011" i="1"/>
  <c r="W1011" i="1" s="1"/>
  <c r="AF1012" i="1"/>
  <c r="W1012" i="1" s="1"/>
  <c r="AF1013" i="1"/>
  <c r="W1013" i="1" s="1"/>
  <c r="AF1014" i="1"/>
  <c r="W1014" i="1" s="1"/>
  <c r="AF1015" i="1"/>
  <c r="W1015" i="1" s="1"/>
  <c r="AF1016" i="1"/>
  <c r="W1016" i="1" s="1"/>
  <c r="AF1017" i="1"/>
  <c r="W1017" i="1" s="1"/>
  <c r="AF1018" i="1"/>
  <c r="W1018" i="1" s="1"/>
  <c r="AF1019" i="1"/>
  <c r="W1019" i="1" s="1"/>
  <c r="AF1020" i="1"/>
  <c r="W1020" i="1" s="1"/>
  <c r="AF1021" i="1"/>
  <c r="W1021" i="1" s="1"/>
  <c r="AF1022" i="1"/>
  <c r="W1022" i="1" s="1"/>
  <c r="AF1023" i="1"/>
  <c r="W1023" i="1" s="1"/>
  <c r="AF1024" i="1"/>
  <c r="W1024" i="1" s="1"/>
  <c r="AF1025" i="1"/>
  <c r="W1025" i="1" s="1"/>
  <c r="AF1026" i="1"/>
  <c r="W1026" i="1" s="1"/>
  <c r="AF1027" i="1"/>
  <c r="W1027" i="1" s="1"/>
  <c r="AF1028" i="1"/>
  <c r="W1028" i="1" s="1"/>
  <c r="AF1029" i="1"/>
  <c r="W1029" i="1" s="1"/>
  <c r="AF1030" i="1"/>
  <c r="W1030" i="1" s="1"/>
  <c r="AF1031" i="1"/>
  <c r="W1031" i="1" s="1"/>
  <c r="AF1032" i="1"/>
  <c r="W1032" i="1" s="1"/>
  <c r="AF1033" i="1"/>
  <c r="W1033" i="1" s="1"/>
  <c r="AF1034" i="1"/>
  <c r="W1034" i="1" s="1"/>
  <c r="AF1035" i="1"/>
  <c r="W1035" i="1" s="1"/>
  <c r="AF1036" i="1"/>
  <c r="W1036" i="1" s="1"/>
  <c r="AF1037" i="1"/>
  <c r="W1037" i="1" s="1"/>
  <c r="AF1038" i="1"/>
  <c r="W1038" i="1" s="1"/>
  <c r="AF1039" i="1"/>
  <c r="W1039" i="1" s="1"/>
  <c r="AF1040" i="1"/>
  <c r="W1040" i="1" s="1"/>
  <c r="AF1041" i="1"/>
  <c r="W1041" i="1" s="1"/>
  <c r="AF1042" i="1"/>
  <c r="W1042" i="1" s="1"/>
  <c r="AF1043" i="1"/>
  <c r="W1043" i="1" s="1"/>
  <c r="AF1044" i="1"/>
  <c r="W1044" i="1" s="1"/>
  <c r="AF1045" i="1"/>
  <c r="W1045" i="1" s="1"/>
  <c r="AF1046" i="1"/>
  <c r="W1046" i="1" s="1"/>
  <c r="AF1047" i="1"/>
  <c r="W1047" i="1" s="1"/>
  <c r="AF1048" i="1"/>
  <c r="W1048" i="1" s="1"/>
  <c r="AF1049" i="1"/>
  <c r="W1049" i="1" s="1"/>
  <c r="AF1050" i="1"/>
  <c r="W1050" i="1" s="1"/>
  <c r="AF1051" i="1"/>
  <c r="W1051" i="1" s="1"/>
  <c r="AF1052" i="1"/>
  <c r="W1052" i="1" s="1"/>
  <c r="AF1053" i="1"/>
  <c r="W1053" i="1" s="1"/>
  <c r="AF1054" i="1"/>
  <c r="AF1055" i="1"/>
  <c r="W1055" i="1" s="1"/>
  <c r="AF1056" i="1"/>
  <c r="W1056" i="1" s="1"/>
  <c r="AF1057" i="1"/>
  <c r="AF1058" i="1"/>
  <c r="W1058" i="1" s="1"/>
  <c r="AF1059" i="1"/>
  <c r="W1059" i="1" s="1"/>
  <c r="AF1060" i="1"/>
  <c r="W1060" i="1" s="1"/>
  <c r="AF1061" i="1"/>
  <c r="W1061" i="1" s="1"/>
  <c r="AF1062" i="1"/>
  <c r="W1062" i="1" s="1"/>
  <c r="AF1063" i="1"/>
  <c r="W1063" i="1" s="1"/>
  <c r="AF1064" i="1"/>
  <c r="W1064" i="1" s="1"/>
  <c r="AF1065" i="1"/>
  <c r="W1065" i="1" s="1"/>
  <c r="AF1066" i="1"/>
  <c r="W1066" i="1" s="1"/>
  <c r="AF1067" i="1"/>
  <c r="W1067" i="1" s="1"/>
  <c r="AF1068" i="1"/>
  <c r="W1068" i="1" s="1"/>
  <c r="AF1069" i="1"/>
  <c r="W1069" i="1" s="1"/>
  <c r="AF1070" i="1"/>
  <c r="W1070" i="1" s="1"/>
  <c r="AF1071" i="1"/>
  <c r="W1071" i="1" s="1"/>
  <c r="AF1072" i="1"/>
  <c r="W1072" i="1" s="1"/>
  <c r="AF1073" i="1"/>
  <c r="W1073" i="1" s="1"/>
  <c r="AF1074" i="1"/>
  <c r="W1074" i="1" s="1"/>
  <c r="AF1075" i="1"/>
  <c r="W1075" i="1" s="1"/>
  <c r="AF1076" i="1"/>
  <c r="W1076" i="1" s="1"/>
  <c r="AF1077" i="1"/>
  <c r="W1077" i="1" s="1"/>
  <c r="AF1078" i="1"/>
  <c r="W1078" i="1" s="1"/>
  <c r="AF1079" i="1"/>
  <c r="W1079" i="1" s="1"/>
  <c r="AF1080" i="1"/>
  <c r="W1080" i="1" s="1"/>
  <c r="AF1081" i="1"/>
  <c r="W1081" i="1" s="1"/>
  <c r="AF1082" i="1"/>
  <c r="W1082" i="1" s="1"/>
  <c r="AF1083" i="1"/>
  <c r="W1083" i="1" s="1"/>
  <c r="AF1084" i="1"/>
  <c r="W1084" i="1" s="1"/>
  <c r="AF1085" i="1"/>
  <c r="W1085" i="1" s="1"/>
  <c r="AF1086" i="1"/>
  <c r="W1086" i="1" s="1"/>
  <c r="AF1087" i="1"/>
  <c r="W1087" i="1" s="1"/>
  <c r="AF1088" i="1"/>
  <c r="W1088" i="1" s="1"/>
  <c r="AF1089" i="1"/>
  <c r="W1089" i="1" s="1"/>
  <c r="AF1090" i="1"/>
  <c r="W1090" i="1" s="1"/>
  <c r="AF1091" i="1"/>
  <c r="W1091" i="1" s="1"/>
  <c r="AF1092" i="1"/>
  <c r="W1092" i="1" s="1"/>
  <c r="AF1093" i="1"/>
  <c r="W1093" i="1" s="1"/>
  <c r="AF1094" i="1"/>
  <c r="W1094" i="1" s="1"/>
  <c r="AF1095" i="1"/>
  <c r="W1095" i="1" s="1"/>
  <c r="AF1096" i="1"/>
  <c r="W1096" i="1" s="1"/>
  <c r="AF1097" i="1"/>
  <c r="W1097" i="1" s="1"/>
  <c r="AF1098" i="1"/>
  <c r="W1098" i="1" s="1"/>
  <c r="AF1099" i="1"/>
  <c r="W1099" i="1" s="1"/>
  <c r="AF1100" i="1"/>
  <c r="AF1101" i="1"/>
  <c r="W1101" i="1" s="1"/>
  <c r="AF1102" i="1"/>
  <c r="AF1103" i="1"/>
  <c r="W1103" i="1" s="1"/>
  <c r="AF1104" i="1"/>
  <c r="W1104" i="1" s="1"/>
  <c r="AF1105" i="1"/>
  <c r="W1105" i="1" s="1"/>
  <c r="AF1106" i="1"/>
  <c r="W1106" i="1" s="1"/>
  <c r="AF1107" i="1"/>
  <c r="W1107" i="1" s="1"/>
  <c r="AF1108" i="1"/>
  <c r="W1108" i="1" s="1"/>
  <c r="AF1109" i="1"/>
  <c r="W1109" i="1" s="1"/>
  <c r="AF1110" i="1"/>
  <c r="W1110" i="1" s="1"/>
  <c r="AF1111" i="1"/>
  <c r="W1111" i="1" s="1"/>
  <c r="AF1112" i="1"/>
  <c r="W1112" i="1" s="1"/>
  <c r="AF1113" i="1"/>
  <c r="W1113" i="1" s="1"/>
  <c r="AF1114" i="1"/>
  <c r="W1114" i="1" s="1"/>
  <c r="AF1115" i="1"/>
  <c r="W1115" i="1" s="1"/>
  <c r="AF1116" i="1"/>
  <c r="W1116" i="1" s="1"/>
  <c r="AF1117" i="1"/>
  <c r="W1117" i="1" s="1"/>
  <c r="AF1118" i="1"/>
  <c r="W1118" i="1" s="1"/>
  <c r="AF1119" i="1"/>
  <c r="W1119" i="1" s="1"/>
  <c r="AF1120" i="1"/>
  <c r="W1120" i="1" s="1"/>
  <c r="AF1121" i="1"/>
  <c r="W1121" i="1" s="1"/>
  <c r="AF1122" i="1"/>
  <c r="AF1123" i="1"/>
  <c r="W1123" i="1" s="1"/>
  <c r="AF1124" i="1"/>
  <c r="W1124" i="1" s="1"/>
  <c r="AF1125" i="1"/>
  <c r="W1125" i="1" s="1"/>
  <c r="AF1126" i="1"/>
  <c r="W1126" i="1" s="1"/>
  <c r="AF1127" i="1"/>
  <c r="W1127" i="1" s="1"/>
  <c r="AF1128" i="1"/>
  <c r="W1128" i="1" s="1"/>
  <c r="AF1129" i="1"/>
  <c r="W1129" i="1" s="1"/>
  <c r="AF1130" i="1"/>
  <c r="W1130" i="1" s="1"/>
  <c r="AF1131" i="1"/>
  <c r="W1131" i="1" s="1"/>
  <c r="AF1132" i="1"/>
  <c r="W1132" i="1" s="1"/>
  <c r="AF1133" i="1"/>
  <c r="W1133" i="1" s="1"/>
  <c r="AF1134" i="1"/>
  <c r="W1134" i="1" s="1"/>
  <c r="AF1135" i="1"/>
  <c r="W1135" i="1" s="1"/>
  <c r="AF1136" i="1"/>
  <c r="W1136" i="1" s="1"/>
  <c r="AF1137" i="1"/>
  <c r="W1137" i="1" s="1"/>
  <c r="AF1138" i="1"/>
  <c r="W1138" i="1" s="1"/>
  <c r="AF1139" i="1"/>
  <c r="W1139" i="1" s="1"/>
  <c r="AF1140" i="1"/>
  <c r="W1140" i="1" s="1"/>
  <c r="AF1141" i="1"/>
  <c r="W1141" i="1" s="1"/>
  <c r="AF1142" i="1"/>
  <c r="W1142" i="1" s="1"/>
  <c r="AF1143" i="1"/>
  <c r="W1143" i="1" s="1"/>
  <c r="AF1144" i="1"/>
  <c r="W1144" i="1" s="1"/>
  <c r="AF1145" i="1"/>
  <c r="W1145" i="1" s="1"/>
  <c r="AF1146" i="1"/>
  <c r="W1146" i="1" s="1"/>
  <c r="AF1147" i="1"/>
  <c r="W1147" i="1" s="1"/>
  <c r="AF1148" i="1"/>
  <c r="W1148" i="1" s="1"/>
  <c r="AF1149" i="1"/>
  <c r="W1149" i="1" s="1"/>
  <c r="AF1150" i="1"/>
  <c r="W1150" i="1" s="1"/>
  <c r="AF1151" i="1"/>
  <c r="W1151" i="1" s="1"/>
  <c r="AF1152" i="1"/>
  <c r="W1152" i="1" s="1"/>
  <c r="AF1153" i="1"/>
  <c r="W1153" i="1" s="1"/>
  <c r="AF1154" i="1"/>
  <c r="W1154" i="1" s="1"/>
  <c r="AF1155" i="1"/>
  <c r="W1155" i="1" s="1"/>
  <c r="AF1156" i="1"/>
  <c r="W1156" i="1" s="1"/>
  <c r="AF1157" i="1"/>
  <c r="W1157" i="1" s="1"/>
  <c r="AF1158" i="1"/>
  <c r="W1158" i="1" s="1"/>
  <c r="AF1159" i="1"/>
  <c r="W1159" i="1" s="1"/>
  <c r="AF1160" i="1"/>
  <c r="W1160" i="1" s="1"/>
  <c r="AF1161" i="1"/>
  <c r="W1161" i="1" s="1"/>
  <c r="AF1162" i="1"/>
  <c r="W1162" i="1" s="1"/>
  <c r="AF1163" i="1"/>
  <c r="W1163" i="1" s="1"/>
  <c r="AF1164" i="1"/>
  <c r="W1164" i="1" s="1"/>
  <c r="AF1165" i="1"/>
  <c r="W1165" i="1" s="1"/>
  <c r="AF1166" i="1"/>
  <c r="W1166" i="1" s="1"/>
  <c r="AF1167" i="1"/>
  <c r="W1167" i="1" s="1"/>
  <c r="AF1168" i="1"/>
  <c r="W1168" i="1" s="1"/>
  <c r="AF1169" i="1"/>
  <c r="W1169" i="1" s="1"/>
  <c r="AF1170" i="1"/>
  <c r="W1170" i="1" s="1"/>
  <c r="AF1171" i="1"/>
  <c r="W1171" i="1" s="1"/>
  <c r="AF1172" i="1"/>
  <c r="W1172" i="1" s="1"/>
  <c r="AF1173" i="1"/>
  <c r="W1173" i="1" s="1"/>
  <c r="AF1174" i="1"/>
  <c r="W1174" i="1" s="1"/>
  <c r="AF1175" i="1"/>
  <c r="W1175" i="1" s="1"/>
  <c r="AF1176" i="1"/>
  <c r="W1176" i="1" s="1"/>
  <c r="AF1177" i="1"/>
  <c r="W1177" i="1" s="1"/>
  <c r="AF1178" i="1"/>
  <c r="W1178" i="1" s="1"/>
  <c r="AF1179" i="1"/>
  <c r="W1179" i="1" s="1"/>
  <c r="AF1180" i="1"/>
  <c r="W1180" i="1" s="1"/>
  <c r="AF1181" i="1"/>
  <c r="W1181" i="1" s="1"/>
  <c r="AF1182" i="1"/>
  <c r="W1182" i="1" s="1"/>
  <c r="AF1183" i="1"/>
  <c r="W1183" i="1" s="1"/>
  <c r="AF1184" i="1"/>
  <c r="W1184" i="1" s="1"/>
  <c r="AF1185" i="1"/>
  <c r="W1185" i="1" s="1"/>
  <c r="AF1186" i="1"/>
  <c r="W1186" i="1" s="1"/>
  <c r="AF1187" i="1"/>
  <c r="W1187" i="1" s="1"/>
  <c r="AF1188" i="1"/>
  <c r="W1188" i="1" s="1"/>
  <c r="AF1189" i="1"/>
  <c r="W1189" i="1" s="1"/>
  <c r="AF1190" i="1"/>
  <c r="W1190" i="1" s="1"/>
  <c r="AF1191" i="1"/>
  <c r="W1191" i="1" s="1"/>
  <c r="AF1192" i="1"/>
  <c r="W1192" i="1" s="1"/>
  <c r="AF1193" i="1"/>
  <c r="W1193" i="1" s="1"/>
  <c r="AH895" i="1"/>
  <c r="AK895" i="1" s="1"/>
  <c r="AH906" i="1"/>
  <c r="AK906" i="1" s="1"/>
  <c r="AH915" i="1"/>
  <c r="AK915" i="1" s="1"/>
  <c r="AH927" i="1"/>
  <c r="AK927" i="1" s="1"/>
  <c r="AH937" i="1"/>
  <c r="AK937" i="1" s="1"/>
  <c r="AH949" i="1"/>
  <c r="AK949" i="1" s="1"/>
  <c r="AH962" i="1"/>
  <c r="AK962" i="1" s="1"/>
  <c r="AH968" i="1"/>
  <c r="AK968" i="1" s="1"/>
  <c r="AH980" i="1"/>
  <c r="AK980" i="1" s="1"/>
  <c r="AH988" i="1"/>
  <c r="AK988" i="1" s="1"/>
  <c r="AH998" i="1"/>
  <c r="AK998" i="1" s="1"/>
  <c r="AH1008" i="1"/>
  <c r="AK1008" i="1" s="1"/>
  <c r="AH1010" i="1"/>
  <c r="AK1010" i="1" s="1"/>
  <c r="AH1013" i="1"/>
  <c r="AK1013" i="1" s="1"/>
  <c r="AH1024" i="1"/>
  <c r="AK1024" i="1" s="1"/>
  <c r="AH1034" i="1"/>
  <c r="AK1034" i="1" s="1"/>
  <c r="AH1042" i="1"/>
  <c r="AK1042" i="1" s="1"/>
  <c r="AH1046" i="1"/>
  <c r="AK1046" i="1" s="1"/>
  <c r="AH1049" i="1"/>
  <c r="AK1049" i="1" s="1"/>
  <c r="AH1053" i="1"/>
  <c r="AK1053" i="1" s="1"/>
  <c r="AH1064" i="1"/>
  <c r="AK1064" i="1" s="1"/>
  <c r="AH1073" i="1"/>
  <c r="AK1073" i="1" s="1"/>
  <c r="AH1076" i="1"/>
  <c r="AK1076" i="1" s="1"/>
  <c r="AH1078" i="1"/>
  <c r="AK1078" i="1" s="1"/>
  <c r="AH1083" i="1"/>
  <c r="AK1083" i="1" s="1"/>
  <c r="AH1088" i="1"/>
  <c r="AK1088" i="1" s="1"/>
  <c r="AH1095" i="1"/>
  <c r="AK1095" i="1" s="1"/>
  <c r="AH1103" i="1"/>
  <c r="AK1103" i="1" s="1"/>
  <c r="AH1115" i="1"/>
  <c r="AK1115" i="1" s="1"/>
  <c r="AH1123" i="1"/>
  <c r="AK1123" i="1" s="1"/>
  <c r="AH1125" i="1"/>
  <c r="AK1125" i="1" s="1"/>
  <c r="AH1127" i="1"/>
  <c r="AK1127" i="1" s="1"/>
  <c r="AH1136" i="1"/>
  <c r="AK1136" i="1" s="1"/>
  <c r="AH1138" i="1"/>
  <c r="AK1138" i="1" s="1"/>
  <c r="AH1147" i="1"/>
  <c r="AK1147" i="1" s="1"/>
  <c r="AH1157" i="1"/>
  <c r="AK1157" i="1" s="1"/>
  <c r="AH1160" i="1"/>
  <c r="AK1160" i="1" s="1"/>
  <c r="AH1162" i="1"/>
  <c r="AK1162" i="1" s="1"/>
  <c r="AH1163" i="1"/>
  <c r="AK1163" i="1" s="1"/>
  <c r="AH1164" i="1"/>
  <c r="AK1164" i="1" s="1"/>
  <c r="AH1165" i="1"/>
  <c r="AK1165" i="1" s="1"/>
  <c r="AH1166" i="1"/>
  <c r="AK1166" i="1" s="1"/>
  <c r="AH1167" i="1"/>
  <c r="AK1167" i="1" s="1"/>
  <c r="AH1168" i="1"/>
  <c r="AK1168" i="1" s="1"/>
  <c r="AH1169" i="1"/>
  <c r="AK1169" i="1" s="1"/>
  <c r="AH1170" i="1"/>
  <c r="AK1170" i="1" s="1"/>
  <c r="AH1171" i="1"/>
  <c r="AK1171" i="1" s="1"/>
  <c r="AH1172" i="1"/>
  <c r="AK1172" i="1" s="1"/>
  <c r="AH1173" i="1"/>
  <c r="AK1173" i="1" s="1"/>
  <c r="AH1174" i="1"/>
  <c r="AK1174" i="1" s="1"/>
  <c r="AH1175" i="1"/>
  <c r="AK1175" i="1" s="1"/>
  <c r="AH1176" i="1"/>
  <c r="AK1176" i="1" s="1"/>
  <c r="AH1177" i="1"/>
  <c r="AK1177" i="1" s="1"/>
  <c r="AH1178" i="1"/>
  <c r="AK1178" i="1" s="1"/>
  <c r="AH1179" i="1"/>
  <c r="AK1179" i="1" s="1"/>
  <c r="AH1180" i="1"/>
  <c r="AK1180" i="1" s="1"/>
  <c r="AH1181" i="1"/>
  <c r="AK1181" i="1" s="1"/>
  <c r="AH1182" i="1"/>
  <c r="AK1182" i="1" s="1"/>
  <c r="AH1183" i="1"/>
  <c r="AK1183" i="1" s="1"/>
  <c r="AH1184" i="1"/>
  <c r="AK1184" i="1" s="1"/>
  <c r="AH1185" i="1"/>
  <c r="AK1185" i="1" s="1"/>
  <c r="AH1186" i="1"/>
  <c r="AK1186" i="1" s="1"/>
  <c r="AH1187" i="1"/>
  <c r="AK1187" i="1" s="1"/>
  <c r="AH1188" i="1"/>
  <c r="AK1188" i="1" s="1"/>
  <c r="AH1189" i="1"/>
  <c r="AK1189" i="1" s="1"/>
  <c r="AH1190" i="1"/>
  <c r="AK1190" i="1" s="1"/>
  <c r="AH1191" i="1"/>
  <c r="AK1191" i="1" s="1"/>
  <c r="AH1192" i="1"/>
  <c r="AK1192" i="1" s="1"/>
  <c r="AH1193" i="1"/>
  <c r="AK1193" i="1" s="1"/>
  <c r="AL895" i="1"/>
  <c r="AN895" i="1" s="1"/>
  <c r="AL896" i="1"/>
  <c r="AL897" i="1"/>
  <c r="AL898" i="1"/>
  <c r="AL899" i="1"/>
  <c r="AL901" i="1"/>
  <c r="AL902" i="1"/>
  <c r="AL903" i="1"/>
  <c r="AL904" i="1"/>
  <c r="AL905" i="1"/>
  <c r="AL906" i="1"/>
  <c r="AM906" i="1" s="1"/>
  <c r="AL907" i="1"/>
  <c r="AL908" i="1"/>
  <c r="AL909" i="1"/>
  <c r="AL910" i="1"/>
  <c r="AL911" i="1"/>
  <c r="AL912" i="1"/>
  <c r="AL913" i="1"/>
  <c r="AL914" i="1"/>
  <c r="AL915" i="1"/>
  <c r="AQ915" i="1" s="1"/>
  <c r="AL916" i="1"/>
  <c r="AO916" i="1" s="1"/>
  <c r="AP916" i="1" s="1"/>
  <c r="AL917" i="1"/>
  <c r="AL918" i="1"/>
  <c r="AL919" i="1"/>
  <c r="AL920" i="1"/>
  <c r="AL921" i="1"/>
  <c r="AL922" i="1"/>
  <c r="AL924" i="1"/>
  <c r="AL925" i="1"/>
  <c r="AL926" i="1"/>
  <c r="AL927" i="1"/>
  <c r="AM927" i="1" s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M949" i="1" s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O963" i="1" s="1"/>
  <c r="AP963" i="1" s="1"/>
  <c r="AL964" i="1"/>
  <c r="AL965" i="1"/>
  <c r="AL966" i="1"/>
  <c r="AL967" i="1"/>
  <c r="AL968" i="1"/>
  <c r="AL969" i="1"/>
  <c r="AO969" i="1" s="1"/>
  <c r="AP969" i="1" s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O981" i="1" s="1"/>
  <c r="AP981" i="1" s="1"/>
  <c r="AL982" i="1"/>
  <c r="AL983" i="1"/>
  <c r="AL984" i="1"/>
  <c r="AL985" i="1"/>
  <c r="AL986" i="1"/>
  <c r="AL987" i="1"/>
  <c r="AL988" i="1"/>
  <c r="AL989" i="1"/>
  <c r="AO989" i="1" s="1"/>
  <c r="AP989" i="1" s="1"/>
  <c r="AL990" i="1"/>
  <c r="AL991" i="1"/>
  <c r="AL992" i="1"/>
  <c r="AL993" i="1"/>
  <c r="AL994" i="1"/>
  <c r="AL995" i="1"/>
  <c r="AL996" i="1"/>
  <c r="AL997" i="1"/>
  <c r="AL998" i="1"/>
  <c r="AM998" i="1" s="1"/>
  <c r="AL999" i="1"/>
  <c r="AO999" i="1" s="1"/>
  <c r="AP999" i="1" s="1"/>
  <c r="AL1000" i="1"/>
  <c r="AL1002" i="1"/>
  <c r="AL1003" i="1"/>
  <c r="AL1004" i="1"/>
  <c r="AL1005" i="1"/>
  <c r="AL1006" i="1"/>
  <c r="AL1007" i="1"/>
  <c r="AL1008" i="1"/>
  <c r="AM1008" i="1" s="1"/>
  <c r="AL1009" i="1"/>
  <c r="AL1010" i="1"/>
  <c r="AL1011" i="1"/>
  <c r="AL1012" i="1"/>
  <c r="AL1013" i="1"/>
  <c r="AL1014" i="1"/>
  <c r="AO1014" i="1" s="1"/>
  <c r="AP1014" i="1" s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M1034" i="1" s="1"/>
  <c r="AL1035" i="1"/>
  <c r="AO1035" i="1" s="1"/>
  <c r="AP1035" i="1" s="1"/>
  <c r="AL1036" i="1"/>
  <c r="AL1037" i="1"/>
  <c r="AL1038" i="1"/>
  <c r="AL1039" i="1"/>
  <c r="AL1040" i="1"/>
  <c r="AL1041" i="1"/>
  <c r="AL1042" i="1"/>
  <c r="AN1042" i="1" s="1"/>
  <c r="AL1043" i="1"/>
  <c r="AL1044" i="1"/>
  <c r="AL1045" i="1"/>
  <c r="AL1046" i="1"/>
  <c r="AM1046" i="1" s="1"/>
  <c r="AL1047" i="1"/>
  <c r="AL1048" i="1"/>
  <c r="AL1049" i="1"/>
  <c r="AL1050" i="1"/>
  <c r="AO1050" i="1" s="1"/>
  <c r="AP1050" i="1" s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N1064" i="1" s="1"/>
  <c r="AL1065" i="1"/>
  <c r="AL1066" i="1"/>
  <c r="AL1067" i="1"/>
  <c r="AL1068" i="1"/>
  <c r="AL1069" i="1"/>
  <c r="AL1070" i="1"/>
  <c r="AL1071" i="1"/>
  <c r="AL1072" i="1"/>
  <c r="AL1073" i="1"/>
  <c r="AL1074" i="1"/>
  <c r="AO1074" i="1" s="1"/>
  <c r="AP1074" i="1" s="1"/>
  <c r="AL1075" i="1"/>
  <c r="AL1076" i="1"/>
  <c r="AM1076" i="1" s="1"/>
  <c r="AL1077" i="1"/>
  <c r="AL1078" i="1"/>
  <c r="AM1078" i="1" s="1"/>
  <c r="AL1079" i="1"/>
  <c r="AL1080" i="1"/>
  <c r="AL1081" i="1"/>
  <c r="AL1082" i="1"/>
  <c r="AL1083" i="1"/>
  <c r="AL1084" i="1"/>
  <c r="AO1084" i="1" s="1"/>
  <c r="AP1084" i="1" s="1"/>
  <c r="AL1085" i="1"/>
  <c r="AL1086" i="1"/>
  <c r="AL1087" i="1"/>
  <c r="AL1088" i="1"/>
  <c r="AM1088" i="1" s="1"/>
  <c r="AL1089" i="1"/>
  <c r="AL1090" i="1"/>
  <c r="AL1091" i="1"/>
  <c r="AL1092" i="1"/>
  <c r="AL1093" i="1"/>
  <c r="AL1094" i="1"/>
  <c r="AL1095" i="1"/>
  <c r="AL1096" i="1"/>
  <c r="AO1096" i="1" s="1"/>
  <c r="AP1096" i="1" s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O1116" i="1" s="1"/>
  <c r="AP1116" i="1" s="1"/>
  <c r="AL1117" i="1"/>
  <c r="AL1118" i="1"/>
  <c r="AL1119" i="1"/>
  <c r="AL1120" i="1"/>
  <c r="AL1121" i="1"/>
  <c r="AL1122" i="1"/>
  <c r="AL1123" i="1"/>
  <c r="AL1124" i="1"/>
  <c r="AO1124" i="1" s="1"/>
  <c r="AP1124" i="1" s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O1148" i="1" s="1"/>
  <c r="AP1148" i="1" s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M895" i="1"/>
  <c r="AM915" i="1"/>
  <c r="AM937" i="1"/>
  <c r="AM962" i="1"/>
  <c r="AM1010" i="1"/>
  <c r="AM1013" i="1"/>
  <c r="AM1024" i="1"/>
  <c r="AM1049" i="1"/>
  <c r="AM1053" i="1"/>
  <c r="AM1073" i="1"/>
  <c r="AM1083" i="1"/>
  <c r="AM1095" i="1"/>
  <c r="AM1103" i="1"/>
  <c r="AM1115" i="1"/>
  <c r="AM1123" i="1"/>
  <c r="AM1125" i="1"/>
  <c r="AM1127" i="1"/>
  <c r="AM1147" i="1"/>
  <c r="AM1157" i="1"/>
  <c r="AM1163" i="1"/>
  <c r="AM1165" i="1"/>
  <c r="AM1167" i="1"/>
  <c r="AM1169" i="1"/>
  <c r="AM1171" i="1"/>
  <c r="AM1173" i="1"/>
  <c r="AM1175" i="1"/>
  <c r="AM1177" i="1"/>
  <c r="AM1179" i="1"/>
  <c r="AM1181" i="1"/>
  <c r="AM1183" i="1"/>
  <c r="AM1185" i="1"/>
  <c r="AM1187" i="1"/>
  <c r="AM1189" i="1"/>
  <c r="AM1191" i="1"/>
  <c r="AM1193" i="1"/>
  <c r="AN915" i="1"/>
  <c r="AN949" i="1"/>
  <c r="AN962" i="1"/>
  <c r="AN1008" i="1"/>
  <c r="AN1013" i="1"/>
  <c r="AN1049" i="1"/>
  <c r="AN1053" i="1"/>
  <c r="AN1073" i="1"/>
  <c r="AN1083" i="1"/>
  <c r="AN1095" i="1"/>
  <c r="AN1103" i="1"/>
  <c r="AN1115" i="1"/>
  <c r="AN1123" i="1"/>
  <c r="AN1125" i="1"/>
  <c r="AN1127" i="1"/>
  <c r="AN1147" i="1"/>
  <c r="AN1157" i="1"/>
  <c r="AN1163" i="1"/>
  <c r="AN1165" i="1"/>
  <c r="AN1167" i="1"/>
  <c r="AN1169" i="1"/>
  <c r="AN1171" i="1"/>
  <c r="AN1173" i="1"/>
  <c r="AN1175" i="1"/>
  <c r="AN1177" i="1"/>
  <c r="AN1179" i="1"/>
  <c r="AN1181" i="1"/>
  <c r="AN1183" i="1"/>
  <c r="AN1185" i="1"/>
  <c r="AN1187" i="1"/>
  <c r="AN1189" i="1"/>
  <c r="AN1191" i="1"/>
  <c r="AN1193" i="1"/>
  <c r="AO895" i="1"/>
  <c r="AP895" i="1" s="1"/>
  <c r="AO897" i="1"/>
  <c r="AO898" i="1"/>
  <c r="AP898" i="1" s="1"/>
  <c r="AO899" i="1"/>
  <c r="AP899" i="1" s="1"/>
  <c r="AO901" i="1"/>
  <c r="AP901" i="1" s="1"/>
  <c r="AO902" i="1"/>
  <c r="AO903" i="1"/>
  <c r="AP903" i="1" s="1"/>
  <c r="AO904" i="1"/>
  <c r="AP904" i="1" s="1"/>
  <c r="AO905" i="1"/>
  <c r="AP905" i="1" s="1"/>
  <c r="AO906" i="1"/>
  <c r="AO907" i="1"/>
  <c r="AP907" i="1" s="1"/>
  <c r="AO908" i="1"/>
  <c r="AP908" i="1" s="1"/>
  <c r="AO909" i="1"/>
  <c r="AP909" i="1" s="1"/>
  <c r="AO910" i="1"/>
  <c r="AO911" i="1"/>
  <c r="AP911" i="1" s="1"/>
  <c r="AO912" i="1"/>
  <c r="AP912" i="1" s="1"/>
  <c r="AO913" i="1"/>
  <c r="AP913" i="1" s="1"/>
  <c r="AO914" i="1"/>
  <c r="AO915" i="1"/>
  <c r="AP915" i="1" s="1"/>
  <c r="AO917" i="1"/>
  <c r="AP917" i="1" s="1"/>
  <c r="AO918" i="1"/>
  <c r="AP918" i="1" s="1"/>
  <c r="AO919" i="1"/>
  <c r="AO920" i="1"/>
  <c r="AP920" i="1" s="1"/>
  <c r="AO921" i="1"/>
  <c r="AP921" i="1" s="1"/>
  <c r="AO922" i="1"/>
  <c r="AP922" i="1" s="1"/>
  <c r="AO924" i="1"/>
  <c r="AO925" i="1"/>
  <c r="AP925" i="1" s="1"/>
  <c r="AO926" i="1"/>
  <c r="AP926" i="1" s="1"/>
  <c r="AO927" i="1"/>
  <c r="AP927" i="1" s="1"/>
  <c r="AO928" i="1"/>
  <c r="AP928" i="1" s="1"/>
  <c r="AO929" i="1"/>
  <c r="AP929" i="1" s="1"/>
  <c r="AO930" i="1"/>
  <c r="AO931" i="1"/>
  <c r="AP931" i="1" s="1"/>
  <c r="AO932" i="1"/>
  <c r="AP932" i="1" s="1"/>
  <c r="AO933" i="1"/>
  <c r="AP933" i="1" s="1"/>
  <c r="AO934" i="1"/>
  <c r="AO935" i="1"/>
  <c r="AP935" i="1" s="1"/>
  <c r="AO936" i="1"/>
  <c r="AP936" i="1" s="1"/>
  <c r="AO937" i="1"/>
  <c r="AP937" i="1" s="1"/>
  <c r="AO938" i="1"/>
  <c r="AO939" i="1"/>
  <c r="AP939" i="1" s="1"/>
  <c r="AO940" i="1"/>
  <c r="AP940" i="1" s="1"/>
  <c r="AO941" i="1"/>
  <c r="AP941" i="1" s="1"/>
  <c r="AO942" i="1"/>
  <c r="AO943" i="1"/>
  <c r="AP943" i="1" s="1"/>
  <c r="AO944" i="1"/>
  <c r="AP944" i="1" s="1"/>
  <c r="AO945" i="1"/>
  <c r="AP945" i="1" s="1"/>
  <c r="AO946" i="1"/>
  <c r="AO947" i="1"/>
  <c r="AP947" i="1" s="1"/>
  <c r="AO948" i="1"/>
  <c r="AP948" i="1" s="1"/>
  <c r="AO949" i="1"/>
  <c r="AP949" i="1" s="1"/>
  <c r="AO950" i="1"/>
  <c r="AO951" i="1"/>
  <c r="AP951" i="1" s="1"/>
  <c r="AO952" i="1"/>
  <c r="AP952" i="1" s="1"/>
  <c r="AO953" i="1"/>
  <c r="AP953" i="1" s="1"/>
  <c r="AO954" i="1"/>
  <c r="AO955" i="1"/>
  <c r="AP955" i="1" s="1"/>
  <c r="AO956" i="1"/>
  <c r="AP956" i="1" s="1"/>
  <c r="AO957" i="1"/>
  <c r="AP957" i="1" s="1"/>
  <c r="AO958" i="1"/>
  <c r="AO959" i="1"/>
  <c r="AP959" i="1" s="1"/>
  <c r="AO960" i="1"/>
  <c r="AP960" i="1" s="1"/>
  <c r="AO961" i="1"/>
  <c r="AP961" i="1" s="1"/>
  <c r="AO962" i="1"/>
  <c r="AO964" i="1"/>
  <c r="AP964" i="1" s="1"/>
  <c r="AO965" i="1"/>
  <c r="AP965" i="1" s="1"/>
  <c r="AO966" i="1"/>
  <c r="AP966" i="1" s="1"/>
  <c r="AO967" i="1"/>
  <c r="AO968" i="1"/>
  <c r="AP968" i="1" s="1"/>
  <c r="AO970" i="1"/>
  <c r="AP970" i="1" s="1"/>
  <c r="AO971" i="1"/>
  <c r="AP971" i="1" s="1"/>
  <c r="AO972" i="1"/>
  <c r="AO973" i="1"/>
  <c r="AP973" i="1" s="1"/>
  <c r="AO974" i="1"/>
  <c r="AP974" i="1" s="1"/>
  <c r="AO975" i="1"/>
  <c r="AP975" i="1" s="1"/>
  <c r="AO976" i="1"/>
  <c r="AO977" i="1"/>
  <c r="AP977" i="1" s="1"/>
  <c r="AO978" i="1"/>
  <c r="AP978" i="1" s="1"/>
  <c r="AO979" i="1"/>
  <c r="AP979" i="1" s="1"/>
  <c r="AO980" i="1"/>
  <c r="AO982" i="1"/>
  <c r="AP982" i="1" s="1"/>
  <c r="AO983" i="1"/>
  <c r="AP983" i="1" s="1"/>
  <c r="AO984" i="1"/>
  <c r="AP984" i="1" s="1"/>
  <c r="AO985" i="1"/>
  <c r="AP985" i="1" s="1"/>
  <c r="AO986" i="1"/>
  <c r="AP986" i="1" s="1"/>
  <c r="AO987" i="1"/>
  <c r="AO988" i="1"/>
  <c r="AP988" i="1" s="1"/>
  <c r="AO990" i="1"/>
  <c r="AP990" i="1" s="1"/>
  <c r="AO991" i="1"/>
  <c r="AP991" i="1" s="1"/>
  <c r="AO992" i="1"/>
  <c r="AP992" i="1" s="1"/>
  <c r="AO993" i="1"/>
  <c r="AP993" i="1" s="1"/>
  <c r="AO994" i="1"/>
  <c r="AP994" i="1" s="1"/>
  <c r="AO995" i="1"/>
  <c r="AP995" i="1" s="1"/>
  <c r="AO996" i="1"/>
  <c r="AP996" i="1" s="1"/>
  <c r="AO997" i="1"/>
  <c r="AP997" i="1" s="1"/>
  <c r="AO998" i="1"/>
  <c r="AP998" i="1" s="1"/>
  <c r="AO1000" i="1"/>
  <c r="AP1000" i="1" s="1"/>
  <c r="AO1002" i="1"/>
  <c r="AO1003" i="1"/>
  <c r="AP1003" i="1" s="1"/>
  <c r="AO1004" i="1"/>
  <c r="AP1004" i="1" s="1"/>
  <c r="AO1005" i="1"/>
  <c r="AP1005" i="1" s="1"/>
  <c r="AO1006" i="1"/>
  <c r="AO1007" i="1"/>
  <c r="AP1007" i="1" s="1"/>
  <c r="AO1008" i="1"/>
  <c r="AP1008" i="1" s="1"/>
  <c r="AO1009" i="1"/>
  <c r="AP1009" i="1" s="1"/>
  <c r="AO1010" i="1"/>
  <c r="AO1011" i="1"/>
  <c r="AP1011" i="1" s="1"/>
  <c r="AO1012" i="1"/>
  <c r="AP1012" i="1" s="1"/>
  <c r="AO1013" i="1"/>
  <c r="AP1013" i="1" s="1"/>
  <c r="AO1015" i="1"/>
  <c r="AO1016" i="1"/>
  <c r="AP1016" i="1" s="1"/>
  <c r="AO1017" i="1"/>
  <c r="AP1017" i="1" s="1"/>
  <c r="AO1018" i="1"/>
  <c r="AP1018" i="1" s="1"/>
  <c r="AO1019" i="1"/>
  <c r="AP1019" i="1" s="1"/>
  <c r="AO1020" i="1"/>
  <c r="AP1020" i="1" s="1"/>
  <c r="AO1021" i="1"/>
  <c r="AP1021" i="1" s="1"/>
  <c r="AO1022" i="1"/>
  <c r="AP1022" i="1" s="1"/>
  <c r="AO1023" i="1"/>
  <c r="AP1023" i="1" s="1"/>
  <c r="AO1024" i="1"/>
  <c r="AP1024" i="1" s="1"/>
  <c r="AO1026" i="1"/>
  <c r="AP1026" i="1" s="1"/>
  <c r="AO1027" i="1"/>
  <c r="AP1027" i="1" s="1"/>
  <c r="AO1028" i="1"/>
  <c r="AP1028" i="1" s="1"/>
  <c r="AO1029" i="1"/>
  <c r="AP1029" i="1" s="1"/>
  <c r="AO1030" i="1"/>
  <c r="AP1030" i="1" s="1"/>
  <c r="AO1031" i="1"/>
  <c r="AP1031" i="1" s="1"/>
  <c r="AO1032" i="1"/>
  <c r="AP1032" i="1" s="1"/>
  <c r="AO1033" i="1"/>
  <c r="AP1033" i="1" s="1"/>
  <c r="AO1034" i="1"/>
  <c r="AP1034" i="1" s="1"/>
  <c r="AO1036" i="1"/>
  <c r="AP1036" i="1" s="1"/>
  <c r="AO1037" i="1"/>
  <c r="AP1037" i="1" s="1"/>
  <c r="AO1038" i="1"/>
  <c r="AP1038" i="1" s="1"/>
  <c r="AO1039" i="1"/>
  <c r="AP1039" i="1" s="1"/>
  <c r="AO1040" i="1"/>
  <c r="AP1040" i="1" s="1"/>
  <c r="AO1041" i="1"/>
  <c r="AP1041" i="1" s="1"/>
  <c r="AO1042" i="1"/>
  <c r="AP1042" i="1" s="1"/>
  <c r="AO1043" i="1"/>
  <c r="AO1044" i="1"/>
  <c r="AP1044" i="1" s="1"/>
  <c r="AO1045" i="1"/>
  <c r="AP1045" i="1" s="1"/>
  <c r="AO1046" i="1"/>
  <c r="AP1046" i="1" s="1"/>
  <c r="AO1047" i="1"/>
  <c r="AO1048" i="1"/>
  <c r="AP1048" i="1" s="1"/>
  <c r="AO1049" i="1"/>
  <c r="AP1049" i="1" s="1"/>
  <c r="AO1051" i="1"/>
  <c r="AP1051" i="1" s="1"/>
  <c r="AO1052" i="1"/>
  <c r="AO1053" i="1"/>
  <c r="AP1053" i="1" s="1"/>
  <c r="AO1055" i="1"/>
  <c r="AP1055" i="1" s="1"/>
  <c r="AO1056" i="1"/>
  <c r="AP1056" i="1" s="1"/>
  <c r="AO1057" i="1"/>
  <c r="AO1058" i="1"/>
  <c r="AP1058" i="1" s="1"/>
  <c r="AO1059" i="1"/>
  <c r="AP1059" i="1" s="1"/>
  <c r="AO1060" i="1"/>
  <c r="AP1060" i="1" s="1"/>
  <c r="AO1061" i="1"/>
  <c r="AO1062" i="1"/>
  <c r="AP1062" i="1" s="1"/>
  <c r="AO1063" i="1"/>
  <c r="AP1063" i="1" s="1"/>
  <c r="AO1064" i="1"/>
  <c r="AP1064" i="1" s="1"/>
  <c r="AO1065" i="1"/>
  <c r="AO1066" i="1"/>
  <c r="AP1066" i="1" s="1"/>
  <c r="AO1067" i="1"/>
  <c r="AP1067" i="1" s="1"/>
  <c r="AO1068" i="1"/>
  <c r="AP1068" i="1" s="1"/>
  <c r="AO1069" i="1"/>
  <c r="AO1070" i="1"/>
  <c r="AP1070" i="1" s="1"/>
  <c r="AO1071" i="1"/>
  <c r="AP1071" i="1" s="1"/>
  <c r="AO1072" i="1"/>
  <c r="AP1072" i="1" s="1"/>
  <c r="AO1073" i="1"/>
  <c r="AO1075" i="1"/>
  <c r="AP1075" i="1" s="1"/>
  <c r="AO1076" i="1"/>
  <c r="AP1076" i="1" s="1"/>
  <c r="AO1077" i="1"/>
  <c r="AP1077" i="1" s="1"/>
  <c r="AO1078" i="1"/>
  <c r="AO1079" i="1"/>
  <c r="AP1079" i="1" s="1"/>
  <c r="AO1080" i="1"/>
  <c r="AP1080" i="1" s="1"/>
  <c r="AO1081" i="1"/>
  <c r="AP1081" i="1" s="1"/>
  <c r="AO1082" i="1"/>
  <c r="AO1083" i="1"/>
  <c r="AP1083" i="1" s="1"/>
  <c r="AO1085" i="1"/>
  <c r="AP1085" i="1" s="1"/>
  <c r="AO1086" i="1"/>
  <c r="AP1086" i="1" s="1"/>
  <c r="AO1087" i="1"/>
  <c r="AO1088" i="1"/>
  <c r="AP1088" i="1" s="1"/>
  <c r="AO1089" i="1"/>
  <c r="AP1089" i="1" s="1"/>
  <c r="AO1090" i="1"/>
  <c r="AP1090" i="1" s="1"/>
  <c r="AO1091" i="1"/>
  <c r="AO1092" i="1"/>
  <c r="AP1092" i="1" s="1"/>
  <c r="AO1093" i="1"/>
  <c r="AP1093" i="1" s="1"/>
  <c r="AO1094" i="1"/>
  <c r="AP1094" i="1" s="1"/>
  <c r="AO1095" i="1"/>
  <c r="AO1097" i="1"/>
  <c r="AP1097" i="1" s="1"/>
  <c r="AO1098" i="1"/>
  <c r="AP1098" i="1" s="1"/>
  <c r="AO1099" i="1"/>
  <c r="AP1099" i="1" s="1"/>
  <c r="AO1100" i="1"/>
  <c r="AO1101" i="1"/>
  <c r="AP1101" i="1" s="1"/>
  <c r="AO1102" i="1"/>
  <c r="AP1102" i="1" s="1"/>
  <c r="AO1103" i="1"/>
  <c r="AP1103" i="1" s="1"/>
  <c r="AO1105" i="1"/>
  <c r="AO1106" i="1"/>
  <c r="AP1106" i="1" s="1"/>
  <c r="AO1107" i="1"/>
  <c r="AP1107" i="1" s="1"/>
  <c r="AO1108" i="1"/>
  <c r="AP1108" i="1" s="1"/>
  <c r="AO1109" i="1"/>
  <c r="AO1110" i="1"/>
  <c r="AP1110" i="1" s="1"/>
  <c r="AO1111" i="1"/>
  <c r="AP1111" i="1" s="1"/>
  <c r="AO1112" i="1"/>
  <c r="AP1112" i="1" s="1"/>
  <c r="AO1113" i="1"/>
  <c r="AP1113" i="1" s="1"/>
  <c r="AO1114" i="1"/>
  <c r="AP1114" i="1" s="1"/>
  <c r="AO1115" i="1"/>
  <c r="AO1117" i="1"/>
  <c r="AP1117" i="1" s="1"/>
  <c r="AO1118" i="1"/>
  <c r="AP1118" i="1" s="1"/>
  <c r="AO1119" i="1"/>
  <c r="AP1119" i="1" s="1"/>
  <c r="AO1120" i="1"/>
  <c r="AO1121" i="1"/>
  <c r="AP1121" i="1" s="1"/>
  <c r="AO1122" i="1"/>
  <c r="AP1122" i="1" s="1"/>
  <c r="AO1123" i="1"/>
  <c r="AP1123" i="1" s="1"/>
  <c r="AO1125" i="1"/>
  <c r="AP1125" i="1" s="1"/>
  <c r="AO1126" i="1"/>
  <c r="AP1126" i="1" s="1"/>
  <c r="AO1127" i="1"/>
  <c r="AO1128" i="1"/>
  <c r="AP1128" i="1" s="1"/>
  <c r="AO1129" i="1"/>
  <c r="AP1129" i="1" s="1"/>
  <c r="AO1130" i="1"/>
  <c r="AP1130" i="1" s="1"/>
  <c r="AO1131" i="1"/>
  <c r="AP1131" i="1" s="1"/>
  <c r="AO1132" i="1"/>
  <c r="AP1132" i="1" s="1"/>
  <c r="AO1133" i="1"/>
  <c r="AP1133" i="1" s="1"/>
  <c r="AO1134" i="1"/>
  <c r="AP1134" i="1" s="1"/>
  <c r="AO1135" i="1"/>
  <c r="AP1135" i="1" s="1"/>
  <c r="AO1136" i="1"/>
  <c r="AP1136" i="1" s="1"/>
  <c r="AO1137" i="1"/>
  <c r="AP1137" i="1" s="1"/>
  <c r="AO1138" i="1"/>
  <c r="AP1138" i="1" s="1"/>
  <c r="AO1140" i="1"/>
  <c r="AP1140" i="1" s="1"/>
  <c r="AO1141" i="1"/>
  <c r="AP1141" i="1" s="1"/>
  <c r="AO1142" i="1"/>
  <c r="AP1142" i="1" s="1"/>
  <c r="AO1143" i="1"/>
  <c r="AP1143" i="1" s="1"/>
  <c r="AO1144" i="1"/>
  <c r="AP1144" i="1" s="1"/>
  <c r="AO1145" i="1"/>
  <c r="AP1145" i="1" s="1"/>
  <c r="AO1146" i="1"/>
  <c r="AP1146" i="1" s="1"/>
  <c r="AO1147" i="1"/>
  <c r="AP1147" i="1" s="1"/>
  <c r="AO1149" i="1"/>
  <c r="AP1149" i="1" s="1"/>
  <c r="AO1150" i="1"/>
  <c r="AP1150" i="1" s="1"/>
  <c r="AO1151" i="1"/>
  <c r="AP1151" i="1" s="1"/>
  <c r="AO1152" i="1"/>
  <c r="AP1152" i="1" s="1"/>
  <c r="AO1153" i="1"/>
  <c r="AP1153" i="1" s="1"/>
  <c r="AO1154" i="1"/>
  <c r="AP1154" i="1" s="1"/>
  <c r="AO1155" i="1"/>
  <c r="AP1155" i="1" s="1"/>
  <c r="AO1156" i="1"/>
  <c r="AP1156" i="1" s="1"/>
  <c r="AO1157" i="1"/>
  <c r="AP1157" i="1" s="1"/>
  <c r="AO1158" i="1"/>
  <c r="AP1158" i="1" s="1"/>
  <c r="AO1159" i="1"/>
  <c r="AP1159" i="1" s="1"/>
  <c r="AO1160" i="1"/>
  <c r="AP1160" i="1" s="1"/>
  <c r="AO1161" i="1"/>
  <c r="AP1161" i="1" s="1"/>
  <c r="AO1162" i="1"/>
  <c r="AP1162" i="1" s="1"/>
  <c r="AO1163" i="1"/>
  <c r="AP1163" i="1" s="1"/>
  <c r="AO1164" i="1"/>
  <c r="AP1164" i="1" s="1"/>
  <c r="AO1165" i="1"/>
  <c r="AP1165" i="1" s="1"/>
  <c r="AO1166" i="1"/>
  <c r="AP1166" i="1" s="1"/>
  <c r="AO1167" i="1"/>
  <c r="AP1167" i="1" s="1"/>
  <c r="AO1168" i="1"/>
  <c r="AP1168" i="1" s="1"/>
  <c r="AO1169" i="1"/>
  <c r="AP1169" i="1" s="1"/>
  <c r="AO1170" i="1"/>
  <c r="AP1170" i="1" s="1"/>
  <c r="AO1171" i="1"/>
  <c r="AP1171" i="1" s="1"/>
  <c r="AO1172" i="1"/>
  <c r="AP1172" i="1" s="1"/>
  <c r="AO1173" i="1"/>
  <c r="AP1173" i="1" s="1"/>
  <c r="AO1174" i="1"/>
  <c r="AP1174" i="1" s="1"/>
  <c r="AO1175" i="1"/>
  <c r="AO1176" i="1"/>
  <c r="AP1176" i="1" s="1"/>
  <c r="AO1177" i="1"/>
  <c r="AP1177" i="1" s="1"/>
  <c r="AO1178" i="1"/>
  <c r="AP1178" i="1" s="1"/>
  <c r="AO1179" i="1"/>
  <c r="AP1179" i="1" s="1"/>
  <c r="AO1180" i="1"/>
  <c r="AP1180" i="1" s="1"/>
  <c r="AO1181" i="1"/>
  <c r="AP1181" i="1" s="1"/>
  <c r="AO1182" i="1"/>
  <c r="AP1182" i="1" s="1"/>
  <c r="AO1183" i="1"/>
  <c r="AP1183" i="1" s="1"/>
  <c r="AO1184" i="1"/>
  <c r="AP1184" i="1" s="1"/>
  <c r="AO1185" i="1"/>
  <c r="AP1185" i="1" s="1"/>
  <c r="AO1186" i="1"/>
  <c r="AP1186" i="1" s="1"/>
  <c r="AO1187" i="1"/>
  <c r="AP1187" i="1" s="1"/>
  <c r="AO1188" i="1"/>
  <c r="AP1188" i="1" s="1"/>
  <c r="AO1189" i="1"/>
  <c r="AP1189" i="1" s="1"/>
  <c r="AO1190" i="1"/>
  <c r="AP1190" i="1" s="1"/>
  <c r="AO1191" i="1"/>
  <c r="AP1191" i="1" s="1"/>
  <c r="AO1192" i="1"/>
  <c r="AP1192" i="1" s="1"/>
  <c r="AO1193" i="1"/>
  <c r="AP1193" i="1" s="1"/>
  <c r="AP897" i="1"/>
  <c r="AP902" i="1"/>
  <c r="AP906" i="1"/>
  <c r="AP910" i="1"/>
  <c r="AP914" i="1"/>
  <c r="AP919" i="1"/>
  <c r="AP924" i="1"/>
  <c r="AP930" i="1"/>
  <c r="AP934" i="1"/>
  <c r="AP938" i="1"/>
  <c r="AP942" i="1"/>
  <c r="AP946" i="1"/>
  <c r="AP950" i="1"/>
  <c r="AP954" i="1"/>
  <c r="AP958" i="1"/>
  <c r="AP962" i="1"/>
  <c r="AP967" i="1"/>
  <c r="AP972" i="1"/>
  <c r="AP976" i="1"/>
  <c r="AP980" i="1"/>
  <c r="AP987" i="1"/>
  <c r="AP1002" i="1"/>
  <c r="AP1006" i="1"/>
  <c r="AP1010" i="1"/>
  <c r="AP1015" i="1"/>
  <c r="AP1043" i="1"/>
  <c r="AP1047" i="1"/>
  <c r="AP1052" i="1"/>
  <c r="AP1057" i="1"/>
  <c r="AP1061" i="1"/>
  <c r="AP1065" i="1"/>
  <c r="AP1069" i="1"/>
  <c r="AP1073" i="1"/>
  <c r="AP1078" i="1"/>
  <c r="AP1082" i="1"/>
  <c r="AP1087" i="1"/>
  <c r="AP1091" i="1"/>
  <c r="AP1095" i="1"/>
  <c r="AP1100" i="1"/>
  <c r="AP1105" i="1"/>
  <c r="AP1109" i="1"/>
  <c r="AP1115" i="1"/>
  <c r="AP1120" i="1"/>
  <c r="AP1127" i="1"/>
  <c r="AP1175" i="1"/>
  <c r="AQ962" i="1"/>
  <c r="AQ968" i="1"/>
  <c r="AQ980" i="1"/>
  <c r="AQ988" i="1"/>
  <c r="AQ998" i="1"/>
  <c r="AQ1013" i="1"/>
  <c r="AQ1049" i="1"/>
  <c r="AQ1053" i="1"/>
  <c r="AQ1073" i="1"/>
  <c r="AQ1083" i="1"/>
  <c r="AQ1095" i="1"/>
  <c r="AQ1103" i="1"/>
  <c r="AQ1115" i="1"/>
  <c r="AQ1123" i="1"/>
  <c r="AQ1125" i="1"/>
  <c r="AQ1127" i="1"/>
  <c r="AQ1147" i="1"/>
  <c r="AQ1157" i="1"/>
  <c r="AQ1163" i="1"/>
  <c r="AQ1165" i="1"/>
  <c r="AQ1167" i="1"/>
  <c r="AQ1169" i="1"/>
  <c r="AQ1171" i="1"/>
  <c r="AQ1173" i="1"/>
  <c r="AQ1175" i="1"/>
  <c r="AQ1177" i="1"/>
  <c r="AQ1179" i="1"/>
  <c r="AQ1181" i="1"/>
  <c r="AQ1183" i="1"/>
  <c r="AQ1185" i="1"/>
  <c r="AQ1187" i="1"/>
  <c r="AQ1189" i="1"/>
  <c r="AQ1191" i="1"/>
  <c r="AQ1193" i="1"/>
  <c r="AE1161" i="1" l="1"/>
  <c r="AN1161" i="1" s="1"/>
  <c r="AE1159" i="1"/>
  <c r="AE1158" i="1"/>
  <c r="AN1158" i="1" s="1"/>
  <c r="AE1155" i="1"/>
  <c r="AE1153" i="1"/>
  <c r="AE1151" i="1"/>
  <c r="AE1156" i="1"/>
  <c r="AN1156" i="1" s="1"/>
  <c r="AE1154" i="1"/>
  <c r="AM1154" i="1" s="1"/>
  <c r="AE1152" i="1"/>
  <c r="AN1152" i="1" s="1"/>
  <c r="AE1150" i="1"/>
  <c r="AM1150" i="1" s="1"/>
  <c r="AE1149" i="1"/>
  <c r="AM1149" i="1" s="1"/>
  <c r="AE1148" i="1"/>
  <c r="AN1148" i="1" s="1"/>
  <c r="AE1145" i="1"/>
  <c r="AM1145" i="1" s="1"/>
  <c r="AE1143" i="1"/>
  <c r="AM1143" i="1" s="1"/>
  <c r="AE1141" i="1"/>
  <c r="AM1141" i="1" s="1"/>
  <c r="AN1143" i="1"/>
  <c r="AE1146" i="1"/>
  <c r="AM1146" i="1" s="1"/>
  <c r="AE1144" i="1"/>
  <c r="AM1144" i="1" s="1"/>
  <c r="AE1142" i="1"/>
  <c r="AM1142" i="1" s="1"/>
  <c r="AE1140" i="1"/>
  <c r="AN1140" i="1" s="1"/>
  <c r="AE1139" i="1"/>
  <c r="AM1139" i="1" s="1"/>
  <c r="AO1139" i="1"/>
  <c r="AP1139" i="1" s="1"/>
  <c r="AE1137" i="1"/>
  <c r="AE1134" i="1"/>
  <c r="AM1134" i="1" s="1"/>
  <c r="AE1135" i="1"/>
  <c r="AN1135" i="1" s="1"/>
  <c r="AE1133" i="1"/>
  <c r="AM1133" i="1" s="1"/>
  <c r="AE1132" i="1"/>
  <c r="AM1132" i="1" s="1"/>
  <c r="AE1131" i="1"/>
  <c r="AM1131" i="1" s="1"/>
  <c r="AE1129" i="1"/>
  <c r="AN1129" i="1" s="1"/>
  <c r="AE1130" i="1"/>
  <c r="AE1128" i="1"/>
  <c r="AN1128" i="1" s="1"/>
  <c r="AE1126" i="1"/>
  <c r="AE1124" i="1"/>
  <c r="AM1124" i="1" s="1"/>
  <c r="AQ1088" i="1"/>
  <c r="AQ1078" i="1"/>
  <c r="AQ1076" i="1"/>
  <c r="AQ1064" i="1"/>
  <c r="AQ1042" i="1"/>
  <c r="AM1192" i="1"/>
  <c r="AN1192" i="1"/>
  <c r="AM1190" i="1"/>
  <c r="AN1190" i="1"/>
  <c r="AM1188" i="1"/>
  <c r="AN1188" i="1"/>
  <c r="AM1186" i="1"/>
  <c r="AN1186" i="1"/>
  <c r="AM1184" i="1"/>
  <c r="AN1184" i="1"/>
  <c r="AM1182" i="1"/>
  <c r="AN1182" i="1"/>
  <c r="AM1180" i="1"/>
  <c r="AN1180" i="1"/>
  <c r="AM1178" i="1"/>
  <c r="AN1178" i="1"/>
  <c r="AM1176" i="1"/>
  <c r="AN1176" i="1"/>
  <c r="AM1174" i="1"/>
  <c r="AN1174" i="1"/>
  <c r="AM1172" i="1"/>
  <c r="AN1172" i="1"/>
  <c r="AM1170" i="1"/>
  <c r="AN1170" i="1"/>
  <c r="AM1168" i="1"/>
  <c r="AN1168" i="1"/>
  <c r="AM1166" i="1"/>
  <c r="AN1166" i="1"/>
  <c r="AM1164" i="1"/>
  <c r="AN1164" i="1"/>
  <c r="AM1162" i="1"/>
  <c r="AN1162" i="1"/>
  <c r="AM1160" i="1"/>
  <c r="AN1160" i="1"/>
  <c r="AM1158" i="1"/>
  <c r="AM1156" i="1"/>
  <c r="AM1152" i="1"/>
  <c r="AN1150" i="1"/>
  <c r="AN1146" i="1"/>
  <c r="AN1142" i="1"/>
  <c r="AM1138" i="1"/>
  <c r="AN1138" i="1"/>
  <c r="AM1136" i="1"/>
  <c r="AN1136" i="1"/>
  <c r="AN1134" i="1"/>
  <c r="AN1132" i="1"/>
  <c r="AM1130" i="1"/>
  <c r="AN1130" i="1"/>
  <c r="AM1126" i="1"/>
  <c r="AN1126" i="1"/>
  <c r="AN1124" i="1"/>
  <c r="AO1054" i="1"/>
  <c r="AP1054" i="1" s="1"/>
  <c r="AN1024" i="1"/>
  <c r="AQ1024" i="1"/>
  <c r="AN1010" i="1"/>
  <c r="AQ1010" i="1"/>
  <c r="AN937" i="1"/>
  <c r="AQ937" i="1"/>
  <c r="AQ906" i="1"/>
  <c r="AE1119" i="1"/>
  <c r="AN1088" i="1"/>
  <c r="AN1076" i="1"/>
  <c r="AN1034" i="1"/>
  <c r="AM1064" i="1"/>
  <c r="AE1101" i="1"/>
  <c r="AM1101" i="1" s="1"/>
  <c r="AN1119" i="1"/>
  <c r="W1122" i="1"/>
  <c r="AE1122" i="1"/>
  <c r="AM1122" i="1" s="1"/>
  <c r="W1100" i="1"/>
  <c r="AE1100" i="1"/>
  <c r="AM1100" i="1" s="1"/>
  <c r="AE1072" i="1"/>
  <c r="AN1072" i="1" s="1"/>
  <c r="W1102" i="1"/>
  <c r="AE1102" i="1"/>
  <c r="AM1102" i="1" s="1"/>
  <c r="AE1110" i="1"/>
  <c r="AM1110" i="1" s="1"/>
  <c r="AE1092" i="1"/>
  <c r="AM1092" i="1" s="1"/>
  <c r="AE1080" i="1"/>
  <c r="AM1080" i="1" s="1"/>
  <c r="AE1068" i="1"/>
  <c r="AN1068" i="1" s="1"/>
  <c r="AQ1192" i="1"/>
  <c r="AQ1190" i="1"/>
  <c r="AQ1188" i="1"/>
  <c r="AQ1186" i="1"/>
  <c r="AQ1184" i="1"/>
  <c r="AQ1182" i="1"/>
  <c r="AQ1180" i="1"/>
  <c r="AQ1178" i="1"/>
  <c r="AQ1176" i="1"/>
  <c r="AQ1174" i="1"/>
  <c r="AQ1172" i="1"/>
  <c r="AQ1170" i="1"/>
  <c r="AQ1168" i="1"/>
  <c r="AQ1166" i="1"/>
  <c r="AQ1164" i="1"/>
  <c r="AQ1162" i="1"/>
  <c r="AQ1160" i="1"/>
  <c r="AQ1138" i="1"/>
  <c r="AQ1136" i="1"/>
  <c r="AQ1046" i="1"/>
  <c r="AQ1034" i="1"/>
  <c r="AQ1008" i="1"/>
  <c r="AQ949" i="1"/>
  <c r="AQ927" i="1"/>
  <c r="AQ895" i="1"/>
  <c r="AN1080" i="1"/>
  <c r="AN1078" i="1"/>
  <c r="AN1046" i="1"/>
  <c r="AN927" i="1"/>
  <c r="AN906" i="1"/>
  <c r="AM1068" i="1"/>
  <c r="AM1042" i="1"/>
  <c r="AE1112" i="1"/>
  <c r="AN1112" i="1" s="1"/>
  <c r="AE1082" i="1"/>
  <c r="AN1082" i="1" s="1"/>
  <c r="AE1070" i="1"/>
  <c r="AM1070" i="1" s="1"/>
  <c r="AE1066" i="1"/>
  <c r="AN1066" i="1" s="1"/>
  <c r="AM1119" i="1"/>
  <c r="AE1111" i="1"/>
  <c r="AE1109" i="1"/>
  <c r="AM1109" i="1" s="1"/>
  <c r="AE1093" i="1"/>
  <c r="AM1093" i="1" s="1"/>
  <c r="AE1089" i="1"/>
  <c r="AM1089" i="1" s="1"/>
  <c r="AE1081" i="1"/>
  <c r="AE1079" i="1"/>
  <c r="AE1077" i="1"/>
  <c r="AM1077" i="1" s="1"/>
  <c r="AE1071" i="1"/>
  <c r="AE1069" i="1"/>
  <c r="AE1067" i="1"/>
  <c r="AE1065" i="1"/>
  <c r="AM1065" i="1" s="1"/>
  <c r="AN1122" i="1"/>
  <c r="AE1121" i="1"/>
  <c r="AE1120" i="1"/>
  <c r="AE1118" i="1"/>
  <c r="AE1117" i="1"/>
  <c r="AN1117" i="1" s="1"/>
  <c r="AE1116" i="1"/>
  <c r="AE1114" i="1"/>
  <c r="AE1113" i="1"/>
  <c r="AN1110" i="1"/>
  <c r="AN1109" i="1"/>
  <c r="AE1108" i="1"/>
  <c r="AE1107" i="1"/>
  <c r="AM1107" i="1" s="1"/>
  <c r="AE1106" i="1"/>
  <c r="AE1105" i="1"/>
  <c r="AE1104" i="1"/>
  <c r="AM1104" i="1" s="1"/>
  <c r="AO1104" i="1"/>
  <c r="AP1104" i="1" s="1"/>
  <c r="AN1104" i="1"/>
  <c r="AN1102" i="1"/>
  <c r="AN1100" i="1"/>
  <c r="AE1099" i="1"/>
  <c r="AE1098" i="1"/>
  <c r="AE1097" i="1"/>
  <c r="AM1097" i="1" s="1"/>
  <c r="AE1096" i="1"/>
  <c r="AE1094" i="1"/>
  <c r="AM1094" i="1" s="1"/>
  <c r="AN1093" i="1"/>
  <c r="AN1089" i="1"/>
  <c r="AN1092" i="1"/>
  <c r="AE1091" i="1"/>
  <c r="AM1091" i="1" s="1"/>
  <c r="AE1090" i="1"/>
  <c r="AM1090" i="1" s="1"/>
  <c r="AE1087" i="1"/>
  <c r="AE1086" i="1"/>
  <c r="AM1086" i="1" s="1"/>
  <c r="AE1085" i="1"/>
  <c r="AE1084" i="1"/>
  <c r="AN1084" i="1" s="1"/>
  <c r="AN1065" i="1"/>
  <c r="AE1075" i="1"/>
  <c r="AE1074" i="1"/>
  <c r="AM1066" i="1"/>
  <c r="AE1063" i="1"/>
  <c r="AE1062" i="1"/>
  <c r="AN1062" i="1" s="1"/>
  <c r="AE1061" i="1"/>
  <c r="AE1060" i="1"/>
  <c r="AE1059" i="1"/>
  <c r="AE1058" i="1"/>
  <c r="AE1057" i="1"/>
  <c r="AE1056" i="1"/>
  <c r="AE1054" i="1"/>
  <c r="AE1055" i="1"/>
  <c r="AN1055" i="1" s="1"/>
  <c r="AM919" i="1"/>
  <c r="AE1052" i="1"/>
  <c r="AM1052" i="1" s="1"/>
  <c r="AE1044" i="1"/>
  <c r="AN1044" i="1" s="1"/>
  <c r="AE1040" i="1"/>
  <c r="AE1038" i="1"/>
  <c r="AE1036" i="1"/>
  <c r="AM1036" i="1" s="1"/>
  <c r="AE1032" i="1"/>
  <c r="AM1032" i="1" s="1"/>
  <c r="AE1030" i="1"/>
  <c r="AM1030" i="1" s="1"/>
  <c r="AE1028" i="1"/>
  <c r="AM1028" i="1" s="1"/>
  <c r="AE1026" i="1"/>
  <c r="AM1026" i="1" s="1"/>
  <c r="AE1022" i="1"/>
  <c r="AE1020" i="1"/>
  <c r="AE1018" i="1"/>
  <c r="AE1016" i="1"/>
  <c r="AE942" i="1"/>
  <c r="AM942" i="1" s="1"/>
  <c r="AE930" i="1"/>
  <c r="AM930" i="1" s="1"/>
  <c r="AE924" i="1"/>
  <c r="AM924" i="1" s="1"/>
  <c r="AE903" i="1"/>
  <c r="AM903" i="1" s="1"/>
  <c r="W919" i="1"/>
  <c r="AE1050" i="1"/>
  <c r="AE1048" i="1"/>
  <c r="AM1048" i="1" s="1"/>
  <c r="AE1045" i="1"/>
  <c r="AE1043" i="1"/>
  <c r="AE1041" i="1"/>
  <c r="AN1041" i="1" s="1"/>
  <c r="AE1039" i="1"/>
  <c r="AN1039" i="1" s="1"/>
  <c r="AE1037" i="1"/>
  <c r="AN1037" i="1" s="1"/>
  <c r="AE1035" i="1"/>
  <c r="AE1033" i="1"/>
  <c r="AN1033" i="1" s="1"/>
  <c r="AE1031" i="1"/>
  <c r="AN1031" i="1" s="1"/>
  <c r="AE1029" i="1"/>
  <c r="AN1029" i="1" s="1"/>
  <c r="AE1027" i="1"/>
  <c r="AN1027" i="1" s="1"/>
  <c r="AE1025" i="1"/>
  <c r="AM1025" i="1" s="1"/>
  <c r="AE1023" i="1"/>
  <c r="AN1023" i="1" s="1"/>
  <c r="AE1021" i="1"/>
  <c r="AN1021" i="1" s="1"/>
  <c r="AE1019" i="1"/>
  <c r="AN1019" i="1" s="1"/>
  <c r="AE1017" i="1"/>
  <c r="AN1017" i="1" s="1"/>
  <c r="AE1014" i="1"/>
  <c r="AE1012" i="1"/>
  <c r="AM1012" i="1" s="1"/>
  <c r="AE1009" i="1"/>
  <c r="AM1009" i="1" s="1"/>
  <c r="AE1000" i="1"/>
  <c r="AM1000" i="1" s="1"/>
  <c r="AE1051" i="1"/>
  <c r="AM1051" i="1" s="1"/>
  <c r="AE1047" i="1"/>
  <c r="AN1048" i="1"/>
  <c r="AE1015" i="1"/>
  <c r="AM1015" i="1" s="1"/>
  <c r="AO1025" i="1"/>
  <c r="AP1025" i="1" s="1"/>
  <c r="AE1011" i="1"/>
  <c r="AN1009" i="1"/>
  <c r="AN1001" i="1"/>
  <c r="AM1001" i="1"/>
  <c r="W1001" i="1"/>
  <c r="AM988" i="1"/>
  <c r="AN988" i="1"/>
  <c r="AM980" i="1"/>
  <c r="AN980" i="1"/>
  <c r="AM968" i="1"/>
  <c r="AN968" i="1"/>
  <c r="W1004" i="1"/>
  <c r="X1004" i="1" s="1"/>
  <c r="Y1004" i="1" s="1"/>
  <c r="Z1004" i="1" s="1"/>
  <c r="AA1004" i="1" s="1"/>
  <c r="AE1004" i="1"/>
  <c r="W999" i="1"/>
  <c r="AE999" i="1"/>
  <c r="AM999" i="1" s="1"/>
  <c r="W981" i="1"/>
  <c r="X981" i="1" s="1"/>
  <c r="Y981" i="1" s="1"/>
  <c r="Z981" i="1" s="1"/>
  <c r="AA981" i="1" s="1"/>
  <c r="AE981" i="1"/>
  <c r="W963" i="1"/>
  <c r="AE963" i="1"/>
  <c r="AM963" i="1" s="1"/>
  <c r="AE931" i="1"/>
  <c r="AN931" i="1" s="1"/>
  <c r="W931" i="1"/>
  <c r="X931" i="1" s="1"/>
  <c r="Y931" i="1" s="1"/>
  <c r="Z931" i="1" s="1"/>
  <c r="AA931" i="1" s="1"/>
  <c r="W929" i="1"/>
  <c r="AE929" i="1"/>
  <c r="AN929" i="1" s="1"/>
  <c r="AE1006" i="1"/>
  <c r="W900" i="1"/>
  <c r="X900" i="1" s="1"/>
  <c r="Y900" i="1" s="1"/>
  <c r="Z900" i="1" s="1"/>
  <c r="AA900" i="1" s="1"/>
  <c r="AE900" i="1"/>
  <c r="AN900" i="1" s="1"/>
  <c r="AN998" i="1"/>
  <c r="AE989" i="1"/>
  <c r="AN989" i="1" s="1"/>
  <c r="AE983" i="1"/>
  <c r="AE923" i="1"/>
  <c r="AM923" i="1" s="1"/>
  <c r="W923" i="1"/>
  <c r="X923" i="1" s="1"/>
  <c r="AM989" i="1"/>
  <c r="AE950" i="1"/>
  <c r="AM950" i="1" s="1"/>
  <c r="W950" i="1"/>
  <c r="X950" i="1" s="1"/>
  <c r="Y950" i="1" s="1"/>
  <c r="Z950" i="1" s="1"/>
  <c r="AA950" i="1" s="1"/>
  <c r="AE996" i="1"/>
  <c r="AM996" i="1" s="1"/>
  <c r="AE972" i="1"/>
  <c r="AM972" i="1" s="1"/>
  <c r="AE938" i="1"/>
  <c r="AN938" i="1" s="1"/>
  <c r="AE926" i="1"/>
  <c r="AM926" i="1" s="1"/>
  <c r="AE921" i="1"/>
  <c r="AM921" i="1" s="1"/>
  <c r="AE917" i="1"/>
  <c r="AM917" i="1" s="1"/>
  <c r="AE1002" i="1"/>
  <c r="AM1007" i="1"/>
  <c r="AN1007" i="1"/>
  <c r="AM1005" i="1"/>
  <c r="AN1005" i="1"/>
  <c r="AM1003" i="1"/>
  <c r="AN1003" i="1"/>
  <c r="W1007" i="1"/>
  <c r="X1007" i="1" s="1"/>
  <c r="Y1007" i="1" s="1"/>
  <c r="Z1007" i="1" s="1"/>
  <c r="AA1007" i="1" s="1"/>
  <c r="W1005" i="1"/>
  <c r="X1005" i="1" s="1"/>
  <c r="Y1005" i="1" s="1"/>
  <c r="Z1005" i="1" s="1"/>
  <c r="AA1005" i="1" s="1"/>
  <c r="W1003" i="1"/>
  <c r="X1003" i="1" s="1"/>
  <c r="Y1003" i="1" s="1"/>
  <c r="Z1003" i="1" s="1"/>
  <c r="AA1003" i="1" s="1"/>
  <c r="AN999" i="1"/>
  <c r="AE997" i="1"/>
  <c r="AE994" i="1"/>
  <c r="AE993" i="1"/>
  <c r="AE992" i="1"/>
  <c r="AE995" i="1"/>
  <c r="AE991" i="1"/>
  <c r="AN991" i="1" s="1"/>
  <c r="AE990" i="1"/>
  <c r="AM990" i="1" s="1"/>
  <c r="AE987" i="1"/>
  <c r="AE986" i="1"/>
  <c r="AE985" i="1"/>
  <c r="AE984" i="1"/>
  <c r="AE982" i="1"/>
  <c r="AM982" i="1" s="1"/>
  <c r="AE979" i="1"/>
  <c r="AN979" i="1" s="1"/>
  <c r="AE978" i="1"/>
  <c r="AN978" i="1" s="1"/>
  <c r="AE976" i="1"/>
  <c r="AN976" i="1" s="1"/>
  <c r="AE977" i="1"/>
  <c r="AN977" i="1" s="1"/>
  <c r="AE975" i="1"/>
  <c r="AN975" i="1" s="1"/>
  <c r="AE974" i="1"/>
  <c r="AN974" i="1" s="1"/>
  <c r="AE973" i="1"/>
  <c r="W970" i="1"/>
  <c r="X970" i="1" s="1"/>
  <c r="Y970" i="1" s="1"/>
  <c r="Z970" i="1" s="1"/>
  <c r="AA970" i="1" s="1"/>
  <c r="AN970" i="1"/>
  <c r="AM970" i="1"/>
  <c r="AE971" i="1"/>
  <c r="AN969" i="1"/>
  <c r="AM969" i="1"/>
  <c r="W969" i="1"/>
  <c r="AE967" i="1"/>
  <c r="AM967" i="1" s="1"/>
  <c r="AE966" i="1"/>
  <c r="AN966" i="1" s="1"/>
  <c r="AE965" i="1"/>
  <c r="AM965" i="1" s="1"/>
  <c r="AE964" i="1"/>
  <c r="AN964" i="1" s="1"/>
  <c r="AE961" i="1"/>
  <c r="AE958" i="1"/>
  <c r="AM958" i="1" s="1"/>
  <c r="AE960" i="1"/>
  <c r="AN960" i="1" s="1"/>
  <c r="AN958" i="1"/>
  <c r="AM960" i="1"/>
  <c r="AM959" i="1"/>
  <c r="AN959" i="1"/>
  <c r="W959" i="1"/>
  <c r="AE957" i="1"/>
  <c r="AE956" i="1"/>
  <c r="AN956" i="1" s="1"/>
  <c r="AE954" i="1"/>
  <c r="AN954" i="1" s="1"/>
  <c r="AE952" i="1"/>
  <c r="AM952" i="1" s="1"/>
  <c r="AE955" i="1"/>
  <c r="AN955" i="1" s="1"/>
  <c r="AE953" i="1"/>
  <c r="AM953" i="1" s="1"/>
  <c r="AE951" i="1"/>
  <c r="AN951" i="1" s="1"/>
  <c r="AN953" i="1"/>
  <c r="AM951" i="1"/>
  <c r="AE948" i="1"/>
  <c r="AE947" i="1"/>
  <c r="AE946" i="1"/>
  <c r="AE945" i="1"/>
  <c r="AE944" i="1"/>
  <c r="AE943" i="1"/>
  <c r="AE941" i="1"/>
  <c r="AM941" i="1" s="1"/>
  <c r="AE940" i="1"/>
  <c r="AN940" i="1" s="1"/>
  <c r="AE939" i="1"/>
  <c r="AM939" i="1" s="1"/>
  <c r="AE936" i="1"/>
  <c r="AE935" i="1"/>
  <c r="AE934" i="1"/>
  <c r="AE933" i="1"/>
  <c r="AE932" i="1"/>
  <c r="AM932" i="1" s="1"/>
  <c r="AE928" i="1"/>
  <c r="AE910" i="1"/>
  <c r="AN910" i="1" s="1"/>
  <c r="AE908" i="1"/>
  <c r="AM908" i="1" s="1"/>
  <c r="AN919" i="1"/>
  <c r="AE912" i="1"/>
  <c r="AN912" i="1" s="1"/>
  <c r="AE925" i="1"/>
  <c r="AM925" i="1" s="1"/>
  <c r="AE922" i="1"/>
  <c r="AM922" i="1" s="1"/>
  <c r="AE920" i="1"/>
  <c r="AM920" i="1" s="1"/>
  <c r="AE918" i="1"/>
  <c r="AM918" i="1" s="1"/>
  <c r="AE916" i="1"/>
  <c r="AM916" i="1" s="1"/>
  <c r="AE913" i="1"/>
  <c r="AM913" i="1" s="1"/>
  <c r="AE911" i="1"/>
  <c r="AM911" i="1" s="1"/>
  <c r="AE909" i="1"/>
  <c r="AM909" i="1" s="1"/>
  <c r="AE907" i="1"/>
  <c r="AM907" i="1" s="1"/>
  <c r="AE905" i="1"/>
  <c r="AM905" i="1" s="1"/>
  <c r="AE901" i="1"/>
  <c r="AM901" i="1" s="1"/>
  <c r="AE914" i="1"/>
  <c r="AM914" i="1" s="1"/>
  <c r="AE904" i="1"/>
  <c r="AM904" i="1" s="1"/>
  <c r="AE902" i="1"/>
  <c r="AM902" i="1" s="1"/>
  <c r="AE899" i="1"/>
  <c r="AM899" i="1" s="1"/>
  <c r="AE898" i="1"/>
  <c r="AE897" i="1"/>
  <c r="AC1167" i="1"/>
  <c r="AD1167" i="1"/>
  <c r="AC1024" i="1"/>
  <c r="AE896" i="1"/>
  <c r="AN896" i="1" s="1"/>
  <c r="AD1183" i="1"/>
  <c r="AD1191" i="1"/>
  <c r="AD1175" i="1"/>
  <c r="AD1127" i="1"/>
  <c r="AD1078" i="1"/>
  <c r="AC1008" i="1"/>
  <c r="AO896" i="1"/>
  <c r="AP896" i="1" s="1"/>
  <c r="AD1192" i="1"/>
  <c r="AC1192" i="1"/>
  <c r="AI1192" i="1"/>
  <c r="AD1190" i="1"/>
  <c r="AG1190" i="1"/>
  <c r="AD1188" i="1"/>
  <c r="AC1188" i="1"/>
  <c r="AG1188" i="1"/>
  <c r="AI1188" i="1"/>
  <c r="AD1186" i="1"/>
  <c r="AG1186" i="1"/>
  <c r="AC1186" i="1"/>
  <c r="AD1184" i="1"/>
  <c r="AC1184" i="1"/>
  <c r="AI1184" i="1"/>
  <c r="AD1182" i="1"/>
  <c r="AG1182" i="1"/>
  <c r="AD1180" i="1"/>
  <c r="AC1180" i="1"/>
  <c r="AG1180" i="1"/>
  <c r="AI1180" i="1"/>
  <c r="AD1178" i="1"/>
  <c r="AG1178" i="1"/>
  <c r="AC1178" i="1"/>
  <c r="AD1176" i="1"/>
  <c r="AC1176" i="1"/>
  <c r="AI1176" i="1"/>
  <c r="AD1174" i="1"/>
  <c r="AG1174" i="1"/>
  <c r="AD1172" i="1"/>
  <c r="AC1172" i="1"/>
  <c r="AG1172" i="1"/>
  <c r="AI1172" i="1"/>
  <c r="AD1170" i="1"/>
  <c r="AG1170" i="1"/>
  <c r="AC1170" i="1"/>
  <c r="AD1168" i="1"/>
  <c r="AC1168" i="1"/>
  <c r="AI1168" i="1"/>
  <c r="AD1166" i="1"/>
  <c r="AG1166" i="1"/>
  <c r="AD1164" i="1"/>
  <c r="AC1164" i="1"/>
  <c r="AG1164" i="1"/>
  <c r="AI1164" i="1"/>
  <c r="AD1162" i="1"/>
  <c r="AG1162" i="1"/>
  <c r="AC1162" i="1"/>
  <c r="AD1160" i="1"/>
  <c r="AC1160" i="1"/>
  <c r="AI1160" i="1"/>
  <c r="AD1138" i="1"/>
  <c r="AG1138" i="1"/>
  <c r="AC1138" i="1"/>
  <c r="AD1136" i="1"/>
  <c r="AC1136" i="1"/>
  <c r="AI1136" i="1"/>
  <c r="AD1123" i="1"/>
  <c r="AC1123" i="1"/>
  <c r="AG1123" i="1"/>
  <c r="AI1123" i="1"/>
  <c r="AD1115" i="1"/>
  <c r="AC1115" i="1"/>
  <c r="AG1115" i="1"/>
  <c r="AI1115" i="1"/>
  <c r="AD1103" i="1"/>
  <c r="AC1103" i="1"/>
  <c r="AI1103" i="1"/>
  <c r="AD1095" i="1"/>
  <c r="AC1095" i="1"/>
  <c r="AI1095" i="1"/>
  <c r="AD1083" i="1"/>
  <c r="AC1083" i="1"/>
  <c r="AG1083" i="1"/>
  <c r="AI1083" i="1"/>
  <c r="AD1073" i="1"/>
  <c r="AG1073" i="1"/>
  <c r="AC1073" i="1"/>
  <c r="AI1190" i="1"/>
  <c r="AI1182" i="1"/>
  <c r="AI1174" i="1"/>
  <c r="AI1166" i="1"/>
  <c r="AG1184" i="1"/>
  <c r="AG1168" i="1"/>
  <c r="AG1136" i="1"/>
  <c r="AG1103" i="1"/>
  <c r="AC1190" i="1"/>
  <c r="AC1174" i="1"/>
  <c r="AC1193" i="1"/>
  <c r="AD1193" i="1"/>
  <c r="AC1189" i="1"/>
  <c r="AD1189" i="1"/>
  <c r="AC1185" i="1"/>
  <c r="AD1185" i="1"/>
  <c r="AC1181" i="1"/>
  <c r="AD1181" i="1"/>
  <c r="AC1177" i="1"/>
  <c r="AD1177" i="1"/>
  <c r="AC1173" i="1"/>
  <c r="AD1173" i="1"/>
  <c r="AC1169" i="1"/>
  <c r="AD1169" i="1"/>
  <c r="AC1165" i="1"/>
  <c r="AD1165" i="1"/>
  <c r="AC1157" i="1"/>
  <c r="AD1157" i="1"/>
  <c r="AC1125" i="1"/>
  <c r="AD1125" i="1"/>
  <c r="AC1088" i="1"/>
  <c r="AD1088" i="1"/>
  <c r="AC1076" i="1"/>
  <c r="AD1076" i="1"/>
  <c r="AC1046" i="1"/>
  <c r="AD1046" i="1"/>
  <c r="AC1042" i="1"/>
  <c r="AD1042" i="1"/>
  <c r="AC1034" i="1"/>
  <c r="AD1034" i="1"/>
  <c r="AC1010" i="1"/>
  <c r="AD1010" i="1"/>
  <c r="AC949" i="1"/>
  <c r="AD949" i="1"/>
  <c r="AC937" i="1"/>
  <c r="AD937" i="1"/>
  <c r="AD927" i="1"/>
  <c r="AG927" i="1"/>
  <c r="AC906" i="1"/>
  <c r="AG906" i="1"/>
  <c r="AC895" i="1"/>
  <c r="AD895" i="1"/>
  <c r="AI1193" i="1"/>
  <c r="AI1191" i="1"/>
  <c r="AI1189" i="1"/>
  <c r="AI1187" i="1"/>
  <c r="AI1185" i="1"/>
  <c r="AI1183" i="1"/>
  <c r="AI1181" i="1"/>
  <c r="AI1179" i="1"/>
  <c r="AI1177" i="1"/>
  <c r="AI1175" i="1"/>
  <c r="AI1173" i="1"/>
  <c r="AI1171" i="1"/>
  <c r="AI1169" i="1"/>
  <c r="AI1167" i="1"/>
  <c r="AI1165" i="1"/>
  <c r="AI1163" i="1"/>
  <c r="AI1157" i="1"/>
  <c r="AI1147" i="1"/>
  <c r="AI1127" i="1"/>
  <c r="AI1125" i="1"/>
  <c r="AI1088" i="1"/>
  <c r="AI1078" i="1"/>
  <c r="AI1076" i="1"/>
  <c r="AI1064" i="1"/>
  <c r="AI1046" i="1"/>
  <c r="AI1042" i="1"/>
  <c r="AI1034" i="1"/>
  <c r="AI1024" i="1"/>
  <c r="AI1010" i="1"/>
  <c r="AI1008" i="1"/>
  <c r="AI949" i="1"/>
  <c r="AI937" i="1"/>
  <c r="AI927" i="1"/>
  <c r="AI906" i="1"/>
  <c r="AI895" i="1"/>
  <c r="AG1193" i="1"/>
  <c r="AG1191" i="1"/>
  <c r="AG1189" i="1"/>
  <c r="AG1187" i="1"/>
  <c r="AG1185" i="1"/>
  <c r="AG1183" i="1"/>
  <c r="AG1181" i="1"/>
  <c r="AG1179" i="1"/>
  <c r="AG1177" i="1"/>
  <c r="AG1175" i="1"/>
  <c r="AG1173" i="1"/>
  <c r="AG1171" i="1"/>
  <c r="AG1169" i="1"/>
  <c r="AG1167" i="1"/>
  <c r="AG1165" i="1"/>
  <c r="AG1163" i="1"/>
  <c r="AG1157" i="1"/>
  <c r="AG1147" i="1"/>
  <c r="AG1127" i="1"/>
  <c r="AG1125" i="1"/>
  <c r="AG1088" i="1"/>
  <c r="AG1078" i="1"/>
  <c r="AG1076" i="1"/>
  <c r="AG1064" i="1"/>
  <c r="AG1024" i="1"/>
  <c r="AG1008" i="1"/>
  <c r="AG937" i="1"/>
  <c r="AG895" i="1"/>
  <c r="AD1187" i="1"/>
  <c r="AD1179" i="1"/>
  <c r="AD1171" i="1"/>
  <c r="AD1163" i="1"/>
  <c r="AD1147" i="1"/>
  <c r="AD906" i="1"/>
  <c r="AC1064" i="1"/>
  <c r="AC1053" i="1"/>
  <c r="AG1053" i="1"/>
  <c r="AC1049" i="1"/>
  <c r="AG1049" i="1"/>
  <c r="AC1013" i="1"/>
  <c r="AG1013" i="1"/>
  <c r="AC998" i="1"/>
  <c r="AG998" i="1"/>
  <c r="AC988" i="1"/>
  <c r="AG988" i="1"/>
  <c r="AC980" i="1"/>
  <c r="AG980" i="1"/>
  <c r="AC968" i="1"/>
  <c r="AG968" i="1"/>
  <c r="AC962" i="1"/>
  <c r="AG962" i="1"/>
  <c r="AC915" i="1"/>
  <c r="AG915" i="1"/>
  <c r="AD1053" i="1"/>
  <c r="AD1049" i="1"/>
  <c r="AD1013" i="1"/>
  <c r="AD998" i="1"/>
  <c r="AD988" i="1"/>
  <c r="AD980" i="1"/>
  <c r="AD968" i="1"/>
  <c r="AD962" i="1"/>
  <c r="AD915" i="1"/>
  <c r="X1192" i="1"/>
  <c r="Z1192" i="1"/>
  <c r="Y1192" i="1"/>
  <c r="X1190" i="1"/>
  <c r="Z1190" i="1"/>
  <c r="Y1190" i="1"/>
  <c r="X1188" i="1"/>
  <c r="Z1188" i="1"/>
  <c r="Y1188" i="1"/>
  <c r="X1186" i="1"/>
  <c r="Z1186" i="1"/>
  <c r="Y1186" i="1"/>
  <c r="X1184" i="1"/>
  <c r="Z1184" i="1"/>
  <c r="Y1184" i="1"/>
  <c r="X1182" i="1"/>
  <c r="Z1182" i="1"/>
  <c r="Y1182" i="1"/>
  <c r="X1180" i="1"/>
  <c r="Z1180" i="1"/>
  <c r="Y1180" i="1"/>
  <c r="X1178" i="1"/>
  <c r="Z1178" i="1"/>
  <c r="Y1178" i="1"/>
  <c r="X1176" i="1"/>
  <c r="Z1176" i="1"/>
  <c r="Y1176" i="1"/>
  <c r="X1174" i="1"/>
  <c r="Z1174" i="1"/>
  <c r="Y1174" i="1"/>
  <c r="X1172" i="1"/>
  <c r="Z1172" i="1"/>
  <c r="Y1172" i="1"/>
  <c r="X1170" i="1"/>
  <c r="Z1170" i="1"/>
  <c r="Y1170" i="1"/>
  <c r="X1168" i="1"/>
  <c r="Z1168" i="1"/>
  <c r="Y1168" i="1"/>
  <c r="X1166" i="1"/>
  <c r="Z1166" i="1"/>
  <c r="Y1166" i="1"/>
  <c r="X1164" i="1"/>
  <c r="Z1164" i="1"/>
  <c r="Y1164" i="1"/>
  <c r="X1162" i="1"/>
  <c r="Z1162" i="1"/>
  <c r="Y1162" i="1"/>
  <c r="X1160" i="1"/>
  <c r="Z1160" i="1"/>
  <c r="Y1160" i="1"/>
  <c r="X1158" i="1"/>
  <c r="Z1158" i="1" s="1"/>
  <c r="AA1158" i="1" s="1"/>
  <c r="Y1158" i="1"/>
  <c r="X1156" i="1"/>
  <c r="Y1156" i="1" s="1"/>
  <c r="X1154" i="1"/>
  <c r="Y1154" i="1" s="1"/>
  <c r="X1152" i="1"/>
  <c r="X1150" i="1"/>
  <c r="Y1150" i="1"/>
  <c r="X1148" i="1"/>
  <c r="Z1148" i="1"/>
  <c r="AA1148" i="1" s="1"/>
  <c r="Y1148" i="1"/>
  <c r="X1146" i="1"/>
  <c r="Z1146" i="1" s="1"/>
  <c r="AA1146" i="1" s="1"/>
  <c r="Y1146" i="1"/>
  <c r="X1144" i="1"/>
  <c r="X1142" i="1"/>
  <c r="X1140" i="1"/>
  <c r="X1138" i="1"/>
  <c r="Z1138" i="1"/>
  <c r="Y1138" i="1"/>
  <c r="X1136" i="1"/>
  <c r="Z1136" i="1"/>
  <c r="Y1136" i="1"/>
  <c r="X1134" i="1"/>
  <c r="X1132" i="1"/>
  <c r="X1130" i="1"/>
  <c r="X1128" i="1"/>
  <c r="Y1128" i="1" s="1"/>
  <c r="X1126" i="1"/>
  <c r="Z1126" i="1" s="1"/>
  <c r="AA1126" i="1" s="1"/>
  <c r="Y1126" i="1"/>
  <c r="X1124" i="1"/>
  <c r="X1123" i="1"/>
  <c r="Z1123" i="1"/>
  <c r="Y1123" i="1"/>
  <c r="AA1123" i="1"/>
  <c r="X1121" i="1"/>
  <c r="X1119" i="1"/>
  <c r="Y1119" i="1" s="1"/>
  <c r="X1117" i="1"/>
  <c r="X1115" i="1"/>
  <c r="Z1115" i="1"/>
  <c r="Y1115" i="1"/>
  <c r="AA1115" i="1"/>
  <c r="X1113" i="1"/>
  <c r="X1111" i="1"/>
  <c r="Y1111" i="1" s="1"/>
  <c r="X1109" i="1"/>
  <c r="X1107" i="1"/>
  <c r="X1105" i="1"/>
  <c r="X1103" i="1"/>
  <c r="Z1103" i="1"/>
  <c r="Y1103" i="1"/>
  <c r="AA1103" i="1"/>
  <c r="X1101" i="1"/>
  <c r="Y1101" i="1" s="1"/>
  <c r="X1099" i="1"/>
  <c r="Y1099" i="1" s="1"/>
  <c r="X1097" i="1"/>
  <c r="X1095" i="1"/>
  <c r="Z1095" i="1"/>
  <c r="Y1095" i="1"/>
  <c r="AA1095" i="1"/>
  <c r="X1093" i="1"/>
  <c r="X1091" i="1"/>
  <c r="Y1091" i="1" s="1"/>
  <c r="Z1091" i="1" s="1"/>
  <c r="AA1091" i="1" s="1"/>
  <c r="X1089" i="1"/>
  <c r="X1087" i="1"/>
  <c r="Y1087" i="1" s="1"/>
  <c r="X1085" i="1"/>
  <c r="Y1085" i="1" s="1"/>
  <c r="X1083" i="1"/>
  <c r="Y1083" i="1"/>
  <c r="Z1083" i="1"/>
  <c r="AA1083" i="1"/>
  <c r="X1081" i="1"/>
  <c r="Y1081" i="1" s="1"/>
  <c r="X1079" i="1"/>
  <c r="Y1079" i="1" s="1"/>
  <c r="Z1079" i="1" s="1"/>
  <c r="AA1079" i="1" s="1"/>
  <c r="X1077" i="1"/>
  <c r="X1075" i="1"/>
  <c r="Y1075" i="1" s="1"/>
  <c r="Z1075" i="1" s="1"/>
  <c r="AA1075" i="1" s="1"/>
  <c r="X1073" i="1"/>
  <c r="Z1073" i="1"/>
  <c r="Y1073" i="1"/>
  <c r="AA1073" i="1"/>
  <c r="X1071" i="1"/>
  <c r="Y1071" i="1" s="1"/>
  <c r="Z1071" i="1" s="1"/>
  <c r="AA1071" i="1" s="1"/>
  <c r="X1069" i="1"/>
  <c r="X1067" i="1"/>
  <c r="Y1067" i="1" s="1"/>
  <c r="Z1067" i="1" s="1"/>
  <c r="AA1067" i="1" s="1"/>
  <c r="X1065" i="1"/>
  <c r="Y1065" i="1" s="1"/>
  <c r="X1063" i="1"/>
  <c r="Y1063" i="1" s="1"/>
  <c r="Z1063" i="1" s="1"/>
  <c r="AA1063" i="1" s="1"/>
  <c r="X1061" i="1"/>
  <c r="Y1061" i="1" s="1"/>
  <c r="X1059" i="1"/>
  <c r="Y1059" i="1" s="1"/>
  <c r="Z1059" i="1" s="1"/>
  <c r="AA1059" i="1" s="1"/>
  <c r="X1057" i="1"/>
  <c r="Y1057" i="1" s="1"/>
  <c r="X1055" i="1"/>
  <c r="Y1055" i="1" s="1"/>
  <c r="Z1055" i="1" s="1"/>
  <c r="AA1055" i="1" s="1"/>
  <c r="X1053" i="1"/>
  <c r="Y1053" i="1"/>
  <c r="Z1053" i="1"/>
  <c r="AA1053" i="1"/>
  <c r="X1051" i="1"/>
  <c r="Y1051" i="1" s="1"/>
  <c r="Z1051" i="1" s="1"/>
  <c r="AA1051" i="1" s="1"/>
  <c r="X1049" i="1"/>
  <c r="Y1049" i="1"/>
  <c r="Z1049" i="1"/>
  <c r="AA1049" i="1"/>
  <c r="X1047" i="1"/>
  <c r="Y1047" i="1" s="1"/>
  <c r="Z1047" i="1" s="1"/>
  <c r="AA1047" i="1" s="1"/>
  <c r="X1045" i="1"/>
  <c r="Y1045" i="1" s="1"/>
  <c r="Z1045" i="1" s="1"/>
  <c r="AA1045" i="1" s="1"/>
  <c r="X1043" i="1"/>
  <c r="Y1043" i="1" s="1"/>
  <c r="Z1043" i="1" s="1"/>
  <c r="AA1043" i="1" s="1"/>
  <c r="X1041" i="1"/>
  <c r="Y1041" i="1" s="1"/>
  <c r="Z1041" i="1" s="1"/>
  <c r="AA1041" i="1" s="1"/>
  <c r="X1039" i="1"/>
  <c r="Y1039" i="1" s="1"/>
  <c r="Z1039" i="1" s="1"/>
  <c r="AA1039" i="1" s="1"/>
  <c r="X1037" i="1"/>
  <c r="Y1037" i="1" s="1"/>
  <c r="Z1037" i="1" s="1"/>
  <c r="AA1037" i="1" s="1"/>
  <c r="X1035" i="1"/>
  <c r="Y1035" i="1" s="1"/>
  <c r="Z1035" i="1" s="1"/>
  <c r="AA1035" i="1" s="1"/>
  <c r="X1033" i="1"/>
  <c r="Y1033" i="1" s="1"/>
  <c r="Z1033" i="1" s="1"/>
  <c r="AA1033" i="1" s="1"/>
  <c r="X1031" i="1"/>
  <c r="Y1031" i="1" s="1"/>
  <c r="Z1031" i="1" s="1"/>
  <c r="AA1031" i="1" s="1"/>
  <c r="X1029" i="1"/>
  <c r="Y1029" i="1" s="1"/>
  <c r="Z1029" i="1" s="1"/>
  <c r="AA1029" i="1" s="1"/>
  <c r="X1027" i="1"/>
  <c r="Y1027" i="1" s="1"/>
  <c r="Z1027" i="1" s="1"/>
  <c r="AA1027" i="1" s="1"/>
  <c r="X1025" i="1"/>
  <c r="Y1025" i="1" s="1"/>
  <c r="Z1025" i="1" s="1"/>
  <c r="AA1025" i="1" s="1"/>
  <c r="X1023" i="1"/>
  <c r="Y1023" i="1" s="1"/>
  <c r="Z1023" i="1" s="1"/>
  <c r="AA1023" i="1" s="1"/>
  <c r="X1021" i="1"/>
  <c r="Y1021" i="1" s="1"/>
  <c r="Z1021" i="1" s="1"/>
  <c r="AA1021" i="1" s="1"/>
  <c r="X1019" i="1"/>
  <c r="Y1019" i="1" s="1"/>
  <c r="Z1019" i="1" s="1"/>
  <c r="AA1019" i="1" s="1"/>
  <c r="X1017" i="1"/>
  <c r="Y1017" i="1" s="1"/>
  <c r="Z1017" i="1" s="1"/>
  <c r="AA1017" i="1" s="1"/>
  <c r="X1015" i="1"/>
  <c r="Y1015" i="1" s="1"/>
  <c r="Z1015" i="1" s="1"/>
  <c r="AA1015" i="1" s="1"/>
  <c r="X1013" i="1"/>
  <c r="Y1013" i="1"/>
  <c r="Z1013" i="1"/>
  <c r="AA1013" i="1"/>
  <c r="X1011" i="1"/>
  <c r="Y1011" i="1" s="1"/>
  <c r="Z1011" i="1" s="1"/>
  <c r="AA1011" i="1" s="1"/>
  <c r="X1009" i="1"/>
  <c r="Y1009" i="1" s="1"/>
  <c r="Z1009" i="1" s="1"/>
  <c r="AA1009" i="1" s="1"/>
  <c r="X1000" i="1"/>
  <c r="Y1000" i="1"/>
  <c r="Z1000" i="1"/>
  <c r="AA1000" i="1"/>
  <c r="X998" i="1"/>
  <c r="Y998" i="1"/>
  <c r="Z998" i="1"/>
  <c r="AA998" i="1"/>
  <c r="X996" i="1"/>
  <c r="Y996" i="1" s="1"/>
  <c r="Z996" i="1" s="1"/>
  <c r="AA996" i="1" s="1"/>
  <c r="X994" i="1"/>
  <c r="Y994" i="1" s="1"/>
  <c r="Z994" i="1" s="1"/>
  <c r="AA994" i="1" s="1"/>
  <c r="X992" i="1"/>
  <c r="Y992" i="1" s="1"/>
  <c r="Z992" i="1" s="1"/>
  <c r="AA992" i="1" s="1"/>
  <c r="X990" i="1"/>
  <c r="Y990" i="1" s="1"/>
  <c r="Z990" i="1" s="1"/>
  <c r="AA990" i="1" s="1"/>
  <c r="X988" i="1"/>
  <c r="Y988" i="1"/>
  <c r="Z988" i="1"/>
  <c r="AA988" i="1"/>
  <c r="X986" i="1"/>
  <c r="Y986" i="1" s="1"/>
  <c r="Z986" i="1" s="1"/>
  <c r="AA986" i="1" s="1"/>
  <c r="X984" i="1"/>
  <c r="Y984" i="1" s="1"/>
  <c r="Z984" i="1" s="1"/>
  <c r="AA984" i="1" s="1"/>
  <c r="X982" i="1"/>
  <c r="Y982" i="1" s="1"/>
  <c r="Z982" i="1" s="1"/>
  <c r="AA982" i="1" s="1"/>
  <c r="X980" i="1"/>
  <c r="Y980" i="1"/>
  <c r="Z980" i="1"/>
  <c r="AA980" i="1"/>
  <c r="X978" i="1"/>
  <c r="Y978" i="1" s="1"/>
  <c r="Z978" i="1" s="1"/>
  <c r="AA978" i="1" s="1"/>
  <c r="X976" i="1"/>
  <c r="Y976" i="1" s="1"/>
  <c r="Z976" i="1" s="1"/>
  <c r="AA976" i="1" s="1"/>
  <c r="X974" i="1"/>
  <c r="Y974" i="1" s="1"/>
  <c r="Z974" i="1" s="1"/>
  <c r="AA974" i="1" s="1"/>
  <c r="X972" i="1"/>
  <c r="Y972" i="1" s="1"/>
  <c r="Z972" i="1" s="1"/>
  <c r="AA972" i="1" s="1"/>
  <c r="X968" i="1"/>
  <c r="Y968" i="1"/>
  <c r="Z968" i="1"/>
  <c r="AA968" i="1"/>
  <c r="X966" i="1"/>
  <c r="Y966" i="1" s="1"/>
  <c r="Z966" i="1" s="1"/>
  <c r="AA966" i="1" s="1"/>
  <c r="X964" i="1"/>
  <c r="Y964" i="1" s="1"/>
  <c r="Z964" i="1" s="1"/>
  <c r="AA964" i="1" s="1"/>
  <c r="X962" i="1"/>
  <c r="Y962" i="1"/>
  <c r="Z962" i="1"/>
  <c r="AA962" i="1"/>
  <c r="X960" i="1"/>
  <c r="Y960" i="1" s="1"/>
  <c r="Z960" i="1" s="1"/>
  <c r="AA960" i="1" s="1"/>
  <c r="X958" i="1"/>
  <c r="Y958" i="1" s="1"/>
  <c r="Z958" i="1" s="1"/>
  <c r="AA958" i="1" s="1"/>
  <c r="X956" i="1"/>
  <c r="Y956" i="1" s="1"/>
  <c r="Z956" i="1" s="1"/>
  <c r="AA956" i="1" s="1"/>
  <c r="X954" i="1"/>
  <c r="Y954" i="1" s="1"/>
  <c r="Z954" i="1" s="1"/>
  <c r="AA954" i="1" s="1"/>
  <c r="X952" i="1"/>
  <c r="Y952" i="1" s="1"/>
  <c r="Z952" i="1" s="1"/>
  <c r="AA952" i="1" s="1"/>
  <c r="X948" i="1"/>
  <c r="Y948" i="1" s="1"/>
  <c r="Z948" i="1" s="1"/>
  <c r="AA948" i="1" s="1"/>
  <c r="X946" i="1"/>
  <c r="Y946" i="1" s="1"/>
  <c r="Z946" i="1" s="1"/>
  <c r="AA946" i="1" s="1"/>
  <c r="X944" i="1"/>
  <c r="Y944" i="1" s="1"/>
  <c r="Z944" i="1" s="1"/>
  <c r="AA944" i="1" s="1"/>
  <c r="X942" i="1"/>
  <c r="Y942" i="1" s="1"/>
  <c r="Z942" i="1" s="1"/>
  <c r="AA942" i="1" s="1"/>
  <c r="X940" i="1"/>
  <c r="Y940" i="1" s="1"/>
  <c r="Z940" i="1" s="1"/>
  <c r="AA940" i="1" s="1"/>
  <c r="X938" i="1"/>
  <c r="Y938" i="1" s="1"/>
  <c r="Z938" i="1" s="1"/>
  <c r="AA938" i="1" s="1"/>
  <c r="X936" i="1"/>
  <c r="Y936" i="1" s="1"/>
  <c r="Z936" i="1" s="1"/>
  <c r="AA936" i="1" s="1"/>
  <c r="X934" i="1"/>
  <c r="Y934" i="1" s="1"/>
  <c r="Z934" i="1" s="1"/>
  <c r="AA934" i="1" s="1"/>
  <c r="Y932" i="1"/>
  <c r="Z932" i="1" s="1"/>
  <c r="AA932" i="1" s="1"/>
  <c r="X930" i="1"/>
  <c r="Y930" i="1" s="1"/>
  <c r="Z930" i="1" s="1"/>
  <c r="AA930" i="1" s="1"/>
  <c r="X928" i="1"/>
  <c r="Y928" i="1" s="1"/>
  <c r="Z928" i="1" s="1"/>
  <c r="AA928" i="1" s="1"/>
  <c r="X926" i="1"/>
  <c r="Y926" i="1" s="1"/>
  <c r="Z926" i="1" s="1"/>
  <c r="AA926" i="1" s="1"/>
  <c r="X924" i="1"/>
  <c r="Y924" i="1" s="1"/>
  <c r="Z924" i="1" s="1"/>
  <c r="AA924" i="1" s="1"/>
  <c r="X921" i="1"/>
  <c r="Y921" i="1" s="1"/>
  <c r="Z921" i="1" s="1"/>
  <c r="AA921" i="1" s="1"/>
  <c r="X919" i="1"/>
  <c r="Y919" i="1" s="1"/>
  <c r="Z919" i="1" s="1"/>
  <c r="AA919" i="1" s="1"/>
  <c r="X917" i="1"/>
  <c r="Y917" i="1" s="1"/>
  <c r="Z917" i="1" s="1"/>
  <c r="AA917" i="1" s="1"/>
  <c r="X915" i="1"/>
  <c r="Y915" i="1"/>
  <c r="Z915" i="1"/>
  <c r="AA915" i="1"/>
  <c r="X913" i="1"/>
  <c r="Y913" i="1" s="1"/>
  <c r="Z913" i="1" s="1"/>
  <c r="AA913" i="1" s="1"/>
  <c r="X911" i="1"/>
  <c r="Y911" i="1" s="1"/>
  <c r="X909" i="1"/>
  <c r="Y909" i="1" s="1"/>
  <c r="Z909" i="1" s="1"/>
  <c r="AA909" i="1" s="1"/>
  <c r="X907" i="1"/>
  <c r="Y907" i="1" s="1"/>
  <c r="Z907" i="1" s="1"/>
  <c r="AA907" i="1" s="1"/>
  <c r="X905" i="1"/>
  <c r="Y905" i="1" s="1"/>
  <c r="X903" i="1"/>
  <c r="Y903" i="1" s="1"/>
  <c r="Z903" i="1" s="1"/>
  <c r="AA903" i="1" s="1"/>
  <c r="X901" i="1"/>
  <c r="Y901" i="1" s="1"/>
  <c r="Z901" i="1" s="1"/>
  <c r="AA901" i="1" s="1"/>
  <c r="X898" i="1"/>
  <c r="Y898" i="1" s="1"/>
  <c r="Z898" i="1" s="1"/>
  <c r="AA898" i="1" s="1"/>
  <c r="X896" i="1"/>
  <c r="Y896" i="1" s="1"/>
  <c r="Z896" i="1" s="1"/>
  <c r="AA896" i="1" s="1"/>
  <c r="AA1192" i="1"/>
  <c r="AA1190" i="1"/>
  <c r="AA1188" i="1"/>
  <c r="AA1186" i="1"/>
  <c r="AA1184" i="1"/>
  <c r="AA1182" i="1"/>
  <c r="AA1180" i="1"/>
  <c r="AA1178" i="1"/>
  <c r="AA1176" i="1"/>
  <c r="AA1174" i="1"/>
  <c r="AA1172" i="1"/>
  <c r="AA1170" i="1"/>
  <c r="AA1168" i="1"/>
  <c r="AA1166" i="1"/>
  <c r="AA1164" i="1"/>
  <c r="AA1162" i="1"/>
  <c r="AA1160" i="1"/>
  <c r="AA1138" i="1"/>
  <c r="AA1136" i="1"/>
  <c r="X1193" i="1"/>
  <c r="Y1193" i="1"/>
  <c r="Z1193" i="1"/>
  <c r="X1191" i="1"/>
  <c r="Y1191" i="1"/>
  <c r="Z1191" i="1"/>
  <c r="X1189" i="1"/>
  <c r="Y1189" i="1"/>
  <c r="Z1189" i="1"/>
  <c r="X1187" i="1"/>
  <c r="Y1187" i="1"/>
  <c r="Z1187" i="1"/>
  <c r="X1185" i="1"/>
  <c r="Y1185" i="1"/>
  <c r="Z1185" i="1"/>
  <c r="X1183" i="1"/>
  <c r="Y1183" i="1"/>
  <c r="Z1183" i="1"/>
  <c r="X1181" i="1"/>
  <c r="Y1181" i="1"/>
  <c r="Z1181" i="1"/>
  <c r="X1179" i="1"/>
  <c r="Y1179" i="1"/>
  <c r="Z1179" i="1"/>
  <c r="X1177" i="1"/>
  <c r="Y1177" i="1"/>
  <c r="Z1177" i="1"/>
  <c r="X1175" i="1"/>
  <c r="Y1175" i="1"/>
  <c r="Z1175" i="1"/>
  <c r="X1173" i="1"/>
  <c r="Y1173" i="1"/>
  <c r="Z1173" i="1"/>
  <c r="X1171" i="1"/>
  <c r="Y1171" i="1"/>
  <c r="Z1171" i="1"/>
  <c r="X1169" i="1"/>
  <c r="Y1169" i="1"/>
  <c r="Z1169" i="1"/>
  <c r="X1167" i="1"/>
  <c r="Y1167" i="1"/>
  <c r="Z1167" i="1"/>
  <c r="X1165" i="1"/>
  <c r="Y1165" i="1"/>
  <c r="Z1165" i="1"/>
  <c r="X1163" i="1"/>
  <c r="Y1163" i="1"/>
  <c r="Z1163" i="1"/>
  <c r="X1161" i="1"/>
  <c r="Y1161" i="1" s="1"/>
  <c r="Z1161" i="1" s="1"/>
  <c r="AA1161" i="1" s="1"/>
  <c r="X1159" i="1"/>
  <c r="Y1159" i="1" s="1"/>
  <c r="Z1159" i="1" s="1"/>
  <c r="AA1159" i="1" s="1"/>
  <c r="X1157" i="1"/>
  <c r="Y1157" i="1"/>
  <c r="Z1157" i="1"/>
  <c r="X1155" i="1"/>
  <c r="Y1155" i="1" s="1"/>
  <c r="Z1155" i="1" s="1"/>
  <c r="AA1155" i="1" s="1"/>
  <c r="X1153" i="1"/>
  <c r="Y1153" i="1" s="1"/>
  <c r="Z1153" i="1" s="1"/>
  <c r="AA1153" i="1" s="1"/>
  <c r="X1151" i="1"/>
  <c r="Y1151" i="1" s="1"/>
  <c r="Z1151" i="1" s="1"/>
  <c r="AA1151" i="1" s="1"/>
  <c r="X1149" i="1"/>
  <c r="Y1149" i="1" s="1"/>
  <c r="Z1149" i="1" s="1"/>
  <c r="AA1149" i="1" s="1"/>
  <c r="X1147" i="1"/>
  <c r="Y1147" i="1"/>
  <c r="Z1147" i="1"/>
  <c r="X1145" i="1"/>
  <c r="Y1145" i="1" s="1"/>
  <c r="Z1145" i="1" s="1"/>
  <c r="AA1145" i="1" s="1"/>
  <c r="X1143" i="1"/>
  <c r="Y1143" i="1" s="1"/>
  <c r="Z1143" i="1" s="1"/>
  <c r="AA1143" i="1" s="1"/>
  <c r="X1141" i="1"/>
  <c r="Y1141" i="1" s="1"/>
  <c r="Z1141" i="1" s="1"/>
  <c r="AA1141" i="1" s="1"/>
  <c r="X1139" i="1"/>
  <c r="Y1139" i="1" s="1"/>
  <c r="Z1139" i="1" s="1"/>
  <c r="AA1139" i="1" s="1"/>
  <c r="X1137" i="1"/>
  <c r="Y1137" i="1" s="1"/>
  <c r="Z1137" i="1" s="1"/>
  <c r="AA1137" i="1" s="1"/>
  <c r="X1135" i="1"/>
  <c r="Y1135" i="1" s="1"/>
  <c r="Z1135" i="1" s="1"/>
  <c r="AA1135" i="1" s="1"/>
  <c r="X1133" i="1"/>
  <c r="Y1133" i="1" s="1"/>
  <c r="Z1133" i="1" s="1"/>
  <c r="AA1133" i="1" s="1"/>
  <c r="X1131" i="1"/>
  <c r="Y1131" i="1" s="1"/>
  <c r="Z1131" i="1" s="1"/>
  <c r="AA1131" i="1" s="1"/>
  <c r="X1129" i="1"/>
  <c r="Y1129" i="1" s="1"/>
  <c r="Z1129" i="1" s="1"/>
  <c r="AA1129" i="1" s="1"/>
  <c r="X1127" i="1"/>
  <c r="Y1127" i="1"/>
  <c r="Z1127" i="1"/>
  <c r="X1125" i="1"/>
  <c r="Y1125" i="1"/>
  <c r="Z1125" i="1"/>
  <c r="X1122" i="1"/>
  <c r="Y1122" i="1" s="1"/>
  <c r="Z1122" i="1" s="1"/>
  <c r="AA1122" i="1" s="1"/>
  <c r="X1120" i="1"/>
  <c r="Y1120" i="1" s="1"/>
  <c r="X1118" i="1"/>
  <c r="Y1118" i="1" s="1"/>
  <c r="Z1118" i="1" s="1"/>
  <c r="AA1118" i="1" s="1"/>
  <c r="X1116" i="1"/>
  <c r="Y1116" i="1" s="1"/>
  <c r="X1114" i="1"/>
  <c r="Y1114" i="1" s="1"/>
  <c r="X1112" i="1"/>
  <c r="Y1112" i="1" s="1"/>
  <c r="Z1112" i="1" s="1"/>
  <c r="AA1112" i="1" s="1"/>
  <c r="X1110" i="1"/>
  <c r="Y1110" i="1" s="1"/>
  <c r="X1108" i="1"/>
  <c r="Y1108" i="1" s="1"/>
  <c r="Z1108" i="1" s="1"/>
  <c r="AA1108" i="1" s="1"/>
  <c r="X1106" i="1"/>
  <c r="Y1106" i="1" s="1"/>
  <c r="Z1106" i="1" s="1"/>
  <c r="AA1106" i="1" s="1"/>
  <c r="X1104" i="1"/>
  <c r="Y1104" i="1" s="1"/>
  <c r="X1102" i="1"/>
  <c r="Y1102" i="1" s="1"/>
  <c r="X1100" i="1"/>
  <c r="Y1100" i="1" s="1"/>
  <c r="X1098" i="1"/>
  <c r="Y1098" i="1" s="1"/>
  <c r="Z1098" i="1" s="1"/>
  <c r="AA1098" i="1" s="1"/>
  <c r="X1096" i="1"/>
  <c r="Y1096" i="1" s="1"/>
  <c r="X1094" i="1"/>
  <c r="Y1094" i="1" s="1"/>
  <c r="Z1094" i="1" s="1"/>
  <c r="AA1094" i="1" s="1"/>
  <c r="X1092" i="1"/>
  <c r="Y1092" i="1" s="1"/>
  <c r="X1090" i="1"/>
  <c r="Y1090" i="1" s="1"/>
  <c r="Z1090" i="1" s="1"/>
  <c r="AA1090" i="1" s="1"/>
  <c r="X1088" i="1"/>
  <c r="Y1088" i="1"/>
  <c r="AA1088" i="1"/>
  <c r="Z1088" i="1"/>
  <c r="X1086" i="1"/>
  <c r="Y1086" i="1" s="1"/>
  <c r="Z1086" i="1" s="1"/>
  <c r="AA1086" i="1" s="1"/>
  <c r="X1084" i="1"/>
  <c r="Y1084" i="1" s="1"/>
  <c r="Z1084" i="1" s="1"/>
  <c r="AA1084" i="1" s="1"/>
  <c r="X1082" i="1"/>
  <c r="Y1082" i="1" s="1"/>
  <c r="Z1082" i="1" s="1"/>
  <c r="AA1082" i="1" s="1"/>
  <c r="X1080" i="1"/>
  <c r="Y1080" i="1" s="1"/>
  <c r="Z1080" i="1" s="1"/>
  <c r="AA1080" i="1" s="1"/>
  <c r="Y1078" i="1"/>
  <c r="X1078" i="1"/>
  <c r="AA1078" i="1"/>
  <c r="Z1078" i="1"/>
  <c r="Y1076" i="1"/>
  <c r="X1076" i="1"/>
  <c r="AA1076" i="1"/>
  <c r="Z1076" i="1"/>
  <c r="X1074" i="1"/>
  <c r="Y1074" i="1" s="1"/>
  <c r="Z1074" i="1" s="1"/>
  <c r="X1072" i="1"/>
  <c r="Y1072" i="1" s="1"/>
  <c r="Z1072" i="1" s="1"/>
  <c r="AA1072" i="1" s="1"/>
  <c r="X1070" i="1"/>
  <c r="Y1070" i="1" s="1"/>
  <c r="Z1070" i="1" s="1"/>
  <c r="AA1070" i="1" s="1"/>
  <c r="X1068" i="1"/>
  <c r="Y1068" i="1" s="1"/>
  <c r="Z1068" i="1" s="1"/>
  <c r="AA1068" i="1" s="1"/>
  <c r="X1066" i="1"/>
  <c r="Y1066" i="1" s="1"/>
  <c r="Z1066" i="1" s="1"/>
  <c r="AA1066" i="1" s="1"/>
  <c r="Y1064" i="1"/>
  <c r="X1064" i="1"/>
  <c r="AA1064" i="1"/>
  <c r="Z1064" i="1"/>
  <c r="X1062" i="1"/>
  <c r="Y1062" i="1" s="1"/>
  <c r="Z1062" i="1" s="1"/>
  <c r="AA1062" i="1" s="1"/>
  <c r="X1060" i="1"/>
  <c r="Y1060" i="1" s="1"/>
  <c r="Z1060" i="1" s="1"/>
  <c r="AA1060" i="1" s="1"/>
  <c r="X1058" i="1"/>
  <c r="Y1058" i="1" s="1"/>
  <c r="Z1058" i="1" s="1"/>
  <c r="AA1058" i="1" s="1"/>
  <c r="X1056" i="1"/>
  <c r="Y1056" i="1" s="1"/>
  <c r="Z1056" i="1" s="1"/>
  <c r="AA1056" i="1" s="1"/>
  <c r="X1052" i="1"/>
  <c r="Y1052" i="1" s="1"/>
  <c r="Z1052" i="1" s="1"/>
  <c r="AA1052" i="1" s="1"/>
  <c r="X1050" i="1"/>
  <c r="Y1050" i="1" s="1"/>
  <c r="Z1050" i="1" s="1"/>
  <c r="AA1050" i="1" s="1"/>
  <c r="X1048" i="1"/>
  <c r="Y1048" i="1" s="1"/>
  <c r="Z1048" i="1" s="1"/>
  <c r="AA1048" i="1" s="1"/>
  <c r="Y1046" i="1"/>
  <c r="X1046" i="1"/>
  <c r="AA1046" i="1"/>
  <c r="Z1046" i="1"/>
  <c r="X1044" i="1"/>
  <c r="Y1044" i="1" s="1"/>
  <c r="Z1044" i="1" s="1"/>
  <c r="AA1044" i="1" s="1"/>
  <c r="X1042" i="1"/>
  <c r="Y1042" i="1"/>
  <c r="AA1042" i="1"/>
  <c r="Z1042" i="1"/>
  <c r="X1040" i="1"/>
  <c r="Y1040" i="1" s="1"/>
  <c r="Z1040" i="1" s="1"/>
  <c r="AA1040" i="1" s="1"/>
  <c r="X1038" i="1"/>
  <c r="Y1038" i="1" s="1"/>
  <c r="Z1038" i="1" s="1"/>
  <c r="AA1038" i="1" s="1"/>
  <c r="X1036" i="1"/>
  <c r="X1034" i="1"/>
  <c r="Y1034" i="1"/>
  <c r="AA1034" i="1"/>
  <c r="Z1034" i="1"/>
  <c r="X1032" i="1"/>
  <c r="Y1032" i="1" s="1"/>
  <c r="X1030" i="1"/>
  <c r="X1028" i="1"/>
  <c r="Y1028" i="1" s="1"/>
  <c r="Z1028" i="1" s="1"/>
  <c r="AA1028" i="1" s="1"/>
  <c r="X1026" i="1"/>
  <c r="Y1026" i="1" s="1"/>
  <c r="Z1026" i="1" s="1"/>
  <c r="AA1026" i="1" s="1"/>
  <c r="X1024" i="1"/>
  <c r="Y1024" i="1"/>
  <c r="AA1024" i="1"/>
  <c r="Z1024" i="1"/>
  <c r="X1022" i="1"/>
  <c r="Y1022" i="1" s="1"/>
  <c r="Z1022" i="1" s="1"/>
  <c r="AA1022" i="1" s="1"/>
  <c r="X1020" i="1"/>
  <c r="Y1020" i="1" s="1"/>
  <c r="X1018" i="1"/>
  <c r="Y1018" i="1" s="1"/>
  <c r="Z1018" i="1" s="1"/>
  <c r="AA1018" i="1" s="1"/>
  <c r="X1016" i="1"/>
  <c r="Y1016" i="1" s="1"/>
  <c r="X1014" i="1"/>
  <c r="Y1014" i="1" s="1"/>
  <c r="X1012" i="1"/>
  <c r="Y1012" i="1" s="1"/>
  <c r="X1010" i="1"/>
  <c r="Y1010" i="1"/>
  <c r="AA1010" i="1"/>
  <c r="Z1010" i="1"/>
  <c r="X1008" i="1"/>
  <c r="Y1008" i="1"/>
  <c r="AA1008" i="1"/>
  <c r="Z1008" i="1"/>
  <c r="X1006" i="1"/>
  <c r="Y1006" i="1" s="1"/>
  <c r="Z1006" i="1" s="1"/>
  <c r="AA1006" i="1" s="1"/>
  <c r="X1002" i="1"/>
  <c r="Y1002" i="1" s="1"/>
  <c r="Z1002" i="1" s="1"/>
  <c r="AA1002" i="1" s="1"/>
  <c r="X999" i="1"/>
  <c r="Y999" i="1" s="1"/>
  <c r="X997" i="1"/>
  <c r="Y997" i="1" s="1"/>
  <c r="Z997" i="1" s="1"/>
  <c r="AA997" i="1" s="1"/>
  <c r="X995" i="1"/>
  <c r="Y995" i="1" s="1"/>
  <c r="X993" i="1"/>
  <c r="Y993" i="1" s="1"/>
  <c r="Z993" i="1" s="1"/>
  <c r="AA993" i="1" s="1"/>
  <c r="X991" i="1"/>
  <c r="Y991" i="1" s="1"/>
  <c r="Z991" i="1" s="1"/>
  <c r="AA991" i="1" s="1"/>
  <c r="X989" i="1"/>
  <c r="Y989" i="1" s="1"/>
  <c r="Z989" i="1" s="1"/>
  <c r="AA989" i="1" s="1"/>
  <c r="X987" i="1"/>
  <c r="Y987" i="1" s="1"/>
  <c r="X985" i="1"/>
  <c r="Y985" i="1" s="1"/>
  <c r="Z985" i="1" s="1"/>
  <c r="AA985" i="1" s="1"/>
  <c r="X983" i="1"/>
  <c r="Y983" i="1" s="1"/>
  <c r="X979" i="1"/>
  <c r="Y979" i="1" s="1"/>
  <c r="Z979" i="1" s="1"/>
  <c r="AA979" i="1" s="1"/>
  <c r="X977" i="1"/>
  <c r="Y977" i="1" s="1"/>
  <c r="Z977" i="1" s="1"/>
  <c r="AA977" i="1" s="1"/>
  <c r="X975" i="1"/>
  <c r="Y975" i="1" s="1"/>
  <c r="Z975" i="1" s="1"/>
  <c r="AA975" i="1" s="1"/>
  <c r="X973" i="1"/>
  <c r="Y973" i="1" s="1"/>
  <c r="Z973" i="1" s="1"/>
  <c r="AA973" i="1" s="1"/>
  <c r="X971" i="1"/>
  <c r="Y971" i="1" s="1"/>
  <c r="X969" i="1"/>
  <c r="Y969" i="1" s="1"/>
  <c r="X967" i="1"/>
  <c r="Y967" i="1" s="1"/>
  <c r="Z967" i="1" s="1"/>
  <c r="AA967" i="1" s="1"/>
  <c r="X965" i="1"/>
  <c r="Y965" i="1" s="1"/>
  <c r="Z965" i="1" s="1"/>
  <c r="AA965" i="1" s="1"/>
  <c r="X963" i="1"/>
  <c r="Y963" i="1" s="1"/>
  <c r="X961" i="1"/>
  <c r="Y961" i="1" s="1"/>
  <c r="Z961" i="1" s="1"/>
  <c r="AA961" i="1" s="1"/>
  <c r="X959" i="1"/>
  <c r="Y959" i="1" s="1"/>
  <c r="X957" i="1"/>
  <c r="Y957" i="1" s="1"/>
  <c r="Z957" i="1" s="1"/>
  <c r="AA957" i="1" s="1"/>
  <c r="X955" i="1"/>
  <c r="Y955" i="1" s="1"/>
  <c r="X953" i="1"/>
  <c r="Y953" i="1" s="1"/>
  <c r="Z953" i="1" s="1"/>
  <c r="AA953" i="1" s="1"/>
  <c r="X951" i="1"/>
  <c r="Y951" i="1" s="1"/>
  <c r="X949" i="1"/>
  <c r="Y949" i="1"/>
  <c r="AA949" i="1"/>
  <c r="Z949" i="1"/>
  <c r="X947" i="1"/>
  <c r="Y947" i="1" s="1"/>
  <c r="Z947" i="1" s="1"/>
  <c r="AA947" i="1" s="1"/>
  <c r="X945" i="1"/>
  <c r="Y945" i="1" s="1"/>
  <c r="X943" i="1"/>
  <c r="Y943" i="1" s="1"/>
  <c r="Z943" i="1" s="1"/>
  <c r="AA943" i="1" s="1"/>
  <c r="X941" i="1"/>
  <c r="Y941" i="1" s="1"/>
  <c r="X939" i="1"/>
  <c r="Y939" i="1" s="1"/>
  <c r="X937" i="1"/>
  <c r="Y937" i="1"/>
  <c r="AA937" i="1"/>
  <c r="Z937" i="1"/>
  <c r="X935" i="1"/>
  <c r="Y935" i="1" s="1"/>
  <c r="X933" i="1"/>
  <c r="Y933" i="1" s="1"/>
  <c r="X929" i="1"/>
  <c r="Y929" i="1" s="1"/>
  <c r="X927" i="1"/>
  <c r="Y927" i="1"/>
  <c r="AA927" i="1"/>
  <c r="Z927" i="1"/>
  <c r="X925" i="1"/>
  <c r="Y925" i="1" s="1"/>
  <c r="X922" i="1"/>
  <c r="Y922" i="1" s="1"/>
  <c r="Z922" i="1" s="1"/>
  <c r="AA922" i="1" s="1"/>
  <c r="X920" i="1"/>
  <c r="Y920" i="1" s="1"/>
  <c r="X918" i="1"/>
  <c r="Y918" i="1" s="1"/>
  <c r="Z918" i="1" s="1"/>
  <c r="AA918" i="1" s="1"/>
  <c r="X916" i="1"/>
  <c r="Y916" i="1" s="1"/>
  <c r="Z916" i="1" s="1"/>
  <c r="AA916" i="1" s="1"/>
  <c r="X914" i="1"/>
  <c r="Y914" i="1" s="1"/>
  <c r="X912" i="1"/>
  <c r="Y912" i="1" s="1"/>
  <c r="X910" i="1"/>
  <c r="Y910" i="1" s="1"/>
  <c r="Z910" i="1" s="1"/>
  <c r="AA910" i="1" s="1"/>
  <c r="X908" i="1"/>
  <c r="Y908" i="1" s="1"/>
  <c r="X906" i="1"/>
  <c r="Y906" i="1"/>
  <c r="AA906" i="1"/>
  <c r="Z906" i="1"/>
  <c r="X904" i="1"/>
  <c r="Y904" i="1" s="1"/>
  <c r="X902" i="1"/>
  <c r="Y902" i="1" s="1"/>
  <c r="Z902" i="1" s="1"/>
  <c r="AA902" i="1" s="1"/>
  <c r="X899" i="1"/>
  <c r="Y899" i="1" s="1"/>
  <c r="Z899" i="1" s="1"/>
  <c r="AA899" i="1" s="1"/>
  <c r="X897" i="1"/>
  <c r="Y897" i="1" s="1"/>
  <c r="X895" i="1"/>
  <c r="Y895" i="1"/>
  <c r="AA895" i="1"/>
  <c r="Z895" i="1"/>
  <c r="AA1193" i="1"/>
  <c r="AA1191" i="1"/>
  <c r="AA1189" i="1"/>
  <c r="AA1187" i="1"/>
  <c r="AA1185" i="1"/>
  <c r="AA1183" i="1"/>
  <c r="AA1181" i="1"/>
  <c r="AA1179" i="1"/>
  <c r="AA1177" i="1"/>
  <c r="AA1175" i="1"/>
  <c r="AA1173" i="1"/>
  <c r="AA1171" i="1"/>
  <c r="AA1169" i="1"/>
  <c r="AA1167" i="1"/>
  <c r="AA1165" i="1"/>
  <c r="AA1163" i="1"/>
  <c r="AA1157" i="1"/>
  <c r="AA1147" i="1"/>
  <c r="AA1127" i="1"/>
  <c r="AA1125" i="1"/>
  <c r="Z1150" i="1" l="1"/>
  <c r="AA1150" i="1" s="1"/>
  <c r="AN903" i="1"/>
  <c r="AN1077" i="1"/>
  <c r="AN1090" i="1"/>
  <c r="AN1101" i="1"/>
  <c r="AM1072" i="1"/>
  <c r="AM1128" i="1"/>
  <c r="AM1140" i="1"/>
  <c r="AN1144" i="1"/>
  <c r="AM1148" i="1"/>
  <c r="AN1149" i="1"/>
  <c r="Z1154" i="1"/>
  <c r="AA1154" i="1" s="1"/>
  <c r="Y1124" i="1"/>
  <c r="Z1124" i="1" s="1"/>
  <c r="AA1124" i="1" s="1"/>
  <c r="Y1144" i="1"/>
  <c r="Z1144" i="1" s="1"/>
  <c r="AA1144" i="1" s="1"/>
  <c r="AM954" i="1"/>
  <c r="AM1161" i="1"/>
  <c r="AM1159" i="1"/>
  <c r="AN1159" i="1"/>
  <c r="Y1152" i="1"/>
  <c r="Z1152" i="1" s="1"/>
  <c r="AA1152" i="1" s="1"/>
  <c r="Z1156" i="1"/>
  <c r="AA1156" i="1" s="1"/>
  <c r="AN1154" i="1"/>
  <c r="AM1151" i="1"/>
  <c r="AN1151" i="1"/>
  <c r="AM1155" i="1"/>
  <c r="AN1155" i="1"/>
  <c r="Y1134" i="1"/>
  <c r="Z1134" i="1" s="1"/>
  <c r="AA1134" i="1" s="1"/>
  <c r="Z1128" i="1"/>
  <c r="AA1128" i="1" s="1"/>
  <c r="Y1140" i="1"/>
  <c r="Z1140" i="1" s="1"/>
  <c r="AA1140" i="1" s="1"/>
  <c r="AN909" i="1"/>
  <c r="AN950" i="1"/>
  <c r="AN1153" i="1"/>
  <c r="AM1153" i="1"/>
  <c r="Y1142" i="1"/>
  <c r="Z1142" i="1" s="1"/>
  <c r="AA1142" i="1" s="1"/>
  <c r="AN1145" i="1"/>
  <c r="AN1141" i="1"/>
  <c r="AN1139" i="1"/>
  <c r="AM1137" i="1"/>
  <c r="AN1137" i="1"/>
  <c r="AM1135" i="1"/>
  <c r="AN1133" i="1"/>
  <c r="Y1132" i="1"/>
  <c r="Z1132" i="1" s="1"/>
  <c r="AA1132" i="1" s="1"/>
  <c r="Y1130" i="1"/>
  <c r="Z1130" i="1" s="1"/>
  <c r="AA1130" i="1" s="1"/>
  <c r="AM1129" i="1"/>
  <c r="AN1131" i="1"/>
  <c r="AN963" i="1"/>
  <c r="AN1086" i="1"/>
  <c r="AN924" i="1"/>
  <c r="AN913" i="1"/>
  <c r="AN926" i="1"/>
  <c r="AM910" i="1"/>
  <c r="AN917" i="1"/>
  <c r="AM900" i="1"/>
  <c r="Z1099" i="1"/>
  <c r="AA1099" i="1" s="1"/>
  <c r="Z1119" i="1"/>
  <c r="AA1119" i="1" s="1"/>
  <c r="AN901" i="1"/>
  <c r="AN908" i="1"/>
  <c r="AN911" i="1"/>
  <c r="AN921" i="1"/>
  <c r="AN923" i="1"/>
  <c r="AN996" i="1"/>
  <c r="AM931" i="1"/>
  <c r="AN1032" i="1"/>
  <c r="AM1044" i="1"/>
  <c r="AM1039" i="1"/>
  <c r="AM1067" i="1"/>
  <c r="AN1067" i="1"/>
  <c r="AM1071" i="1"/>
  <c r="AN1071" i="1"/>
  <c r="AM1079" i="1"/>
  <c r="AN1079" i="1"/>
  <c r="Z1087" i="1"/>
  <c r="AA1087" i="1" s="1"/>
  <c r="Y1117" i="1"/>
  <c r="Z1117" i="1" s="1"/>
  <c r="AA1117" i="1" s="1"/>
  <c r="AN920" i="1"/>
  <c r="AM955" i="1"/>
  <c r="AM956" i="1"/>
  <c r="AN942" i="1"/>
  <c r="AN1028" i="1"/>
  <c r="AN1107" i="1"/>
  <c r="AM1069" i="1"/>
  <c r="AN1069" i="1"/>
  <c r="AN1081" i="1"/>
  <c r="AM1081" i="1"/>
  <c r="AM1111" i="1"/>
  <c r="AN1111" i="1"/>
  <c r="AN1070" i="1"/>
  <c r="AM1112" i="1"/>
  <c r="AM1082" i="1"/>
  <c r="Y1121" i="1"/>
  <c r="Z1121" i="1" s="1"/>
  <c r="AA1121" i="1" s="1"/>
  <c r="AN1121" i="1"/>
  <c r="AM1121" i="1"/>
  <c r="Z1120" i="1"/>
  <c r="AA1120" i="1" s="1"/>
  <c r="AM1120" i="1"/>
  <c r="AN1120" i="1"/>
  <c r="AM1118" i="1"/>
  <c r="AN1118" i="1"/>
  <c r="AM1117" i="1"/>
  <c r="Z1116" i="1"/>
  <c r="AA1116" i="1" s="1"/>
  <c r="AM1116" i="1"/>
  <c r="AN1116" i="1"/>
  <c r="Z1114" i="1"/>
  <c r="AA1114" i="1" s="1"/>
  <c r="AN1114" i="1"/>
  <c r="AM1114" i="1"/>
  <c r="Y1113" i="1"/>
  <c r="Z1113" i="1" s="1"/>
  <c r="AA1113" i="1" s="1"/>
  <c r="AM1113" i="1"/>
  <c r="AN1113" i="1"/>
  <c r="Z1111" i="1"/>
  <c r="AA1111" i="1" s="1"/>
  <c r="Z1110" i="1"/>
  <c r="AA1110" i="1" s="1"/>
  <c r="Y1109" i="1"/>
  <c r="Z1109" i="1" s="1"/>
  <c r="AA1109" i="1" s="1"/>
  <c r="AM1108" i="1"/>
  <c r="AN1108" i="1"/>
  <c r="Y1107" i="1"/>
  <c r="Z1107" i="1" s="1"/>
  <c r="AA1107" i="1" s="1"/>
  <c r="AM1106" i="1"/>
  <c r="AN1106" i="1"/>
  <c r="Y1105" i="1"/>
  <c r="Z1105" i="1" s="1"/>
  <c r="AA1105" i="1" s="1"/>
  <c r="AN1105" i="1"/>
  <c r="AM1105" i="1"/>
  <c r="Z1104" i="1"/>
  <c r="AA1104" i="1" s="1"/>
  <c r="AN1097" i="1"/>
  <c r="Z1102" i="1"/>
  <c r="AA1102" i="1" s="1"/>
  <c r="Z1101" i="1"/>
  <c r="AA1101" i="1" s="1"/>
  <c r="Z1100" i="1"/>
  <c r="AA1100" i="1" s="1"/>
  <c r="AM1099" i="1"/>
  <c r="AN1099" i="1"/>
  <c r="AM1098" i="1"/>
  <c r="AN1098" i="1"/>
  <c r="Y1097" i="1"/>
  <c r="Z1097" i="1" s="1"/>
  <c r="AA1097" i="1" s="1"/>
  <c r="Z1096" i="1"/>
  <c r="AA1096" i="1" s="1"/>
  <c r="AM1096" i="1"/>
  <c r="AN1096" i="1"/>
  <c r="AN1094" i="1"/>
  <c r="Y1093" i="1"/>
  <c r="Z1093" i="1" s="1"/>
  <c r="AA1093" i="1" s="1"/>
  <c r="Z1092" i="1"/>
  <c r="AA1092" i="1" s="1"/>
  <c r="AN1091" i="1"/>
  <c r="Y1089" i="1"/>
  <c r="Z1089" i="1" s="1"/>
  <c r="AA1089" i="1" s="1"/>
  <c r="AM1087" i="1"/>
  <c r="AN1087" i="1"/>
  <c r="Z1085" i="1"/>
  <c r="AA1085" i="1" s="1"/>
  <c r="AM1085" i="1"/>
  <c r="AN1085" i="1"/>
  <c r="AM1084" i="1"/>
  <c r="Z1081" i="1"/>
  <c r="AA1081" i="1" s="1"/>
  <c r="Y1077" i="1"/>
  <c r="Z1077" i="1" s="1"/>
  <c r="AA1077" i="1" s="1"/>
  <c r="AM1075" i="1"/>
  <c r="AN1075" i="1"/>
  <c r="AM1074" i="1"/>
  <c r="AN1074" i="1"/>
  <c r="AA1074" i="1"/>
  <c r="Y1069" i="1"/>
  <c r="Z1069" i="1" s="1"/>
  <c r="AA1069" i="1" s="1"/>
  <c r="Z1065" i="1"/>
  <c r="AA1065" i="1" s="1"/>
  <c r="AM1063" i="1"/>
  <c r="AN1063" i="1"/>
  <c r="AM1062" i="1"/>
  <c r="Z1061" i="1"/>
  <c r="AA1061" i="1" s="1"/>
  <c r="AM1061" i="1"/>
  <c r="AN1061" i="1"/>
  <c r="AN1060" i="1"/>
  <c r="AM1060" i="1"/>
  <c r="AM1059" i="1"/>
  <c r="AN1059" i="1"/>
  <c r="AN1058" i="1"/>
  <c r="AM1058" i="1"/>
  <c r="Z1057" i="1"/>
  <c r="AA1057" i="1" s="1"/>
  <c r="AM1057" i="1"/>
  <c r="AN1057" i="1"/>
  <c r="AN1056" i="1"/>
  <c r="AM1056" i="1"/>
  <c r="AM1054" i="1"/>
  <c r="AN1054" i="1"/>
  <c r="AM1055" i="1"/>
  <c r="AM1045" i="1"/>
  <c r="AN1045" i="1"/>
  <c r="AN1050" i="1"/>
  <c r="AM1050" i="1"/>
  <c r="AM1016" i="1"/>
  <c r="AN1016" i="1"/>
  <c r="AM1020" i="1"/>
  <c r="AN1020" i="1"/>
  <c r="AM1040" i="1"/>
  <c r="AN1040" i="1"/>
  <c r="AM1017" i="1"/>
  <c r="AM1021" i="1"/>
  <c r="AN1025" i="1"/>
  <c r="AM1029" i="1"/>
  <c r="AM1033" i="1"/>
  <c r="AN905" i="1"/>
  <c r="AN914" i="1"/>
  <c r="AN918" i="1"/>
  <c r="AN930" i="1"/>
  <c r="AN941" i="1"/>
  <c r="AN952" i="1"/>
  <c r="AM977" i="1"/>
  <c r="AN990" i="1"/>
  <c r="AN1000" i="1"/>
  <c r="AM929" i="1"/>
  <c r="AN1012" i="1"/>
  <c r="AN1026" i="1"/>
  <c r="AN1030" i="1"/>
  <c r="AN1036" i="1"/>
  <c r="AN1051" i="1"/>
  <c r="AN1052" i="1"/>
  <c r="AN1014" i="1"/>
  <c r="AM1014" i="1"/>
  <c r="AN1035" i="1"/>
  <c r="AM1035" i="1"/>
  <c r="AM1043" i="1"/>
  <c r="AN1043" i="1"/>
  <c r="AM1018" i="1"/>
  <c r="AN1018" i="1"/>
  <c r="AM1022" i="1"/>
  <c r="AN1022" i="1"/>
  <c r="AM1038" i="1"/>
  <c r="AN1038" i="1"/>
  <c r="AM1019" i="1"/>
  <c r="AM1023" i="1"/>
  <c r="AM1027" i="1"/>
  <c r="AM1031" i="1"/>
  <c r="AM1037" i="1"/>
  <c r="AM1041" i="1"/>
  <c r="AN1047" i="1"/>
  <c r="AM1047" i="1"/>
  <c r="AN1015" i="1"/>
  <c r="Y1036" i="1"/>
  <c r="Z1036" i="1" s="1"/>
  <c r="AA1036" i="1" s="1"/>
  <c r="Z1032" i="1"/>
  <c r="AA1032" i="1" s="1"/>
  <c r="Y1030" i="1"/>
  <c r="Z1030" i="1" s="1"/>
  <c r="AA1030" i="1" s="1"/>
  <c r="Z1020" i="1"/>
  <c r="AA1020" i="1" s="1"/>
  <c r="Z1016" i="1"/>
  <c r="AA1016" i="1" s="1"/>
  <c r="Z1014" i="1"/>
  <c r="AA1014" i="1" s="1"/>
  <c r="Z1012" i="1"/>
  <c r="AA1012" i="1" s="1"/>
  <c r="AN1011" i="1"/>
  <c r="AM1011" i="1"/>
  <c r="X1001" i="1"/>
  <c r="Y1001" i="1" s="1"/>
  <c r="AN907" i="1"/>
  <c r="AN916" i="1"/>
  <c r="AN925" i="1"/>
  <c r="AM912" i="1"/>
  <c r="AN939" i="1"/>
  <c r="AN967" i="1"/>
  <c r="AM974" i="1"/>
  <c r="AM983" i="1"/>
  <c r="AN983" i="1"/>
  <c r="AN972" i="1"/>
  <c r="AM1006" i="1"/>
  <c r="AN1006" i="1"/>
  <c r="AM938" i="1"/>
  <c r="AN981" i="1"/>
  <c r="AM981" i="1"/>
  <c r="AM1004" i="1"/>
  <c r="AN1004" i="1"/>
  <c r="AM1002" i="1"/>
  <c r="AN1002" i="1"/>
  <c r="Z999" i="1"/>
  <c r="AA999" i="1" s="1"/>
  <c r="AN997" i="1"/>
  <c r="AM997" i="1"/>
  <c r="Z995" i="1"/>
  <c r="AA995" i="1" s="1"/>
  <c r="AM994" i="1"/>
  <c r="AN994" i="1"/>
  <c r="AM993" i="1"/>
  <c r="AN993" i="1"/>
  <c r="AM992" i="1"/>
  <c r="AN992" i="1"/>
  <c r="AM995" i="1"/>
  <c r="AN995" i="1"/>
  <c r="AM991" i="1"/>
  <c r="Z987" i="1"/>
  <c r="AA987" i="1" s="1"/>
  <c r="AM987" i="1"/>
  <c r="AN987" i="1"/>
  <c r="AN986" i="1"/>
  <c r="AM986" i="1"/>
  <c r="AM985" i="1"/>
  <c r="AN985" i="1"/>
  <c r="AN984" i="1"/>
  <c r="AM984" i="1"/>
  <c r="Z983" i="1"/>
  <c r="AA983" i="1" s="1"/>
  <c r="AN982" i="1"/>
  <c r="AM979" i="1"/>
  <c r="AM978" i="1"/>
  <c r="AM976" i="1"/>
  <c r="AM975" i="1"/>
  <c r="AM973" i="1"/>
  <c r="AN973" i="1"/>
  <c r="Z971" i="1"/>
  <c r="AA971" i="1" s="1"/>
  <c r="AM971" i="1"/>
  <c r="AN971" i="1"/>
  <c r="Z969" i="1"/>
  <c r="AA969" i="1" s="1"/>
  <c r="AM966" i="1"/>
  <c r="AN965" i="1"/>
  <c r="AM964" i="1"/>
  <c r="Z963" i="1"/>
  <c r="AA963" i="1" s="1"/>
  <c r="AN961" i="1"/>
  <c r="AM961" i="1"/>
  <c r="Z959" i="1"/>
  <c r="AA959" i="1" s="1"/>
  <c r="AN957" i="1"/>
  <c r="AM957" i="1"/>
  <c r="Z955" i="1"/>
  <c r="AA955" i="1" s="1"/>
  <c r="Z951" i="1"/>
  <c r="AA951" i="1" s="1"/>
  <c r="AN948" i="1"/>
  <c r="AM948" i="1"/>
  <c r="AM947" i="1"/>
  <c r="AN947" i="1"/>
  <c r="AN946" i="1"/>
  <c r="AM946" i="1"/>
  <c r="Z945" i="1"/>
  <c r="AA945" i="1" s="1"/>
  <c r="AM945" i="1"/>
  <c r="AN945" i="1"/>
  <c r="AN944" i="1"/>
  <c r="AM944" i="1"/>
  <c r="AM943" i="1"/>
  <c r="AN943" i="1"/>
  <c r="Z941" i="1"/>
  <c r="AA941" i="1" s="1"/>
  <c r="AM940" i="1"/>
  <c r="Z939" i="1"/>
  <c r="AA939" i="1" s="1"/>
  <c r="AM936" i="1"/>
  <c r="AN936" i="1"/>
  <c r="Z935" i="1"/>
  <c r="AA935" i="1" s="1"/>
  <c r="AN935" i="1"/>
  <c r="AM935" i="1"/>
  <c r="AM934" i="1"/>
  <c r="AN934" i="1"/>
  <c r="Z933" i="1"/>
  <c r="AA933" i="1" s="1"/>
  <c r="AN933" i="1"/>
  <c r="AM933" i="1"/>
  <c r="AN932" i="1"/>
  <c r="Z929" i="1"/>
  <c r="AA929" i="1" s="1"/>
  <c r="AM928" i="1"/>
  <c r="AN928" i="1"/>
  <c r="AN922" i="1"/>
  <c r="Y923" i="1"/>
  <c r="Z923" i="1" s="1"/>
  <c r="AA923" i="1" s="1"/>
  <c r="AN899" i="1"/>
  <c r="AN904" i="1"/>
  <c r="Z925" i="1"/>
  <c r="AA925" i="1" s="1"/>
  <c r="Z920" i="1"/>
  <c r="AA920" i="1" s="1"/>
  <c r="Z914" i="1"/>
  <c r="AA914" i="1" s="1"/>
  <c r="Z912" i="1"/>
  <c r="AA912" i="1" s="1"/>
  <c r="Z911" i="1"/>
  <c r="AA911" i="1" s="1"/>
  <c r="Z908" i="1"/>
  <c r="AA908" i="1" s="1"/>
  <c r="AN902" i="1"/>
  <c r="Z905" i="1"/>
  <c r="AA905" i="1" s="1"/>
  <c r="Z904" i="1"/>
  <c r="AA904" i="1" s="1"/>
  <c r="AN898" i="1"/>
  <c r="AM898" i="1"/>
  <c r="Z897" i="1"/>
  <c r="AA897" i="1" s="1"/>
  <c r="AM897" i="1"/>
  <c r="AN897" i="1"/>
  <c r="AM896" i="1"/>
  <c r="Z1001" i="1" l="1"/>
  <c r="AA1001" i="1" s="1"/>
  <c r="AF894" i="1" l="1"/>
  <c r="W894" i="1" s="1"/>
  <c r="AL894" i="1"/>
  <c r="AO894" i="1" s="1"/>
  <c r="AP894" i="1" s="1"/>
  <c r="B893" i="1"/>
  <c r="C893" i="1" s="1"/>
  <c r="D893" i="1"/>
  <c r="AD893" i="1" s="1"/>
  <c r="AE893" i="1"/>
  <c r="AF893" i="1"/>
  <c r="W893" i="1" s="1"/>
  <c r="AH893" i="1"/>
  <c r="AK893" i="1" s="1"/>
  <c r="AL893" i="1"/>
  <c r="AM893" i="1" s="1"/>
  <c r="B892" i="1"/>
  <c r="C892" i="1" s="1"/>
  <c r="AF892" i="1"/>
  <c r="W892" i="1" s="1"/>
  <c r="AL892" i="1"/>
  <c r="AO892" i="1"/>
  <c r="AP892" i="1" s="1"/>
  <c r="B891" i="1"/>
  <c r="C891" i="1" s="1"/>
  <c r="AF891" i="1"/>
  <c r="W891" i="1" s="1"/>
  <c r="AL891" i="1"/>
  <c r="AO891" i="1"/>
  <c r="AP891" i="1" s="1"/>
  <c r="B890" i="1"/>
  <c r="C890" i="1" s="1"/>
  <c r="AF890" i="1"/>
  <c r="W890" i="1" s="1"/>
  <c r="AL890" i="1"/>
  <c r="AO890" i="1"/>
  <c r="AP890" i="1" s="1"/>
  <c r="AO876" i="1"/>
  <c r="AP876" i="1" s="1"/>
  <c r="AL876" i="1"/>
  <c r="AF876" i="1"/>
  <c r="B876" i="1"/>
  <c r="C876" i="1" s="1"/>
  <c r="AL875" i="1"/>
  <c r="AK875" i="1"/>
  <c r="AF875" i="1"/>
  <c r="N866" i="1"/>
  <c r="B849" i="1"/>
  <c r="C849" i="1" s="1"/>
  <c r="AF849" i="1"/>
  <c r="W849" i="1" s="1"/>
  <c r="AL849" i="1"/>
  <c r="AO849" i="1"/>
  <c r="AP849" i="1" s="1"/>
  <c r="AE875" i="1" l="1"/>
  <c r="W875" i="1"/>
  <c r="X875" i="1" s="1"/>
  <c r="AE876" i="1"/>
  <c r="W876" i="1"/>
  <c r="X876" i="1" s="1"/>
  <c r="AQ893" i="1"/>
  <c r="AN893" i="1"/>
  <c r="AO893" i="1"/>
  <c r="AP893" i="1" s="1"/>
  <c r="AE894" i="1"/>
  <c r="AN894" i="1" s="1"/>
  <c r="X894" i="1"/>
  <c r="AM894" i="1"/>
  <c r="AI893" i="1"/>
  <c r="AG893" i="1"/>
  <c r="AC893" i="1"/>
  <c r="Y893" i="1"/>
  <c r="AA893" i="1"/>
  <c r="X893" i="1"/>
  <c r="Z893" i="1"/>
  <c r="X892" i="1"/>
  <c r="Y892" i="1" s="1"/>
  <c r="Z892" i="1" s="1"/>
  <c r="AA892" i="1" s="1"/>
  <c r="AE892" i="1"/>
  <c r="AN892" i="1" s="1"/>
  <c r="AE891" i="1"/>
  <c r="AN891" i="1" s="1"/>
  <c r="X891" i="1"/>
  <c r="AM891" i="1"/>
  <c r="AE890" i="1"/>
  <c r="X890" i="1"/>
  <c r="AN875" i="1"/>
  <c r="AN876" i="1"/>
  <c r="AM875" i="1"/>
  <c r="AO875" i="1"/>
  <c r="AP875" i="1" s="1"/>
  <c r="AM876" i="1"/>
  <c r="AE849" i="1"/>
  <c r="AM849" i="1" s="1"/>
  <c r="X849" i="1"/>
  <c r="Y849" i="1" s="1"/>
  <c r="Z849" i="1" s="1"/>
  <c r="AA849" i="1" s="1"/>
  <c r="N833" i="1"/>
  <c r="N832" i="1"/>
  <c r="Y894" i="1" l="1"/>
  <c r="Z894" i="1" s="1"/>
  <c r="AA894" i="1" s="1"/>
  <c r="AM892" i="1"/>
  <c r="Y891" i="1"/>
  <c r="Z891" i="1" s="1"/>
  <c r="AA891" i="1" s="1"/>
  <c r="Y890" i="1"/>
  <c r="Z890" i="1" s="1"/>
  <c r="AA890" i="1" s="1"/>
  <c r="AN890" i="1"/>
  <c r="AM890" i="1"/>
  <c r="Y876" i="1"/>
  <c r="Z876" i="1" s="1"/>
  <c r="AA876" i="1" s="1"/>
  <c r="Y875" i="1"/>
  <c r="Z875" i="1" s="1"/>
  <c r="AA875" i="1" s="1"/>
  <c r="AN849" i="1"/>
  <c r="N691" i="1"/>
  <c r="B685" i="1" l="1"/>
  <c r="B686" i="1"/>
  <c r="B687" i="1"/>
  <c r="B688" i="1"/>
  <c r="B689" i="1"/>
  <c r="B690" i="1"/>
  <c r="C685" i="1"/>
  <c r="C686" i="1"/>
  <c r="C687" i="1"/>
  <c r="C688" i="1"/>
  <c r="C689" i="1"/>
  <c r="C690" i="1"/>
  <c r="D690" i="1"/>
  <c r="AC690" i="1" s="1"/>
  <c r="AE690" i="1"/>
  <c r="AF685" i="1"/>
  <c r="AF686" i="1"/>
  <c r="W686" i="1" s="1"/>
  <c r="AF687" i="1"/>
  <c r="W687" i="1" s="1"/>
  <c r="AF688" i="1"/>
  <c r="AF689" i="1"/>
  <c r="W689" i="1" s="1"/>
  <c r="AF690" i="1"/>
  <c r="W690" i="1" s="1"/>
  <c r="AH690" i="1"/>
  <c r="AK690" i="1" s="1"/>
  <c r="AL685" i="1"/>
  <c r="AL686" i="1"/>
  <c r="AL687" i="1"/>
  <c r="AL688" i="1"/>
  <c r="AL689" i="1"/>
  <c r="AL690" i="1"/>
  <c r="AM690" i="1" s="1"/>
  <c r="AN690" i="1"/>
  <c r="AO685" i="1"/>
  <c r="AO686" i="1"/>
  <c r="AO687" i="1"/>
  <c r="AO688" i="1"/>
  <c r="AO689" i="1"/>
  <c r="AO690" i="1"/>
  <c r="AP685" i="1"/>
  <c r="AP686" i="1"/>
  <c r="AP687" i="1"/>
  <c r="AP688" i="1"/>
  <c r="AP689" i="1"/>
  <c r="AP690" i="1"/>
  <c r="AE688" i="1" l="1"/>
  <c r="AN688" i="1" s="1"/>
  <c r="W688" i="1"/>
  <c r="AE685" i="1"/>
  <c r="AN685" i="1" s="1"/>
  <c r="W685" i="1"/>
  <c r="AQ690" i="1"/>
  <c r="X690" i="1"/>
  <c r="Y690" i="1"/>
  <c r="Z690" i="1"/>
  <c r="AA690" i="1"/>
  <c r="X689" i="1"/>
  <c r="Y689" i="1" s="1"/>
  <c r="Z689" i="1" s="1"/>
  <c r="AA689" i="1" s="1"/>
  <c r="AE689" i="1"/>
  <c r="AM688" i="1"/>
  <c r="X687" i="1"/>
  <c r="Y687" i="1" s="1"/>
  <c r="Z687" i="1" s="1"/>
  <c r="AA687" i="1" s="1"/>
  <c r="AE687" i="1"/>
  <c r="AM687" i="1" s="1"/>
  <c r="X686" i="1"/>
  <c r="Y686" i="1" s="1"/>
  <c r="Z686" i="1" s="1"/>
  <c r="AA686" i="1" s="1"/>
  <c r="AE686" i="1"/>
  <c r="AG690" i="1"/>
  <c r="AD690" i="1"/>
  <c r="AI690" i="1"/>
  <c r="AM685" i="1"/>
  <c r="X685" i="1" l="1"/>
  <c r="Y685" i="1"/>
  <c r="AM689" i="1"/>
  <c r="AN689" i="1"/>
  <c r="X688" i="1"/>
  <c r="Y688" i="1" s="1"/>
  <c r="Z688" i="1" s="1"/>
  <c r="AA688" i="1" s="1"/>
  <c r="AN687" i="1"/>
  <c r="AN686" i="1"/>
  <c r="AM686" i="1"/>
  <c r="Z685" i="1" l="1"/>
  <c r="AA685" i="1" s="1"/>
  <c r="B639" i="1"/>
  <c r="C639" i="1" s="1"/>
  <c r="B641" i="1"/>
  <c r="C641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B649" i="1"/>
  <c r="C649" i="1" s="1"/>
  <c r="B650" i="1"/>
  <c r="C650" i="1" s="1"/>
  <c r="B651" i="1"/>
  <c r="C651" i="1" s="1"/>
  <c r="B653" i="1"/>
  <c r="C653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5" i="1"/>
  <c r="C665" i="1" s="1"/>
  <c r="B667" i="1"/>
  <c r="C667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80" i="1"/>
  <c r="C680" i="1" s="1"/>
  <c r="B681" i="1"/>
  <c r="C681" i="1" s="1"/>
  <c r="B682" i="1"/>
  <c r="C682" i="1" s="1"/>
  <c r="B683" i="1"/>
  <c r="C683" i="1" s="1"/>
  <c r="B684" i="1"/>
  <c r="C684" i="1" s="1"/>
  <c r="B692" i="1"/>
  <c r="C692" i="1" s="1"/>
  <c r="B694" i="1"/>
  <c r="B695" i="1"/>
  <c r="C695" i="1" s="1"/>
  <c r="B697" i="1"/>
  <c r="C697" i="1" s="1"/>
  <c r="B699" i="1"/>
  <c r="C699" i="1" s="1"/>
  <c r="B701" i="1"/>
  <c r="C701" i="1" s="1"/>
  <c r="B702" i="1"/>
  <c r="C702" i="1" s="1"/>
  <c r="B703" i="1"/>
  <c r="C703" i="1" s="1"/>
  <c r="B704" i="1"/>
  <c r="B705" i="1"/>
  <c r="C705" i="1" s="1"/>
  <c r="B706" i="1"/>
  <c r="C706" i="1" s="1"/>
  <c r="B708" i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B718" i="1"/>
  <c r="C718" i="1" s="1"/>
  <c r="B719" i="1"/>
  <c r="C719" i="1" s="1"/>
  <c r="B720" i="1"/>
  <c r="B722" i="1"/>
  <c r="B723" i="1"/>
  <c r="C723" i="1" s="1"/>
  <c r="B724" i="1"/>
  <c r="C724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6" i="1"/>
  <c r="C736" i="1" s="1"/>
  <c r="B737" i="1"/>
  <c r="C737" i="1" s="1"/>
  <c r="B738" i="1"/>
  <c r="C738" i="1" s="1"/>
  <c r="B739" i="1"/>
  <c r="C739" i="1" s="1"/>
  <c r="B740" i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B765" i="1"/>
  <c r="C765" i="1" s="1"/>
  <c r="B766" i="1"/>
  <c r="C766" i="1" s="1"/>
  <c r="B767" i="1"/>
  <c r="C767" i="1" s="1"/>
  <c r="B768" i="1"/>
  <c r="C768" i="1" s="1"/>
  <c r="B770" i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B779" i="1"/>
  <c r="C779" i="1" s="1"/>
  <c r="B780" i="1"/>
  <c r="C780" i="1" s="1"/>
  <c r="B781" i="1"/>
  <c r="C781" i="1" s="1"/>
  <c r="B782" i="1"/>
  <c r="C782" i="1" s="1"/>
  <c r="B783" i="1"/>
  <c r="C783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B791" i="1"/>
  <c r="C791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B808" i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5" i="1"/>
  <c r="C825" i="1" s="1"/>
  <c r="B826" i="1"/>
  <c r="B827" i="1"/>
  <c r="C827" i="1" s="1"/>
  <c r="B828" i="1"/>
  <c r="C828" i="1" s="1"/>
  <c r="B829" i="1"/>
  <c r="C829" i="1" s="1"/>
  <c r="B831" i="1"/>
  <c r="C831" i="1" s="1"/>
  <c r="B833" i="1"/>
  <c r="C833" i="1" s="1"/>
  <c r="B834" i="1"/>
  <c r="C834" i="1" s="1"/>
  <c r="B836" i="1"/>
  <c r="C836" i="1" s="1"/>
  <c r="B838" i="1"/>
  <c r="C838" i="1" s="1"/>
  <c r="B839" i="1"/>
  <c r="C839" i="1" s="1"/>
  <c r="B840" i="1"/>
  <c r="C840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50" i="1"/>
  <c r="C850" i="1" s="1"/>
  <c r="B851" i="1"/>
  <c r="C851" i="1" s="1"/>
  <c r="B852" i="1"/>
  <c r="C852" i="1" s="1"/>
  <c r="B853" i="1"/>
  <c r="C853" i="1" s="1"/>
  <c r="B854" i="1"/>
  <c r="C854" i="1" s="1"/>
  <c r="B856" i="1"/>
  <c r="C856" i="1" s="1"/>
  <c r="B857" i="1"/>
  <c r="C857" i="1" s="1"/>
  <c r="B858" i="1"/>
  <c r="C858" i="1" s="1"/>
  <c r="B859" i="1"/>
  <c r="C859" i="1" s="1"/>
  <c r="B860" i="1"/>
  <c r="C860" i="1" s="1"/>
  <c r="B862" i="1"/>
  <c r="C862" i="1" s="1"/>
  <c r="B864" i="1"/>
  <c r="C864" i="1" s="1"/>
  <c r="B865" i="1"/>
  <c r="C865" i="1" s="1"/>
  <c r="B867" i="1"/>
  <c r="C867" i="1" s="1"/>
  <c r="B869" i="1"/>
  <c r="C869" i="1" s="1"/>
  <c r="B870" i="1"/>
  <c r="C870" i="1" s="1"/>
  <c r="B871" i="1"/>
  <c r="C871" i="1" s="1"/>
  <c r="B873" i="1"/>
  <c r="C873" i="1" s="1"/>
  <c r="B874" i="1"/>
  <c r="C874" i="1" s="1"/>
  <c r="B877" i="1"/>
  <c r="C877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C648" i="1"/>
  <c r="C694" i="1"/>
  <c r="C704" i="1"/>
  <c r="C708" i="1"/>
  <c r="C716" i="1"/>
  <c r="C720" i="1"/>
  <c r="C722" i="1"/>
  <c r="C740" i="1"/>
  <c r="C752" i="1"/>
  <c r="C764" i="1"/>
  <c r="C770" i="1"/>
  <c r="C778" i="1"/>
  <c r="C790" i="1"/>
  <c r="C798" i="1"/>
  <c r="C806" i="1"/>
  <c r="C808" i="1"/>
  <c r="C826" i="1"/>
  <c r="D639" i="1"/>
  <c r="AC639" i="1" s="1"/>
  <c r="D644" i="1"/>
  <c r="AI644" i="1" s="1"/>
  <c r="D651" i="1"/>
  <c r="D653" i="1"/>
  <c r="AI653" i="1" s="1"/>
  <c r="D663" i="1"/>
  <c r="AI663" i="1" s="1"/>
  <c r="D665" i="1"/>
  <c r="D667" i="1"/>
  <c r="D678" i="1"/>
  <c r="AI678" i="1" s="1"/>
  <c r="D692" i="1"/>
  <c r="AI692" i="1" s="1"/>
  <c r="D695" i="1"/>
  <c r="AC695" i="1" s="1"/>
  <c r="D697" i="1"/>
  <c r="AG697" i="1" s="1"/>
  <c r="D699" i="1"/>
  <c r="AI699" i="1" s="1"/>
  <c r="D706" i="1"/>
  <c r="AI706" i="1" s="1"/>
  <c r="D716" i="1"/>
  <c r="AI716" i="1" s="1"/>
  <c r="D720" i="1"/>
  <c r="AI720" i="1" s="1"/>
  <c r="D724" i="1"/>
  <c r="AI724" i="1" s="1"/>
  <c r="D734" i="1"/>
  <c r="AI734" i="1" s="1"/>
  <c r="D743" i="1"/>
  <c r="AC743" i="1" s="1"/>
  <c r="D745" i="1"/>
  <c r="AG745" i="1" s="1"/>
  <c r="D752" i="1"/>
  <c r="AI752" i="1" s="1"/>
  <c r="D791" i="1"/>
  <c r="AI791" i="1" s="1"/>
  <c r="D806" i="1"/>
  <c r="AI806" i="1" s="1"/>
  <c r="D823" i="1"/>
  <c r="AG823" i="1" s="1"/>
  <c r="D829" i="1"/>
  <c r="AG829" i="1" s="1"/>
  <c r="D831" i="1"/>
  <c r="AG831" i="1" s="1"/>
  <c r="D834" i="1"/>
  <c r="AC834" i="1" s="1"/>
  <c r="D836" i="1"/>
  <c r="AG836" i="1" s="1"/>
  <c r="D840" i="1"/>
  <c r="AI840" i="1" s="1"/>
  <c r="D854" i="1"/>
  <c r="AG854" i="1" s="1"/>
  <c r="D860" i="1"/>
  <c r="AG860" i="1" s="1"/>
  <c r="D862" i="1"/>
  <c r="AG862" i="1" s="1"/>
  <c r="D865" i="1"/>
  <c r="AG865" i="1" s="1"/>
  <c r="D867" i="1"/>
  <c r="AC867" i="1" s="1"/>
  <c r="D871" i="1"/>
  <c r="AC871" i="1" s="1"/>
  <c r="D874" i="1"/>
  <c r="AI874" i="1" s="1"/>
  <c r="D877" i="1"/>
  <c r="AG877" i="1" s="1"/>
  <c r="D879" i="1"/>
  <c r="AI879" i="1" s="1"/>
  <c r="D887" i="1"/>
  <c r="AC887" i="1" s="1"/>
  <c r="AE639" i="1"/>
  <c r="AE644" i="1"/>
  <c r="AE651" i="1"/>
  <c r="AE653" i="1"/>
  <c r="AE663" i="1"/>
  <c r="AE665" i="1"/>
  <c r="AE667" i="1"/>
  <c r="AE678" i="1"/>
  <c r="AE692" i="1"/>
  <c r="AE695" i="1"/>
  <c r="AE697" i="1"/>
  <c r="AE699" i="1"/>
  <c r="AE706" i="1"/>
  <c r="AE716" i="1"/>
  <c r="AE720" i="1"/>
  <c r="AE724" i="1"/>
  <c r="AE734" i="1"/>
  <c r="AE743" i="1"/>
  <c r="AE745" i="1"/>
  <c r="AE752" i="1"/>
  <c r="AE768" i="1"/>
  <c r="AE783" i="1"/>
  <c r="AE791" i="1"/>
  <c r="AE806" i="1"/>
  <c r="AE823" i="1"/>
  <c r="AE829" i="1"/>
  <c r="AE831" i="1"/>
  <c r="AE834" i="1"/>
  <c r="AE836" i="1"/>
  <c r="AE840" i="1"/>
  <c r="AE854" i="1"/>
  <c r="AE860" i="1"/>
  <c r="AE862" i="1"/>
  <c r="AE865" i="1"/>
  <c r="AE867" i="1"/>
  <c r="AE871" i="1"/>
  <c r="AE874" i="1"/>
  <c r="AE877" i="1"/>
  <c r="AE879" i="1"/>
  <c r="AE887" i="1"/>
  <c r="AF639" i="1"/>
  <c r="W639" i="1" s="1"/>
  <c r="AF640" i="1"/>
  <c r="AF641" i="1"/>
  <c r="AF642" i="1"/>
  <c r="AF643" i="1"/>
  <c r="AF644" i="1"/>
  <c r="W644" i="1" s="1"/>
  <c r="AF645" i="1"/>
  <c r="AF646" i="1"/>
  <c r="AF647" i="1"/>
  <c r="AF648" i="1"/>
  <c r="AF649" i="1"/>
  <c r="AF650" i="1"/>
  <c r="AF651" i="1"/>
  <c r="W651" i="1" s="1"/>
  <c r="AF652" i="1"/>
  <c r="AF653" i="1"/>
  <c r="W653" i="1" s="1"/>
  <c r="AF654" i="1"/>
  <c r="AF655" i="1"/>
  <c r="AF656" i="1"/>
  <c r="AF657" i="1"/>
  <c r="AF658" i="1"/>
  <c r="AF659" i="1"/>
  <c r="AF660" i="1"/>
  <c r="AF661" i="1"/>
  <c r="AF662" i="1"/>
  <c r="AF663" i="1"/>
  <c r="W663" i="1" s="1"/>
  <c r="AF664" i="1"/>
  <c r="W664" i="1" s="1"/>
  <c r="AF665" i="1"/>
  <c r="W665" i="1" s="1"/>
  <c r="AF666" i="1"/>
  <c r="W666" i="1" s="1"/>
  <c r="AF667" i="1"/>
  <c r="W667" i="1" s="1"/>
  <c r="AF668" i="1"/>
  <c r="W668" i="1" s="1"/>
  <c r="AF669" i="1"/>
  <c r="W669" i="1" s="1"/>
  <c r="AF670" i="1"/>
  <c r="W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W677" i="1" s="1"/>
  <c r="AF678" i="1"/>
  <c r="W678" i="1" s="1"/>
  <c r="AF679" i="1"/>
  <c r="W679" i="1" s="1"/>
  <c r="AF680" i="1"/>
  <c r="W680" i="1" s="1"/>
  <c r="AF681" i="1"/>
  <c r="W681" i="1" s="1"/>
  <c r="AF682" i="1"/>
  <c r="W682" i="1" s="1"/>
  <c r="AF683" i="1"/>
  <c r="W683" i="1" s="1"/>
  <c r="AF684" i="1"/>
  <c r="W684" i="1" s="1"/>
  <c r="AF691" i="1"/>
  <c r="W691" i="1" s="1"/>
  <c r="AF692" i="1"/>
  <c r="W692" i="1" s="1"/>
  <c r="AF693" i="1"/>
  <c r="AF694" i="1"/>
  <c r="AF695" i="1"/>
  <c r="W695" i="1" s="1"/>
  <c r="AF696" i="1"/>
  <c r="W696" i="1" s="1"/>
  <c r="AF697" i="1"/>
  <c r="W697" i="1" s="1"/>
  <c r="AF698" i="1"/>
  <c r="AF699" i="1"/>
  <c r="W699" i="1" s="1"/>
  <c r="AF700" i="1"/>
  <c r="W700" i="1" s="1"/>
  <c r="AF701" i="1"/>
  <c r="W701" i="1" s="1"/>
  <c r="AF702" i="1"/>
  <c r="AF703" i="1"/>
  <c r="W703" i="1" s="1"/>
  <c r="AF704" i="1"/>
  <c r="W704" i="1" s="1"/>
  <c r="AF705" i="1"/>
  <c r="W705" i="1" s="1"/>
  <c r="AF706" i="1"/>
  <c r="AF707" i="1"/>
  <c r="W707" i="1" s="1"/>
  <c r="AF708" i="1"/>
  <c r="W708" i="1" s="1"/>
  <c r="AF709" i="1"/>
  <c r="W709" i="1" s="1"/>
  <c r="AF710" i="1"/>
  <c r="W710" i="1" s="1"/>
  <c r="AF711" i="1"/>
  <c r="W711" i="1" s="1"/>
  <c r="AF712" i="1"/>
  <c r="W712" i="1" s="1"/>
  <c r="AF713" i="1"/>
  <c r="W713" i="1" s="1"/>
  <c r="AF714" i="1"/>
  <c r="AF715" i="1"/>
  <c r="W715" i="1" s="1"/>
  <c r="AF716" i="1"/>
  <c r="W716" i="1" s="1"/>
  <c r="AF717" i="1"/>
  <c r="AF718" i="1"/>
  <c r="AF719" i="1"/>
  <c r="AF720" i="1"/>
  <c r="W720" i="1" s="1"/>
  <c r="AF721" i="1"/>
  <c r="AF722" i="1"/>
  <c r="AF723" i="1"/>
  <c r="AF724" i="1"/>
  <c r="W724" i="1" s="1"/>
  <c r="AF725" i="1"/>
  <c r="W725" i="1" s="1"/>
  <c r="AF726" i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AF735" i="1"/>
  <c r="W735" i="1" s="1"/>
  <c r="AF736" i="1"/>
  <c r="W736" i="1" s="1"/>
  <c r="AF737" i="1"/>
  <c r="W737" i="1" s="1"/>
  <c r="AF738" i="1"/>
  <c r="AF739" i="1"/>
  <c r="W739" i="1" s="1"/>
  <c r="AF740" i="1"/>
  <c r="W740" i="1" s="1"/>
  <c r="AF741" i="1"/>
  <c r="W741" i="1" s="1"/>
  <c r="AF742" i="1"/>
  <c r="AF743" i="1"/>
  <c r="W743" i="1" s="1"/>
  <c r="AF744" i="1"/>
  <c r="W744" i="1" s="1"/>
  <c r="AF745" i="1"/>
  <c r="W745" i="1" s="1"/>
  <c r="AF746" i="1"/>
  <c r="AF747" i="1"/>
  <c r="W747" i="1" s="1"/>
  <c r="AF748" i="1"/>
  <c r="W748" i="1" s="1"/>
  <c r="AF749" i="1"/>
  <c r="W749" i="1" s="1"/>
  <c r="AF750" i="1"/>
  <c r="AF751" i="1"/>
  <c r="W751" i="1" s="1"/>
  <c r="AF752" i="1"/>
  <c r="W752" i="1" s="1"/>
  <c r="AF753" i="1"/>
  <c r="W753" i="1" s="1"/>
  <c r="AF754" i="1"/>
  <c r="AF755" i="1"/>
  <c r="W755" i="1" s="1"/>
  <c r="AF756" i="1"/>
  <c r="W756" i="1" s="1"/>
  <c r="AF757" i="1"/>
  <c r="W757" i="1" s="1"/>
  <c r="AF758" i="1"/>
  <c r="AF759" i="1"/>
  <c r="W759" i="1" s="1"/>
  <c r="AF760" i="1"/>
  <c r="W760" i="1" s="1"/>
  <c r="AF761" i="1"/>
  <c r="W761" i="1" s="1"/>
  <c r="AF762" i="1"/>
  <c r="AF763" i="1"/>
  <c r="W763" i="1" s="1"/>
  <c r="AF764" i="1"/>
  <c r="W764" i="1" s="1"/>
  <c r="AF765" i="1"/>
  <c r="W765" i="1" s="1"/>
  <c r="AF766" i="1"/>
  <c r="AF767" i="1"/>
  <c r="W767" i="1" s="1"/>
  <c r="AF768" i="1"/>
  <c r="AF769" i="1"/>
  <c r="W769" i="1" s="1"/>
  <c r="AF770" i="1"/>
  <c r="AF771" i="1"/>
  <c r="W771" i="1" s="1"/>
  <c r="AF772" i="1"/>
  <c r="W772" i="1" s="1"/>
  <c r="AF773" i="1"/>
  <c r="W773" i="1" s="1"/>
  <c r="AF774" i="1"/>
  <c r="AF775" i="1"/>
  <c r="W775" i="1" s="1"/>
  <c r="AF776" i="1"/>
  <c r="W776" i="1" s="1"/>
  <c r="AF777" i="1"/>
  <c r="W777" i="1" s="1"/>
  <c r="AF778" i="1"/>
  <c r="AF779" i="1"/>
  <c r="W779" i="1" s="1"/>
  <c r="AF780" i="1"/>
  <c r="W780" i="1" s="1"/>
  <c r="AF781" i="1"/>
  <c r="W781" i="1" s="1"/>
  <c r="AF782" i="1"/>
  <c r="AF783" i="1"/>
  <c r="W783" i="1" s="1"/>
  <c r="AF784" i="1"/>
  <c r="W784" i="1" s="1"/>
  <c r="AF785" i="1"/>
  <c r="W785" i="1" s="1"/>
  <c r="AF786" i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AF795" i="1"/>
  <c r="W795" i="1" s="1"/>
  <c r="AF796" i="1"/>
  <c r="W796" i="1" s="1"/>
  <c r="AF797" i="1"/>
  <c r="W797" i="1" s="1"/>
  <c r="AF798" i="1"/>
  <c r="AF799" i="1"/>
  <c r="W799" i="1" s="1"/>
  <c r="AF800" i="1"/>
  <c r="W800" i="1" s="1"/>
  <c r="AF801" i="1"/>
  <c r="W801" i="1" s="1"/>
  <c r="AF802" i="1"/>
  <c r="AF803" i="1"/>
  <c r="W803" i="1" s="1"/>
  <c r="AF804" i="1"/>
  <c r="W804" i="1" s="1"/>
  <c r="AF805" i="1"/>
  <c r="W805" i="1" s="1"/>
  <c r="AF806" i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AF823" i="1"/>
  <c r="W823" i="1" s="1"/>
  <c r="AF824" i="1"/>
  <c r="W824" i="1" s="1"/>
  <c r="AF825" i="1"/>
  <c r="W825" i="1" s="1"/>
  <c r="AF826" i="1"/>
  <c r="AF827" i="1"/>
  <c r="W827" i="1" s="1"/>
  <c r="AF828" i="1"/>
  <c r="W828" i="1" s="1"/>
  <c r="AF829" i="1"/>
  <c r="AF830" i="1"/>
  <c r="W830" i="1" s="1"/>
  <c r="AF831" i="1"/>
  <c r="W831" i="1" s="1"/>
  <c r="AF832" i="1"/>
  <c r="W832" i="1" s="1"/>
  <c r="AF833" i="1"/>
  <c r="W833" i="1" s="1"/>
  <c r="AF834" i="1"/>
  <c r="AF835" i="1"/>
  <c r="W835" i="1" s="1"/>
  <c r="AF836" i="1"/>
  <c r="AF837" i="1"/>
  <c r="W837" i="1" s="1"/>
  <c r="AF838" i="1"/>
  <c r="AF839" i="1"/>
  <c r="W839" i="1" s="1"/>
  <c r="AF840" i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AF847" i="1"/>
  <c r="W847" i="1" s="1"/>
  <c r="AF848" i="1"/>
  <c r="W848" i="1" s="1"/>
  <c r="AF850" i="1"/>
  <c r="W850" i="1" s="1"/>
  <c r="AF851" i="1"/>
  <c r="W851" i="1" s="1"/>
  <c r="AF852" i="1"/>
  <c r="W852" i="1" s="1"/>
  <c r="AF853" i="1"/>
  <c r="W853" i="1" s="1"/>
  <c r="AF854" i="1"/>
  <c r="AF855" i="1"/>
  <c r="AF856" i="1"/>
  <c r="W856" i="1" s="1"/>
  <c r="AF857" i="1"/>
  <c r="W857" i="1" s="1"/>
  <c r="AF858" i="1"/>
  <c r="W858" i="1" s="1"/>
  <c r="AF859" i="1"/>
  <c r="AF860" i="1"/>
  <c r="W860" i="1" s="1"/>
  <c r="AF861" i="1"/>
  <c r="W861" i="1" s="1"/>
  <c r="AF862" i="1"/>
  <c r="AF863" i="1"/>
  <c r="AF864" i="1"/>
  <c r="W864" i="1" s="1"/>
  <c r="AF865" i="1"/>
  <c r="AF866" i="1"/>
  <c r="W866" i="1" s="1"/>
  <c r="AF867" i="1"/>
  <c r="AF868" i="1"/>
  <c r="W868" i="1" s="1"/>
  <c r="AF869" i="1"/>
  <c r="AF870" i="1"/>
  <c r="AF871" i="1"/>
  <c r="AF872" i="1"/>
  <c r="W872" i="1" s="1"/>
  <c r="AF873" i="1"/>
  <c r="W873" i="1" s="1"/>
  <c r="AF874" i="1"/>
  <c r="AF877" i="1"/>
  <c r="W877" i="1" s="1"/>
  <c r="AF878" i="1"/>
  <c r="W878" i="1" s="1"/>
  <c r="AF879" i="1"/>
  <c r="AF880" i="1"/>
  <c r="W880" i="1" s="1"/>
  <c r="AF881" i="1"/>
  <c r="W881" i="1" s="1"/>
  <c r="AF882" i="1"/>
  <c r="W882" i="1" s="1"/>
  <c r="AF883" i="1"/>
  <c r="AF884" i="1"/>
  <c r="W884" i="1" s="1"/>
  <c r="AF885" i="1"/>
  <c r="W885" i="1" s="1"/>
  <c r="AF886" i="1"/>
  <c r="W886" i="1" s="1"/>
  <c r="AF887" i="1"/>
  <c r="AF888" i="1"/>
  <c r="W888" i="1" s="1"/>
  <c r="AH639" i="1"/>
  <c r="AK639" i="1" s="1"/>
  <c r="AH644" i="1"/>
  <c r="AK644" i="1" s="1"/>
  <c r="AH651" i="1"/>
  <c r="AK651" i="1" s="1"/>
  <c r="AH653" i="1"/>
  <c r="AK653" i="1" s="1"/>
  <c r="AH663" i="1"/>
  <c r="AK663" i="1" s="1"/>
  <c r="AH665" i="1"/>
  <c r="AK665" i="1" s="1"/>
  <c r="AH667" i="1"/>
  <c r="AK667" i="1" s="1"/>
  <c r="AH678" i="1"/>
  <c r="AK678" i="1" s="1"/>
  <c r="AH692" i="1"/>
  <c r="AK692" i="1" s="1"/>
  <c r="AH695" i="1"/>
  <c r="AK695" i="1" s="1"/>
  <c r="AH697" i="1"/>
  <c r="AK697" i="1" s="1"/>
  <c r="AH699" i="1"/>
  <c r="AK699" i="1" s="1"/>
  <c r="AH706" i="1"/>
  <c r="AK706" i="1" s="1"/>
  <c r="AH716" i="1"/>
  <c r="AK716" i="1" s="1"/>
  <c r="AH720" i="1"/>
  <c r="AK720" i="1" s="1"/>
  <c r="AH724" i="1"/>
  <c r="AK724" i="1" s="1"/>
  <c r="AH734" i="1"/>
  <c r="AK734" i="1" s="1"/>
  <c r="AH743" i="1"/>
  <c r="AK743" i="1" s="1"/>
  <c r="AH745" i="1"/>
  <c r="AK745" i="1" s="1"/>
  <c r="AH752" i="1"/>
  <c r="AK752" i="1" s="1"/>
  <c r="AH791" i="1"/>
  <c r="AK791" i="1" s="1"/>
  <c r="AH806" i="1"/>
  <c r="AK806" i="1" s="1"/>
  <c r="AH823" i="1"/>
  <c r="AK823" i="1" s="1"/>
  <c r="AH829" i="1"/>
  <c r="AK829" i="1" s="1"/>
  <c r="AH831" i="1"/>
  <c r="AK831" i="1" s="1"/>
  <c r="AH834" i="1"/>
  <c r="AK834" i="1" s="1"/>
  <c r="AH836" i="1"/>
  <c r="AK836" i="1" s="1"/>
  <c r="AH840" i="1"/>
  <c r="AK840" i="1" s="1"/>
  <c r="AH854" i="1"/>
  <c r="AK854" i="1" s="1"/>
  <c r="AH860" i="1"/>
  <c r="AK860" i="1" s="1"/>
  <c r="AH862" i="1"/>
  <c r="AK862" i="1" s="1"/>
  <c r="AH865" i="1"/>
  <c r="AK865" i="1" s="1"/>
  <c r="AH867" i="1"/>
  <c r="AK867" i="1" s="1"/>
  <c r="AH871" i="1"/>
  <c r="AK871" i="1" s="1"/>
  <c r="AH874" i="1"/>
  <c r="AK874" i="1" s="1"/>
  <c r="AH877" i="1"/>
  <c r="AK877" i="1" s="1"/>
  <c r="AH879" i="1"/>
  <c r="AK879" i="1" s="1"/>
  <c r="AH887" i="1"/>
  <c r="AK887" i="1" s="1"/>
  <c r="AK640" i="1"/>
  <c r="AL639" i="1"/>
  <c r="AL640" i="1"/>
  <c r="AL641" i="1"/>
  <c r="AL642" i="1"/>
  <c r="AL643" i="1"/>
  <c r="AL644" i="1"/>
  <c r="AN644" i="1" s="1"/>
  <c r="AL645" i="1"/>
  <c r="AO645" i="1" s="1"/>
  <c r="AP645" i="1" s="1"/>
  <c r="AL646" i="1"/>
  <c r="AL647" i="1"/>
  <c r="AL648" i="1"/>
  <c r="AL649" i="1"/>
  <c r="AL650" i="1"/>
  <c r="AL651" i="1"/>
  <c r="AQ651" i="1" s="1"/>
  <c r="AL652" i="1"/>
  <c r="AO652" i="1" s="1"/>
  <c r="AP652" i="1" s="1"/>
  <c r="AL653" i="1"/>
  <c r="AM653" i="1" s="1"/>
  <c r="AL654" i="1"/>
  <c r="AO654" i="1" s="1"/>
  <c r="AP654" i="1" s="1"/>
  <c r="AL655" i="1"/>
  <c r="AL656" i="1"/>
  <c r="AL657" i="1"/>
  <c r="AL658" i="1"/>
  <c r="AL659" i="1"/>
  <c r="AL660" i="1"/>
  <c r="AL661" i="1"/>
  <c r="AL662" i="1"/>
  <c r="AL663" i="1"/>
  <c r="AL664" i="1"/>
  <c r="AO664" i="1" s="1"/>
  <c r="AP664" i="1" s="1"/>
  <c r="AL665" i="1"/>
  <c r="AL666" i="1"/>
  <c r="AO666" i="1" s="1"/>
  <c r="AP666" i="1" s="1"/>
  <c r="AL667" i="1"/>
  <c r="AL668" i="1"/>
  <c r="AO668" i="1" s="1"/>
  <c r="AP668" i="1" s="1"/>
  <c r="AL669" i="1"/>
  <c r="AL670" i="1"/>
  <c r="AL671" i="1"/>
  <c r="AL672" i="1"/>
  <c r="AL673" i="1"/>
  <c r="AL674" i="1"/>
  <c r="AL675" i="1"/>
  <c r="AL676" i="1"/>
  <c r="AL677" i="1"/>
  <c r="AL678" i="1"/>
  <c r="AQ678" i="1" s="1"/>
  <c r="AL679" i="1"/>
  <c r="AO679" i="1" s="1"/>
  <c r="AP679" i="1" s="1"/>
  <c r="AL680" i="1"/>
  <c r="AL681" i="1"/>
  <c r="AL682" i="1"/>
  <c r="AL683" i="1"/>
  <c r="AL684" i="1"/>
  <c r="AL691" i="1"/>
  <c r="AL692" i="1"/>
  <c r="AL693" i="1"/>
  <c r="AL694" i="1"/>
  <c r="AL695" i="1"/>
  <c r="AL696" i="1"/>
  <c r="AO696" i="1" s="1"/>
  <c r="AP696" i="1" s="1"/>
  <c r="AL697" i="1"/>
  <c r="AQ697" i="1" s="1"/>
  <c r="AL698" i="1"/>
  <c r="AO698" i="1" s="1"/>
  <c r="AP698" i="1" s="1"/>
  <c r="AL699" i="1"/>
  <c r="AL700" i="1"/>
  <c r="AO700" i="1" s="1"/>
  <c r="AP700" i="1" s="1"/>
  <c r="AL701" i="1"/>
  <c r="AL702" i="1"/>
  <c r="AL703" i="1"/>
  <c r="AL704" i="1"/>
  <c r="AL705" i="1"/>
  <c r="AL706" i="1"/>
  <c r="AL707" i="1"/>
  <c r="AO707" i="1" s="1"/>
  <c r="AP707" i="1" s="1"/>
  <c r="AL708" i="1"/>
  <c r="AL709" i="1"/>
  <c r="AL710" i="1"/>
  <c r="AL711" i="1"/>
  <c r="AL712" i="1"/>
  <c r="AL713" i="1"/>
  <c r="AL714" i="1"/>
  <c r="AL715" i="1"/>
  <c r="AL716" i="1"/>
  <c r="AL717" i="1"/>
  <c r="AO717" i="1" s="1"/>
  <c r="AP717" i="1" s="1"/>
  <c r="AL718" i="1"/>
  <c r="AL719" i="1"/>
  <c r="AL720" i="1"/>
  <c r="AN720" i="1" s="1"/>
  <c r="AL721" i="1"/>
  <c r="AO721" i="1" s="1"/>
  <c r="AP721" i="1" s="1"/>
  <c r="AL722" i="1"/>
  <c r="AL723" i="1"/>
  <c r="AL724" i="1"/>
  <c r="AM724" i="1" s="1"/>
  <c r="AL725" i="1"/>
  <c r="AO725" i="1" s="1"/>
  <c r="AP725" i="1" s="1"/>
  <c r="AL726" i="1"/>
  <c r="AL727" i="1"/>
  <c r="AL728" i="1"/>
  <c r="AL729" i="1"/>
  <c r="AL730" i="1"/>
  <c r="AL731" i="1"/>
  <c r="AL732" i="1"/>
  <c r="AL733" i="1"/>
  <c r="AL734" i="1"/>
  <c r="AM734" i="1" s="1"/>
  <c r="AL735" i="1"/>
  <c r="AO735" i="1" s="1"/>
  <c r="AP735" i="1" s="1"/>
  <c r="AL736" i="1"/>
  <c r="AL737" i="1"/>
  <c r="AL738" i="1"/>
  <c r="AL739" i="1"/>
  <c r="AL740" i="1"/>
  <c r="AL741" i="1"/>
  <c r="AL742" i="1"/>
  <c r="AL743" i="1"/>
  <c r="AM743" i="1" s="1"/>
  <c r="AL744" i="1"/>
  <c r="AL745" i="1"/>
  <c r="AL746" i="1"/>
  <c r="AL747" i="1"/>
  <c r="AL748" i="1"/>
  <c r="AL749" i="1"/>
  <c r="AL750" i="1"/>
  <c r="AL751" i="1"/>
  <c r="AL752" i="1"/>
  <c r="AN752" i="1" s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N768" i="1" s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M783" i="1" s="1"/>
  <c r="AL784" i="1"/>
  <c r="AL785" i="1"/>
  <c r="AL786" i="1"/>
  <c r="AL787" i="1"/>
  <c r="AL788" i="1"/>
  <c r="AL789" i="1"/>
  <c r="AL790" i="1"/>
  <c r="AL791" i="1"/>
  <c r="AM791" i="1" s="1"/>
  <c r="AL792" i="1"/>
  <c r="AO792" i="1" s="1"/>
  <c r="AP792" i="1" s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M806" i="1" s="1"/>
  <c r="AL807" i="1"/>
  <c r="AO807" i="1" s="1"/>
  <c r="AP807" i="1" s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M823" i="1" s="1"/>
  <c r="AL824" i="1"/>
  <c r="AO824" i="1" s="1"/>
  <c r="AP824" i="1" s="1"/>
  <c r="AL825" i="1"/>
  <c r="AL826" i="1"/>
  <c r="AL827" i="1"/>
  <c r="AL828" i="1"/>
  <c r="AL829" i="1"/>
  <c r="AM829" i="1" s="1"/>
  <c r="AL830" i="1"/>
  <c r="AO830" i="1" s="1"/>
  <c r="AP830" i="1" s="1"/>
  <c r="AL831" i="1"/>
  <c r="AM831" i="1" s="1"/>
  <c r="AL832" i="1"/>
  <c r="AO832" i="1" s="1"/>
  <c r="AP832" i="1" s="1"/>
  <c r="AL833" i="1"/>
  <c r="AL834" i="1"/>
  <c r="AM834" i="1" s="1"/>
  <c r="AL835" i="1"/>
  <c r="AO835" i="1" s="1"/>
  <c r="AP835" i="1" s="1"/>
  <c r="AL836" i="1"/>
  <c r="AM836" i="1" s="1"/>
  <c r="AL837" i="1"/>
  <c r="AO837" i="1" s="1"/>
  <c r="AP837" i="1" s="1"/>
  <c r="AL838" i="1"/>
  <c r="AL839" i="1"/>
  <c r="AL840" i="1"/>
  <c r="AL841" i="1"/>
  <c r="AO841" i="1" s="1"/>
  <c r="AP841" i="1" s="1"/>
  <c r="AL842" i="1"/>
  <c r="AL843" i="1"/>
  <c r="AL844" i="1"/>
  <c r="AL845" i="1"/>
  <c r="AL846" i="1"/>
  <c r="AL847" i="1"/>
  <c r="AL848" i="1"/>
  <c r="AL850" i="1"/>
  <c r="AL851" i="1"/>
  <c r="AL852" i="1"/>
  <c r="AL853" i="1"/>
  <c r="AL854" i="1"/>
  <c r="AM854" i="1" s="1"/>
  <c r="AL855" i="1"/>
  <c r="AO855" i="1" s="1"/>
  <c r="AP855" i="1" s="1"/>
  <c r="AL856" i="1"/>
  <c r="AL857" i="1"/>
  <c r="AL858" i="1"/>
  <c r="AL859" i="1"/>
  <c r="AL860" i="1"/>
  <c r="AM860" i="1" s="1"/>
  <c r="AL861" i="1"/>
  <c r="AL862" i="1"/>
  <c r="AM862" i="1" s="1"/>
  <c r="AL863" i="1"/>
  <c r="AO863" i="1" s="1"/>
  <c r="AP863" i="1" s="1"/>
  <c r="AL864" i="1"/>
  <c r="AL865" i="1"/>
  <c r="AN865" i="1" s="1"/>
  <c r="AL866" i="1"/>
  <c r="AO866" i="1" s="1"/>
  <c r="AP866" i="1" s="1"/>
  <c r="AL867" i="1"/>
  <c r="AM867" i="1" s="1"/>
  <c r="AL868" i="1"/>
  <c r="AO868" i="1" s="1"/>
  <c r="AP868" i="1" s="1"/>
  <c r="AL869" i="1"/>
  <c r="AL870" i="1"/>
  <c r="AL871" i="1"/>
  <c r="AM871" i="1" s="1"/>
  <c r="AL872" i="1"/>
  <c r="AO872" i="1" s="1"/>
  <c r="AP872" i="1" s="1"/>
  <c r="AL873" i="1"/>
  <c r="AL874" i="1"/>
  <c r="AM874" i="1" s="1"/>
  <c r="AL877" i="1"/>
  <c r="AM877" i="1" s="1"/>
  <c r="AL878" i="1"/>
  <c r="AL879" i="1"/>
  <c r="AM879" i="1" s="1"/>
  <c r="AL880" i="1"/>
  <c r="AO880" i="1" s="1"/>
  <c r="AP880" i="1" s="1"/>
  <c r="AL881" i="1"/>
  <c r="AL882" i="1"/>
  <c r="AL883" i="1"/>
  <c r="AL884" i="1"/>
  <c r="AL885" i="1"/>
  <c r="AL886" i="1"/>
  <c r="AL887" i="1"/>
  <c r="AM887" i="1" s="1"/>
  <c r="AL888" i="1"/>
  <c r="AO888" i="1" s="1"/>
  <c r="AP888" i="1" s="1"/>
  <c r="AM644" i="1"/>
  <c r="AM720" i="1"/>
  <c r="AN695" i="1"/>
  <c r="AN831" i="1"/>
  <c r="AO639" i="1"/>
  <c r="AP639" i="1" s="1"/>
  <c r="AO641" i="1"/>
  <c r="AP641" i="1" s="1"/>
  <c r="AO642" i="1"/>
  <c r="AP642" i="1" s="1"/>
  <c r="AO643" i="1"/>
  <c r="AP643" i="1" s="1"/>
  <c r="AO644" i="1"/>
  <c r="AP644" i="1" s="1"/>
  <c r="AO646" i="1"/>
  <c r="AP646" i="1" s="1"/>
  <c r="AO647" i="1"/>
  <c r="AP647" i="1" s="1"/>
  <c r="AO648" i="1"/>
  <c r="AP648" i="1" s="1"/>
  <c r="AO649" i="1"/>
  <c r="AP649" i="1" s="1"/>
  <c r="AO650" i="1"/>
  <c r="AP650" i="1" s="1"/>
  <c r="AO651" i="1"/>
  <c r="AP651" i="1" s="1"/>
  <c r="AO653" i="1"/>
  <c r="AP653" i="1" s="1"/>
  <c r="AO655" i="1"/>
  <c r="AP655" i="1" s="1"/>
  <c r="AO656" i="1"/>
  <c r="AP656" i="1" s="1"/>
  <c r="AO657" i="1"/>
  <c r="AP657" i="1" s="1"/>
  <c r="AO658" i="1"/>
  <c r="AP658" i="1" s="1"/>
  <c r="AO659" i="1"/>
  <c r="AP659" i="1" s="1"/>
  <c r="AO660" i="1"/>
  <c r="AP660" i="1" s="1"/>
  <c r="AO661" i="1"/>
  <c r="AP661" i="1" s="1"/>
  <c r="AO662" i="1"/>
  <c r="AP662" i="1" s="1"/>
  <c r="AO663" i="1"/>
  <c r="AP663" i="1" s="1"/>
  <c r="AO665" i="1"/>
  <c r="AP665" i="1" s="1"/>
  <c r="AO667" i="1"/>
  <c r="AP667" i="1" s="1"/>
  <c r="AO669" i="1"/>
  <c r="AO670" i="1"/>
  <c r="AP670" i="1" s="1"/>
  <c r="AO671" i="1"/>
  <c r="AP671" i="1" s="1"/>
  <c r="AO672" i="1"/>
  <c r="AP672" i="1" s="1"/>
  <c r="AO673" i="1"/>
  <c r="AP673" i="1" s="1"/>
  <c r="AO674" i="1"/>
  <c r="AP674" i="1" s="1"/>
  <c r="AO675" i="1"/>
  <c r="AP675" i="1" s="1"/>
  <c r="AO676" i="1"/>
  <c r="AP676" i="1" s="1"/>
  <c r="AO677" i="1"/>
  <c r="AP677" i="1" s="1"/>
  <c r="AO678" i="1"/>
  <c r="AP678" i="1" s="1"/>
  <c r="AO680" i="1"/>
  <c r="AP680" i="1" s="1"/>
  <c r="AO681" i="1"/>
  <c r="AP681" i="1" s="1"/>
  <c r="AO682" i="1"/>
  <c r="AP682" i="1" s="1"/>
  <c r="AO683" i="1"/>
  <c r="AP683" i="1" s="1"/>
  <c r="AO684" i="1"/>
  <c r="AP684" i="1" s="1"/>
  <c r="AO692" i="1"/>
  <c r="AP692" i="1" s="1"/>
  <c r="AO694" i="1"/>
  <c r="AP694" i="1" s="1"/>
  <c r="AO695" i="1"/>
  <c r="AP695" i="1" s="1"/>
  <c r="AO697" i="1"/>
  <c r="AP697" i="1" s="1"/>
  <c r="AO699" i="1"/>
  <c r="AP699" i="1" s="1"/>
  <c r="AO701" i="1"/>
  <c r="AP701" i="1" s="1"/>
  <c r="AO702" i="1"/>
  <c r="AP702" i="1" s="1"/>
  <c r="AO703" i="1"/>
  <c r="AP703" i="1" s="1"/>
  <c r="AO704" i="1"/>
  <c r="AP704" i="1" s="1"/>
  <c r="AO705" i="1"/>
  <c r="AP705" i="1" s="1"/>
  <c r="AO706" i="1"/>
  <c r="AP706" i="1" s="1"/>
  <c r="AO708" i="1"/>
  <c r="AP708" i="1" s="1"/>
  <c r="AO709" i="1"/>
  <c r="AP709" i="1" s="1"/>
  <c r="AO710" i="1"/>
  <c r="AP710" i="1" s="1"/>
  <c r="AO711" i="1"/>
  <c r="AP711" i="1" s="1"/>
  <c r="AO712" i="1"/>
  <c r="AP712" i="1" s="1"/>
  <c r="AO713" i="1"/>
  <c r="AP713" i="1" s="1"/>
  <c r="AO714" i="1"/>
  <c r="AP714" i="1" s="1"/>
  <c r="AO715" i="1"/>
  <c r="AP715" i="1" s="1"/>
  <c r="AO716" i="1"/>
  <c r="AP716" i="1" s="1"/>
  <c r="AO718" i="1"/>
  <c r="AP718" i="1" s="1"/>
  <c r="AO719" i="1"/>
  <c r="AP719" i="1" s="1"/>
  <c r="AO720" i="1"/>
  <c r="AP720" i="1" s="1"/>
  <c r="AO722" i="1"/>
  <c r="AP722" i="1" s="1"/>
  <c r="AO723" i="1"/>
  <c r="AP723" i="1" s="1"/>
  <c r="AO724" i="1"/>
  <c r="AP724" i="1" s="1"/>
  <c r="AO726" i="1"/>
  <c r="AP726" i="1" s="1"/>
  <c r="AO727" i="1"/>
  <c r="AP727" i="1" s="1"/>
  <c r="AO728" i="1"/>
  <c r="AP728" i="1" s="1"/>
  <c r="AO729" i="1"/>
  <c r="AP729" i="1" s="1"/>
  <c r="AO730" i="1"/>
  <c r="AP730" i="1" s="1"/>
  <c r="AO731" i="1"/>
  <c r="AP731" i="1" s="1"/>
  <c r="AO732" i="1"/>
  <c r="AP732" i="1" s="1"/>
  <c r="AO733" i="1"/>
  <c r="AP733" i="1" s="1"/>
  <c r="AO734" i="1"/>
  <c r="AP734" i="1" s="1"/>
  <c r="AO736" i="1"/>
  <c r="AP736" i="1" s="1"/>
  <c r="AO737" i="1"/>
  <c r="AP737" i="1" s="1"/>
  <c r="AO738" i="1"/>
  <c r="AP738" i="1" s="1"/>
  <c r="AO739" i="1"/>
  <c r="AP739" i="1" s="1"/>
  <c r="AO740" i="1"/>
  <c r="AP740" i="1" s="1"/>
  <c r="AO741" i="1"/>
  <c r="AP741" i="1" s="1"/>
  <c r="AO742" i="1"/>
  <c r="AP742" i="1" s="1"/>
  <c r="AO743" i="1"/>
  <c r="AP743" i="1" s="1"/>
  <c r="AO744" i="1"/>
  <c r="AP744" i="1" s="1"/>
  <c r="AO745" i="1"/>
  <c r="AP745" i="1" s="1"/>
  <c r="AO746" i="1"/>
  <c r="AP746" i="1" s="1"/>
  <c r="AO747" i="1"/>
  <c r="AP747" i="1" s="1"/>
  <c r="AO748" i="1"/>
  <c r="AP748" i="1" s="1"/>
  <c r="AO749" i="1"/>
  <c r="AP749" i="1" s="1"/>
  <c r="AO750" i="1"/>
  <c r="AP750" i="1" s="1"/>
  <c r="AO751" i="1"/>
  <c r="AP751" i="1" s="1"/>
  <c r="AO752" i="1"/>
  <c r="AP752" i="1" s="1"/>
  <c r="AO754" i="1"/>
  <c r="AP754" i="1" s="1"/>
  <c r="AO755" i="1"/>
  <c r="AP755" i="1" s="1"/>
  <c r="AO756" i="1"/>
  <c r="AP756" i="1" s="1"/>
  <c r="AO757" i="1"/>
  <c r="AP757" i="1" s="1"/>
  <c r="AO758" i="1"/>
  <c r="AP758" i="1" s="1"/>
  <c r="AO759" i="1"/>
  <c r="AP759" i="1" s="1"/>
  <c r="AO760" i="1"/>
  <c r="AP760" i="1" s="1"/>
  <c r="AO761" i="1"/>
  <c r="AP761" i="1" s="1"/>
  <c r="AO762" i="1"/>
  <c r="AP762" i="1" s="1"/>
  <c r="AO763" i="1"/>
  <c r="AP763" i="1" s="1"/>
  <c r="AO764" i="1"/>
  <c r="AP764" i="1" s="1"/>
  <c r="AO765" i="1"/>
  <c r="AP765" i="1" s="1"/>
  <c r="AO766" i="1"/>
  <c r="AP766" i="1" s="1"/>
  <c r="AO767" i="1"/>
  <c r="AP767" i="1" s="1"/>
  <c r="AO768" i="1"/>
  <c r="AP768" i="1" s="1"/>
  <c r="AO770" i="1"/>
  <c r="AP770" i="1" s="1"/>
  <c r="AO771" i="1"/>
  <c r="AP771" i="1" s="1"/>
  <c r="AO772" i="1"/>
  <c r="AP772" i="1" s="1"/>
  <c r="AO773" i="1"/>
  <c r="AP773" i="1" s="1"/>
  <c r="AO774" i="1"/>
  <c r="AP774" i="1" s="1"/>
  <c r="AO775" i="1"/>
  <c r="AP775" i="1" s="1"/>
  <c r="AO776" i="1"/>
  <c r="AP776" i="1" s="1"/>
  <c r="AO777" i="1"/>
  <c r="AP777" i="1" s="1"/>
  <c r="AO778" i="1"/>
  <c r="AP778" i="1" s="1"/>
  <c r="AO779" i="1"/>
  <c r="AP779" i="1" s="1"/>
  <c r="AO780" i="1"/>
  <c r="AP780" i="1" s="1"/>
  <c r="AO781" i="1"/>
  <c r="AP781" i="1" s="1"/>
  <c r="AO782" i="1"/>
  <c r="AP782" i="1" s="1"/>
  <c r="AO783" i="1"/>
  <c r="AP783" i="1" s="1"/>
  <c r="AO785" i="1"/>
  <c r="AP785" i="1" s="1"/>
  <c r="AO786" i="1"/>
  <c r="AP786" i="1" s="1"/>
  <c r="AO787" i="1"/>
  <c r="AP787" i="1" s="1"/>
  <c r="AO788" i="1"/>
  <c r="AP788" i="1" s="1"/>
  <c r="AO789" i="1"/>
  <c r="AP789" i="1" s="1"/>
  <c r="AO790" i="1"/>
  <c r="AP790" i="1" s="1"/>
  <c r="AO791" i="1"/>
  <c r="AP791" i="1" s="1"/>
  <c r="AO793" i="1"/>
  <c r="AP793" i="1" s="1"/>
  <c r="AO794" i="1"/>
  <c r="AP794" i="1" s="1"/>
  <c r="AO795" i="1"/>
  <c r="AP795" i="1" s="1"/>
  <c r="AO796" i="1"/>
  <c r="AP796" i="1" s="1"/>
  <c r="AO797" i="1"/>
  <c r="AO798" i="1"/>
  <c r="AP798" i="1" s="1"/>
  <c r="AO799" i="1"/>
  <c r="AP799" i="1" s="1"/>
  <c r="AO800" i="1"/>
  <c r="AP800" i="1" s="1"/>
  <c r="AO801" i="1"/>
  <c r="AP801" i="1" s="1"/>
  <c r="AO802" i="1"/>
  <c r="AP802" i="1" s="1"/>
  <c r="AO803" i="1"/>
  <c r="AP803" i="1" s="1"/>
  <c r="AO804" i="1"/>
  <c r="AP804" i="1" s="1"/>
  <c r="AO805" i="1"/>
  <c r="AP805" i="1" s="1"/>
  <c r="AO806" i="1"/>
  <c r="AP806" i="1" s="1"/>
  <c r="AO808" i="1"/>
  <c r="AP808" i="1" s="1"/>
  <c r="AO809" i="1"/>
  <c r="AP809" i="1" s="1"/>
  <c r="AO810" i="1"/>
  <c r="AP810" i="1" s="1"/>
  <c r="AO811" i="1"/>
  <c r="AP811" i="1" s="1"/>
  <c r="AO812" i="1"/>
  <c r="AP812" i="1" s="1"/>
  <c r="AO813" i="1"/>
  <c r="AP813" i="1" s="1"/>
  <c r="AO814" i="1"/>
  <c r="AP814" i="1" s="1"/>
  <c r="AO815" i="1"/>
  <c r="AP815" i="1" s="1"/>
  <c r="AO816" i="1"/>
  <c r="AP816" i="1" s="1"/>
  <c r="AO817" i="1"/>
  <c r="AP817" i="1" s="1"/>
  <c r="AO818" i="1"/>
  <c r="AP818" i="1" s="1"/>
  <c r="AO819" i="1"/>
  <c r="AP819" i="1" s="1"/>
  <c r="AO820" i="1"/>
  <c r="AP820" i="1" s="1"/>
  <c r="AO821" i="1"/>
  <c r="AP821" i="1" s="1"/>
  <c r="AO822" i="1"/>
  <c r="AP822" i="1" s="1"/>
  <c r="AO823" i="1"/>
  <c r="AP823" i="1" s="1"/>
  <c r="AO825" i="1"/>
  <c r="AP825" i="1" s="1"/>
  <c r="AO826" i="1"/>
  <c r="AP826" i="1" s="1"/>
  <c r="AO827" i="1"/>
  <c r="AP827" i="1" s="1"/>
  <c r="AO828" i="1"/>
  <c r="AP828" i="1" s="1"/>
  <c r="AO829" i="1"/>
  <c r="AP829" i="1" s="1"/>
  <c r="AO831" i="1"/>
  <c r="AP831" i="1" s="1"/>
  <c r="AO833" i="1"/>
  <c r="AP833" i="1" s="1"/>
  <c r="AO834" i="1"/>
  <c r="AP834" i="1" s="1"/>
  <c r="AO836" i="1"/>
  <c r="AP836" i="1" s="1"/>
  <c r="AO838" i="1"/>
  <c r="AP838" i="1" s="1"/>
  <c r="AO839" i="1"/>
  <c r="AP839" i="1" s="1"/>
  <c r="AO840" i="1"/>
  <c r="AP840" i="1" s="1"/>
  <c r="AO842" i="1"/>
  <c r="AP842" i="1" s="1"/>
  <c r="AO843" i="1"/>
  <c r="AP843" i="1" s="1"/>
  <c r="AO844" i="1"/>
  <c r="AP844" i="1" s="1"/>
  <c r="AO845" i="1"/>
  <c r="AP845" i="1" s="1"/>
  <c r="AO846" i="1"/>
  <c r="AP846" i="1" s="1"/>
  <c r="AO847" i="1"/>
  <c r="AP847" i="1" s="1"/>
  <c r="AO848" i="1"/>
  <c r="AP848" i="1" s="1"/>
  <c r="AO850" i="1"/>
  <c r="AP850" i="1" s="1"/>
  <c r="AO851" i="1"/>
  <c r="AP851" i="1" s="1"/>
  <c r="AO852" i="1"/>
  <c r="AP852" i="1" s="1"/>
  <c r="AO853" i="1"/>
  <c r="AP853" i="1" s="1"/>
  <c r="AO854" i="1"/>
  <c r="AP854" i="1" s="1"/>
  <c r="AO856" i="1"/>
  <c r="AP856" i="1" s="1"/>
  <c r="AO857" i="1"/>
  <c r="AP857" i="1" s="1"/>
  <c r="AO858" i="1"/>
  <c r="AP858" i="1" s="1"/>
  <c r="AO859" i="1"/>
  <c r="AP859" i="1" s="1"/>
  <c r="AO860" i="1"/>
  <c r="AP860" i="1" s="1"/>
  <c r="AO862" i="1"/>
  <c r="AO864" i="1"/>
  <c r="AP864" i="1" s="1"/>
  <c r="AO865" i="1"/>
  <c r="AP865" i="1" s="1"/>
  <c r="AO867" i="1"/>
  <c r="AP867" i="1" s="1"/>
  <c r="AO869" i="1"/>
  <c r="AP869" i="1" s="1"/>
  <c r="AO870" i="1"/>
  <c r="AP870" i="1" s="1"/>
  <c r="AO871" i="1"/>
  <c r="AP871" i="1" s="1"/>
  <c r="AO873" i="1"/>
  <c r="AP873" i="1" s="1"/>
  <c r="AO874" i="1"/>
  <c r="AP874" i="1" s="1"/>
  <c r="AO877" i="1"/>
  <c r="AP877" i="1" s="1"/>
  <c r="AO879" i="1"/>
  <c r="AP879" i="1" s="1"/>
  <c r="AO881" i="1"/>
  <c r="AP881" i="1" s="1"/>
  <c r="AO882" i="1"/>
  <c r="AP882" i="1" s="1"/>
  <c r="AO883" i="1"/>
  <c r="AP883" i="1" s="1"/>
  <c r="AO884" i="1"/>
  <c r="AP884" i="1" s="1"/>
  <c r="AO885" i="1"/>
  <c r="AP885" i="1" s="1"/>
  <c r="AO886" i="1"/>
  <c r="AP886" i="1" s="1"/>
  <c r="AO887" i="1"/>
  <c r="AP887" i="1" s="1"/>
  <c r="AP669" i="1"/>
  <c r="AP797" i="1"/>
  <c r="AP862" i="1"/>
  <c r="AQ653" i="1"/>
  <c r="AQ724" i="1"/>
  <c r="AQ745" i="1"/>
  <c r="AQ823" i="1"/>
  <c r="AQ840" i="1"/>
  <c r="B889" i="1"/>
  <c r="C889" i="1" s="1"/>
  <c r="AF889" i="1"/>
  <c r="W889" i="1" s="1"/>
  <c r="AL889" i="1"/>
  <c r="AQ877" i="1" l="1"/>
  <c r="AQ831" i="1"/>
  <c r="AQ752" i="1"/>
  <c r="AQ734" i="1"/>
  <c r="AQ720" i="1"/>
  <c r="AN860" i="1"/>
  <c r="AN823" i="1"/>
  <c r="AM752" i="1"/>
  <c r="AQ829" i="1"/>
  <c r="AQ791" i="1"/>
  <c r="AN862" i="1"/>
  <c r="AN854" i="1"/>
  <c r="AN829" i="1"/>
  <c r="AN791" i="1"/>
  <c r="W874" i="1"/>
  <c r="Y874" i="1" s="1"/>
  <c r="W870" i="1"/>
  <c r="Y870" i="1" s="1"/>
  <c r="W862" i="1"/>
  <c r="Y862" i="1" s="1"/>
  <c r="W854" i="1"/>
  <c r="Y854" i="1" s="1"/>
  <c r="W829" i="1"/>
  <c r="Y829" i="1" s="1"/>
  <c r="W887" i="1"/>
  <c r="X887" i="1" s="1"/>
  <c r="W883" i="1"/>
  <c r="X883" i="1" s="1"/>
  <c r="Y883" i="1" s="1"/>
  <c r="Z883" i="1" s="1"/>
  <c r="AA883" i="1" s="1"/>
  <c r="W879" i="1"/>
  <c r="X879" i="1" s="1"/>
  <c r="W871" i="1"/>
  <c r="X871" i="1" s="1"/>
  <c r="W869" i="1"/>
  <c r="Z869" i="1" s="1"/>
  <c r="W867" i="1"/>
  <c r="X867" i="1" s="1"/>
  <c r="W865" i="1"/>
  <c r="Z865" i="1" s="1"/>
  <c r="W863" i="1"/>
  <c r="X863" i="1" s="1"/>
  <c r="Y863" i="1" s="1"/>
  <c r="Z863" i="1" s="1"/>
  <c r="AA863" i="1" s="1"/>
  <c r="W859" i="1"/>
  <c r="X859" i="1" s="1"/>
  <c r="Y859" i="1" s="1"/>
  <c r="Z859" i="1" s="1"/>
  <c r="AA859" i="1" s="1"/>
  <c r="W855" i="1"/>
  <c r="X855" i="1" s="1"/>
  <c r="Y855" i="1" s="1"/>
  <c r="Z855" i="1" s="1"/>
  <c r="AA855" i="1" s="1"/>
  <c r="W846" i="1"/>
  <c r="X846" i="1" s="1"/>
  <c r="Y846" i="1" s="1"/>
  <c r="Z846" i="1" s="1"/>
  <c r="AA846" i="1" s="1"/>
  <c r="W840" i="1"/>
  <c r="Z840" i="1" s="1"/>
  <c r="W838" i="1"/>
  <c r="X838" i="1" s="1"/>
  <c r="Y838" i="1" s="1"/>
  <c r="Z838" i="1" s="1"/>
  <c r="AA838" i="1" s="1"/>
  <c r="W836" i="1"/>
  <c r="Z836" i="1" s="1"/>
  <c r="W834" i="1"/>
  <c r="X834" i="1" s="1"/>
  <c r="W826" i="1"/>
  <c r="X826" i="1" s="1"/>
  <c r="Y826" i="1" s="1"/>
  <c r="Z826" i="1" s="1"/>
  <c r="AA826" i="1" s="1"/>
  <c r="W822" i="1"/>
  <c r="X822" i="1" s="1"/>
  <c r="Y822" i="1" s="1"/>
  <c r="Z822" i="1" s="1"/>
  <c r="AA822" i="1" s="1"/>
  <c r="W806" i="1"/>
  <c r="X806" i="1" s="1"/>
  <c r="W802" i="1"/>
  <c r="X802" i="1" s="1"/>
  <c r="Y802" i="1" s="1"/>
  <c r="Z802" i="1" s="1"/>
  <c r="AA802" i="1" s="1"/>
  <c r="W798" i="1"/>
  <c r="X798" i="1" s="1"/>
  <c r="Y798" i="1" s="1"/>
  <c r="Z798" i="1" s="1"/>
  <c r="AA798" i="1" s="1"/>
  <c r="W794" i="1"/>
  <c r="X794" i="1" s="1"/>
  <c r="Y794" i="1" s="1"/>
  <c r="Z794" i="1" s="1"/>
  <c r="AA794" i="1" s="1"/>
  <c r="W786" i="1"/>
  <c r="X786" i="1" s="1"/>
  <c r="Y786" i="1" s="1"/>
  <c r="Z786" i="1" s="1"/>
  <c r="AA786" i="1" s="1"/>
  <c r="W782" i="1"/>
  <c r="X782" i="1" s="1"/>
  <c r="W778" i="1"/>
  <c r="X778" i="1" s="1"/>
  <c r="Y778" i="1" s="1"/>
  <c r="Z778" i="1" s="1"/>
  <c r="AA778" i="1" s="1"/>
  <c r="W774" i="1"/>
  <c r="X774" i="1" s="1"/>
  <c r="Y774" i="1" s="1"/>
  <c r="Z774" i="1" s="1"/>
  <c r="AA774" i="1" s="1"/>
  <c r="W770" i="1"/>
  <c r="X770" i="1" s="1"/>
  <c r="Y770" i="1" s="1"/>
  <c r="Z770" i="1" s="1"/>
  <c r="AA770" i="1" s="1"/>
  <c r="W768" i="1"/>
  <c r="Z768" i="1" s="1"/>
  <c r="W766" i="1"/>
  <c r="X766" i="1" s="1"/>
  <c r="Y766" i="1" s="1"/>
  <c r="Z766" i="1" s="1"/>
  <c r="AA766" i="1" s="1"/>
  <c r="W762" i="1"/>
  <c r="X762" i="1" s="1"/>
  <c r="Y762" i="1" s="1"/>
  <c r="Z762" i="1" s="1"/>
  <c r="AA762" i="1" s="1"/>
  <c r="W758" i="1"/>
  <c r="X758" i="1" s="1"/>
  <c r="Y758" i="1" s="1"/>
  <c r="Z758" i="1" s="1"/>
  <c r="AA758" i="1" s="1"/>
  <c r="W754" i="1"/>
  <c r="X754" i="1" s="1"/>
  <c r="Y754" i="1" s="1"/>
  <c r="Z754" i="1" s="1"/>
  <c r="AA754" i="1" s="1"/>
  <c r="W750" i="1"/>
  <c r="X750" i="1" s="1"/>
  <c r="Y750" i="1" s="1"/>
  <c r="Z750" i="1" s="1"/>
  <c r="AA750" i="1" s="1"/>
  <c r="W746" i="1"/>
  <c r="X746" i="1" s="1"/>
  <c r="Y746" i="1" s="1"/>
  <c r="Z746" i="1" s="1"/>
  <c r="AA746" i="1" s="1"/>
  <c r="W742" i="1"/>
  <c r="X742" i="1" s="1"/>
  <c r="Y742" i="1" s="1"/>
  <c r="Z742" i="1" s="1"/>
  <c r="AA742" i="1" s="1"/>
  <c r="W738" i="1"/>
  <c r="X738" i="1" s="1"/>
  <c r="Y738" i="1" s="1"/>
  <c r="Z738" i="1" s="1"/>
  <c r="AA738" i="1" s="1"/>
  <c r="W734" i="1"/>
  <c r="X734" i="1" s="1"/>
  <c r="W730" i="1"/>
  <c r="X730" i="1" s="1"/>
  <c r="Y730" i="1" s="1"/>
  <c r="Z730" i="1" s="1"/>
  <c r="AA730" i="1" s="1"/>
  <c r="W726" i="1"/>
  <c r="X726" i="1" s="1"/>
  <c r="Y726" i="1" s="1"/>
  <c r="Z726" i="1" s="1"/>
  <c r="AA726" i="1" s="1"/>
  <c r="W714" i="1"/>
  <c r="X714" i="1" s="1"/>
  <c r="Y714" i="1" s="1"/>
  <c r="Z714" i="1" s="1"/>
  <c r="AA714" i="1" s="1"/>
  <c r="W706" i="1"/>
  <c r="X706" i="1" s="1"/>
  <c r="W702" i="1"/>
  <c r="X702" i="1" s="1"/>
  <c r="Y702" i="1" s="1"/>
  <c r="Z702" i="1" s="1"/>
  <c r="AA702" i="1" s="1"/>
  <c r="W698" i="1"/>
  <c r="X698" i="1" s="1"/>
  <c r="Y698" i="1" s="1"/>
  <c r="Z698" i="1" s="1"/>
  <c r="AA698" i="1" s="1"/>
  <c r="AQ865" i="1"/>
  <c r="AQ836" i="1"/>
  <c r="AQ806" i="1"/>
  <c r="AQ743" i="1"/>
  <c r="AN653" i="1"/>
  <c r="AN874" i="1"/>
  <c r="AE872" i="1"/>
  <c r="AN872" i="1" s="1"/>
  <c r="AE870" i="1"/>
  <c r="AE795" i="1"/>
  <c r="AM795" i="1" s="1"/>
  <c r="AE729" i="1"/>
  <c r="AM729" i="1" s="1"/>
  <c r="AE723" i="1"/>
  <c r="AM723" i="1" s="1"/>
  <c r="AE717" i="1"/>
  <c r="AM717" i="1" s="1"/>
  <c r="AE868" i="1"/>
  <c r="AN868" i="1" s="1"/>
  <c r="AN870" i="1"/>
  <c r="AN795" i="1"/>
  <c r="AE885" i="1"/>
  <c r="AM885" i="1" s="1"/>
  <c r="AE873" i="1"/>
  <c r="AM873" i="1" s="1"/>
  <c r="AE869" i="1"/>
  <c r="AM869" i="1" s="1"/>
  <c r="AE857" i="1"/>
  <c r="AN857" i="1" s="1"/>
  <c r="AE852" i="1"/>
  <c r="AM852" i="1" s="1"/>
  <c r="AE799" i="1"/>
  <c r="AN799" i="1" s="1"/>
  <c r="AE721" i="1"/>
  <c r="AN721" i="1" s="1"/>
  <c r="AE719" i="1"/>
  <c r="AM719" i="1" s="1"/>
  <c r="AE889" i="1"/>
  <c r="AM889" i="1" s="1"/>
  <c r="AE888" i="1"/>
  <c r="AN888" i="1" s="1"/>
  <c r="AE886" i="1"/>
  <c r="AN886" i="1" s="1"/>
  <c r="AE884" i="1"/>
  <c r="AN884" i="1" s="1"/>
  <c r="AE883" i="1"/>
  <c r="AM883" i="1" s="1"/>
  <c r="AE882" i="1"/>
  <c r="AN882" i="1" s="1"/>
  <c r="AE881" i="1"/>
  <c r="AM881" i="1" s="1"/>
  <c r="AE880" i="1"/>
  <c r="AN880" i="1" s="1"/>
  <c r="AE878" i="1"/>
  <c r="AN878" i="1" s="1"/>
  <c r="AO878" i="1"/>
  <c r="AP878" i="1" s="1"/>
  <c r="AM870" i="1"/>
  <c r="AM868" i="1"/>
  <c r="AE866" i="1"/>
  <c r="AN866" i="1" s="1"/>
  <c r="AE864" i="1"/>
  <c r="AN864" i="1" s="1"/>
  <c r="AE863" i="1"/>
  <c r="AM863" i="1" s="1"/>
  <c r="AE861" i="1"/>
  <c r="AM861" i="1" s="1"/>
  <c r="AO861" i="1"/>
  <c r="AP861" i="1" s="1"/>
  <c r="AE856" i="1"/>
  <c r="AN856" i="1" s="1"/>
  <c r="AE859" i="1"/>
  <c r="AM859" i="1" s="1"/>
  <c r="AE858" i="1"/>
  <c r="AN858" i="1" s="1"/>
  <c r="AE855" i="1"/>
  <c r="AM855" i="1" s="1"/>
  <c r="AE850" i="1"/>
  <c r="AN850" i="1" s="1"/>
  <c r="AM745" i="1"/>
  <c r="AN745" i="1"/>
  <c r="AN723" i="1"/>
  <c r="AN719" i="1"/>
  <c r="AM699" i="1"/>
  <c r="AQ699" i="1"/>
  <c r="AM697" i="1"/>
  <c r="AN697" i="1"/>
  <c r="AM695" i="1"/>
  <c r="AQ695" i="1"/>
  <c r="AM667" i="1"/>
  <c r="AN667" i="1"/>
  <c r="AQ667" i="1"/>
  <c r="AM665" i="1"/>
  <c r="AQ665" i="1"/>
  <c r="AM663" i="1"/>
  <c r="AN663" i="1"/>
  <c r="AQ663" i="1"/>
  <c r="AM651" i="1"/>
  <c r="AN651" i="1"/>
  <c r="AM639" i="1"/>
  <c r="AQ639" i="1"/>
  <c r="AE853" i="1"/>
  <c r="AN853" i="1" s="1"/>
  <c r="X851" i="1"/>
  <c r="Y851" i="1" s="1"/>
  <c r="Z851" i="1" s="1"/>
  <c r="AA851" i="1" s="1"/>
  <c r="AE851" i="1"/>
  <c r="AM851" i="1" s="1"/>
  <c r="X842" i="1"/>
  <c r="AE842" i="1"/>
  <c r="AN842" i="1" s="1"/>
  <c r="X830" i="1"/>
  <c r="AE830" i="1"/>
  <c r="AM830" i="1" s="1"/>
  <c r="AE820" i="1"/>
  <c r="AM820" i="1" s="1"/>
  <c r="X818" i="1"/>
  <c r="AE818" i="1"/>
  <c r="AM818" i="1" s="1"/>
  <c r="AE816" i="1"/>
  <c r="AM816" i="1" s="1"/>
  <c r="X814" i="1"/>
  <c r="Y814" i="1" s="1"/>
  <c r="Z814" i="1" s="1"/>
  <c r="AA814" i="1" s="1"/>
  <c r="AE814" i="1"/>
  <c r="AN814" i="1" s="1"/>
  <c r="X810" i="1"/>
  <c r="Y810" i="1" s="1"/>
  <c r="Z810" i="1" s="1"/>
  <c r="AA810" i="1" s="1"/>
  <c r="AE810" i="1"/>
  <c r="AM810" i="1" s="1"/>
  <c r="AE804" i="1"/>
  <c r="AM804" i="1" s="1"/>
  <c r="AE796" i="1"/>
  <c r="AM796" i="1" s="1"/>
  <c r="X790" i="1"/>
  <c r="Y790" i="1" s="1"/>
  <c r="Z790" i="1" s="1"/>
  <c r="AA790" i="1" s="1"/>
  <c r="AE790" i="1"/>
  <c r="AN790" i="1" s="1"/>
  <c r="X722" i="1"/>
  <c r="AE722" i="1"/>
  <c r="AN722" i="1" s="1"/>
  <c r="X718" i="1"/>
  <c r="AE718" i="1"/>
  <c r="AM718" i="1" s="1"/>
  <c r="X710" i="1"/>
  <c r="Y710" i="1" s="1"/>
  <c r="Z710" i="1" s="1"/>
  <c r="AA710" i="1" s="1"/>
  <c r="AE710" i="1"/>
  <c r="AM710" i="1" s="1"/>
  <c r="AN743" i="1"/>
  <c r="AN699" i="1"/>
  <c r="AN665" i="1"/>
  <c r="AN639" i="1"/>
  <c r="AE843" i="1"/>
  <c r="AN843" i="1" s="1"/>
  <c r="AE841" i="1"/>
  <c r="AN841" i="1" s="1"/>
  <c r="AE839" i="1"/>
  <c r="AN839" i="1" s="1"/>
  <c r="AE835" i="1"/>
  <c r="AN835" i="1" s="1"/>
  <c r="AE833" i="1"/>
  <c r="AN833" i="1" s="1"/>
  <c r="AE819" i="1"/>
  <c r="AM819" i="1" s="1"/>
  <c r="AE817" i="1"/>
  <c r="AM817" i="1" s="1"/>
  <c r="AE815" i="1"/>
  <c r="AM815" i="1" s="1"/>
  <c r="AE787" i="1"/>
  <c r="AN787" i="1" s="1"/>
  <c r="AE693" i="1"/>
  <c r="AN693" i="1" s="1"/>
  <c r="AE848" i="1"/>
  <c r="AM848" i="1" s="1"/>
  <c r="AM853" i="1"/>
  <c r="AE847" i="1"/>
  <c r="AN847" i="1" s="1"/>
  <c r="AE846" i="1"/>
  <c r="AM846" i="1" s="1"/>
  <c r="AE845" i="1"/>
  <c r="AN845" i="1" s="1"/>
  <c r="AE844" i="1"/>
  <c r="AM844" i="1" s="1"/>
  <c r="AM843" i="1"/>
  <c r="AM839" i="1"/>
  <c r="AE838" i="1"/>
  <c r="AM838" i="1" s="1"/>
  <c r="AE837" i="1"/>
  <c r="AN837" i="1" s="1"/>
  <c r="AE832" i="1"/>
  <c r="AN832" i="1" s="1"/>
  <c r="AE828" i="1"/>
  <c r="AM828" i="1" s="1"/>
  <c r="AE827" i="1"/>
  <c r="AM827" i="1" s="1"/>
  <c r="AE826" i="1"/>
  <c r="AM826" i="1" s="1"/>
  <c r="AE825" i="1"/>
  <c r="AM825" i="1" s="1"/>
  <c r="AE824" i="1"/>
  <c r="AM824" i="1" s="1"/>
  <c r="AE811" i="1"/>
  <c r="AN811" i="1" s="1"/>
  <c r="AE822" i="1"/>
  <c r="AM822" i="1" s="1"/>
  <c r="AE821" i="1"/>
  <c r="AN821" i="1" s="1"/>
  <c r="AN819" i="1"/>
  <c r="AN817" i="1"/>
  <c r="AN816" i="1"/>
  <c r="AE813" i="1"/>
  <c r="AN813" i="1" s="1"/>
  <c r="AE812" i="1"/>
  <c r="AM812" i="1" s="1"/>
  <c r="AE809" i="1"/>
  <c r="AN809" i="1" s="1"/>
  <c r="AE808" i="1"/>
  <c r="AM808" i="1" s="1"/>
  <c r="AE807" i="1"/>
  <c r="AN807" i="1" s="1"/>
  <c r="AE805" i="1"/>
  <c r="AN805" i="1" s="1"/>
  <c r="AE803" i="1"/>
  <c r="AN803" i="1" s="1"/>
  <c r="AE802" i="1"/>
  <c r="AM802" i="1" s="1"/>
  <c r="AE801" i="1"/>
  <c r="AN801" i="1" s="1"/>
  <c r="AE800" i="1"/>
  <c r="AN800" i="1" s="1"/>
  <c r="AM799" i="1"/>
  <c r="AE798" i="1"/>
  <c r="AM798" i="1" s="1"/>
  <c r="AE797" i="1"/>
  <c r="AN797" i="1" s="1"/>
  <c r="AE794" i="1"/>
  <c r="AM794" i="1" s="1"/>
  <c r="AE793" i="1"/>
  <c r="AN793" i="1" s="1"/>
  <c r="AE792" i="1"/>
  <c r="AN792" i="1" s="1"/>
  <c r="AM790" i="1"/>
  <c r="AE789" i="1"/>
  <c r="AN789" i="1" s="1"/>
  <c r="AE788" i="1"/>
  <c r="AM788" i="1" s="1"/>
  <c r="AE786" i="1"/>
  <c r="AM786" i="1" s="1"/>
  <c r="AE785" i="1"/>
  <c r="AN785" i="1" s="1"/>
  <c r="AE784" i="1"/>
  <c r="AN784" i="1" s="1"/>
  <c r="AO784" i="1"/>
  <c r="AP784" i="1" s="1"/>
  <c r="AE782" i="1"/>
  <c r="AM782" i="1" s="1"/>
  <c r="AE781" i="1"/>
  <c r="AN781" i="1" s="1"/>
  <c r="AE779" i="1"/>
  <c r="AM779" i="1" s="1"/>
  <c r="AE775" i="1"/>
  <c r="AN775" i="1" s="1"/>
  <c r="AE771" i="1"/>
  <c r="AM771" i="1" s="1"/>
  <c r="AM775" i="1"/>
  <c r="AE777" i="1"/>
  <c r="AN777" i="1" s="1"/>
  <c r="AE773" i="1"/>
  <c r="AN773" i="1" s="1"/>
  <c r="AE780" i="1"/>
  <c r="AM780" i="1" s="1"/>
  <c r="AE778" i="1"/>
  <c r="AM778" i="1" s="1"/>
  <c r="AE776" i="1"/>
  <c r="AN776" i="1" s="1"/>
  <c r="AE774" i="1"/>
  <c r="AN774" i="1" s="1"/>
  <c r="AE772" i="1"/>
  <c r="AM772" i="1" s="1"/>
  <c r="AE770" i="1"/>
  <c r="AN770" i="1" s="1"/>
  <c r="AE769" i="1"/>
  <c r="AN769" i="1" s="1"/>
  <c r="AO769" i="1"/>
  <c r="AP769" i="1" s="1"/>
  <c r="AQ783" i="1"/>
  <c r="AN783" i="1"/>
  <c r="AE767" i="1"/>
  <c r="AM767" i="1" s="1"/>
  <c r="AE765" i="1"/>
  <c r="AM765" i="1" s="1"/>
  <c r="AE763" i="1"/>
  <c r="AM763" i="1" s="1"/>
  <c r="AE761" i="1"/>
  <c r="AM761" i="1" s="1"/>
  <c r="AE759" i="1"/>
  <c r="AM759" i="1" s="1"/>
  <c r="AE757" i="1"/>
  <c r="AM757" i="1" s="1"/>
  <c r="AE755" i="1"/>
  <c r="AM755" i="1" s="1"/>
  <c r="AE766" i="1"/>
  <c r="AM766" i="1" s="1"/>
  <c r="AE764" i="1"/>
  <c r="AM764" i="1" s="1"/>
  <c r="AE762" i="1"/>
  <c r="AM762" i="1" s="1"/>
  <c r="AE760" i="1"/>
  <c r="AN760" i="1" s="1"/>
  <c r="AE758" i="1"/>
  <c r="AM758" i="1" s="1"/>
  <c r="AE756" i="1"/>
  <c r="AM756" i="1" s="1"/>
  <c r="AE754" i="1"/>
  <c r="AM754" i="1" s="1"/>
  <c r="AQ768" i="1"/>
  <c r="AN717" i="1"/>
  <c r="AE751" i="1"/>
  <c r="AM751" i="1" s="1"/>
  <c r="AE750" i="1"/>
  <c r="AM750" i="1" s="1"/>
  <c r="AE749" i="1"/>
  <c r="AM749" i="1" s="1"/>
  <c r="AE748" i="1"/>
  <c r="AM748" i="1" s="1"/>
  <c r="AE747" i="1"/>
  <c r="AM747" i="1" s="1"/>
  <c r="AE746" i="1"/>
  <c r="AM746" i="1" s="1"/>
  <c r="AE744" i="1"/>
  <c r="AM744" i="1" s="1"/>
  <c r="AE742" i="1"/>
  <c r="AM742" i="1" s="1"/>
  <c r="AE741" i="1"/>
  <c r="AN741" i="1" s="1"/>
  <c r="AE740" i="1"/>
  <c r="AM740" i="1" s="1"/>
  <c r="AE739" i="1"/>
  <c r="AN739" i="1" s="1"/>
  <c r="AE738" i="1"/>
  <c r="AM738" i="1" s="1"/>
  <c r="AE737" i="1"/>
  <c r="AN737" i="1" s="1"/>
  <c r="AE736" i="1"/>
  <c r="AN736" i="1" s="1"/>
  <c r="AE735" i="1"/>
  <c r="AM735" i="1" s="1"/>
  <c r="AE733" i="1"/>
  <c r="AN733" i="1" s="1"/>
  <c r="AE732" i="1"/>
  <c r="AM732" i="1" s="1"/>
  <c r="AE731" i="1"/>
  <c r="AM731" i="1" s="1"/>
  <c r="AE730" i="1"/>
  <c r="AM730" i="1" s="1"/>
  <c r="AN729" i="1"/>
  <c r="AE728" i="1"/>
  <c r="AM728" i="1" s="1"/>
  <c r="AE727" i="1"/>
  <c r="AM727" i="1" s="1"/>
  <c r="AE726" i="1"/>
  <c r="AM726" i="1" s="1"/>
  <c r="AE725" i="1"/>
  <c r="AM725" i="1" s="1"/>
  <c r="AE715" i="1"/>
  <c r="AN715" i="1" s="1"/>
  <c r="AE714" i="1"/>
  <c r="AM714" i="1" s="1"/>
  <c r="AE713" i="1"/>
  <c r="AN713" i="1" s="1"/>
  <c r="AE712" i="1"/>
  <c r="AM712" i="1" s="1"/>
  <c r="AE711" i="1"/>
  <c r="AN711" i="1" s="1"/>
  <c r="AE709" i="1"/>
  <c r="AN709" i="1" s="1"/>
  <c r="AE708" i="1"/>
  <c r="AN708" i="1" s="1"/>
  <c r="AE707" i="1"/>
  <c r="AN707" i="1" s="1"/>
  <c r="AE702" i="1"/>
  <c r="AM702" i="1" s="1"/>
  <c r="AE705" i="1"/>
  <c r="AN705" i="1" s="1"/>
  <c r="AE704" i="1"/>
  <c r="AM704" i="1" s="1"/>
  <c r="AE703" i="1"/>
  <c r="AN703" i="1" s="1"/>
  <c r="AE701" i="1"/>
  <c r="AN701" i="1" s="1"/>
  <c r="AE700" i="1"/>
  <c r="AM700" i="1" s="1"/>
  <c r="AE698" i="1"/>
  <c r="AM698" i="1" s="1"/>
  <c r="AE696" i="1"/>
  <c r="AM696" i="1" s="1"/>
  <c r="AN881" i="1"/>
  <c r="AM857" i="1"/>
  <c r="AN808" i="1"/>
  <c r="AM706" i="1"/>
  <c r="AQ706" i="1"/>
  <c r="AQ887" i="1"/>
  <c r="AQ879" i="1"/>
  <c r="AQ871" i="1"/>
  <c r="AQ867" i="1"/>
  <c r="AQ834" i="1"/>
  <c r="AQ644" i="1"/>
  <c r="AM865" i="1"/>
  <c r="AM768" i="1"/>
  <c r="AN840" i="1"/>
  <c r="AM840" i="1"/>
  <c r="AM776" i="1"/>
  <c r="AM716" i="1"/>
  <c r="AQ716" i="1"/>
  <c r="AM692" i="1"/>
  <c r="AQ692" i="1"/>
  <c r="AO640" i="1"/>
  <c r="AP640" i="1" s="1"/>
  <c r="AM693" i="1"/>
  <c r="AE694" i="1"/>
  <c r="AM694" i="1" s="1"/>
  <c r="AO693" i="1"/>
  <c r="AP693" i="1" s="1"/>
  <c r="AM678" i="1"/>
  <c r="AN678" i="1"/>
  <c r="AN889" i="1"/>
  <c r="AN887" i="1"/>
  <c r="AN885" i="1"/>
  <c r="AN879" i="1"/>
  <c r="AN877" i="1"/>
  <c r="AN871" i="1"/>
  <c r="AN867" i="1"/>
  <c r="AN861" i="1"/>
  <c r="AN855" i="1"/>
  <c r="AN851" i="1"/>
  <c r="AN844" i="1"/>
  <c r="AN836" i="1"/>
  <c r="AN834" i="1"/>
  <c r="AN830" i="1"/>
  <c r="AN826" i="1"/>
  <c r="AN820" i="1"/>
  <c r="AN810" i="1"/>
  <c r="AN806" i="1"/>
  <c r="AN798" i="1"/>
  <c r="AN794" i="1"/>
  <c r="AN786" i="1"/>
  <c r="AN780" i="1"/>
  <c r="AN778" i="1"/>
  <c r="AN772" i="1"/>
  <c r="AN758" i="1"/>
  <c r="AN750" i="1"/>
  <c r="AN740" i="1"/>
  <c r="AN734" i="1"/>
  <c r="AN732" i="1"/>
  <c r="AN726" i="1"/>
  <c r="AN724" i="1"/>
  <c r="AN718" i="1"/>
  <c r="AN716" i="1"/>
  <c r="AN710" i="1"/>
  <c r="AN706" i="1"/>
  <c r="AN692" i="1"/>
  <c r="AE640" i="1"/>
  <c r="AN640" i="1" s="1"/>
  <c r="AE642" i="1"/>
  <c r="AM642" i="1" s="1"/>
  <c r="AE684" i="1"/>
  <c r="AE683" i="1"/>
  <c r="AN683" i="1" s="1"/>
  <c r="AO889" i="1"/>
  <c r="AP889" i="1" s="1"/>
  <c r="AE662" i="1"/>
  <c r="AN662" i="1" s="1"/>
  <c r="AE660" i="1"/>
  <c r="AN660" i="1" s="1"/>
  <c r="AE658" i="1"/>
  <c r="AE656" i="1"/>
  <c r="AE654" i="1"/>
  <c r="AN654" i="1" s="1"/>
  <c r="AE652" i="1"/>
  <c r="AE650" i="1"/>
  <c r="AM650" i="1" s="1"/>
  <c r="AE648" i="1"/>
  <c r="AM648" i="1" s="1"/>
  <c r="AE646" i="1"/>
  <c r="AM660" i="1"/>
  <c r="AE666" i="1"/>
  <c r="AE661" i="1"/>
  <c r="AM661" i="1" s="1"/>
  <c r="AE659" i="1"/>
  <c r="AM659" i="1" s="1"/>
  <c r="AE657" i="1"/>
  <c r="AM657" i="1" s="1"/>
  <c r="AE655" i="1"/>
  <c r="AM655" i="1" s="1"/>
  <c r="AE649" i="1"/>
  <c r="AN649" i="1" s="1"/>
  <c r="AE647" i="1"/>
  <c r="AM647" i="1" s="1"/>
  <c r="AE645" i="1"/>
  <c r="AN645" i="1" s="1"/>
  <c r="AE643" i="1"/>
  <c r="AN643" i="1" s="1"/>
  <c r="AE641" i="1"/>
  <c r="AN641" i="1" s="1"/>
  <c r="AE682" i="1"/>
  <c r="AE681" i="1"/>
  <c r="AM681" i="1" s="1"/>
  <c r="AE691" i="1"/>
  <c r="AM691" i="1" s="1"/>
  <c r="AO691" i="1"/>
  <c r="AP691" i="1" s="1"/>
  <c r="AE680" i="1"/>
  <c r="AM680" i="1" s="1"/>
  <c r="AE679" i="1"/>
  <c r="AN679" i="1" s="1"/>
  <c r="AE677" i="1"/>
  <c r="AM677" i="1" s="1"/>
  <c r="AE676" i="1"/>
  <c r="AM676" i="1" s="1"/>
  <c r="AE675" i="1"/>
  <c r="AN675" i="1" s="1"/>
  <c r="AE674" i="1"/>
  <c r="AE673" i="1"/>
  <c r="AM673" i="1" s="1"/>
  <c r="AE672" i="1"/>
  <c r="AM672" i="1" s="1"/>
  <c r="AE671" i="1"/>
  <c r="AN671" i="1" s="1"/>
  <c r="AE670" i="1"/>
  <c r="AE669" i="1"/>
  <c r="AM669" i="1" s="1"/>
  <c r="AE668" i="1"/>
  <c r="AM668" i="1" s="1"/>
  <c r="AE664" i="1"/>
  <c r="AM664" i="1" s="1"/>
  <c r="AI639" i="1"/>
  <c r="AG639" i="1"/>
  <c r="AI823" i="1"/>
  <c r="AI695" i="1"/>
  <c r="AD639" i="1"/>
  <c r="AC879" i="1"/>
  <c r="AI743" i="1"/>
  <c r="AI831" i="1"/>
  <c r="AI860" i="1"/>
  <c r="AI862" i="1"/>
  <c r="AI854" i="1"/>
  <c r="AI829" i="1"/>
  <c r="AI745" i="1"/>
  <c r="AI697" i="1"/>
  <c r="AG840" i="1"/>
  <c r="AI887" i="1"/>
  <c r="AI877" i="1"/>
  <c r="AI871" i="1"/>
  <c r="AI867" i="1"/>
  <c r="AI865" i="1"/>
  <c r="AI836" i="1"/>
  <c r="AI834" i="1"/>
  <c r="AD887" i="1"/>
  <c r="AG887" i="1"/>
  <c r="AD879" i="1"/>
  <c r="AG879" i="1"/>
  <c r="AD877" i="1"/>
  <c r="AC877" i="1"/>
  <c r="AD871" i="1"/>
  <c r="AG871" i="1"/>
  <c r="AD867" i="1"/>
  <c r="AG867" i="1"/>
  <c r="AD865" i="1"/>
  <c r="AC865" i="1"/>
  <c r="AD840" i="1"/>
  <c r="AC840" i="1"/>
  <c r="AD836" i="1"/>
  <c r="AC836" i="1"/>
  <c r="AD834" i="1"/>
  <c r="AG834" i="1"/>
  <c r="AG663" i="1"/>
  <c r="AC874" i="1"/>
  <c r="AD874" i="1"/>
  <c r="AG874" i="1"/>
  <c r="AD791" i="1"/>
  <c r="AC791" i="1"/>
  <c r="AG791" i="1"/>
  <c r="AG667" i="1"/>
  <c r="AI667" i="1"/>
  <c r="AD665" i="1"/>
  <c r="AI665" i="1"/>
  <c r="AG651" i="1"/>
  <c r="AI651" i="1"/>
  <c r="AC862" i="1"/>
  <c r="AD862" i="1"/>
  <c r="AD860" i="1"/>
  <c r="AC860" i="1"/>
  <c r="AC854" i="1"/>
  <c r="AD854" i="1"/>
  <c r="AD831" i="1"/>
  <c r="AC831" i="1"/>
  <c r="AC829" i="1"/>
  <c r="AD829" i="1"/>
  <c r="AD823" i="1"/>
  <c r="AC823" i="1"/>
  <c r="AG743" i="1"/>
  <c r="AD743" i="1"/>
  <c r="AC699" i="1"/>
  <c r="AD699" i="1"/>
  <c r="AG699" i="1"/>
  <c r="AG695" i="1"/>
  <c r="AD695" i="1"/>
  <c r="AG665" i="1"/>
  <c r="AC665" i="1"/>
  <c r="AC653" i="1"/>
  <c r="AD653" i="1"/>
  <c r="AG653" i="1"/>
  <c r="AC745" i="1"/>
  <c r="AD745" i="1"/>
  <c r="AC697" i="1"/>
  <c r="AD697" i="1"/>
  <c r="AC667" i="1"/>
  <c r="AD667" i="1"/>
  <c r="AC663" i="1"/>
  <c r="AD663" i="1"/>
  <c r="AC651" i="1"/>
  <c r="AD651" i="1"/>
  <c r="AC806" i="1"/>
  <c r="AG806" i="1"/>
  <c r="AC752" i="1"/>
  <c r="AG752" i="1"/>
  <c r="AC734" i="1"/>
  <c r="AG734" i="1"/>
  <c r="AC724" i="1"/>
  <c r="AG724" i="1"/>
  <c r="AC720" i="1"/>
  <c r="AG720" i="1"/>
  <c r="AC716" i="1"/>
  <c r="AG716" i="1"/>
  <c r="AC706" i="1"/>
  <c r="AG706" i="1"/>
  <c r="AC692" i="1"/>
  <c r="AG692" i="1"/>
  <c r="AC678" i="1"/>
  <c r="AG678" i="1"/>
  <c r="AC644" i="1"/>
  <c r="AG644" i="1"/>
  <c r="AD806" i="1"/>
  <c r="AD752" i="1"/>
  <c r="AD734" i="1"/>
  <c r="AD724" i="1"/>
  <c r="AD720" i="1"/>
  <c r="AD716" i="1"/>
  <c r="AD706" i="1"/>
  <c r="AD692" i="1"/>
  <c r="AD678" i="1"/>
  <c r="AD644" i="1"/>
  <c r="X885" i="1"/>
  <c r="Y885" i="1" s="1"/>
  <c r="X881" i="1"/>
  <c r="Y881" i="1" s="1"/>
  <c r="X877" i="1"/>
  <c r="Y877" i="1"/>
  <c r="AA877" i="1"/>
  <c r="Z877" i="1"/>
  <c r="AQ874" i="1"/>
  <c r="AQ862" i="1"/>
  <c r="AQ860" i="1"/>
  <c r="AQ854" i="1"/>
  <c r="X888" i="1"/>
  <c r="Y888" i="1" s="1"/>
  <c r="X884" i="1"/>
  <c r="Y884" i="1" s="1"/>
  <c r="Z884" i="1" s="1"/>
  <c r="AA884" i="1" s="1"/>
  <c r="X880" i="1"/>
  <c r="Y880" i="1" s="1"/>
  <c r="X872" i="1"/>
  <c r="Y872" i="1" s="1"/>
  <c r="Z872" i="1" s="1"/>
  <c r="AA872" i="1" s="1"/>
  <c r="Y868" i="1"/>
  <c r="X868" i="1"/>
  <c r="X864" i="1"/>
  <c r="Y864" i="1" s="1"/>
  <c r="Y860" i="1"/>
  <c r="X860" i="1"/>
  <c r="X856" i="1"/>
  <c r="Y856" i="1" s="1"/>
  <c r="X852" i="1"/>
  <c r="Y852" i="1" s="1"/>
  <c r="Z852" i="1" s="1"/>
  <c r="AA852" i="1" s="1"/>
  <c r="X847" i="1"/>
  <c r="Y847" i="1" s="1"/>
  <c r="Z847" i="1" s="1"/>
  <c r="AA847" i="1" s="1"/>
  <c r="X843" i="1"/>
  <c r="Y843" i="1" s="1"/>
  <c r="X839" i="1"/>
  <c r="Y839" i="1" s="1"/>
  <c r="Z839" i="1" s="1"/>
  <c r="AA839" i="1" s="1"/>
  <c r="X835" i="1"/>
  <c r="Y835" i="1" s="1"/>
  <c r="Z835" i="1" s="1"/>
  <c r="AA835" i="1" s="1"/>
  <c r="Y831" i="1"/>
  <c r="X831" i="1"/>
  <c r="X827" i="1"/>
  <c r="Y827" i="1" s="1"/>
  <c r="Z827" i="1" s="1"/>
  <c r="AA827" i="1" s="1"/>
  <c r="Y823" i="1"/>
  <c r="X823" i="1"/>
  <c r="X819" i="1"/>
  <c r="Y819" i="1" s="1"/>
  <c r="Z819" i="1" s="1"/>
  <c r="AA819" i="1" s="1"/>
  <c r="X815" i="1"/>
  <c r="Y815" i="1" s="1"/>
  <c r="Z815" i="1" s="1"/>
  <c r="AA815" i="1" s="1"/>
  <c r="X811" i="1"/>
  <c r="Y811" i="1" s="1"/>
  <c r="Z811" i="1" s="1"/>
  <c r="AA811" i="1" s="1"/>
  <c r="X807" i="1"/>
  <c r="Y807" i="1" s="1"/>
  <c r="X803" i="1"/>
  <c r="Y803" i="1" s="1"/>
  <c r="Z803" i="1" s="1"/>
  <c r="AA803" i="1" s="1"/>
  <c r="X799" i="1"/>
  <c r="Y799" i="1" s="1"/>
  <c r="X795" i="1"/>
  <c r="Y795" i="1" s="1"/>
  <c r="Z795" i="1" s="1"/>
  <c r="AA795" i="1" s="1"/>
  <c r="Y791" i="1"/>
  <c r="X791" i="1"/>
  <c r="X787" i="1"/>
  <c r="Y787" i="1" s="1"/>
  <c r="Z787" i="1" s="1"/>
  <c r="AA787" i="1" s="1"/>
  <c r="Y783" i="1"/>
  <c r="X783" i="1"/>
  <c r="X779" i="1"/>
  <c r="Y779" i="1" s="1"/>
  <c r="Z779" i="1" s="1"/>
  <c r="AA779" i="1" s="1"/>
  <c r="X775" i="1"/>
  <c r="Y775" i="1" s="1"/>
  <c r="Z775" i="1" s="1"/>
  <c r="AA775" i="1" s="1"/>
  <c r="X771" i="1"/>
  <c r="Y771" i="1" s="1"/>
  <c r="Z771" i="1" s="1"/>
  <c r="AA771" i="1" s="1"/>
  <c r="X767" i="1"/>
  <c r="Y767" i="1" s="1"/>
  <c r="Z767" i="1" s="1"/>
  <c r="AA767" i="1" s="1"/>
  <c r="X763" i="1"/>
  <c r="Y763" i="1" s="1"/>
  <c r="Z763" i="1" s="1"/>
  <c r="AA763" i="1" s="1"/>
  <c r="X759" i="1"/>
  <c r="Y759" i="1" s="1"/>
  <c r="X755" i="1"/>
  <c r="Y755" i="1" s="1"/>
  <c r="X751" i="1"/>
  <c r="Y751" i="1" s="1"/>
  <c r="X747" i="1"/>
  <c r="Y747" i="1" s="1"/>
  <c r="Y745" i="1"/>
  <c r="Z745" i="1"/>
  <c r="Y743" i="1"/>
  <c r="X743" i="1"/>
  <c r="Z743" i="1"/>
  <c r="X739" i="1"/>
  <c r="Y739" i="1" s="1"/>
  <c r="X735" i="1"/>
  <c r="Y735" i="1" s="1"/>
  <c r="X731" i="1"/>
  <c r="Y731" i="1" s="1"/>
  <c r="X727" i="1"/>
  <c r="Y727" i="1" s="1"/>
  <c r="X723" i="1"/>
  <c r="Y723" i="1" s="1"/>
  <c r="X719" i="1"/>
  <c r="Y719" i="1" s="1"/>
  <c r="X715" i="1"/>
  <c r="Y715" i="1" s="1"/>
  <c r="X711" i="1"/>
  <c r="Y711" i="1" s="1"/>
  <c r="Y709" i="1"/>
  <c r="Z709" i="1"/>
  <c r="X707" i="1"/>
  <c r="Y707" i="1" s="1"/>
  <c r="Y705" i="1"/>
  <c r="Z705" i="1"/>
  <c r="Y703" i="1"/>
  <c r="X703" i="1"/>
  <c r="Z703" i="1"/>
  <c r="Y699" i="1"/>
  <c r="X699" i="1"/>
  <c r="Z699" i="1"/>
  <c r="Y697" i="1"/>
  <c r="Z697" i="1"/>
  <c r="Y695" i="1"/>
  <c r="X695" i="1"/>
  <c r="X691" i="1"/>
  <c r="Y691" i="1" s="1"/>
  <c r="X681" i="1"/>
  <c r="Y681" i="1" s="1"/>
  <c r="X677" i="1"/>
  <c r="Y677" i="1" s="1"/>
  <c r="Z677" i="1" s="1"/>
  <c r="AA677" i="1" s="1"/>
  <c r="X673" i="1"/>
  <c r="Y673" i="1" s="1"/>
  <c r="Z673" i="1" s="1"/>
  <c r="AA673" i="1" s="1"/>
  <c r="X669" i="1"/>
  <c r="Y669" i="1" s="1"/>
  <c r="Z669" i="1" s="1"/>
  <c r="AA669" i="1" s="1"/>
  <c r="Y667" i="1"/>
  <c r="Z667" i="1"/>
  <c r="Y665" i="1"/>
  <c r="X665" i="1"/>
  <c r="Y663" i="1"/>
  <c r="Z663" i="1"/>
  <c r="X661" i="1"/>
  <c r="Y661" i="1" s="1"/>
  <c r="Z661" i="1" s="1"/>
  <c r="AA661" i="1" s="1"/>
  <c r="X657" i="1"/>
  <c r="Y657" i="1" s="1"/>
  <c r="Z657" i="1" s="1"/>
  <c r="AA657" i="1" s="1"/>
  <c r="Y653" i="1"/>
  <c r="X653" i="1"/>
  <c r="Y651" i="1"/>
  <c r="Z651" i="1"/>
  <c r="X649" i="1"/>
  <c r="Y649" i="1" s="1"/>
  <c r="Z649" i="1" s="1"/>
  <c r="AA649" i="1" s="1"/>
  <c r="X645" i="1"/>
  <c r="Y645" i="1" s="1"/>
  <c r="Z645" i="1" s="1"/>
  <c r="AA645" i="1" s="1"/>
  <c r="X641" i="1"/>
  <c r="Y641" i="1" s="1"/>
  <c r="Z641" i="1" s="1"/>
  <c r="AA641" i="1" s="1"/>
  <c r="Y639" i="1"/>
  <c r="Z639" i="1"/>
  <c r="AA874" i="1"/>
  <c r="AA868" i="1"/>
  <c r="AA862" i="1"/>
  <c r="AA860" i="1"/>
  <c r="AA831" i="1"/>
  <c r="AA829" i="1"/>
  <c r="AA823" i="1"/>
  <c r="AA791" i="1"/>
  <c r="AA783" i="1"/>
  <c r="AA745" i="1"/>
  <c r="AA743" i="1"/>
  <c r="AA709" i="1"/>
  <c r="AA705" i="1"/>
  <c r="AA703" i="1"/>
  <c r="AA699" i="1"/>
  <c r="AA697" i="1"/>
  <c r="AA695" i="1"/>
  <c r="AA667" i="1"/>
  <c r="AA665" i="1"/>
  <c r="AA663" i="1"/>
  <c r="AA653" i="1"/>
  <c r="AA651" i="1"/>
  <c r="AA639" i="1"/>
  <c r="Z879" i="1"/>
  <c r="Z871" i="1"/>
  <c r="Z867" i="1"/>
  <c r="Z806" i="1"/>
  <c r="Z734" i="1"/>
  <c r="Z706" i="1"/>
  <c r="Z653" i="1"/>
  <c r="Y879" i="1"/>
  <c r="Y871" i="1"/>
  <c r="Y830" i="1"/>
  <c r="Z830" i="1" s="1"/>
  <c r="AA830" i="1" s="1"/>
  <c r="Y806" i="1"/>
  <c r="Y782" i="1"/>
  <c r="Y734" i="1"/>
  <c r="Y718" i="1"/>
  <c r="Z718" i="1" s="1"/>
  <c r="AA718" i="1" s="1"/>
  <c r="X882" i="1"/>
  <c r="Y882" i="1" s="1"/>
  <c r="Z882" i="1" s="1"/>
  <c r="AA882" i="1" s="1"/>
  <c r="X874" i="1"/>
  <c r="X866" i="1"/>
  <c r="Y866" i="1" s="1"/>
  <c r="Z866" i="1" s="1"/>
  <c r="AA866" i="1" s="1"/>
  <c r="X858" i="1"/>
  <c r="Y858" i="1" s="1"/>
  <c r="Z858" i="1" s="1"/>
  <c r="AA858" i="1" s="1"/>
  <c r="X850" i="1"/>
  <c r="Y850" i="1" s="1"/>
  <c r="Z850" i="1" s="1"/>
  <c r="AA850" i="1" s="1"/>
  <c r="X841" i="1"/>
  <c r="X833" i="1"/>
  <c r="Y833" i="1" s="1"/>
  <c r="Z833" i="1" s="1"/>
  <c r="AA833" i="1" s="1"/>
  <c r="X825" i="1"/>
  <c r="X817" i="1"/>
  <c r="Y817" i="1" s="1"/>
  <c r="Z817" i="1" s="1"/>
  <c r="AA817" i="1" s="1"/>
  <c r="X809" i="1"/>
  <c r="Y809" i="1" s="1"/>
  <c r="Z809" i="1" s="1"/>
  <c r="AA809" i="1" s="1"/>
  <c r="X801" i="1"/>
  <c r="Y801" i="1" s="1"/>
  <c r="Z801" i="1" s="1"/>
  <c r="AA801" i="1" s="1"/>
  <c r="X793" i="1"/>
  <c r="Y793" i="1" s="1"/>
  <c r="Z793" i="1" s="1"/>
  <c r="AA793" i="1" s="1"/>
  <c r="X785" i="1"/>
  <c r="Y785" i="1" s="1"/>
  <c r="Z785" i="1" s="1"/>
  <c r="AA785" i="1" s="1"/>
  <c r="X777" i="1"/>
  <c r="Y777" i="1" s="1"/>
  <c r="Z777" i="1" s="1"/>
  <c r="AA777" i="1" s="1"/>
  <c r="X769" i="1"/>
  <c r="Y769" i="1" s="1"/>
  <c r="Z769" i="1" s="1"/>
  <c r="AA769" i="1" s="1"/>
  <c r="X761" i="1"/>
  <c r="Y761" i="1" s="1"/>
  <c r="Z761" i="1" s="1"/>
  <c r="AA761" i="1" s="1"/>
  <c r="X753" i="1"/>
  <c r="Y753" i="1" s="1"/>
  <c r="X745" i="1"/>
  <c r="X737" i="1"/>
  <c r="Y737" i="1" s="1"/>
  <c r="X729" i="1"/>
  <c r="Y729" i="1" s="1"/>
  <c r="X721" i="1"/>
  <c r="X713" i="1"/>
  <c r="X705" i="1"/>
  <c r="X697" i="1"/>
  <c r="X683" i="1"/>
  <c r="X675" i="1"/>
  <c r="Y675" i="1" s="1"/>
  <c r="Z675" i="1" s="1"/>
  <c r="AA675" i="1" s="1"/>
  <c r="X667" i="1"/>
  <c r="X659" i="1"/>
  <c r="Y659" i="1" s="1"/>
  <c r="X651" i="1"/>
  <c r="X643" i="1"/>
  <c r="Y643" i="1" s="1"/>
  <c r="X873" i="1"/>
  <c r="Y869" i="1"/>
  <c r="Y865" i="1"/>
  <c r="X861" i="1"/>
  <c r="X857" i="1"/>
  <c r="Y857" i="1" s="1"/>
  <c r="X853" i="1"/>
  <c r="X848" i="1"/>
  <c r="X844" i="1"/>
  <c r="Y844" i="1" s="1"/>
  <c r="X840" i="1"/>
  <c r="Y840" i="1"/>
  <c r="X836" i="1"/>
  <c r="Y836" i="1"/>
  <c r="X832" i="1"/>
  <c r="X828" i="1"/>
  <c r="X824" i="1"/>
  <c r="X820" i="1"/>
  <c r="Y820" i="1" s="1"/>
  <c r="X816" i="1"/>
  <c r="X812" i="1"/>
  <c r="Y812" i="1" s="1"/>
  <c r="X808" i="1"/>
  <c r="X804" i="1"/>
  <c r="X800" i="1"/>
  <c r="X796" i="1"/>
  <c r="Y796" i="1" s="1"/>
  <c r="X792" i="1"/>
  <c r="X788" i="1"/>
  <c r="X784" i="1"/>
  <c r="Y784" i="1" s="1"/>
  <c r="Z784" i="1" s="1"/>
  <c r="AA784" i="1" s="1"/>
  <c r="X780" i="1"/>
  <c r="Y780" i="1" s="1"/>
  <c r="X776" i="1"/>
  <c r="Y776" i="1" s="1"/>
  <c r="Z776" i="1" s="1"/>
  <c r="AA776" i="1" s="1"/>
  <c r="X772" i="1"/>
  <c r="Y772" i="1" s="1"/>
  <c r="X768" i="1"/>
  <c r="X764" i="1"/>
  <c r="X760" i="1"/>
  <c r="Y760" i="1" s="1"/>
  <c r="X756" i="1"/>
  <c r="Y756" i="1" s="1"/>
  <c r="Z756" i="1" s="1"/>
  <c r="AA756" i="1" s="1"/>
  <c r="X752" i="1"/>
  <c r="Y752" i="1"/>
  <c r="X748" i="1"/>
  <c r="Y748" i="1" s="1"/>
  <c r="Z748" i="1" s="1"/>
  <c r="AA748" i="1" s="1"/>
  <c r="X744" i="1"/>
  <c r="Y744" i="1" s="1"/>
  <c r="Z744" i="1" s="1"/>
  <c r="AA744" i="1" s="1"/>
  <c r="X740" i="1"/>
  <c r="Y740" i="1" s="1"/>
  <c r="X736" i="1"/>
  <c r="Y736" i="1" s="1"/>
  <c r="X732" i="1"/>
  <c r="Y732" i="1"/>
  <c r="X728" i="1"/>
  <c r="Y728" i="1" s="1"/>
  <c r="Z728" i="1" s="1"/>
  <c r="AA728" i="1" s="1"/>
  <c r="X724" i="1"/>
  <c r="Y724" i="1"/>
  <c r="X720" i="1"/>
  <c r="Y720" i="1"/>
  <c r="X716" i="1"/>
  <c r="Y716" i="1"/>
  <c r="X712" i="1"/>
  <c r="Y712" i="1" s="1"/>
  <c r="Z712" i="1" s="1"/>
  <c r="AA712" i="1" s="1"/>
  <c r="X708" i="1"/>
  <c r="Y708" i="1" s="1"/>
  <c r="Z708" i="1" s="1"/>
  <c r="AA708" i="1" s="1"/>
  <c r="X704" i="1"/>
  <c r="Y704" i="1"/>
  <c r="X700" i="1"/>
  <c r="Y700" i="1" s="1"/>
  <c r="Z700" i="1" s="1"/>
  <c r="AA700" i="1" s="1"/>
  <c r="X696" i="1"/>
  <c r="Y696" i="1" s="1"/>
  <c r="X694" i="1"/>
  <c r="Y694" i="1" s="1"/>
  <c r="X692" i="1"/>
  <c r="Z692" i="1"/>
  <c r="Y692" i="1"/>
  <c r="X684" i="1"/>
  <c r="X682" i="1"/>
  <c r="Y682" i="1" s="1"/>
  <c r="X680" i="1"/>
  <c r="Y680" i="1" s="1"/>
  <c r="Z680" i="1" s="1"/>
  <c r="AA680" i="1" s="1"/>
  <c r="X678" i="1"/>
  <c r="Z678" i="1"/>
  <c r="Y678" i="1"/>
  <c r="X676" i="1"/>
  <c r="Y676" i="1" s="1"/>
  <c r="Z676" i="1" s="1"/>
  <c r="AA676" i="1" s="1"/>
  <c r="X674" i="1"/>
  <c r="X672" i="1"/>
  <c r="Y672" i="1" s="1"/>
  <c r="Z672" i="1" s="1"/>
  <c r="AA672" i="1" s="1"/>
  <c r="X670" i="1"/>
  <c r="Y670" i="1" s="1"/>
  <c r="X668" i="1"/>
  <c r="X666" i="1"/>
  <c r="Y666" i="1" s="1"/>
  <c r="X664" i="1"/>
  <c r="Y664" i="1" s="1"/>
  <c r="X662" i="1"/>
  <c r="Y662" i="1" s="1"/>
  <c r="X660" i="1"/>
  <c r="Y660" i="1" s="1"/>
  <c r="Z660" i="1" s="1"/>
  <c r="AA660" i="1" s="1"/>
  <c r="X658" i="1"/>
  <c r="Y658" i="1" s="1"/>
  <c r="X656" i="1"/>
  <c r="Y656" i="1" s="1"/>
  <c r="X654" i="1"/>
  <c r="Y654" i="1" s="1"/>
  <c r="X652" i="1"/>
  <c r="Y652" i="1" s="1"/>
  <c r="Z652" i="1" s="1"/>
  <c r="AA652" i="1" s="1"/>
  <c r="X650" i="1"/>
  <c r="X648" i="1"/>
  <c r="Y648" i="1" s="1"/>
  <c r="Z648" i="1" s="1"/>
  <c r="AA648" i="1" s="1"/>
  <c r="X646" i="1"/>
  <c r="X644" i="1"/>
  <c r="Z644" i="1"/>
  <c r="X642" i="1"/>
  <c r="X640" i="1"/>
  <c r="Y640" i="1" s="1"/>
  <c r="Z640" i="1" s="1"/>
  <c r="AA640" i="1" s="1"/>
  <c r="AA887" i="1"/>
  <c r="AA871" i="1"/>
  <c r="AA867" i="1"/>
  <c r="AA840" i="1"/>
  <c r="AA836" i="1"/>
  <c r="AA834" i="1"/>
  <c r="AA806" i="1"/>
  <c r="AA782" i="1"/>
  <c r="AA752" i="1"/>
  <c r="AA734" i="1"/>
  <c r="AA732" i="1"/>
  <c r="AA724" i="1"/>
  <c r="AA720" i="1"/>
  <c r="AA716" i="1"/>
  <c r="AA706" i="1"/>
  <c r="AA704" i="1"/>
  <c r="AA692" i="1"/>
  <c r="AA678" i="1"/>
  <c r="AA644" i="1"/>
  <c r="Z874" i="1"/>
  <c r="Z870" i="1"/>
  <c r="Z868" i="1"/>
  <c r="Z862" i="1"/>
  <c r="Z860" i="1"/>
  <c r="Z854" i="1"/>
  <c r="Z831" i="1"/>
  <c r="Z829" i="1"/>
  <c r="Z823" i="1"/>
  <c r="Z791" i="1"/>
  <c r="Z783" i="1"/>
  <c r="Z752" i="1"/>
  <c r="Z732" i="1"/>
  <c r="Z724" i="1"/>
  <c r="Z720" i="1"/>
  <c r="Z716" i="1"/>
  <c r="Z704" i="1"/>
  <c r="Z695" i="1"/>
  <c r="Z665" i="1"/>
  <c r="Y867" i="1"/>
  <c r="Y842" i="1"/>
  <c r="Z842" i="1" s="1"/>
  <c r="AA842" i="1" s="1"/>
  <c r="Y818" i="1"/>
  <c r="Z818" i="1" s="1"/>
  <c r="AA818" i="1" s="1"/>
  <c r="Y722" i="1"/>
  <c r="Z722" i="1" s="1"/>
  <c r="AA722" i="1" s="1"/>
  <c r="Y706" i="1"/>
  <c r="Y644" i="1"/>
  <c r="X886" i="1"/>
  <c r="Y886" i="1" s="1"/>
  <c r="X878" i="1"/>
  <c r="Y878" i="1" s="1"/>
  <c r="X862" i="1"/>
  <c r="X845" i="1"/>
  <c r="Y845" i="1" s="1"/>
  <c r="X837" i="1"/>
  <c r="Y837" i="1" s="1"/>
  <c r="X829" i="1"/>
  <c r="X821" i="1"/>
  <c r="Y821" i="1" s="1"/>
  <c r="X813" i="1"/>
  <c r="Y813" i="1" s="1"/>
  <c r="X805" i="1"/>
  <c r="Y805" i="1" s="1"/>
  <c r="X797" i="1"/>
  <c r="Y797" i="1" s="1"/>
  <c r="X789" i="1"/>
  <c r="Y789" i="1" s="1"/>
  <c r="X781" i="1"/>
  <c r="Y781" i="1" s="1"/>
  <c r="X773" i="1"/>
  <c r="Y773" i="1" s="1"/>
  <c r="X765" i="1"/>
  <c r="X757" i="1"/>
  <c r="Y757" i="1" s="1"/>
  <c r="X749" i="1"/>
  <c r="X741" i="1"/>
  <c r="X733" i="1"/>
  <c r="X725" i="1"/>
  <c r="Y725" i="1" s="1"/>
  <c r="X717" i="1"/>
  <c r="Y717" i="1" s="1"/>
  <c r="X709" i="1"/>
  <c r="X701" i="1"/>
  <c r="X693" i="1"/>
  <c r="Y693" i="1" s="1"/>
  <c r="Z693" i="1" s="1"/>
  <c r="AA693" i="1" s="1"/>
  <c r="X679" i="1"/>
  <c r="X671" i="1"/>
  <c r="Y671" i="1" s="1"/>
  <c r="Z671" i="1" s="1"/>
  <c r="AA671" i="1" s="1"/>
  <c r="X663" i="1"/>
  <c r="X655" i="1"/>
  <c r="X647" i="1"/>
  <c r="Y647" i="1" s="1"/>
  <c r="X639" i="1"/>
  <c r="X889" i="1"/>
  <c r="Y889" i="1" s="1"/>
  <c r="Z889" i="1" s="1"/>
  <c r="AA889" i="1" s="1"/>
  <c r="P638" i="1"/>
  <c r="N638" i="1"/>
  <c r="AK638" i="1"/>
  <c r="AL638" i="1"/>
  <c r="B637" i="1"/>
  <c r="C637" i="1" s="1"/>
  <c r="D637" i="1"/>
  <c r="AD637" i="1" s="1"/>
  <c r="AE637" i="1"/>
  <c r="AF637" i="1"/>
  <c r="W637" i="1" s="1"/>
  <c r="AH637" i="1"/>
  <c r="AK637" i="1" s="1"/>
  <c r="AL637" i="1"/>
  <c r="AM637" i="1" s="1"/>
  <c r="P635" i="1"/>
  <c r="AF635" i="1" s="1"/>
  <c r="P636" i="1"/>
  <c r="AF636" i="1" s="1"/>
  <c r="AE636" i="1" s="1"/>
  <c r="B636" i="1"/>
  <c r="C636" i="1" s="1"/>
  <c r="X636" i="1"/>
  <c r="Y636" i="1" s="1"/>
  <c r="Z636" i="1" s="1"/>
  <c r="AA636" i="1" s="1"/>
  <c r="AL636" i="1"/>
  <c r="AO636" i="1"/>
  <c r="AP636" i="1" s="1"/>
  <c r="B635" i="1"/>
  <c r="C635" i="1" s="1"/>
  <c r="AL635" i="1"/>
  <c r="AO635" i="1"/>
  <c r="AP635" i="1" s="1"/>
  <c r="P634" i="1"/>
  <c r="N634" i="1"/>
  <c r="X634" i="1"/>
  <c r="Y634" i="1" s="1"/>
  <c r="Z634" i="1" s="1"/>
  <c r="AA634" i="1" s="1"/>
  <c r="AK634" i="1"/>
  <c r="AL634" i="1"/>
  <c r="B633" i="1"/>
  <c r="C633" i="1" s="1"/>
  <c r="D633" i="1"/>
  <c r="AD633" i="1" s="1"/>
  <c r="AE633" i="1"/>
  <c r="AF633" i="1"/>
  <c r="W633" i="1" s="1"/>
  <c r="AH633" i="1"/>
  <c r="AK633" i="1" s="1"/>
  <c r="AL633" i="1"/>
  <c r="AM633" i="1" s="1"/>
  <c r="B632" i="1"/>
  <c r="C632" i="1" s="1"/>
  <c r="AF632" i="1"/>
  <c r="W632" i="1" s="1"/>
  <c r="AL632" i="1"/>
  <c r="AO632" i="1"/>
  <c r="AP632" i="1" s="1"/>
  <c r="B631" i="1"/>
  <c r="C631" i="1" s="1"/>
  <c r="AF631" i="1"/>
  <c r="W631" i="1" s="1"/>
  <c r="AL631" i="1"/>
  <c r="AO631" i="1"/>
  <c r="AP631" i="1" s="1"/>
  <c r="AF630" i="1"/>
  <c r="W630" i="1" s="1"/>
  <c r="AK630" i="1"/>
  <c r="AL630" i="1"/>
  <c r="B629" i="1"/>
  <c r="C629" i="1" s="1"/>
  <c r="D629" i="1"/>
  <c r="AD629" i="1" s="1"/>
  <c r="AE629" i="1"/>
  <c r="AF629" i="1"/>
  <c r="W629" i="1" s="1"/>
  <c r="AH629" i="1"/>
  <c r="AK629" i="1" s="1"/>
  <c r="AL629" i="1"/>
  <c r="AM629" i="1" s="1"/>
  <c r="B628" i="1"/>
  <c r="C628" i="1" s="1"/>
  <c r="D628" i="1"/>
  <c r="AD628" i="1" s="1"/>
  <c r="AE628" i="1"/>
  <c r="AF628" i="1"/>
  <c r="W628" i="1" s="1"/>
  <c r="AH628" i="1"/>
  <c r="AK628" i="1" s="1"/>
  <c r="AL628" i="1"/>
  <c r="AM628" i="1" s="1"/>
  <c r="N622" i="1"/>
  <c r="AN650" i="1" l="1"/>
  <c r="AN700" i="1"/>
  <c r="AN712" i="1"/>
  <c r="AM814" i="1"/>
  <c r="AM842" i="1"/>
  <c r="AN642" i="1"/>
  <c r="AN655" i="1"/>
  <c r="AM708" i="1"/>
  <c r="AF638" i="1"/>
  <c r="AE638" i="1" s="1"/>
  <c r="AM722" i="1"/>
  <c r="AN746" i="1"/>
  <c r="AN754" i="1"/>
  <c r="AN796" i="1"/>
  <c r="AN822" i="1"/>
  <c r="AN828" i="1"/>
  <c r="AN846" i="1"/>
  <c r="AN859" i="1"/>
  <c r="AN863" i="1"/>
  <c r="AN869" i="1"/>
  <c r="AN883" i="1"/>
  <c r="AN824" i="1"/>
  <c r="AN815" i="1"/>
  <c r="AN852" i="1"/>
  <c r="X854" i="1"/>
  <c r="X870" i="1"/>
  <c r="Y834" i="1"/>
  <c r="AA768" i="1"/>
  <c r="AA865" i="1"/>
  <c r="AA869" i="1"/>
  <c r="AA879" i="1"/>
  <c r="Y768" i="1"/>
  <c r="X865" i="1"/>
  <c r="X869" i="1"/>
  <c r="Y887" i="1"/>
  <c r="Z782" i="1"/>
  <c r="Z834" i="1"/>
  <c r="Z887" i="1"/>
  <c r="AA854" i="1"/>
  <c r="AA870" i="1"/>
  <c r="AN647" i="1"/>
  <c r="AM654" i="1"/>
  <c r="AN659" i="1"/>
  <c r="AN694" i="1"/>
  <c r="AN714" i="1"/>
  <c r="AN730" i="1"/>
  <c r="AN764" i="1"/>
  <c r="AN782" i="1"/>
  <c r="AN804" i="1"/>
  <c r="AN818" i="1"/>
  <c r="AN873" i="1"/>
  <c r="AN728" i="1"/>
  <c r="AM792" i="1"/>
  <c r="AN698" i="1"/>
  <c r="AN702" i="1"/>
  <c r="AN742" i="1"/>
  <c r="AN748" i="1"/>
  <c r="AN704" i="1"/>
  <c r="AN765" i="1"/>
  <c r="AN673" i="1"/>
  <c r="AN749" i="1"/>
  <c r="AM785" i="1"/>
  <c r="AM856" i="1"/>
  <c r="AN696" i="1"/>
  <c r="AN763" i="1"/>
  <c r="AM833" i="1"/>
  <c r="AM880" i="1"/>
  <c r="AM872" i="1"/>
  <c r="AM841" i="1"/>
  <c r="Z719" i="1"/>
  <c r="AA719" i="1" s="1"/>
  <c r="Z751" i="1"/>
  <c r="AA751" i="1" s="1"/>
  <c r="AM640" i="1"/>
  <c r="AN648" i="1"/>
  <c r="AN657" i="1"/>
  <c r="AM736" i="1"/>
  <c r="AM701" i="1"/>
  <c r="AM703" i="1"/>
  <c r="AM864" i="1"/>
  <c r="AM721" i="1"/>
  <c r="AN731" i="1"/>
  <c r="AM805" i="1"/>
  <c r="Z888" i="1"/>
  <c r="AA888" i="1" s="1"/>
  <c r="AM888" i="1"/>
  <c r="Z886" i="1"/>
  <c r="AA886" i="1" s="1"/>
  <c r="AM886" i="1"/>
  <c r="Z885" i="1"/>
  <c r="AA885" i="1" s="1"/>
  <c r="AM884" i="1"/>
  <c r="AM882" i="1"/>
  <c r="Z881" i="1"/>
  <c r="AA881" i="1" s="1"/>
  <c r="Z880" i="1"/>
  <c r="AA880" i="1" s="1"/>
  <c r="Z878" i="1"/>
  <c r="AA878" i="1" s="1"/>
  <c r="AM878" i="1"/>
  <c r="Y873" i="1"/>
  <c r="Z873" i="1" s="1"/>
  <c r="AA873" i="1" s="1"/>
  <c r="AM866" i="1"/>
  <c r="Z864" i="1"/>
  <c r="AA864" i="1" s="1"/>
  <c r="Y861" i="1"/>
  <c r="Z861" i="1" s="1"/>
  <c r="AA861" i="1" s="1"/>
  <c r="AM858" i="1"/>
  <c r="Z857" i="1"/>
  <c r="AA857" i="1" s="1"/>
  <c r="Z856" i="1"/>
  <c r="AA856" i="1" s="1"/>
  <c r="AM850" i="1"/>
  <c r="Z799" i="1"/>
  <c r="AA799" i="1" s="1"/>
  <c r="Z696" i="1"/>
  <c r="AA696" i="1" s="1"/>
  <c r="Y808" i="1"/>
  <c r="Z808" i="1" s="1"/>
  <c r="AA808" i="1" s="1"/>
  <c r="Y701" i="1"/>
  <c r="Z701" i="1" s="1"/>
  <c r="AA701" i="1" s="1"/>
  <c r="Z715" i="1"/>
  <c r="AA715" i="1" s="1"/>
  <c r="Y721" i="1"/>
  <c r="Z721" i="1" s="1"/>
  <c r="AA721" i="1" s="1"/>
  <c r="AM645" i="1"/>
  <c r="AN661" i="1"/>
  <c r="AM711" i="1"/>
  <c r="AN727" i="1"/>
  <c r="Z796" i="1"/>
  <c r="AA796" i="1" s="1"/>
  <c r="Z812" i="1"/>
  <c r="AA812" i="1" s="1"/>
  <c r="Z753" i="1"/>
  <c r="AA753" i="1" s="1"/>
  <c r="AM807" i="1"/>
  <c r="AM847" i="1"/>
  <c r="AN848" i="1"/>
  <c r="AM787" i="1"/>
  <c r="AM835" i="1"/>
  <c r="Y853" i="1"/>
  <c r="Z853" i="1" s="1"/>
  <c r="AA853" i="1" s="1"/>
  <c r="Y848" i="1"/>
  <c r="Z848" i="1" s="1"/>
  <c r="AA848" i="1" s="1"/>
  <c r="Z845" i="1"/>
  <c r="AA845" i="1" s="1"/>
  <c r="AM845" i="1"/>
  <c r="Z844" i="1"/>
  <c r="AA844" i="1" s="1"/>
  <c r="Z843" i="1"/>
  <c r="AA843" i="1" s="1"/>
  <c r="Y841" i="1"/>
  <c r="Z841" i="1" s="1"/>
  <c r="AA841" i="1" s="1"/>
  <c r="AN838" i="1"/>
  <c r="Z837" i="1"/>
  <c r="AA837" i="1" s="1"/>
  <c r="AM837" i="1"/>
  <c r="AM832" i="1"/>
  <c r="Y832" i="1"/>
  <c r="Z832" i="1" s="1"/>
  <c r="AA832" i="1" s="1"/>
  <c r="Y824" i="1"/>
  <c r="Z824" i="1" s="1"/>
  <c r="AA824" i="1" s="1"/>
  <c r="Y828" i="1"/>
  <c r="Z828" i="1" s="1"/>
  <c r="AA828" i="1" s="1"/>
  <c r="AN827" i="1"/>
  <c r="Y825" i="1"/>
  <c r="Z825" i="1" s="1"/>
  <c r="AA825" i="1" s="1"/>
  <c r="AN825" i="1"/>
  <c r="AM811" i="1"/>
  <c r="Z821" i="1"/>
  <c r="AA821" i="1" s="1"/>
  <c r="AM821" i="1"/>
  <c r="Z820" i="1"/>
  <c r="AA820" i="1" s="1"/>
  <c r="Y816" i="1"/>
  <c r="Z816" i="1" s="1"/>
  <c r="AA816" i="1" s="1"/>
  <c r="Z813" i="1"/>
  <c r="AA813" i="1" s="1"/>
  <c r="AM813" i="1"/>
  <c r="AN812" i="1"/>
  <c r="AM809" i="1"/>
  <c r="Z807" i="1"/>
  <c r="AA807" i="1" s="1"/>
  <c r="Z805" i="1"/>
  <c r="AA805" i="1" s="1"/>
  <c r="Y804" i="1"/>
  <c r="Z804" i="1" s="1"/>
  <c r="AA804" i="1" s="1"/>
  <c r="AM803" i="1"/>
  <c r="AN802" i="1"/>
  <c r="AM801" i="1"/>
  <c r="Y800" i="1"/>
  <c r="Z800" i="1" s="1"/>
  <c r="AA800" i="1" s="1"/>
  <c r="AM800" i="1"/>
  <c r="Z797" i="1"/>
  <c r="AA797" i="1" s="1"/>
  <c r="AM797" i="1"/>
  <c r="AM793" i="1"/>
  <c r="Y792" i="1"/>
  <c r="Z792" i="1" s="1"/>
  <c r="AA792" i="1" s="1"/>
  <c r="AN788" i="1"/>
  <c r="Z789" i="1"/>
  <c r="AA789" i="1" s="1"/>
  <c r="AM789" i="1"/>
  <c r="Y788" i="1"/>
  <c r="Z788" i="1" s="1"/>
  <c r="AA788" i="1" s="1"/>
  <c r="AM784" i="1"/>
  <c r="Z781" i="1"/>
  <c r="AA781" i="1" s="1"/>
  <c r="AM781" i="1"/>
  <c r="Z772" i="1"/>
  <c r="AA772" i="1" s="1"/>
  <c r="Z780" i="1"/>
  <c r="AA780" i="1" s="1"/>
  <c r="AM773" i="1"/>
  <c r="AM777" i="1"/>
  <c r="AN771" i="1"/>
  <c r="AN779" i="1"/>
  <c r="Z773" i="1"/>
  <c r="AA773" i="1" s="1"/>
  <c r="AM770" i="1"/>
  <c r="AM774" i="1"/>
  <c r="AM769" i="1"/>
  <c r="Z757" i="1"/>
  <c r="AA757" i="1" s="1"/>
  <c r="Z755" i="1"/>
  <c r="AA755" i="1" s="1"/>
  <c r="AN756" i="1"/>
  <c r="AM760" i="1"/>
  <c r="AN755" i="1"/>
  <c r="Y765" i="1"/>
  <c r="Z765" i="1" s="1"/>
  <c r="AA765" i="1" s="1"/>
  <c r="Z760" i="1"/>
  <c r="AA760" i="1" s="1"/>
  <c r="Y764" i="1"/>
  <c r="Z764" i="1" s="1"/>
  <c r="AA764" i="1" s="1"/>
  <c r="Z759" i="1"/>
  <c r="AA759" i="1" s="1"/>
  <c r="AN757" i="1"/>
  <c r="AN761" i="1"/>
  <c r="AN762" i="1"/>
  <c r="AN766" i="1"/>
  <c r="AN759" i="1"/>
  <c r="AN767" i="1"/>
  <c r="AN751" i="1"/>
  <c r="Y749" i="1"/>
  <c r="Z749" i="1" s="1"/>
  <c r="AA749" i="1" s="1"/>
  <c r="Z747" i="1"/>
  <c r="AA747" i="1" s="1"/>
  <c r="AN747" i="1"/>
  <c r="AN744" i="1"/>
  <c r="Z737" i="1"/>
  <c r="AA737" i="1" s="1"/>
  <c r="Z735" i="1"/>
  <c r="AA735" i="1" s="1"/>
  <c r="Y741" i="1"/>
  <c r="Z741" i="1" s="1"/>
  <c r="AA741" i="1" s="1"/>
  <c r="AM741" i="1"/>
  <c r="Z740" i="1"/>
  <c r="AA740" i="1" s="1"/>
  <c r="Z739" i="1"/>
  <c r="AA739" i="1" s="1"/>
  <c r="AM739" i="1"/>
  <c r="AN738" i="1"/>
  <c r="AM737" i="1"/>
  <c r="Z736" i="1"/>
  <c r="AA736" i="1" s="1"/>
  <c r="AN735" i="1"/>
  <c r="Z727" i="1"/>
  <c r="AA727" i="1" s="1"/>
  <c r="Y733" i="1"/>
  <c r="Z733" i="1" s="1"/>
  <c r="AA733" i="1" s="1"/>
  <c r="AM733" i="1"/>
  <c r="Z731" i="1"/>
  <c r="AA731" i="1" s="1"/>
  <c r="Z729" i="1"/>
  <c r="AA729" i="1" s="1"/>
  <c r="Z725" i="1"/>
  <c r="AA725" i="1" s="1"/>
  <c r="AN725" i="1"/>
  <c r="Z723" i="1"/>
  <c r="AA723" i="1" s="1"/>
  <c r="Z717" i="1"/>
  <c r="AA717" i="1" s="1"/>
  <c r="AM715" i="1"/>
  <c r="Y713" i="1"/>
  <c r="Z713" i="1" s="1"/>
  <c r="AA713" i="1" s="1"/>
  <c r="AM713" i="1"/>
  <c r="Z711" i="1"/>
  <c r="AA711" i="1" s="1"/>
  <c r="AM709" i="1"/>
  <c r="Z707" i="1"/>
  <c r="AA707" i="1" s="1"/>
  <c r="AM707" i="1"/>
  <c r="AM705" i="1"/>
  <c r="Z691" i="1"/>
  <c r="AA691" i="1" s="1"/>
  <c r="AF634" i="1"/>
  <c r="AE634" i="1" s="1"/>
  <c r="AN634" i="1" s="1"/>
  <c r="AQ637" i="1"/>
  <c r="Z670" i="1"/>
  <c r="AA670" i="1" s="1"/>
  <c r="Y674" i="1"/>
  <c r="Z674" i="1" s="1"/>
  <c r="AA674" i="1" s="1"/>
  <c r="AN691" i="1"/>
  <c r="AM662" i="1"/>
  <c r="Z694" i="1"/>
  <c r="AA694" i="1" s="1"/>
  <c r="AN637" i="1"/>
  <c r="Z658" i="1"/>
  <c r="AA658" i="1" s="1"/>
  <c r="Z654" i="1"/>
  <c r="AA654" i="1" s="1"/>
  <c r="Y684" i="1"/>
  <c r="Z684" i="1" s="1"/>
  <c r="AA684" i="1" s="1"/>
  <c r="AM684" i="1"/>
  <c r="AN684" i="1"/>
  <c r="Y683" i="1"/>
  <c r="Z683" i="1" s="1"/>
  <c r="AA683" i="1" s="1"/>
  <c r="AM683" i="1"/>
  <c r="Y646" i="1"/>
  <c r="Z646" i="1" s="1"/>
  <c r="AA646" i="1" s="1"/>
  <c r="AO637" i="1"/>
  <c r="AP637" i="1" s="1"/>
  <c r="Z666" i="1"/>
  <c r="AA666" i="1" s="1"/>
  <c r="AN676" i="1"/>
  <c r="AN677" i="1"/>
  <c r="AN666" i="1"/>
  <c r="AM666" i="1"/>
  <c r="AN646" i="1"/>
  <c r="AM646" i="1"/>
  <c r="AM658" i="1"/>
  <c r="AN658" i="1"/>
  <c r="AM643" i="1"/>
  <c r="AM649" i="1"/>
  <c r="Z682" i="1"/>
  <c r="AA682" i="1" s="1"/>
  <c r="AM652" i="1"/>
  <c r="AN652" i="1"/>
  <c r="AM656" i="1"/>
  <c r="AN656" i="1"/>
  <c r="AM641" i="1"/>
  <c r="AM682" i="1"/>
  <c r="AN682" i="1"/>
  <c r="Z681" i="1"/>
  <c r="AA681" i="1" s="1"/>
  <c r="AN681" i="1"/>
  <c r="AN680" i="1"/>
  <c r="Y679" i="1"/>
  <c r="Z679" i="1" s="1"/>
  <c r="AA679" i="1" s="1"/>
  <c r="AM679" i="1"/>
  <c r="AM675" i="1"/>
  <c r="AM674" i="1"/>
  <c r="AN674" i="1"/>
  <c r="AN672" i="1"/>
  <c r="AM671" i="1"/>
  <c r="AM670" i="1"/>
  <c r="AN670" i="1"/>
  <c r="AN669" i="1"/>
  <c r="Y668" i="1"/>
  <c r="Z668" i="1" s="1"/>
  <c r="AA668" i="1" s="1"/>
  <c r="AN668" i="1"/>
  <c r="AN664" i="1"/>
  <c r="Z664" i="1"/>
  <c r="AA664" i="1" s="1"/>
  <c r="Z662" i="1"/>
  <c r="AA662" i="1" s="1"/>
  <c r="Z659" i="1"/>
  <c r="AA659" i="1" s="1"/>
  <c r="Z656" i="1"/>
  <c r="AA656" i="1" s="1"/>
  <c r="Y655" i="1"/>
  <c r="Z655" i="1" s="1"/>
  <c r="AA655" i="1" s="1"/>
  <c r="Y650" i="1"/>
  <c r="Z650" i="1" s="1"/>
  <c r="AA650" i="1" s="1"/>
  <c r="Z647" i="1"/>
  <c r="AA647" i="1" s="1"/>
  <c r="Z643" i="1"/>
  <c r="AA643" i="1" s="1"/>
  <c r="Y642" i="1"/>
  <c r="Z642" i="1" s="1"/>
  <c r="AA642" i="1" s="1"/>
  <c r="Y637" i="1"/>
  <c r="AA637" i="1"/>
  <c r="X637" i="1"/>
  <c r="Z637" i="1"/>
  <c r="AN636" i="1"/>
  <c r="AQ629" i="1"/>
  <c r="AN638" i="1"/>
  <c r="AC637" i="1"/>
  <c r="AI637" i="1"/>
  <c r="AG637" i="1"/>
  <c r="AM638" i="1"/>
  <c r="AO638" i="1"/>
  <c r="AP638" i="1" s="1"/>
  <c r="AM636" i="1"/>
  <c r="AE635" i="1"/>
  <c r="AN635" i="1" s="1"/>
  <c r="AQ628" i="1"/>
  <c r="AN629" i="1"/>
  <c r="AN628" i="1"/>
  <c r="AO629" i="1"/>
  <c r="AP629" i="1" s="1"/>
  <c r="AC633" i="1"/>
  <c r="Y633" i="1"/>
  <c r="AA633" i="1"/>
  <c r="X633" i="1"/>
  <c r="Z633" i="1"/>
  <c r="X635" i="1"/>
  <c r="Y635" i="1" s="1"/>
  <c r="Z635" i="1" s="1"/>
  <c r="AA635" i="1" s="1"/>
  <c r="AN633" i="1"/>
  <c r="AE631" i="1"/>
  <c r="AM631" i="1" s="1"/>
  <c r="AE632" i="1"/>
  <c r="AN632" i="1" s="1"/>
  <c r="AQ633" i="1"/>
  <c r="AO633" i="1"/>
  <c r="AP633" i="1" s="1"/>
  <c r="AI633" i="1"/>
  <c r="AG633" i="1"/>
  <c r="AO634" i="1"/>
  <c r="AP634" i="1" s="1"/>
  <c r="Y632" i="1"/>
  <c r="AA632" i="1"/>
  <c r="X632" i="1"/>
  <c r="Z632" i="1"/>
  <c r="AI628" i="1"/>
  <c r="AG628" i="1"/>
  <c r="X631" i="1"/>
  <c r="Y631" i="1" s="1"/>
  <c r="Z631" i="1" s="1"/>
  <c r="AA631" i="1" s="1"/>
  <c r="AO628" i="1"/>
  <c r="AP628" i="1" s="1"/>
  <c r="AE630" i="1"/>
  <c r="AN630" i="1" s="1"/>
  <c r="AO630" i="1"/>
  <c r="AP630" i="1" s="1"/>
  <c r="AI629" i="1"/>
  <c r="AG629" i="1"/>
  <c r="AC628" i="1"/>
  <c r="AC629" i="1"/>
  <c r="Y628" i="1"/>
  <c r="AA628" i="1"/>
  <c r="X628" i="1"/>
  <c r="Z628" i="1"/>
  <c r="Y629" i="1"/>
  <c r="AA629" i="1"/>
  <c r="X629" i="1"/>
  <c r="Z629" i="1"/>
  <c r="X630" i="1"/>
  <c r="Y630" i="1" s="1"/>
  <c r="Z630" i="1" s="1"/>
  <c r="AA630" i="1" s="1"/>
  <c r="B518" i="1"/>
  <c r="C518" i="1" s="1"/>
  <c r="AF518" i="1"/>
  <c r="AL518" i="1"/>
  <c r="AO518" i="1"/>
  <c r="AP518" i="1" s="1"/>
  <c r="AE13" i="1"/>
  <c r="AE23" i="1"/>
  <c r="AE30" i="1"/>
  <c r="AE36" i="1"/>
  <c r="AE39" i="1"/>
  <c r="AE41" i="1"/>
  <c r="AE44" i="1"/>
  <c r="AE49" i="1"/>
  <c r="AE54" i="1"/>
  <c r="AE60" i="1"/>
  <c r="AE75" i="1"/>
  <c r="AE86" i="1"/>
  <c r="AE88" i="1"/>
  <c r="AE97" i="1"/>
  <c r="AE102" i="1"/>
  <c r="AE109" i="1"/>
  <c r="AE111" i="1"/>
  <c r="AE115" i="1"/>
  <c r="AE121" i="1"/>
  <c r="AE125" i="1"/>
  <c r="AE127" i="1"/>
  <c r="AE129" i="1"/>
  <c r="AE132" i="1"/>
  <c r="AE139" i="1"/>
  <c r="AE149" i="1"/>
  <c r="AE159" i="1"/>
  <c r="AE167" i="1"/>
  <c r="AE171" i="1"/>
  <c r="AE174" i="1"/>
  <c r="AE184" i="1"/>
  <c r="AE194" i="1"/>
  <c r="AE198" i="1"/>
  <c r="AE200" i="1"/>
  <c r="AE202" i="1"/>
  <c r="AE206" i="1"/>
  <c r="AE210" i="1"/>
  <c r="AE213" i="1"/>
  <c r="AE215" i="1"/>
  <c r="AE219" i="1"/>
  <c r="AE223" i="1"/>
  <c r="AE235" i="1"/>
  <c r="AE237" i="1"/>
  <c r="AE251" i="1"/>
  <c r="AE253" i="1"/>
  <c r="AE258" i="1"/>
  <c r="AE261" i="1"/>
  <c r="AE266" i="1"/>
  <c r="AE268" i="1"/>
  <c r="AE274" i="1"/>
  <c r="AE277" i="1"/>
  <c r="AE286" i="1"/>
  <c r="AE292" i="1"/>
  <c r="AE298" i="1"/>
  <c r="AE300" i="1"/>
  <c r="AE303" i="1"/>
  <c r="AE306" i="1"/>
  <c r="AE316" i="1"/>
  <c r="AE319" i="1"/>
  <c r="AE322" i="1"/>
  <c r="AE332" i="1"/>
  <c r="AE343" i="1"/>
  <c r="AE348" i="1"/>
  <c r="AE352" i="1"/>
  <c r="AE354" i="1"/>
  <c r="AE358" i="1"/>
  <c r="AE360" i="1"/>
  <c r="AE363" i="1"/>
  <c r="AE369" i="1"/>
  <c r="AE372" i="1"/>
  <c r="AE374" i="1"/>
  <c r="AE376" i="1"/>
  <c r="AE378" i="1"/>
  <c r="AE381" i="1"/>
  <c r="AE389" i="1"/>
  <c r="AE393" i="1"/>
  <c r="AE405" i="1"/>
  <c r="AE414" i="1"/>
  <c r="AE416" i="1"/>
  <c r="AE419" i="1"/>
  <c r="AE430" i="1"/>
  <c r="AE438" i="1"/>
  <c r="AE445" i="1"/>
  <c r="AE456" i="1"/>
  <c r="AE467" i="1"/>
  <c r="AE478" i="1"/>
  <c r="AE483" i="1"/>
  <c r="AE494" i="1"/>
  <c r="AE502" i="1"/>
  <c r="AE513" i="1"/>
  <c r="AE524" i="1"/>
  <c r="AE527" i="1"/>
  <c r="AE529" i="1"/>
  <c r="AE532" i="1"/>
  <c r="AE534" i="1"/>
  <c r="AE540" i="1"/>
  <c r="AE546" i="1"/>
  <c r="AE551" i="1"/>
  <c r="AE554" i="1"/>
  <c r="AE556" i="1"/>
  <c r="AE558" i="1"/>
  <c r="AE564" i="1"/>
  <c r="AE577" i="1"/>
  <c r="AE579" i="1"/>
  <c r="AE583" i="1"/>
  <c r="AE585" i="1"/>
  <c r="AE597" i="1"/>
  <c r="AE609" i="1"/>
  <c r="AE621" i="1"/>
  <c r="AE623" i="1"/>
  <c r="AE626" i="1"/>
  <c r="AN631" i="1" l="1"/>
  <c r="AM634" i="1"/>
  <c r="X638" i="1"/>
  <c r="Y638" i="1" s="1"/>
  <c r="AM635" i="1"/>
  <c r="AM632" i="1"/>
  <c r="AE518" i="1"/>
  <c r="AM518" i="1" s="1"/>
  <c r="AM630" i="1"/>
  <c r="X518" i="1"/>
  <c r="P371" i="1"/>
  <c r="P370" i="1"/>
  <c r="Z638" i="1" l="1"/>
  <c r="AA638" i="1" s="1"/>
  <c r="AN518" i="1"/>
  <c r="Y518" i="1"/>
  <c r="Z518" i="1" s="1"/>
  <c r="AA518" i="1" s="1"/>
  <c r="N353" i="1"/>
  <c r="N299" i="1" l="1"/>
  <c r="N293" i="1"/>
  <c r="N199" i="1" l="1"/>
  <c r="B142" i="1"/>
  <c r="C142" i="1" s="1"/>
  <c r="AF142" i="1"/>
  <c r="W142" i="1" s="1"/>
  <c r="AL142" i="1"/>
  <c r="AO142" i="1"/>
  <c r="AP142" i="1" s="1"/>
  <c r="AE142" i="1" l="1"/>
  <c r="AM142" i="1" s="1"/>
  <c r="X142" i="1"/>
  <c r="Y142" i="1" s="1"/>
  <c r="Z142" i="1" s="1"/>
  <c r="AA142" i="1" s="1"/>
  <c r="P126" i="1"/>
  <c r="N126" i="1"/>
  <c r="AN142" i="1" l="1"/>
  <c r="P87" i="1"/>
  <c r="P38" i="1" l="1"/>
  <c r="P37" i="1"/>
  <c r="AO4" i="1" l="1"/>
  <c r="AP4" i="1" s="1"/>
  <c r="AO8" i="1"/>
  <c r="AP8" i="1" s="1"/>
  <c r="AO10" i="1"/>
  <c r="AP10" i="1" s="1"/>
  <c r="AO12" i="1"/>
  <c r="AP12" i="1" s="1"/>
  <c r="AO13" i="1"/>
  <c r="AP13" i="1" s="1"/>
  <c r="AO15" i="1"/>
  <c r="AP15" i="1" s="1"/>
  <c r="AO16" i="1"/>
  <c r="AP16" i="1" s="1"/>
  <c r="AO18" i="1"/>
  <c r="AP18" i="1" s="1"/>
  <c r="AO20" i="1"/>
  <c r="AP20" i="1" s="1"/>
  <c r="AO21" i="1"/>
  <c r="AP21" i="1" s="1"/>
  <c r="AO23" i="1"/>
  <c r="AP23" i="1" s="1"/>
  <c r="AO25" i="1"/>
  <c r="AP25" i="1" s="1"/>
  <c r="AO26" i="1"/>
  <c r="AP26" i="1" s="1"/>
  <c r="AO28" i="1"/>
  <c r="AP28" i="1" s="1"/>
  <c r="AO30" i="1"/>
  <c r="AP30" i="1" s="1"/>
  <c r="AO32" i="1"/>
  <c r="AP32" i="1" s="1"/>
  <c r="AO34" i="1"/>
  <c r="AP34" i="1" s="1"/>
  <c r="AO36" i="1"/>
  <c r="AP36" i="1" s="1"/>
  <c r="AO39" i="1"/>
  <c r="AP39" i="1" s="1"/>
  <c r="AO41" i="1"/>
  <c r="AP41" i="1" s="1"/>
  <c r="AO43" i="1"/>
  <c r="AP43" i="1" s="1"/>
  <c r="AO47" i="1"/>
  <c r="AP47" i="1" s="1"/>
  <c r="AO48" i="1"/>
  <c r="AP48" i="1" s="1"/>
  <c r="AO49" i="1"/>
  <c r="AP49" i="1" s="1"/>
  <c r="AO52" i="1"/>
  <c r="AP52" i="1" s="1"/>
  <c r="AO53" i="1"/>
  <c r="AP53" i="1" s="1"/>
  <c r="AO57" i="1"/>
  <c r="AP57" i="1" s="1"/>
  <c r="AO58" i="1"/>
  <c r="AP58" i="1" s="1"/>
  <c r="AO59" i="1"/>
  <c r="AP59" i="1" s="1"/>
  <c r="AO62" i="1"/>
  <c r="AP62" i="1" s="1"/>
  <c r="AO63" i="1"/>
  <c r="AP63" i="1" s="1"/>
  <c r="AO65" i="1"/>
  <c r="AP65" i="1" s="1"/>
  <c r="AO66" i="1"/>
  <c r="AP66" i="1" s="1"/>
  <c r="AO67" i="1"/>
  <c r="AP67" i="1" s="1"/>
  <c r="AO68" i="1"/>
  <c r="AP68" i="1" s="1"/>
  <c r="AO69" i="1"/>
  <c r="AP69" i="1" s="1"/>
  <c r="AO71" i="1"/>
  <c r="AP71" i="1" s="1"/>
  <c r="AO74" i="1"/>
  <c r="AP74" i="1" s="1"/>
  <c r="AO75" i="1"/>
  <c r="AP75" i="1" s="1"/>
  <c r="AO77" i="1"/>
  <c r="AP77" i="1" s="1"/>
  <c r="AO79" i="1"/>
  <c r="AP79" i="1" s="1"/>
  <c r="AO80" i="1"/>
  <c r="AP80" i="1" s="1"/>
  <c r="AO81" i="1"/>
  <c r="AP81" i="1" s="1"/>
  <c r="AO82" i="1"/>
  <c r="AP82" i="1" s="1"/>
  <c r="AO84" i="1"/>
  <c r="AP84" i="1" s="1"/>
  <c r="AO85" i="1"/>
  <c r="AP85" i="1" s="1"/>
  <c r="AO86" i="1"/>
  <c r="AP86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101" i="1"/>
  <c r="AP101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109" i="1"/>
  <c r="AP109" i="1" s="1"/>
  <c r="AO111" i="1"/>
  <c r="AP111" i="1" s="1"/>
  <c r="AO114" i="1"/>
  <c r="AP114" i="1" s="1"/>
  <c r="AO123" i="1"/>
  <c r="AP123" i="1" s="1"/>
  <c r="AO125" i="1"/>
  <c r="AP125" i="1" s="1"/>
  <c r="AO129" i="1"/>
  <c r="AP129" i="1" s="1"/>
  <c r="AO132" i="1"/>
  <c r="AP132" i="1" s="1"/>
  <c r="AO134" i="1"/>
  <c r="AP134" i="1" s="1"/>
  <c r="AO136" i="1"/>
  <c r="AP136" i="1" s="1"/>
  <c r="AO138" i="1"/>
  <c r="AP138" i="1" s="1"/>
  <c r="AO145" i="1"/>
  <c r="AP145" i="1" s="1"/>
  <c r="AO146" i="1"/>
  <c r="AP146" i="1" s="1"/>
  <c r="AO153" i="1"/>
  <c r="AP153" i="1" s="1"/>
  <c r="AO155" i="1"/>
  <c r="AP155" i="1" s="1"/>
  <c r="AO162" i="1"/>
  <c r="AP162" i="1" s="1"/>
  <c r="AO163" i="1"/>
  <c r="AP163" i="1" s="1"/>
  <c r="AO165" i="1"/>
  <c r="AP165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3" i="1"/>
  <c r="AP173" i="1" s="1"/>
  <c r="AO174" i="1"/>
  <c r="AP174" i="1" s="1"/>
  <c r="AO176" i="1"/>
  <c r="AP176" i="1" s="1"/>
  <c r="AO178" i="1"/>
  <c r="AP178" i="1" s="1"/>
  <c r="AO180" i="1"/>
  <c r="AP180" i="1" s="1"/>
  <c r="AO181" i="1"/>
  <c r="AP181" i="1" s="1"/>
  <c r="AO182" i="1"/>
  <c r="AP182" i="1" s="1"/>
  <c r="AO184" i="1"/>
  <c r="AP184" i="1" s="1"/>
  <c r="AO187" i="1"/>
  <c r="AP187" i="1" s="1"/>
  <c r="AO188" i="1"/>
  <c r="AP188" i="1" s="1"/>
  <c r="AO190" i="1"/>
  <c r="AP190" i="1" s="1"/>
  <c r="AO192" i="1"/>
  <c r="AP192" i="1" s="1"/>
  <c r="AO194" i="1"/>
  <c r="AP194" i="1" s="1"/>
  <c r="AO196" i="1"/>
  <c r="AP196" i="1" s="1"/>
  <c r="AO197" i="1"/>
  <c r="AP197" i="1" s="1"/>
  <c r="AO198" i="1"/>
  <c r="AP198" i="1" s="1"/>
  <c r="AO202" i="1"/>
  <c r="AP202" i="1" s="1"/>
  <c r="AO209" i="1"/>
  <c r="AP209" i="1" s="1"/>
  <c r="AO212" i="1"/>
  <c r="AP212" i="1" s="1"/>
  <c r="AO213" i="1"/>
  <c r="AP213" i="1" s="1"/>
  <c r="AO218" i="1"/>
  <c r="AP218" i="1" s="1"/>
  <c r="AO219" i="1"/>
  <c r="AP219" i="1" s="1"/>
  <c r="AO221" i="1"/>
  <c r="AP221" i="1" s="1"/>
  <c r="AO222" i="1"/>
  <c r="AP222" i="1" s="1"/>
  <c r="AO223" i="1"/>
  <c r="AP223" i="1" s="1"/>
  <c r="AO225" i="1"/>
  <c r="AP225" i="1" s="1"/>
  <c r="AO226" i="1"/>
  <c r="AP226" i="1" s="1"/>
  <c r="AO227" i="1"/>
  <c r="AP227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5" i="1"/>
  <c r="AP235" i="1" s="1"/>
  <c r="AO237" i="1"/>
  <c r="AP237" i="1" s="1"/>
  <c r="AO239" i="1"/>
  <c r="AP239" i="1" s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7" i="1"/>
  <c r="AP247" i="1" s="1"/>
  <c r="AO248" i="1"/>
  <c r="AP248" i="1" s="1"/>
  <c r="AO250" i="1"/>
  <c r="AP250" i="1" s="1"/>
  <c r="AO251" i="1"/>
  <c r="AP251" i="1" s="1"/>
  <c r="AO253" i="1"/>
  <c r="AP253" i="1" s="1"/>
  <c r="AO255" i="1"/>
  <c r="AP255" i="1" s="1"/>
  <c r="AO256" i="1"/>
  <c r="AP256" i="1" s="1"/>
  <c r="AO257" i="1"/>
  <c r="AP257" i="1" s="1"/>
  <c r="AO258" i="1"/>
  <c r="AP258" i="1" s="1"/>
  <c r="AO260" i="1"/>
  <c r="AP260" i="1" s="1"/>
  <c r="AO261" i="1"/>
  <c r="AP261" i="1" s="1"/>
  <c r="AO263" i="1"/>
  <c r="AP263" i="1" s="1"/>
  <c r="AO264" i="1"/>
  <c r="AP264" i="1" s="1"/>
  <c r="AO265" i="1"/>
  <c r="AP265" i="1" s="1"/>
  <c r="AO266" i="1"/>
  <c r="AP266" i="1" s="1"/>
  <c r="AO268" i="1"/>
  <c r="AP268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6" i="1"/>
  <c r="AP276" i="1" s="1"/>
  <c r="AO277" i="1"/>
  <c r="AP277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300" i="1"/>
  <c r="AP300" i="1" s="1"/>
  <c r="AO302" i="1"/>
  <c r="AP302" i="1" s="1"/>
  <c r="AO303" i="1"/>
  <c r="AP303" i="1" s="1"/>
  <c r="AO305" i="1"/>
  <c r="AP305" i="1" s="1"/>
  <c r="AO306" i="1"/>
  <c r="AP306" i="1" s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P315" i="1" s="1"/>
  <c r="AO316" i="1"/>
  <c r="AP316" i="1" s="1"/>
  <c r="AO318" i="1"/>
  <c r="AP318" i="1" s="1"/>
  <c r="AO319" i="1"/>
  <c r="AP319" i="1" s="1"/>
  <c r="AO321" i="1"/>
  <c r="AP321" i="1" s="1"/>
  <c r="AO322" i="1"/>
  <c r="AP322" i="1" s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P331" i="1" s="1"/>
  <c r="AO332" i="1"/>
  <c r="AP332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3" i="1"/>
  <c r="AP343" i="1" s="1"/>
  <c r="AO345" i="1"/>
  <c r="AP345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2" i="1"/>
  <c r="AP352" i="1" s="1"/>
  <c r="AO354" i="1"/>
  <c r="AP354" i="1" s="1"/>
  <c r="AO356" i="1"/>
  <c r="AP356" i="1" s="1"/>
  <c r="AO357" i="1"/>
  <c r="AP357" i="1" s="1"/>
  <c r="AO358" i="1"/>
  <c r="AP358" i="1" s="1"/>
  <c r="AO360" i="1"/>
  <c r="AP360" i="1" s="1"/>
  <c r="AO362" i="1"/>
  <c r="AP362" i="1" s="1"/>
  <c r="AO363" i="1"/>
  <c r="AP363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4" i="1"/>
  <c r="AP374" i="1" s="1"/>
  <c r="AO376" i="1"/>
  <c r="AP376" i="1" s="1"/>
  <c r="AO378" i="1"/>
  <c r="AP378" i="1" s="1"/>
  <c r="AO380" i="1"/>
  <c r="AP380" i="1" s="1"/>
  <c r="AO381" i="1"/>
  <c r="AP381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89" i="1"/>
  <c r="AP389" i="1" s="1"/>
  <c r="AO391" i="1"/>
  <c r="AP391" i="1" s="1"/>
  <c r="AO392" i="1"/>
  <c r="AP392" i="1" s="1"/>
  <c r="AO393" i="1"/>
  <c r="AP393" i="1" s="1"/>
  <c r="AO395" i="1"/>
  <c r="AP395" i="1" s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P403" i="1" s="1"/>
  <c r="AO404" i="1"/>
  <c r="AP404" i="1" s="1"/>
  <c r="AO405" i="1"/>
  <c r="AP405" i="1" s="1"/>
  <c r="AO407" i="1"/>
  <c r="AP407" i="1" s="1"/>
  <c r="AO408" i="1"/>
  <c r="AP408" i="1" s="1"/>
  <c r="AO409" i="1"/>
  <c r="AP409" i="1" s="1"/>
  <c r="AO410" i="1"/>
  <c r="AP410" i="1" s="1"/>
  <c r="AO411" i="1"/>
  <c r="AP411" i="1" s="1"/>
  <c r="AO412" i="1"/>
  <c r="AP412" i="1" s="1"/>
  <c r="AO413" i="1"/>
  <c r="AP413" i="1" s="1"/>
  <c r="AO414" i="1"/>
  <c r="AP414" i="1" s="1"/>
  <c r="AO416" i="1"/>
  <c r="AP416" i="1" s="1"/>
  <c r="AO418" i="1"/>
  <c r="AP418" i="1" s="1"/>
  <c r="AO419" i="1"/>
  <c r="AP419" i="1" s="1"/>
  <c r="AO421" i="1"/>
  <c r="AP421" i="1" s="1"/>
  <c r="AO422" i="1"/>
  <c r="AP422" i="1" s="1"/>
  <c r="AO423" i="1"/>
  <c r="AP423" i="1" s="1"/>
  <c r="AO424" i="1"/>
  <c r="AP424" i="1" s="1"/>
  <c r="AO425" i="1"/>
  <c r="AP425" i="1" s="1"/>
  <c r="AO426" i="1"/>
  <c r="AP426" i="1" s="1"/>
  <c r="AO427" i="1"/>
  <c r="AP427" i="1" s="1"/>
  <c r="AO428" i="1"/>
  <c r="AP428" i="1" s="1"/>
  <c r="AO429" i="1"/>
  <c r="AP429" i="1" s="1"/>
  <c r="AO430" i="1"/>
  <c r="AP430" i="1" s="1"/>
  <c r="AO432" i="1"/>
  <c r="AP432" i="1" s="1"/>
  <c r="AO433" i="1"/>
  <c r="AP433" i="1" s="1"/>
  <c r="AO434" i="1"/>
  <c r="AP434" i="1" s="1"/>
  <c r="AO435" i="1"/>
  <c r="AP435" i="1" s="1"/>
  <c r="AO436" i="1"/>
  <c r="AP436" i="1" s="1"/>
  <c r="AO437" i="1"/>
  <c r="AP437" i="1" s="1"/>
  <c r="AO438" i="1"/>
  <c r="AP438" i="1" s="1"/>
  <c r="AO440" i="1"/>
  <c r="AP440" i="1" s="1"/>
  <c r="AO441" i="1"/>
  <c r="AP441" i="1" s="1"/>
  <c r="AO442" i="1"/>
  <c r="AP442" i="1" s="1"/>
  <c r="AO443" i="1"/>
  <c r="AP443" i="1" s="1"/>
  <c r="AO444" i="1"/>
  <c r="AP444" i="1" s="1"/>
  <c r="AO445" i="1"/>
  <c r="AP445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5" i="1"/>
  <c r="AP455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P467" i="1" s="1"/>
  <c r="AO469" i="1"/>
  <c r="AP469" i="1" s="1"/>
  <c r="AO470" i="1"/>
  <c r="AP470" i="1" s="1"/>
  <c r="AO471" i="1"/>
  <c r="AP471" i="1" s="1"/>
  <c r="AO472" i="1"/>
  <c r="AP472" i="1" s="1"/>
  <c r="AO473" i="1"/>
  <c r="AP473" i="1" s="1"/>
  <c r="AO474" i="1"/>
  <c r="AP474" i="1" s="1"/>
  <c r="AO475" i="1"/>
  <c r="AP475" i="1" s="1"/>
  <c r="AO476" i="1"/>
  <c r="AP476" i="1" s="1"/>
  <c r="AO477" i="1"/>
  <c r="AP477" i="1" s="1"/>
  <c r="AO478" i="1"/>
  <c r="AP478" i="1" s="1"/>
  <c r="AO480" i="1"/>
  <c r="AP480" i="1" s="1"/>
  <c r="AO481" i="1"/>
  <c r="AP481" i="1" s="1"/>
  <c r="AO482" i="1"/>
  <c r="AP482" i="1" s="1"/>
  <c r="AO483" i="1"/>
  <c r="AP483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4" i="1"/>
  <c r="AP504" i="1" s="1"/>
  <c r="AO505" i="1"/>
  <c r="AP505" i="1" s="1"/>
  <c r="AO506" i="1"/>
  <c r="AP506" i="1" s="1"/>
  <c r="AO507" i="1"/>
  <c r="AP507" i="1" s="1"/>
  <c r="AO508" i="1"/>
  <c r="AP508" i="1" s="1"/>
  <c r="AO509" i="1"/>
  <c r="AP509" i="1" s="1"/>
  <c r="AO510" i="1"/>
  <c r="AP510" i="1" s="1"/>
  <c r="AO511" i="1"/>
  <c r="AP511" i="1" s="1"/>
  <c r="AO512" i="1"/>
  <c r="AP512" i="1" s="1"/>
  <c r="AO513" i="1"/>
  <c r="AP513" i="1" s="1"/>
  <c r="AO515" i="1"/>
  <c r="AP515" i="1" s="1"/>
  <c r="AO516" i="1"/>
  <c r="AP516" i="1" s="1"/>
  <c r="AO517" i="1"/>
  <c r="AP517" i="1" s="1"/>
  <c r="AO519" i="1"/>
  <c r="AP519" i="1" s="1"/>
  <c r="AO520" i="1"/>
  <c r="AP520" i="1" s="1"/>
  <c r="AO521" i="1"/>
  <c r="AP521" i="1" s="1"/>
  <c r="AO522" i="1"/>
  <c r="AP522" i="1" s="1"/>
  <c r="AO523" i="1"/>
  <c r="AP523" i="1" s="1"/>
  <c r="AO524" i="1"/>
  <c r="AP524" i="1" s="1"/>
  <c r="AO526" i="1"/>
  <c r="AP526" i="1" s="1"/>
  <c r="AO527" i="1"/>
  <c r="AP527" i="1" s="1"/>
  <c r="AO529" i="1"/>
  <c r="AP529" i="1" s="1"/>
  <c r="AO531" i="1"/>
  <c r="AP531" i="1" s="1"/>
  <c r="AO532" i="1"/>
  <c r="AP532" i="1" s="1"/>
  <c r="AO534" i="1"/>
  <c r="AP534" i="1" s="1"/>
  <c r="AO536" i="1"/>
  <c r="AP536" i="1" s="1"/>
  <c r="AO537" i="1"/>
  <c r="AP537" i="1" s="1"/>
  <c r="AO538" i="1"/>
  <c r="AP538" i="1" s="1"/>
  <c r="AO539" i="1"/>
  <c r="AP539" i="1" s="1"/>
  <c r="AO540" i="1"/>
  <c r="AP540" i="1" s="1"/>
  <c r="AO542" i="1"/>
  <c r="AP542" i="1" s="1"/>
  <c r="AO543" i="1"/>
  <c r="AP543" i="1" s="1"/>
  <c r="AO544" i="1"/>
  <c r="AP544" i="1" s="1"/>
  <c r="AO545" i="1"/>
  <c r="AP545" i="1" s="1"/>
  <c r="AO546" i="1"/>
  <c r="AP546" i="1" s="1"/>
  <c r="AO548" i="1"/>
  <c r="AP548" i="1" s="1"/>
  <c r="AO549" i="1"/>
  <c r="AP549" i="1" s="1"/>
  <c r="AO550" i="1"/>
  <c r="AP550" i="1" s="1"/>
  <c r="AO551" i="1"/>
  <c r="AP551" i="1" s="1"/>
  <c r="AO553" i="1"/>
  <c r="AP553" i="1" s="1"/>
  <c r="AO554" i="1"/>
  <c r="AP554" i="1" s="1"/>
  <c r="AO556" i="1"/>
  <c r="AP556" i="1" s="1"/>
  <c r="AO558" i="1"/>
  <c r="AP558" i="1" s="1"/>
  <c r="AO560" i="1"/>
  <c r="AP560" i="1" s="1"/>
  <c r="AO561" i="1"/>
  <c r="AP561" i="1" s="1"/>
  <c r="AO562" i="1"/>
  <c r="AP562" i="1" s="1"/>
  <c r="AO563" i="1"/>
  <c r="AP563" i="1" s="1"/>
  <c r="AO564" i="1"/>
  <c r="AP564" i="1" s="1"/>
  <c r="AO566" i="1"/>
  <c r="AP566" i="1" s="1"/>
  <c r="AO567" i="1"/>
  <c r="AP567" i="1" s="1"/>
  <c r="AO568" i="1"/>
  <c r="AP568" i="1" s="1"/>
  <c r="AO569" i="1"/>
  <c r="AP569" i="1" s="1"/>
  <c r="AO570" i="1"/>
  <c r="AP570" i="1" s="1"/>
  <c r="AO571" i="1"/>
  <c r="AP571" i="1" s="1"/>
  <c r="AO572" i="1"/>
  <c r="AP572" i="1" s="1"/>
  <c r="AO573" i="1"/>
  <c r="AP573" i="1" s="1"/>
  <c r="AO574" i="1"/>
  <c r="AP574" i="1" s="1"/>
  <c r="AO575" i="1"/>
  <c r="AP575" i="1" s="1"/>
  <c r="AO576" i="1"/>
  <c r="AP576" i="1" s="1"/>
  <c r="AO577" i="1"/>
  <c r="AP577" i="1" s="1"/>
  <c r="AO579" i="1"/>
  <c r="AP579" i="1" s="1"/>
  <c r="AO581" i="1"/>
  <c r="AP581" i="1" s="1"/>
  <c r="AO582" i="1"/>
  <c r="AP582" i="1" s="1"/>
  <c r="AO583" i="1"/>
  <c r="AP583" i="1" s="1"/>
  <c r="AO585" i="1"/>
  <c r="AP585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P592" i="1" s="1"/>
  <c r="AO593" i="1"/>
  <c r="AP593" i="1" s="1"/>
  <c r="AO594" i="1"/>
  <c r="AP594" i="1" s="1"/>
  <c r="AO595" i="1"/>
  <c r="AP595" i="1" s="1"/>
  <c r="AO596" i="1"/>
  <c r="AP596" i="1" s="1"/>
  <c r="AO597" i="1"/>
  <c r="AP597" i="1" s="1"/>
  <c r="AO599" i="1"/>
  <c r="AP599" i="1" s="1"/>
  <c r="AO600" i="1"/>
  <c r="AP600" i="1" s="1"/>
  <c r="AO601" i="1"/>
  <c r="AP601" i="1" s="1"/>
  <c r="AO602" i="1"/>
  <c r="AP602" i="1" s="1"/>
  <c r="AO603" i="1"/>
  <c r="AP603" i="1" s="1"/>
  <c r="AO604" i="1"/>
  <c r="AP604" i="1" s="1"/>
  <c r="AO605" i="1"/>
  <c r="AP605" i="1" s="1"/>
  <c r="AO606" i="1"/>
  <c r="AP606" i="1" s="1"/>
  <c r="AO607" i="1"/>
  <c r="AP607" i="1" s="1"/>
  <c r="AO608" i="1"/>
  <c r="AP608" i="1" s="1"/>
  <c r="AO609" i="1"/>
  <c r="AP609" i="1" s="1"/>
  <c r="AO611" i="1"/>
  <c r="AP611" i="1" s="1"/>
  <c r="AO612" i="1"/>
  <c r="AP612" i="1" s="1"/>
  <c r="AO613" i="1"/>
  <c r="AP613" i="1" s="1"/>
  <c r="AO614" i="1"/>
  <c r="AP614" i="1" s="1"/>
  <c r="AO615" i="1"/>
  <c r="AP615" i="1" s="1"/>
  <c r="AO616" i="1"/>
  <c r="AP616" i="1" s="1"/>
  <c r="AO617" i="1"/>
  <c r="AP617" i="1" s="1"/>
  <c r="AO618" i="1"/>
  <c r="AP618" i="1" s="1"/>
  <c r="AO619" i="1"/>
  <c r="AP619" i="1" s="1"/>
  <c r="AO620" i="1"/>
  <c r="AP620" i="1" s="1"/>
  <c r="AO621" i="1"/>
  <c r="AP621" i="1" s="1"/>
  <c r="AO623" i="1"/>
  <c r="AP623" i="1" s="1"/>
  <c r="AO625" i="1"/>
  <c r="AP625" i="1" s="1"/>
  <c r="AO626" i="1"/>
  <c r="AP626" i="1" s="1"/>
  <c r="B163" i="1" l="1"/>
  <c r="C163" i="1" s="1"/>
  <c r="AF163" i="1"/>
  <c r="W163" i="1" s="1"/>
  <c r="AL163" i="1"/>
  <c r="AE163" i="1" l="1"/>
  <c r="AM163" i="1" s="1"/>
  <c r="X163" i="1"/>
  <c r="Y163" i="1" s="1"/>
  <c r="Z163" i="1" s="1"/>
  <c r="AA163" i="1" s="1"/>
  <c r="AN163" i="1" l="1"/>
  <c r="AF120" i="1"/>
  <c r="W120" i="1" s="1"/>
  <c r="AL120" i="1"/>
  <c r="X120" i="1" l="1"/>
  <c r="AE120" i="1"/>
  <c r="AM120" i="1" s="1"/>
  <c r="AO120" i="1"/>
  <c r="AP120" i="1" s="1"/>
  <c r="AN120" i="1" l="1"/>
  <c r="Y120" i="1"/>
  <c r="Z120" i="1" s="1"/>
  <c r="AA120" i="1" s="1"/>
  <c r="AF70" i="1"/>
  <c r="W70" i="1" s="1"/>
  <c r="AL70" i="1"/>
  <c r="AO70" i="1" s="1"/>
  <c r="AP70" i="1" s="1"/>
  <c r="AE70" i="1" l="1"/>
  <c r="AN70" i="1" s="1"/>
  <c r="X70" i="1"/>
  <c r="Y70" i="1" s="1"/>
  <c r="Z70" i="1" s="1"/>
  <c r="AA70" i="1" s="1"/>
  <c r="AM70" i="1" l="1"/>
  <c r="B4" i="1"/>
  <c r="B10" i="1"/>
  <c r="B12" i="1"/>
  <c r="B13" i="1"/>
  <c r="B16" i="1"/>
  <c r="B18" i="1"/>
  <c r="B20" i="1"/>
  <c r="B21" i="1"/>
  <c r="B23" i="1"/>
  <c r="B25" i="1"/>
  <c r="B26" i="1"/>
  <c r="B28" i="1"/>
  <c r="B30" i="1"/>
  <c r="B32" i="1"/>
  <c r="B34" i="1"/>
  <c r="B36" i="1"/>
  <c r="B41" i="1"/>
  <c r="B43" i="1"/>
  <c r="B47" i="1"/>
  <c r="B48" i="1"/>
  <c r="B49" i="1"/>
  <c r="B52" i="1"/>
  <c r="B58" i="1"/>
  <c r="B63" i="1"/>
  <c r="B65" i="1"/>
  <c r="B66" i="1"/>
  <c r="B67" i="1"/>
  <c r="B68" i="1"/>
  <c r="B69" i="1"/>
  <c r="B71" i="1"/>
  <c r="B74" i="1"/>
  <c r="B77" i="1"/>
  <c r="B79" i="1"/>
  <c r="B80" i="1"/>
  <c r="B81" i="1"/>
  <c r="B82" i="1"/>
  <c r="B85" i="1"/>
  <c r="B86" i="1"/>
  <c r="B91" i="1"/>
  <c r="B93" i="1"/>
  <c r="B95" i="1"/>
  <c r="B96" i="1"/>
  <c r="B101" i="1"/>
  <c r="B102" i="1"/>
  <c r="B105" i="1"/>
  <c r="B106" i="1"/>
  <c r="B108" i="1"/>
  <c r="B111" i="1"/>
  <c r="B114" i="1"/>
  <c r="B123" i="1"/>
  <c r="B125" i="1"/>
  <c r="B129" i="1"/>
  <c r="B132" i="1"/>
  <c r="B136" i="1"/>
  <c r="B138" i="1"/>
  <c r="B145" i="1"/>
  <c r="B155" i="1"/>
  <c r="B162" i="1"/>
  <c r="B165" i="1"/>
  <c r="B166" i="1"/>
  <c r="B167" i="1"/>
  <c r="B169" i="1"/>
  <c r="B171" i="1"/>
  <c r="B173" i="1"/>
  <c r="B174" i="1"/>
  <c r="B178" i="1"/>
  <c r="B180" i="1"/>
  <c r="B181" i="1"/>
  <c r="B182" i="1"/>
  <c r="B184" i="1"/>
  <c r="B187" i="1"/>
  <c r="B188" i="1"/>
  <c r="B190" i="1"/>
  <c r="B192" i="1"/>
  <c r="B194" i="1"/>
  <c r="B196" i="1"/>
  <c r="B197" i="1"/>
  <c r="B198" i="1"/>
  <c r="B202" i="1"/>
  <c r="B205" i="1"/>
  <c r="B209" i="1"/>
  <c r="B212" i="1"/>
  <c r="B213" i="1"/>
  <c r="B218" i="1"/>
  <c r="B219" i="1"/>
  <c r="B221" i="1"/>
  <c r="B222" i="1"/>
  <c r="B223" i="1"/>
  <c r="B225" i="1"/>
  <c r="B226" i="1"/>
  <c r="B227" i="1"/>
  <c r="B229" i="1"/>
  <c r="B230" i="1"/>
  <c r="B231" i="1"/>
  <c r="B232" i="1"/>
  <c r="B233" i="1"/>
  <c r="B235" i="1"/>
  <c r="B237" i="1"/>
  <c r="B239" i="1"/>
  <c r="B240" i="1"/>
  <c r="B241" i="1"/>
  <c r="B242" i="1"/>
  <c r="B243" i="1"/>
  <c r="B244" i="1"/>
  <c r="B245" i="1"/>
  <c r="B247" i="1"/>
  <c r="B248" i="1"/>
  <c r="B250" i="1"/>
  <c r="B251" i="1"/>
  <c r="B253" i="1"/>
  <c r="B255" i="1"/>
  <c r="B256" i="1"/>
  <c r="B257" i="1"/>
  <c r="B258" i="1"/>
  <c r="B260" i="1"/>
  <c r="B261" i="1"/>
  <c r="B263" i="1"/>
  <c r="B264" i="1"/>
  <c r="B265" i="1"/>
  <c r="B266" i="1"/>
  <c r="B268" i="1"/>
  <c r="B270" i="1"/>
  <c r="B271" i="1"/>
  <c r="B272" i="1"/>
  <c r="B273" i="1"/>
  <c r="B274" i="1"/>
  <c r="B276" i="1"/>
  <c r="B277" i="1"/>
  <c r="B279" i="1"/>
  <c r="B280" i="1"/>
  <c r="B281" i="1"/>
  <c r="B282" i="1"/>
  <c r="B283" i="1"/>
  <c r="B284" i="1"/>
  <c r="B285" i="1"/>
  <c r="B286" i="1"/>
  <c r="B288" i="1"/>
  <c r="B289" i="1"/>
  <c r="B290" i="1"/>
  <c r="B291" i="1"/>
  <c r="B292" i="1"/>
  <c r="B294" i="1"/>
  <c r="B295" i="1"/>
  <c r="B296" i="1"/>
  <c r="B297" i="1"/>
  <c r="B298" i="1"/>
  <c r="B300" i="1"/>
  <c r="B302" i="1"/>
  <c r="B303" i="1"/>
  <c r="B305" i="1"/>
  <c r="B306" i="1"/>
  <c r="B308" i="1"/>
  <c r="B309" i="1"/>
  <c r="B310" i="1"/>
  <c r="B311" i="1"/>
  <c r="B312" i="1"/>
  <c r="B313" i="1"/>
  <c r="B314" i="1"/>
  <c r="B315" i="1"/>
  <c r="B316" i="1"/>
  <c r="B318" i="1"/>
  <c r="B319" i="1"/>
  <c r="B321" i="1"/>
  <c r="B322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50" i="1"/>
  <c r="B351" i="1"/>
  <c r="B352" i="1"/>
  <c r="B354" i="1"/>
  <c r="B356" i="1"/>
  <c r="B357" i="1"/>
  <c r="B358" i="1"/>
  <c r="B360" i="1"/>
  <c r="B362" i="1"/>
  <c r="B363" i="1"/>
  <c r="B365" i="1"/>
  <c r="B366" i="1"/>
  <c r="B367" i="1"/>
  <c r="B368" i="1"/>
  <c r="B369" i="1"/>
  <c r="B371" i="1"/>
  <c r="B372" i="1"/>
  <c r="B374" i="1"/>
  <c r="B376" i="1"/>
  <c r="B378" i="1"/>
  <c r="B380" i="1"/>
  <c r="B381" i="1"/>
  <c r="B383" i="1"/>
  <c r="B384" i="1"/>
  <c r="B385" i="1"/>
  <c r="B386" i="1"/>
  <c r="B387" i="1"/>
  <c r="B388" i="1"/>
  <c r="B389" i="1"/>
  <c r="B391" i="1"/>
  <c r="B392" i="1"/>
  <c r="B393" i="1"/>
  <c r="B395" i="1"/>
  <c r="B396" i="1"/>
  <c r="B397" i="1"/>
  <c r="B398" i="1"/>
  <c r="B399" i="1"/>
  <c r="B400" i="1"/>
  <c r="B401" i="1"/>
  <c r="B402" i="1"/>
  <c r="B403" i="1"/>
  <c r="B404" i="1"/>
  <c r="B405" i="1"/>
  <c r="B407" i="1"/>
  <c r="B408" i="1"/>
  <c r="B409" i="1"/>
  <c r="B410" i="1"/>
  <c r="B411" i="1"/>
  <c r="B412" i="1"/>
  <c r="B413" i="1"/>
  <c r="B414" i="1"/>
  <c r="B416" i="1"/>
  <c r="B418" i="1"/>
  <c r="B419" i="1"/>
  <c r="B421" i="1"/>
  <c r="B422" i="1"/>
  <c r="B423" i="1"/>
  <c r="B424" i="1"/>
  <c r="B425" i="1"/>
  <c r="B426" i="1"/>
  <c r="B427" i="1"/>
  <c r="B428" i="1"/>
  <c r="B429" i="1"/>
  <c r="B430" i="1"/>
  <c r="B432" i="1"/>
  <c r="B433" i="1"/>
  <c r="B434" i="1"/>
  <c r="B435" i="1"/>
  <c r="B436" i="1"/>
  <c r="B437" i="1"/>
  <c r="B438" i="1"/>
  <c r="B440" i="1"/>
  <c r="B441" i="1"/>
  <c r="B442" i="1"/>
  <c r="B443" i="1"/>
  <c r="B444" i="1"/>
  <c r="B445" i="1"/>
  <c r="B447" i="1"/>
  <c r="B448" i="1"/>
  <c r="B449" i="1"/>
  <c r="B450" i="1"/>
  <c r="B451" i="1"/>
  <c r="B452" i="1"/>
  <c r="B453" i="1"/>
  <c r="B454" i="1"/>
  <c r="B455" i="1"/>
  <c r="B456" i="1"/>
  <c r="B458" i="1"/>
  <c r="B459" i="1"/>
  <c r="B460" i="1"/>
  <c r="B461" i="1"/>
  <c r="B462" i="1"/>
  <c r="B463" i="1"/>
  <c r="B464" i="1"/>
  <c r="B465" i="1"/>
  <c r="B466" i="1"/>
  <c r="B467" i="1"/>
  <c r="B469" i="1"/>
  <c r="B470" i="1"/>
  <c r="B471" i="1"/>
  <c r="B472" i="1"/>
  <c r="B473" i="1"/>
  <c r="B474" i="1"/>
  <c r="B475" i="1"/>
  <c r="B476" i="1"/>
  <c r="B477" i="1"/>
  <c r="B478" i="1"/>
  <c r="B480" i="1"/>
  <c r="B481" i="1"/>
  <c r="B482" i="1"/>
  <c r="B483" i="1"/>
  <c r="B485" i="1"/>
  <c r="B486" i="1"/>
  <c r="B487" i="1"/>
  <c r="B488" i="1"/>
  <c r="B489" i="1"/>
  <c r="B490" i="1"/>
  <c r="B491" i="1"/>
  <c r="B492" i="1"/>
  <c r="B493" i="1"/>
  <c r="B494" i="1"/>
  <c r="B496" i="1"/>
  <c r="B497" i="1"/>
  <c r="B498" i="1"/>
  <c r="B499" i="1"/>
  <c r="B500" i="1"/>
  <c r="B501" i="1"/>
  <c r="B502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9" i="1"/>
  <c r="B520" i="1"/>
  <c r="B521" i="1"/>
  <c r="B522" i="1"/>
  <c r="B523" i="1"/>
  <c r="B524" i="1"/>
  <c r="B526" i="1"/>
  <c r="B527" i="1"/>
  <c r="B529" i="1"/>
  <c r="B531" i="1"/>
  <c r="B532" i="1"/>
  <c r="B534" i="1"/>
  <c r="B536" i="1"/>
  <c r="B537" i="1"/>
  <c r="B538" i="1"/>
  <c r="B539" i="1"/>
  <c r="B540" i="1"/>
  <c r="B542" i="1"/>
  <c r="B543" i="1"/>
  <c r="B544" i="1"/>
  <c r="B545" i="1"/>
  <c r="B546" i="1"/>
  <c r="B548" i="1"/>
  <c r="B549" i="1"/>
  <c r="B550" i="1"/>
  <c r="B551" i="1"/>
  <c r="B553" i="1"/>
  <c r="B554" i="1"/>
  <c r="B556" i="1"/>
  <c r="B558" i="1"/>
  <c r="B560" i="1"/>
  <c r="B561" i="1"/>
  <c r="B562" i="1"/>
  <c r="B563" i="1"/>
  <c r="B564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9" i="1"/>
  <c r="B581" i="1"/>
  <c r="AF250" i="1" l="1"/>
  <c r="W250" i="1" s="1"/>
  <c r="AE250" i="1" l="1"/>
  <c r="B582" i="1"/>
  <c r="B583" i="1"/>
  <c r="B585" i="1"/>
  <c r="B587" i="1"/>
  <c r="B588" i="1"/>
  <c r="B589" i="1"/>
  <c r="B590" i="1"/>
  <c r="B591" i="1"/>
  <c r="B592" i="1"/>
  <c r="B593" i="1"/>
  <c r="B594" i="1"/>
  <c r="B595" i="1"/>
  <c r="B596" i="1"/>
  <c r="B597" i="1"/>
  <c r="B599" i="1"/>
  <c r="B600" i="1"/>
  <c r="B601" i="1"/>
  <c r="B602" i="1"/>
  <c r="B603" i="1"/>
  <c r="B604" i="1"/>
  <c r="B605" i="1"/>
  <c r="B606" i="1"/>
  <c r="B607" i="1"/>
  <c r="B608" i="1"/>
  <c r="B609" i="1"/>
  <c r="B611" i="1"/>
  <c r="B612" i="1"/>
  <c r="B613" i="1"/>
  <c r="B614" i="1"/>
  <c r="B615" i="1"/>
  <c r="B616" i="1"/>
  <c r="B617" i="1"/>
  <c r="B618" i="1"/>
  <c r="B619" i="1"/>
  <c r="B620" i="1"/>
  <c r="B621" i="1"/>
  <c r="B623" i="1"/>
  <c r="B625" i="1"/>
  <c r="B626" i="1"/>
  <c r="C371" i="1" l="1"/>
  <c r="AF371" i="1"/>
  <c r="W371" i="1" s="1"/>
  <c r="AL371" i="1"/>
  <c r="AE371" i="1" l="1"/>
  <c r="AM371" i="1" s="1"/>
  <c r="X371" i="1"/>
  <c r="AF372" i="1"/>
  <c r="W372" i="1" s="1"/>
  <c r="AL372" i="1"/>
  <c r="AN371" i="1" l="1"/>
  <c r="Y371" i="1"/>
  <c r="Z371" i="1" s="1"/>
  <c r="AA371" i="1" s="1"/>
  <c r="AM372" i="1"/>
  <c r="AN372" i="1"/>
  <c r="X372" i="1"/>
  <c r="Z372" i="1"/>
  <c r="Y372" i="1"/>
  <c r="AA372" i="1"/>
  <c r="AF373" i="1"/>
  <c r="W373" i="1" s="1"/>
  <c r="AL373" i="1"/>
  <c r="AO373" i="1" s="1"/>
  <c r="AP373" i="1" s="1"/>
  <c r="AE373" i="1" l="1"/>
  <c r="AM373" i="1" s="1"/>
  <c r="X373" i="1"/>
  <c r="Y373" i="1" s="1"/>
  <c r="C374" i="1"/>
  <c r="AF374" i="1"/>
  <c r="W374" i="1" s="1"/>
  <c r="AN373" i="1" l="1"/>
  <c r="Z373" i="1"/>
  <c r="AA373" i="1" s="1"/>
  <c r="X374" i="1"/>
  <c r="Y374" i="1" s="1"/>
  <c r="Z374" i="1" s="1"/>
  <c r="AA374" i="1" s="1"/>
  <c r="AL374" i="1"/>
  <c r="AF375" i="1"/>
  <c r="W375" i="1" s="1"/>
  <c r="AL375" i="1"/>
  <c r="AO375" i="1" s="1"/>
  <c r="AP375" i="1" s="1"/>
  <c r="AE375" i="1" l="1"/>
  <c r="AM375" i="1" s="1"/>
  <c r="AM374" i="1"/>
  <c r="AN374" i="1"/>
  <c r="X375" i="1"/>
  <c r="AF376" i="1"/>
  <c r="W376" i="1" s="1"/>
  <c r="AL376" i="1"/>
  <c r="Y375" i="1" l="1"/>
  <c r="Z375" i="1" s="1"/>
  <c r="AA375" i="1" s="1"/>
  <c r="AN375" i="1"/>
  <c r="AM376" i="1"/>
  <c r="AN376" i="1"/>
  <c r="X376" i="1"/>
  <c r="Y376" i="1" s="1"/>
  <c r="Z376" i="1" s="1"/>
  <c r="AA376" i="1" s="1"/>
  <c r="AF377" i="1"/>
  <c r="W377" i="1" s="1"/>
  <c r="AL377" i="1"/>
  <c r="AO377" i="1" s="1"/>
  <c r="AP377" i="1" s="1"/>
  <c r="AE377" i="1" l="1"/>
  <c r="AM377" i="1" s="1"/>
  <c r="X377" i="1"/>
  <c r="C378" i="1"/>
  <c r="AF378" i="1"/>
  <c r="W378" i="1" s="1"/>
  <c r="AL378" i="1"/>
  <c r="AN377" i="1" l="1"/>
  <c r="AM378" i="1"/>
  <c r="AN378" i="1"/>
  <c r="Y377" i="1"/>
  <c r="Z377" i="1" s="1"/>
  <c r="AA377" i="1" s="1"/>
  <c r="X378" i="1"/>
  <c r="Y378" i="1" s="1"/>
  <c r="Z378" i="1" s="1"/>
  <c r="AA378" i="1" s="1"/>
  <c r="AF379" i="1"/>
  <c r="W379" i="1" s="1"/>
  <c r="AL379" i="1"/>
  <c r="AO379" i="1" s="1"/>
  <c r="AP379" i="1" s="1"/>
  <c r="AE379" i="1" l="1"/>
  <c r="AM379" i="1" s="1"/>
  <c r="X379" i="1"/>
  <c r="Y379" i="1" s="1"/>
  <c r="Z379" i="1" s="1"/>
  <c r="AA379" i="1" s="1"/>
  <c r="C380" i="1"/>
  <c r="AF380" i="1"/>
  <c r="W380" i="1" s="1"/>
  <c r="AL380" i="1"/>
  <c r="AE380" i="1" l="1"/>
  <c r="AN379" i="1"/>
  <c r="AN380" i="1"/>
  <c r="X380" i="1"/>
  <c r="Y380" i="1" s="1"/>
  <c r="Z380" i="1" s="1"/>
  <c r="AA380" i="1" s="1"/>
  <c r="C381" i="1"/>
  <c r="AF381" i="1"/>
  <c r="W381" i="1" s="1"/>
  <c r="AL381" i="1"/>
  <c r="AM380" i="1" l="1"/>
  <c r="AM381" i="1"/>
  <c r="AN381" i="1"/>
  <c r="X381" i="1"/>
  <c r="Y381" i="1" s="1"/>
  <c r="Z381" i="1" s="1"/>
  <c r="AA381" i="1" s="1"/>
  <c r="AF382" i="1"/>
  <c r="W382" i="1" s="1"/>
  <c r="AL382" i="1"/>
  <c r="AO382" i="1" s="1"/>
  <c r="AP382" i="1" s="1"/>
  <c r="AE382" i="1" l="1"/>
  <c r="AN382" i="1" s="1"/>
  <c r="X382" i="1"/>
  <c r="Y382" i="1" s="1"/>
  <c r="Z382" i="1" s="1"/>
  <c r="AA382" i="1" s="1"/>
  <c r="C383" i="1"/>
  <c r="AF383" i="1"/>
  <c r="W383" i="1" s="1"/>
  <c r="AL383" i="1"/>
  <c r="AE383" i="1" l="1"/>
  <c r="AM382" i="1"/>
  <c r="AN383" i="1"/>
  <c r="X383" i="1"/>
  <c r="Y383" i="1" s="1"/>
  <c r="Z383" i="1" s="1"/>
  <c r="AA383" i="1" s="1"/>
  <c r="C384" i="1"/>
  <c r="AF384" i="1"/>
  <c r="W384" i="1" s="1"/>
  <c r="AL384" i="1"/>
  <c r="AE384" i="1" l="1"/>
  <c r="AM383" i="1"/>
  <c r="AN384" i="1"/>
  <c r="X384" i="1"/>
  <c r="Y384" i="1" s="1"/>
  <c r="C385" i="1"/>
  <c r="AF385" i="1"/>
  <c r="W385" i="1" s="1"/>
  <c r="AL385" i="1"/>
  <c r="X385" i="1" l="1"/>
  <c r="AE385" i="1"/>
  <c r="AM384" i="1"/>
  <c r="AM385" i="1"/>
  <c r="Z384" i="1"/>
  <c r="AA384" i="1" s="1"/>
  <c r="C386" i="1"/>
  <c r="AF386" i="1"/>
  <c r="W386" i="1" s="1"/>
  <c r="AL386" i="1"/>
  <c r="AE386" i="1" l="1"/>
  <c r="AN386" i="1" s="1"/>
  <c r="AN385" i="1"/>
  <c r="Y385" i="1"/>
  <c r="Z385" i="1" s="1"/>
  <c r="AA385" i="1" s="1"/>
  <c r="X386" i="1"/>
  <c r="Y386" i="1" s="1"/>
  <c r="C387" i="1"/>
  <c r="AF387" i="1"/>
  <c r="W387" i="1" s="1"/>
  <c r="AL387" i="1"/>
  <c r="AE387" i="1" l="1"/>
  <c r="AM387" i="1" s="1"/>
  <c r="AM386" i="1"/>
  <c r="Z386" i="1"/>
  <c r="AA386" i="1" s="1"/>
  <c r="X387" i="1"/>
  <c r="C388" i="1"/>
  <c r="AF388" i="1"/>
  <c r="W388" i="1" s="1"/>
  <c r="AL388" i="1"/>
  <c r="X388" i="1" l="1"/>
  <c r="Y388" i="1" s="1"/>
  <c r="AE388" i="1"/>
  <c r="AN387" i="1"/>
  <c r="AN388" i="1"/>
  <c r="Y387" i="1"/>
  <c r="Z387" i="1" s="1"/>
  <c r="AA387" i="1" s="1"/>
  <c r="C389" i="1"/>
  <c r="AF389" i="1"/>
  <c r="W389" i="1" s="1"/>
  <c r="AL389" i="1"/>
  <c r="AM388" i="1" l="1"/>
  <c r="AM389" i="1"/>
  <c r="AN389" i="1"/>
  <c r="Z388" i="1"/>
  <c r="AA388" i="1" s="1"/>
  <c r="X389" i="1"/>
  <c r="Y389" i="1" s="1"/>
  <c r="AF390" i="1"/>
  <c r="W390" i="1" s="1"/>
  <c r="AL390" i="1"/>
  <c r="AO390" i="1" s="1"/>
  <c r="AP390" i="1" s="1"/>
  <c r="X390" i="1" l="1"/>
  <c r="AE390" i="1"/>
  <c r="AM390" i="1" s="1"/>
  <c r="Z389" i="1"/>
  <c r="AA389" i="1" s="1"/>
  <c r="AF391" i="1"/>
  <c r="W391" i="1" s="1"/>
  <c r="AL391" i="1"/>
  <c r="AN390" i="1" l="1"/>
  <c r="X391" i="1"/>
  <c r="Y391" i="1" s="1"/>
  <c r="AE391" i="1"/>
  <c r="AM391" i="1" s="1"/>
  <c r="Y390" i="1"/>
  <c r="Z390" i="1" s="1"/>
  <c r="AA390" i="1" s="1"/>
  <c r="C392" i="1"/>
  <c r="AF392" i="1"/>
  <c r="W392" i="1" s="1"/>
  <c r="AL392" i="1"/>
  <c r="AE392" i="1" l="1"/>
  <c r="AM392" i="1" s="1"/>
  <c r="Z391" i="1"/>
  <c r="AA391" i="1" s="1"/>
  <c r="AN391" i="1"/>
  <c r="X392" i="1"/>
  <c r="Y392" i="1" s="1"/>
  <c r="AF393" i="1"/>
  <c r="W393" i="1" s="1"/>
  <c r="AL393" i="1"/>
  <c r="AN392" i="1" l="1"/>
  <c r="Z392" i="1"/>
  <c r="AA392" i="1" s="1"/>
  <c r="AM393" i="1"/>
  <c r="AN393" i="1"/>
  <c r="X393" i="1"/>
  <c r="Y393" i="1"/>
  <c r="AF394" i="1"/>
  <c r="W394" i="1" s="1"/>
  <c r="AL394" i="1"/>
  <c r="AO394" i="1" s="1"/>
  <c r="AP394" i="1" s="1"/>
  <c r="X394" i="1" l="1"/>
  <c r="AE394" i="1"/>
  <c r="AM394" i="1" s="1"/>
  <c r="Z393" i="1"/>
  <c r="AA393" i="1" s="1"/>
  <c r="AF395" i="1"/>
  <c r="W395" i="1" s="1"/>
  <c r="AL395" i="1"/>
  <c r="AN394" i="1" l="1"/>
  <c r="AE395" i="1"/>
  <c r="Y394" i="1"/>
  <c r="Z394" i="1" s="1"/>
  <c r="AA394" i="1" s="1"/>
  <c r="AN395" i="1"/>
  <c r="X395" i="1"/>
  <c r="Y395" i="1" s="1"/>
  <c r="C396" i="1"/>
  <c r="AF396" i="1"/>
  <c r="W396" i="1" s="1"/>
  <c r="AL396" i="1"/>
  <c r="X396" i="1" l="1"/>
  <c r="AE396" i="1"/>
  <c r="AM395" i="1"/>
  <c r="AN396" i="1"/>
  <c r="Z395" i="1"/>
  <c r="AA395" i="1" s="1"/>
  <c r="C397" i="1"/>
  <c r="AF397" i="1"/>
  <c r="W397" i="1" s="1"/>
  <c r="AL397" i="1"/>
  <c r="X397" i="1" l="1"/>
  <c r="Y397" i="1" s="1"/>
  <c r="AE397" i="1"/>
  <c r="AM396" i="1"/>
  <c r="AN397" i="1"/>
  <c r="Y396" i="1"/>
  <c r="Z396" i="1" s="1"/>
  <c r="AA396" i="1" s="1"/>
  <c r="C398" i="1"/>
  <c r="AF398" i="1"/>
  <c r="W398" i="1" s="1"/>
  <c r="AL398" i="1"/>
  <c r="X398" i="1" l="1"/>
  <c r="AE398" i="1"/>
  <c r="AM397" i="1"/>
  <c r="AN398" i="1"/>
  <c r="Z397" i="1"/>
  <c r="AA397" i="1" s="1"/>
  <c r="C399" i="1"/>
  <c r="AF399" i="1"/>
  <c r="W399" i="1" s="1"/>
  <c r="AL399" i="1"/>
  <c r="AE399" i="1" l="1"/>
  <c r="AN399" i="1" s="1"/>
  <c r="AM398" i="1"/>
  <c r="Y398" i="1"/>
  <c r="Z398" i="1" s="1"/>
  <c r="AA398" i="1" s="1"/>
  <c r="X399" i="1"/>
  <c r="Y399" i="1" s="1"/>
  <c r="C400" i="1"/>
  <c r="AF400" i="1"/>
  <c r="W400" i="1" s="1"/>
  <c r="AL400" i="1"/>
  <c r="X400" i="1" l="1"/>
  <c r="AE400" i="1"/>
  <c r="AN400" i="1" s="1"/>
  <c r="AM399" i="1"/>
  <c r="Z399" i="1"/>
  <c r="AA399" i="1" s="1"/>
  <c r="C401" i="1"/>
  <c r="AF401" i="1"/>
  <c r="W401" i="1" s="1"/>
  <c r="AL401" i="1"/>
  <c r="X401" i="1" l="1"/>
  <c r="Y401" i="1" s="1"/>
  <c r="AE401" i="1"/>
  <c r="AN401" i="1" s="1"/>
  <c r="AM400" i="1"/>
  <c r="Y400" i="1"/>
  <c r="Z400" i="1" s="1"/>
  <c r="AA400" i="1" s="1"/>
  <c r="AF402" i="1"/>
  <c r="W402" i="1" s="1"/>
  <c r="AL402" i="1"/>
  <c r="AE402" i="1" l="1"/>
  <c r="AN402" i="1" s="1"/>
  <c r="AM401" i="1"/>
  <c r="Z401" i="1"/>
  <c r="AA401" i="1" s="1"/>
  <c r="X402" i="1"/>
  <c r="Y402" i="1" s="1"/>
  <c r="C403" i="1"/>
  <c r="AF403" i="1"/>
  <c r="W403" i="1" s="1"/>
  <c r="AL403" i="1"/>
  <c r="AM402" i="1" l="1"/>
  <c r="X403" i="1"/>
  <c r="Y403" i="1" s="1"/>
  <c r="AE403" i="1"/>
  <c r="AN403" i="1" s="1"/>
  <c r="Z402" i="1"/>
  <c r="AA402" i="1" s="1"/>
  <c r="C404" i="1"/>
  <c r="AF404" i="1"/>
  <c r="W404" i="1" s="1"/>
  <c r="AL404" i="1"/>
  <c r="X404" i="1" l="1"/>
  <c r="Y404" i="1" s="1"/>
  <c r="AE404" i="1"/>
  <c r="AM403" i="1"/>
  <c r="AM404" i="1"/>
  <c r="Z403" i="1"/>
  <c r="AA403" i="1" s="1"/>
  <c r="C405" i="1"/>
  <c r="AF405" i="1"/>
  <c r="W405" i="1" s="1"/>
  <c r="AL405" i="1"/>
  <c r="AN404" i="1" l="1"/>
  <c r="AM405" i="1"/>
  <c r="AN405" i="1"/>
  <c r="Z404" i="1"/>
  <c r="AA404" i="1" s="1"/>
  <c r="X405" i="1"/>
  <c r="Y405" i="1" s="1"/>
  <c r="AF406" i="1"/>
  <c r="W406" i="1" s="1"/>
  <c r="AL406" i="1"/>
  <c r="AO406" i="1" s="1"/>
  <c r="AP406" i="1" s="1"/>
  <c r="X406" i="1" l="1"/>
  <c r="Y406" i="1" s="1"/>
  <c r="Z406" i="1" s="1"/>
  <c r="AA406" i="1" s="1"/>
  <c r="AE406" i="1"/>
  <c r="AM406" i="1" s="1"/>
  <c r="Z405" i="1"/>
  <c r="AA405" i="1" s="1"/>
  <c r="C407" i="1"/>
  <c r="AF407" i="1"/>
  <c r="W407" i="1" s="1"/>
  <c r="AL407" i="1"/>
  <c r="AE407" i="1" l="1"/>
  <c r="AN406" i="1"/>
  <c r="AN407" i="1"/>
  <c r="X407" i="1"/>
  <c r="Y407" i="1" s="1"/>
  <c r="C408" i="1"/>
  <c r="AF408" i="1"/>
  <c r="W408" i="1" s="1"/>
  <c r="AL408" i="1"/>
  <c r="X408" i="1" l="1"/>
  <c r="AE408" i="1"/>
  <c r="AN408" i="1" s="1"/>
  <c r="AM407" i="1"/>
  <c r="Z407" i="1"/>
  <c r="AA407" i="1" s="1"/>
  <c r="C409" i="1"/>
  <c r="AF409" i="1"/>
  <c r="W409" i="1" s="1"/>
  <c r="AL409" i="1"/>
  <c r="X409" i="1" l="1"/>
  <c r="AE409" i="1"/>
  <c r="AM408" i="1"/>
  <c r="AN409" i="1"/>
  <c r="Y408" i="1"/>
  <c r="Z408" i="1" s="1"/>
  <c r="AA408" i="1" s="1"/>
  <c r="C410" i="1"/>
  <c r="AF410" i="1"/>
  <c r="W410" i="1" s="1"/>
  <c r="AL410" i="1"/>
  <c r="X410" i="1" l="1"/>
  <c r="Y410" i="1" s="1"/>
  <c r="Z410" i="1" s="1"/>
  <c r="AA410" i="1" s="1"/>
  <c r="AE410" i="1"/>
  <c r="AN410" i="1" s="1"/>
  <c r="AM409" i="1"/>
  <c r="Y409" i="1"/>
  <c r="Z409" i="1" s="1"/>
  <c r="AA409" i="1" s="1"/>
  <c r="C411" i="1"/>
  <c r="AF411" i="1"/>
  <c r="W411" i="1" s="1"/>
  <c r="AL411" i="1"/>
  <c r="AE411" i="1" l="1"/>
  <c r="AM410" i="1"/>
  <c r="AN411" i="1"/>
  <c r="X411" i="1"/>
  <c r="Y411" i="1" s="1"/>
  <c r="Z411" i="1" s="1"/>
  <c r="AA411" i="1" s="1"/>
  <c r="C412" i="1"/>
  <c r="AF412" i="1"/>
  <c r="W412" i="1" s="1"/>
  <c r="AL412" i="1"/>
  <c r="AE412" i="1" l="1"/>
  <c r="AN412" i="1" s="1"/>
  <c r="AM411" i="1"/>
  <c r="X412" i="1"/>
  <c r="Y412" i="1" s="1"/>
  <c r="Z412" i="1" s="1"/>
  <c r="AA412" i="1" s="1"/>
  <c r="AF413" i="1"/>
  <c r="W413" i="1" s="1"/>
  <c r="AL413" i="1"/>
  <c r="AE413" i="1" l="1"/>
  <c r="AM412" i="1"/>
  <c r="AM413" i="1"/>
  <c r="X413" i="1"/>
  <c r="C414" i="1"/>
  <c r="D414" i="1"/>
  <c r="AD414" i="1" s="1"/>
  <c r="AF414" i="1"/>
  <c r="W414" i="1" s="1"/>
  <c r="AH414" i="1"/>
  <c r="AK414" i="1" s="1"/>
  <c r="AL414" i="1"/>
  <c r="AN413" i="1" l="1"/>
  <c r="AM414" i="1"/>
  <c r="AN414" i="1"/>
  <c r="Y413" i="1"/>
  <c r="Z413" i="1" s="1"/>
  <c r="AA413" i="1" s="1"/>
  <c r="AI414" i="1"/>
  <c r="AG414" i="1"/>
  <c r="AC414" i="1"/>
  <c r="Y414" i="1"/>
  <c r="AA414" i="1"/>
  <c r="X414" i="1"/>
  <c r="Z414" i="1"/>
  <c r="AQ414" i="1"/>
  <c r="AF415" i="1"/>
  <c r="W415" i="1" s="1"/>
  <c r="AL415" i="1"/>
  <c r="AO415" i="1" s="1"/>
  <c r="AP415" i="1" s="1"/>
  <c r="AE415" i="1" l="1"/>
  <c r="AM415" i="1" s="1"/>
  <c r="X415" i="1"/>
  <c r="C416" i="1"/>
  <c r="AF416" i="1"/>
  <c r="W416" i="1" s="1"/>
  <c r="AL416" i="1"/>
  <c r="AN415" i="1" l="1"/>
  <c r="AM416" i="1"/>
  <c r="AN416" i="1"/>
  <c r="Y415" i="1"/>
  <c r="Z415" i="1" s="1"/>
  <c r="AA415" i="1" s="1"/>
  <c r="X416" i="1"/>
  <c r="AF417" i="1"/>
  <c r="W417" i="1" s="1"/>
  <c r="AL417" i="1"/>
  <c r="AO417" i="1" s="1"/>
  <c r="AP417" i="1" s="1"/>
  <c r="AE417" i="1" l="1"/>
  <c r="AM417" i="1" s="1"/>
  <c r="Y416" i="1"/>
  <c r="Z416" i="1" s="1"/>
  <c r="AA416" i="1" s="1"/>
  <c r="X417" i="1"/>
  <c r="C418" i="1"/>
  <c r="AF418" i="1"/>
  <c r="W418" i="1" s="1"/>
  <c r="AL418" i="1"/>
  <c r="AE418" i="1" l="1"/>
  <c r="AN417" i="1"/>
  <c r="AN418" i="1"/>
  <c r="Y417" i="1"/>
  <c r="Z417" i="1" s="1"/>
  <c r="AA417" i="1" s="1"/>
  <c r="X418" i="1"/>
  <c r="C419" i="1"/>
  <c r="AF419" i="1"/>
  <c r="W419" i="1" s="1"/>
  <c r="AL419" i="1"/>
  <c r="AM418" i="1" l="1"/>
  <c r="AM419" i="1"/>
  <c r="AN419" i="1"/>
  <c r="Y418" i="1"/>
  <c r="Z418" i="1" s="1"/>
  <c r="AA418" i="1" s="1"/>
  <c r="X419" i="1"/>
  <c r="Y419" i="1" s="1"/>
  <c r="Z419" i="1" s="1"/>
  <c r="AA419" i="1" s="1"/>
  <c r="AF420" i="1"/>
  <c r="W420" i="1" s="1"/>
  <c r="AL420" i="1"/>
  <c r="AO420" i="1" s="1"/>
  <c r="AP420" i="1" s="1"/>
  <c r="AE420" i="1" l="1"/>
  <c r="AM420" i="1" s="1"/>
  <c r="X420" i="1"/>
  <c r="Y420" i="1" s="1"/>
  <c r="Z420" i="1" s="1"/>
  <c r="AA420" i="1" s="1"/>
  <c r="C421" i="1"/>
  <c r="AF421" i="1"/>
  <c r="W421" i="1" s="1"/>
  <c r="AL421" i="1"/>
  <c r="AN420" i="1" l="1"/>
  <c r="X421" i="1"/>
  <c r="Y421" i="1" s="1"/>
  <c r="Z421" i="1" s="1"/>
  <c r="AA421" i="1" s="1"/>
  <c r="AE421" i="1"/>
  <c r="AM421" i="1" s="1"/>
  <c r="AF422" i="1"/>
  <c r="W422" i="1" s="1"/>
  <c r="AL422" i="1"/>
  <c r="AN421" i="1" l="1"/>
  <c r="AE422" i="1"/>
  <c r="AM422" i="1" s="1"/>
  <c r="X422" i="1"/>
  <c r="C423" i="1"/>
  <c r="AF423" i="1"/>
  <c r="W423" i="1" s="1"/>
  <c r="AL423" i="1"/>
  <c r="AE423" i="1" l="1"/>
  <c r="AN423" i="1" s="1"/>
  <c r="AN422" i="1"/>
  <c r="Y422" i="1"/>
  <c r="Z422" i="1" s="1"/>
  <c r="AA422" i="1" s="1"/>
  <c r="X423" i="1"/>
  <c r="Y423" i="1" s="1"/>
  <c r="Z423" i="1" s="1"/>
  <c r="AA423" i="1" s="1"/>
  <c r="C424" i="1"/>
  <c r="AF424" i="1"/>
  <c r="W424" i="1" s="1"/>
  <c r="AL424" i="1"/>
  <c r="AE424" i="1" l="1"/>
  <c r="AM423" i="1"/>
  <c r="AN424" i="1"/>
  <c r="X424" i="1"/>
  <c r="C425" i="1"/>
  <c r="AF425" i="1"/>
  <c r="W425" i="1" s="1"/>
  <c r="AL425" i="1"/>
  <c r="AE425" i="1" l="1"/>
  <c r="AM424" i="1"/>
  <c r="AN425" i="1"/>
  <c r="Y424" i="1"/>
  <c r="Z424" i="1" s="1"/>
  <c r="AA424" i="1" s="1"/>
  <c r="X425" i="1"/>
  <c r="Y425" i="1" s="1"/>
  <c r="C426" i="1"/>
  <c r="AF426" i="1"/>
  <c r="W426" i="1" s="1"/>
  <c r="AL426" i="1"/>
  <c r="AE426" i="1" l="1"/>
  <c r="AN426" i="1" s="1"/>
  <c r="AM425" i="1"/>
  <c r="Z425" i="1"/>
  <c r="AA425" i="1" s="1"/>
  <c r="X426" i="1"/>
  <c r="C427" i="1"/>
  <c r="AF427" i="1"/>
  <c r="W427" i="1" s="1"/>
  <c r="AL427" i="1"/>
  <c r="AE427" i="1" l="1"/>
  <c r="AM426" i="1"/>
  <c r="AM427" i="1"/>
  <c r="Y426" i="1"/>
  <c r="Z426" i="1" s="1"/>
  <c r="AA426" i="1" s="1"/>
  <c r="X427" i="1"/>
  <c r="C428" i="1"/>
  <c r="AF428" i="1"/>
  <c r="W428" i="1" s="1"/>
  <c r="AL428" i="1"/>
  <c r="AE428" i="1" l="1"/>
  <c r="AN428" i="1" s="1"/>
  <c r="AN427" i="1"/>
  <c r="Y427" i="1"/>
  <c r="Z427" i="1" s="1"/>
  <c r="AA427" i="1" s="1"/>
  <c r="X428" i="1"/>
  <c r="Y428" i="1" s="1"/>
  <c r="C429" i="1"/>
  <c r="AF429" i="1"/>
  <c r="W429" i="1" s="1"/>
  <c r="AL429" i="1"/>
  <c r="AE429" i="1" l="1"/>
  <c r="AN429" i="1" s="1"/>
  <c r="AM428" i="1"/>
  <c r="AM429" i="1"/>
  <c r="Z428" i="1"/>
  <c r="AA428" i="1" s="1"/>
  <c r="X429" i="1"/>
  <c r="Y429" i="1" s="1"/>
  <c r="C430" i="1"/>
  <c r="AF430" i="1"/>
  <c r="W430" i="1" s="1"/>
  <c r="AL430" i="1"/>
  <c r="AM430" i="1" l="1"/>
  <c r="AN430" i="1"/>
  <c r="Z429" i="1"/>
  <c r="AA429" i="1" s="1"/>
  <c r="X430" i="1"/>
  <c r="AF431" i="1"/>
  <c r="W431" i="1" s="1"/>
  <c r="AL431" i="1"/>
  <c r="AO431" i="1" s="1"/>
  <c r="AP431" i="1" s="1"/>
  <c r="AE431" i="1" l="1"/>
  <c r="AM431" i="1" s="1"/>
  <c r="Y430" i="1"/>
  <c r="Z430" i="1" s="1"/>
  <c r="AA430" i="1" s="1"/>
  <c r="X431" i="1"/>
  <c r="C432" i="1"/>
  <c r="AF432" i="1"/>
  <c r="W432" i="1" s="1"/>
  <c r="AL432" i="1"/>
  <c r="AE432" i="1" l="1"/>
  <c r="AN432" i="1" s="1"/>
  <c r="AN431" i="1"/>
  <c r="AM432" i="1"/>
  <c r="Y431" i="1"/>
  <c r="Z431" i="1" s="1"/>
  <c r="AA431" i="1" s="1"/>
  <c r="X432" i="1"/>
  <c r="AF433" i="1"/>
  <c r="W433" i="1" s="1"/>
  <c r="AL433" i="1"/>
  <c r="Y432" i="1" l="1"/>
  <c r="Z432" i="1" s="1"/>
  <c r="AA432" i="1" s="1"/>
  <c r="AE433" i="1"/>
  <c r="AN433" i="1" s="1"/>
  <c r="X433" i="1"/>
  <c r="Y433" i="1" s="1"/>
  <c r="C434" i="1"/>
  <c r="AF434" i="1"/>
  <c r="W434" i="1" s="1"/>
  <c r="AL434" i="1"/>
  <c r="AE434" i="1" l="1"/>
  <c r="AN434" i="1" s="1"/>
  <c r="AM433" i="1"/>
  <c r="AM434" i="1"/>
  <c r="Z433" i="1"/>
  <c r="AA433" i="1" s="1"/>
  <c r="X434" i="1"/>
  <c r="Y434" i="1" l="1"/>
  <c r="Z434" i="1" s="1"/>
  <c r="AA434" i="1" s="1"/>
  <c r="AF435" i="1"/>
  <c r="W435" i="1" s="1"/>
  <c r="AL435" i="1"/>
  <c r="AE435" i="1" l="1"/>
  <c r="AM435" i="1" s="1"/>
  <c r="X435" i="1"/>
  <c r="Y435" i="1" s="1"/>
  <c r="C436" i="1"/>
  <c r="AF436" i="1"/>
  <c r="W436" i="1" s="1"/>
  <c r="AL436" i="1"/>
  <c r="AE436" i="1" l="1"/>
  <c r="AM436" i="1" s="1"/>
  <c r="Z435" i="1"/>
  <c r="AA435" i="1" s="1"/>
  <c r="AN435" i="1"/>
  <c r="X436" i="1"/>
  <c r="AF437" i="1"/>
  <c r="W437" i="1" s="1"/>
  <c r="AL437" i="1"/>
  <c r="Y436" i="1" l="1"/>
  <c r="Z436" i="1" s="1"/>
  <c r="AA436" i="1" s="1"/>
  <c r="AN436" i="1"/>
  <c r="AE437" i="1"/>
  <c r="AM437" i="1" s="1"/>
  <c r="X437" i="1"/>
  <c r="Y437" i="1" s="1"/>
  <c r="C438" i="1"/>
  <c r="AF438" i="1"/>
  <c r="W438" i="1" s="1"/>
  <c r="AL438" i="1"/>
  <c r="Z437" i="1" l="1"/>
  <c r="AA437" i="1" s="1"/>
  <c r="AN437" i="1"/>
  <c r="AM438" i="1"/>
  <c r="AN438" i="1"/>
  <c r="X438" i="1"/>
  <c r="AF439" i="1"/>
  <c r="W439" i="1" s="1"/>
  <c r="AL439" i="1"/>
  <c r="AO439" i="1" s="1"/>
  <c r="AP439" i="1" s="1"/>
  <c r="X439" i="1" l="1"/>
  <c r="Y439" i="1" s="1"/>
  <c r="AE439" i="1"/>
  <c r="AM439" i="1" s="1"/>
  <c r="Y438" i="1"/>
  <c r="Z438" i="1" s="1"/>
  <c r="AA438" i="1" s="1"/>
  <c r="AF440" i="1"/>
  <c r="W440" i="1" s="1"/>
  <c r="AL440" i="1"/>
  <c r="AN439" i="1" l="1"/>
  <c r="X440" i="1"/>
  <c r="Y440" i="1" s="1"/>
  <c r="AE440" i="1"/>
  <c r="AM440" i="1" s="1"/>
  <c r="Z439" i="1"/>
  <c r="AA439" i="1" s="1"/>
  <c r="AN440" i="1"/>
  <c r="C441" i="1"/>
  <c r="AF441" i="1"/>
  <c r="W441" i="1" s="1"/>
  <c r="AL441" i="1"/>
  <c r="AE441" i="1" l="1"/>
  <c r="AN441" i="1" s="1"/>
  <c r="Z440" i="1"/>
  <c r="AA440" i="1" s="1"/>
  <c r="X441" i="1"/>
  <c r="C442" i="1"/>
  <c r="AF442" i="1"/>
  <c r="W442" i="1" s="1"/>
  <c r="AL442" i="1"/>
  <c r="AM441" i="1" l="1"/>
  <c r="X442" i="1"/>
  <c r="Y442" i="1" s="1"/>
  <c r="AE442" i="1"/>
  <c r="AN442" i="1" s="1"/>
  <c r="Y441" i="1"/>
  <c r="Z441" i="1" s="1"/>
  <c r="AA441" i="1" s="1"/>
  <c r="C443" i="1"/>
  <c r="AF443" i="1"/>
  <c r="W443" i="1" s="1"/>
  <c r="AL443" i="1"/>
  <c r="AM442" i="1" l="1"/>
  <c r="X443" i="1"/>
  <c r="Y443" i="1" s="1"/>
  <c r="Z443" i="1" s="1"/>
  <c r="AA443" i="1" s="1"/>
  <c r="AE443" i="1"/>
  <c r="AN443" i="1" s="1"/>
  <c r="Z442" i="1"/>
  <c r="AA442" i="1" s="1"/>
  <c r="C444" i="1"/>
  <c r="AF444" i="1"/>
  <c r="W444" i="1" s="1"/>
  <c r="AL444" i="1"/>
  <c r="AE444" i="1" l="1"/>
  <c r="AN444" i="1" s="1"/>
  <c r="AM443" i="1"/>
  <c r="X444" i="1"/>
  <c r="C445" i="1"/>
  <c r="AF445" i="1"/>
  <c r="W445" i="1" s="1"/>
  <c r="AL445" i="1"/>
  <c r="AM444" i="1" l="1"/>
  <c r="AM445" i="1"/>
  <c r="AN445" i="1"/>
  <c r="Y444" i="1"/>
  <c r="Z444" i="1" s="1"/>
  <c r="AA444" i="1" s="1"/>
  <c r="AQ445" i="1"/>
  <c r="X445" i="1"/>
  <c r="AF446" i="1"/>
  <c r="W446" i="1" s="1"/>
  <c r="AL446" i="1"/>
  <c r="AO446" i="1" s="1"/>
  <c r="AP446" i="1" s="1"/>
  <c r="AE446" i="1" l="1"/>
  <c r="AM446" i="1" s="1"/>
  <c r="Y445" i="1"/>
  <c r="Z445" i="1" s="1"/>
  <c r="AA445" i="1" s="1"/>
  <c r="X446" i="1"/>
  <c r="AF447" i="1"/>
  <c r="W447" i="1" s="1"/>
  <c r="AL447" i="1"/>
  <c r="AN446" i="1" l="1"/>
  <c r="X447" i="1"/>
  <c r="AE447" i="1"/>
  <c r="AN447" i="1" s="1"/>
  <c r="Y446" i="1"/>
  <c r="Z446" i="1" s="1"/>
  <c r="AA446" i="1" s="1"/>
  <c r="AM447" i="1"/>
  <c r="C448" i="1"/>
  <c r="AF448" i="1"/>
  <c r="W448" i="1" s="1"/>
  <c r="AL448" i="1"/>
  <c r="AE448" i="1" l="1"/>
  <c r="AM448" i="1" s="1"/>
  <c r="Y447" i="1"/>
  <c r="Z447" i="1" s="1"/>
  <c r="AA447" i="1" s="1"/>
  <c r="X448" i="1"/>
  <c r="C449" i="1"/>
  <c r="AF449" i="1"/>
  <c r="W449" i="1" s="1"/>
  <c r="AL449" i="1"/>
  <c r="AN448" i="1" l="1"/>
  <c r="X449" i="1"/>
  <c r="Y449" i="1" s="1"/>
  <c r="Z449" i="1" s="1"/>
  <c r="AA449" i="1" s="1"/>
  <c r="AE449" i="1"/>
  <c r="AM449" i="1" s="1"/>
  <c r="Y448" i="1"/>
  <c r="Z448" i="1" s="1"/>
  <c r="AA448" i="1" s="1"/>
  <c r="C450" i="1"/>
  <c r="AF450" i="1"/>
  <c r="W450" i="1" s="1"/>
  <c r="AL450" i="1"/>
  <c r="AN449" i="1" l="1"/>
  <c r="X450" i="1"/>
  <c r="Y450" i="1" s="1"/>
  <c r="AE450" i="1"/>
  <c r="AM450" i="1" s="1"/>
  <c r="C451" i="1"/>
  <c r="AF451" i="1"/>
  <c r="W451" i="1" s="1"/>
  <c r="AL451" i="1"/>
  <c r="AE451" i="1" l="1"/>
  <c r="AN451" i="1" s="1"/>
  <c r="AN450" i="1"/>
  <c r="Z450" i="1"/>
  <c r="AA450" i="1" s="1"/>
  <c r="X451" i="1"/>
  <c r="C452" i="1"/>
  <c r="AF452" i="1"/>
  <c r="W452" i="1" s="1"/>
  <c r="AL452" i="1"/>
  <c r="AM451" i="1" l="1"/>
  <c r="X452" i="1"/>
  <c r="AE452" i="1"/>
  <c r="AN452" i="1" s="1"/>
  <c r="Y451" i="1"/>
  <c r="Z451" i="1" s="1"/>
  <c r="AA451" i="1" s="1"/>
  <c r="C453" i="1"/>
  <c r="AF453" i="1"/>
  <c r="W453" i="1" s="1"/>
  <c r="AL453" i="1"/>
  <c r="AE453" i="1" l="1"/>
  <c r="AN453" i="1" s="1"/>
  <c r="AM452" i="1"/>
  <c r="AM453" i="1"/>
  <c r="Y452" i="1"/>
  <c r="Z452" i="1" s="1"/>
  <c r="AA452" i="1" s="1"/>
  <c r="X453" i="1"/>
  <c r="Y453" i="1" s="1"/>
  <c r="C454" i="1"/>
  <c r="AF454" i="1"/>
  <c r="W454" i="1" s="1"/>
  <c r="AL454" i="1"/>
  <c r="AE454" i="1" l="1"/>
  <c r="AM454" i="1" s="1"/>
  <c r="Z453" i="1"/>
  <c r="AA453" i="1" s="1"/>
  <c r="X454" i="1"/>
  <c r="AF455" i="1"/>
  <c r="W455" i="1" s="1"/>
  <c r="AL455" i="1"/>
  <c r="AN454" i="1" l="1"/>
  <c r="AE455" i="1"/>
  <c r="Y454" i="1"/>
  <c r="Z454" i="1" s="1"/>
  <c r="AA454" i="1" s="1"/>
  <c r="AM455" i="1"/>
  <c r="X455" i="1"/>
  <c r="Y455" i="1" s="1"/>
  <c r="C456" i="1"/>
  <c r="AF456" i="1"/>
  <c r="W456" i="1" s="1"/>
  <c r="AL456" i="1"/>
  <c r="AN455" i="1" l="1"/>
  <c r="AM456" i="1"/>
  <c r="AN456" i="1"/>
  <c r="Z455" i="1"/>
  <c r="AA455" i="1" s="1"/>
  <c r="X456" i="1"/>
  <c r="AQ456" i="1"/>
  <c r="AF457" i="1"/>
  <c r="AL457" i="1"/>
  <c r="AO457" i="1" s="1"/>
  <c r="AP457" i="1" s="1"/>
  <c r="AE457" i="1" l="1"/>
  <c r="AM457" i="1" s="1"/>
  <c r="Y456" i="1"/>
  <c r="Z456" i="1" s="1"/>
  <c r="AA456" i="1" s="1"/>
  <c r="X457" i="1"/>
  <c r="Y457" i="1" s="1"/>
  <c r="Z457" i="1" s="1"/>
  <c r="AA457" i="1" s="1"/>
  <c r="C458" i="1"/>
  <c r="AF458" i="1"/>
  <c r="AL458" i="1"/>
  <c r="AN457" i="1" l="1"/>
  <c r="X458" i="1"/>
  <c r="Y458" i="1" s="1"/>
  <c r="AE458" i="1"/>
  <c r="AM458" i="1" s="1"/>
  <c r="C459" i="1"/>
  <c r="AF459" i="1"/>
  <c r="AL459" i="1"/>
  <c r="AN458" i="1" l="1"/>
  <c r="X459" i="1"/>
  <c r="Y459" i="1" s="1"/>
  <c r="Z459" i="1" s="1"/>
  <c r="AA459" i="1" s="1"/>
  <c r="AE459" i="1"/>
  <c r="AM459" i="1" s="1"/>
  <c r="Z458" i="1"/>
  <c r="AA458" i="1" s="1"/>
  <c r="C460" i="1"/>
  <c r="AF460" i="1"/>
  <c r="AL460" i="1"/>
  <c r="AN459" i="1" l="1"/>
  <c r="X460" i="1"/>
  <c r="AE460" i="1"/>
  <c r="AM460" i="1" s="1"/>
  <c r="C461" i="1"/>
  <c r="AF461" i="1"/>
  <c r="AL461" i="1"/>
  <c r="AN460" i="1" l="1"/>
  <c r="Y460" i="1"/>
  <c r="Z460" i="1" s="1"/>
  <c r="AA460" i="1" s="1"/>
  <c r="X461" i="1"/>
  <c r="AE461" i="1"/>
  <c r="AM461" i="1" s="1"/>
  <c r="C462" i="1"/>
  <c r="AF462" i="1"/>
  <c r="AL462" i="1"/>
  <c r="AN461" i="1" l="1"/>
  <c r="X462" i="1"/>
  <c r="AE462" i="1"/>
  <c r="AM462" i="1" s="1"/>
  <c r="Y461" i="1"/>
  <c r="Z461" i="1" s="1"/>
  <c r="AA461" i="1" s="1"/>
  <c r="AF463" i="1"/>
  <c r="AL463" i="1"/>
  <c r="AN462" i="1" l="1"/>
  <c r="X463" i="1"/>
  <c r="AE463" i="1"/>
  <c r="AN463" i="1" s="1"/>
  <c r="Y462" i="1"/>
  <c r="Z462" i="1" s="1"/>
  <c r="AA462" i="1" s="1"/>
  <c r="AM463" i="1"/>
  <c r="C464" i="1"/>
  <c r="AF464" i="1"/>
  <c r="AL464" i="1"/>
  <c r="X464" i="1" l="1"/>
  <c r="AE464" i="1"/>
  <c r="AM464" i="1" s="1"/>
  <c r="Y463" i="1"/>
  <c r="Z463" i="1" s="1"/>
  <c r="AA463" i="1" s="1"/>
  <c r="C465" i="1"/>
  <c r="AF465" i="1"/>
  <c r="AL465" i="1"/>
  <c r="AN464" i="1" l="1"/>
  <c r="X465" i="1"/>
  <c r="AE465" i="1"/>
  <c r="AM465" i="1" s="1"/>
  <c r="Y464" i="1"/>
  <c r="Z464" i="1" s="1"/>
  <c r="AA464" i="1" s="1"/>
  <c r="C466" i="1"/>
  <c r="AF466" i="1"/>
  <c r="AL466" i="1"/>
  <c r="AN465" i="1" l="1"/>
  <c r="X466" i="1"/>
  <c r="Y466" i="1" s="1"/>
  <c r="Z466" i="1" s="1"/>
  <c r="AA466" i="1" s="1"/>
  <c r="AE466" i="1"/>
  <c r="AM466" i="1" s="1"/>
  <c r="Y465" i="1"/>
  <c r="Z465" i="1" s="1"/>
  <c r="AA465" i="1" s="1"/>
  <c r="C467" i="1"/>
  <c r="AF467" i="1"/>
  <c r="W467" i="1" s="1"/>
  <c r="AL467" i="1"/>
  <c r="AN466" i="1" l="1"/>
  <c r="AM467" i="1"/>
  <c r="AN467" i="1"/>
  <c r="X467" i="1"/>
  <c r="Z467" i="1"/>
  <c r="Y467" i="1"/>
  <c r="AA467" i="1"/>
  <c r="AQ467" i="1"/>
  <c r="AF468" i="1"/>
  <c r="AL468" i="1"/>
  <c r="AO468" i="1" s="1"/>
  <c r="AP468" i="1" s="1"/>
  <c r="AE468" i="1" l="1"/>
  <c r="AM468" i="1" s="1"/>
  <c r="X468" i="1"/>
  <c r="Y468" i="1" s="1"/>
  <c r="Z468" i="1" s="1"/>
  <c r="AA468" i="1" s="1"/>
  <c r="C469" i="1"/>
  <c r="AF469" i="1"/>
  <c r="AL469" i="1"/>
  <c r="AN468" i="1" l="1"/>
  <c r="X469" i="1"/>
  <c r="Y469" i="1" s="1"/>
  <c r="Z469" i="1" s="1"/>
  <c r="AA469" i="1" s="1"/>
  <c r="AE469" i="1"/>
  <c r="AM469" i="1" s="1"/>
  <c r="C470" i="1"/>
  <c r="AF470" i="1"/>
  <c r="AL470" i="1"/>
  <c r="AN469" i="1" l="1"/>
  <c r="AE470" i="1"/>
  <c r="AM470" i="1" s="1"/>
  <c r="X470" i="1"/>
  <c r="C471" i="1"/>
  <c r="AF471" i="1"/>
  <c r="AL471" i="1"/>
  <c r="AN470" i="1" l="1"/>
  <c r="X471" i="1"/>
  <c r="AE471" i="1"/>
  <c r="AM471" i="1" s="1"/>
  <c r="Y470" i="1"/>
  <c r="Z470" i="1" s="1"/>
  <c r="AA470" i="1" s="1"/>
  <c r="C472" i="1"/>
  <c r="AF472" i="1"/>
  <c r="AL472" i="1"/>
  <c r="AN471" i="1" l="1"/>
  <c r="X472" i="1"/>
  <c r="Y472" i="1" s="1"/>
  <c r="Z472" i="1" s="1"/>
  <c r="AA472" i="1" s="1"/>
  <c r="AE472" i="1"/>
  <c r="AM472" i="1" s="1"/>
  <c r="Y471" i="1"/>
  <c r="Z471" i="1" s="1"/>
  <c r="AA471" i="1" s="1"/>
  <c r="C473" i="1"/>
  <c r="AF473" i="1"/>
  <c r="AL473" i="1"/>
  <c r="AN472" i="1" l="1"/>
  <c r="X473" i="1"/>
  <c r="AE473" i="1"/>
  <c r="AM473" i="1" s="1"/>
  <c r="AF474" i="1"/>
  <c r="AL474" i="1"/>
  <c r="AN473" i="1" l="1"/>
  <c r="X474" i="1"/>
  <c r="Y474" i="1" s="1"/>
  <c r="AE474" i="1"/>
  <c r="Y473" i="1"/>
  <c r="Z473" i="1" s="1"/>
  <c r="AA473" i="1" s="1"/>
  <c r="AN474" i="1"/>
  <c r="C475" i="1"/>
  <c r="AF475" i="1"/>
  <c r="AL475" i="1"/>
  <c r="AE475" i="1" l="1"/>
  <c r="AM474" i="1"/>
  <c r="AN475" i="1"/>
  <c r="Z474" i="1"/>
  <c r="AA474" i="1" s="1"/>
  <c r="X475" i="1"/>
  <c r="C476" i="1"/>
  <c r="AF476" i="1"/>
  <c r="AL476" i="1"/>
  <c r="AE476" i="1" l="1"/>
  <c r="AM476" i="1" s="1"/>
  <c r="Y475" i="1"/>
  <c r="Z475" i="1" s="1"/>
  <c r="AA475" i="1" s="1"/>
  <c r="AM475" i="1"/>
  <c r="X476" i="1"/>
  <c r="C477" i="1"/>
  <c r="AF477" i="1"/>
  <c r="AL477" i="1"/>
  <c r="AE477" i="1" l="1"/>
  <c r="AN477" i="1" s="1"/>
  <c r="AN476" i="1"/>
  <c r="AM477" i="1"/>
  <c r="Y476" i="1"/>
  <c r="Z476" i="1" s="1"/>
  <c r="AA476" i="1" s="1"/>
  <c r="X477" i="1"/>
  <c r="C478" i="1"/>
  <c r="D478" i="1"/>
  <c r="AC478" i="1" s="1"/>
  <c r="AF478" i="1"/>
  <c r="W478" i="1" s="1"/>
  <c r="AH478" i="1"/>
  <c r="AK478" i="1" s="1"/>
  <c r="AL478" i="1"/>
  <c r="AM478" i="1" l="1"/>
  <c r="AN478" i="1"/>
  <c r="Y477" i="1"/>
  <c r="Z477" i="1" s="1"/>
  <c r="AA477" i="1" s="1"/>
  <c r="AD478" i="1"/>
  <c r="AI478" i="1"/>
  <c r="AG478" i="1"/>
  <c r="X478" i="1"/>
  <c r="Z478" i="1"/>
  <c r="Y478" i="1"/>
  <c r="AA478" i="1"/>
  <c r="AQ478" i="1"/>
  <c r="AF479" i="1"/>
  <c r="AL479" i="1"/>
  <c r="AO479" i="1" s="1"/>
  <c r="AP479" i="1" s="1"/>
  <c r="AE479" i="1" l="1"/>
  <c r="AM479" i="1" s="1"/>
  <c r="X479" i="1"/>
  <c r="Y479" i="1" s="1"/>
  <c r="Z479" i="1" s="1"/>
  <c r="AA479" i="1" s="1"/>
  <c r="C480" i="1"/>
  <c r="AF480" i="1"/>
  <c r="AL480" i="1"/>
  <c r="AN479" i="1" l="1"/>
  <c r="X480" i="1"/>
  <c r="AE480" i="1"/>
  <c r="AM480" i="1" s="1"/>
  <c r="C481" i="1"/>
  <c r="AF481" i="1"/>
  <c r="AL481" i="1"/>
  <c r="AN480" i="1" l="1"/>
  <c r="AE481" i="1"/>
  <c r="AN481" i="1" s="1"/>
  <c r="Y480" i="1"/>
  <c r="Z480" i="1" s="1"/>
  <c r="AA480" i="1" s="1"/>
  <c r="AM481" i="1"/>
  <c r="X481" i="1"/>
  <c r="C482" i="1"/>
  <c r="AF482" i="1"/>
  <c r="AL482" i="1"/>
  <c r="AE482" i="1" l="1"/>
  <c r="AN482" i="1" s="1"/>
  <c r="Y481" i="1"/>
  <c r="Z481" i="1" s="1"/>
  <c r="AA481" i="1" s="1"/>
  <c r="AM482" i="1"/>
  <c r="X482" i="1"/>
  <c r="C483" i="1"/>
  <c r="D483" i="1"/>
  <c r="AD483" i="1" s="1"/>
  <c r="AF483" i="1"/>
  <c r="W483" i="1" s="1"/>
  <c r="AH483" i="1"/>
  <c r="AK483" i="1" s="1"/>
  <c r="AL483" i="1"/>
  <c r="Y482" i="1" l="1"/>
  <c r="Z482" i="1" s="1"/>
  <c r="AA482" i="1" s="1"/>
  <c r="AM483" i="1"/>
  <c r="AN483" i="1"/>
  <c r="AQ483" i="1"/>
  <c r="AI483" i="1"/>
  <c r="AG483" i="1"/>
  <c r="AC483" i="1"/>
  <c r="Y483" i="1"/>
  <c r="AA483" i="1"/>
  <c r="X483" i="1"/>
  <c r="Z483" i="1"/>
  <c r="AF484" i="1"/>
  <c r="AL484" i="1"/>
  <c r="AO484" i="1" s="1"/>
  <c r="AP484" i="1" s="1"/>
  <c r="AE484" i="1" l="1"/>
  <c r="AM484" i="1" s="1"/>
  <c r="X484" i="1"/>
  <c r="C485" i="1"/>
  <c r="AF485" i="1"/>
  <c r="AL485" i="1"/>
  <c r="Y484" i="1" l="1"/>
  <c r="Z484" i="1"/>
  <c r="AA484" i="1" s="1"/>
  <c r="AN484" i="1"/>
  <c r="AE485" i="1"/>
  <c r="AM485" i="1" s="1"/>
  <c r="X485" i="1"/>
  <c r="C486" i="1"/>
  <c r="AF486" i="1"/>
  <c r="AL486" i="1"/>
  <c r="AN485" i="1" l="1"/>
  <c r="AE486" i="1"/>
  <c r="AN486" i="1" s="1"/>
  <c r="Y485" i="1"/>
  <c r="Z485" i="1" s="1"/>
  <c r="AA485" i="1" s="1"/>
  <c r="AM486" i="1"/>
  <c r="X486" i="1"/>
  <c r="Y486" i="1" s="1"/>
  <c r="C487" i="1"/>
  <c r="AF487" i="1"/>
  <c r="AL487" i="1"/>
  <c r="AE487" i="1" l="1"/>
  <c r="AN487" i="1" s="1"/>
  <c r="Z486" i="1"/>
  <c r="AA486" i="1" s="1"/>
  <c r="AM487" i="1"/>
  <c r="X487" i="1"/>
  <c r="Y487" i="1" s="1"/>
  <c r="Z487" i="1" s="1"/>
  <c r="AA487" i="1" s="1"/>
  <c r="C488" i="1"/>
  <c r="AF488" i="1"/>
  <c r="AL488" i="1"/>
  <c r="AE488" i="1" l="1"/>
  <c r="AM488" i="1" s="1"/>
  <c r="X488" i="1"/>
  <c r="Y488" i="1" s="1"/>
  <c r="C489" i="1"/>
  <c r="AF489" i="1"/>
  <c r="AL489" i="1"/>
  <c r="AN488" i="1" l="1"/>
  <c r="AE489" i="1"/>
  <c r="AN489" i="1" s="1"/>
  <c r="Z488" i="1"/>
  <c r="AA488" i="1" s="1"/>
  <c r="AM489" i="1"/>
  <c r="X489" i="1"/>
  <c r="C490" i="1"/>
  <c r="AF490" i="1"/>
  <c r="AL490" i="1"/>
  <c r="Y489" i="1" l="1"/>
  <c r="X490" i="1"/>
  <c r="AE490" i="1"/>
  <c r="AN490" i="1" s="1"/>
  <c r="Z489" i="1"/>
  <c r="AA489" i="1" s="1"/>
  <c r="AM490" i="1"/>
  <c r="C491" i="1"/>
  <c r="AF491" i="1"/>
  <c r="AL491" i="1"/>
  <c r="AE491" i="1" l="1"/>
  <c r="AN491" i="1" s="1"/>
  <c r="Y490" i="1"/>
  <c r="Z490" i="1" s="1"/>
  <c r="AA490" i="1" s="1"/>
  <c r="AM491" i="1"/>
  <c r="X491" i="1"/>
  <c r="Y491" i="1" s="1"/>
  <c r="C492" i="1"/>
  <c r="AF492" i="1"/>
  <c r="AL492" i="1"/>
  <c r="Z491" i="1" l="1"/>
  <c r="AA491" i="1" s="1"/>
  <c r="AE492" i="1"/>
  <c r="AM492" i="1" s="1"/>
  <c r="X492" i="1"/>
  <c r="C493" i="1"/>
  <c r="AF493" i="1"/>
  <c r="AL493" i="1"/>
  <c r="AN492" i="1" l="1"/>
  <c r="AE493" i="1"/>
  <c r="AN493" i="1" s="1"/>
  <c r="Y492" i="1"/>
  <c r="Z492" i="1" s="1"/>
  <c r="AA492" i="1" s="1"/>
  <c r="AM493" i="1"/>
  <c r="X493" i="1"/>
  <c r="Y493" i="1" s="1"/>
  <c r="Z493" i="1" s="1"/>
  <c r="AA493" i="1" s="1"/>
  <c r="C494" i="1"/>
  <c r="D494" i="1"/>
  <c r="AC494" i="1" s="1"/>
  <c r="AF494" i="1"/>
  <c r="W494" i="1" s="1"/>
  <c r="AH494" i="1"/>
  <c r="AK494" i="1" s="1"/>
  <c r="AL494" i="1"/>
  <c r="AM494" i="1" l="1"/>
  <c r="AN494" i="1"/>
  <c r="AD494" i="1"/>
  <c r="AI494" i="1"/>
  <c r="AG494" i="1"/>
  <c r="X494" i="1"/>
  <c r="Z494" i="1"/>
  <c r="Y494" i="1"/>
  <c r="AA494" i="1"/>
  <c r="AQ494" i="1"/>
  <c r="AF495" i="1"/>
  <c r="AL495" i="1"/>
  <c r="AO495" i="1" s="1"/>
  <c r="AP495" i="1" s="1"/>
  <c r="AE495" i="1" l="1"/>
  <c r="AM495" i="1" s="1"/>
  <c r="X495" i="1"/>
  <c r="Y495" i="1" s="1"/>
  <c r="Z495" i="1" s="1"/>
  <c r="AA495" i="1" s="1"/>
  <c r="C496" i="1"/>
  <c r="AF496" i="1"/>
  <c r="AL496" i="1"/>
  <c r="AN495" i="1" l="1"/>
  <c r="AE496" i="1"/>
  <c r="AM496" i="1" s="1"/>
  <c r="X496" i="1"/>
  <c r="Y496" i="1" s="1"/>
  <c r="Z496" i="1" s="1"/>
  <c r="AA496" i="1" s="1"/>
  <c r="C497" i="1"/>
  <c r="AF497" i="1"/>
  <c r="AL497" i="1"/>
  <c r="X497" i="1" l="1"/>
  <c r="AE497" i="1"/>
  <c r="AN497" i="1" s="1"/>
  <c r="AN496" i="1"/>
  <c r="AM497" i="1"/>
  <c r="C498" i="1"/>
  <c r="AF498" i="1"/>
  <c r="AL498" i="1"/>
  <c r="X498" i="1" l="1"/>
  <c r="AE498" i="1"/>
  <c r="AN498" i="1" s="1"/>
  <c r="Y497" i="1"/>
  <c r="Z497" i="1" s="1"/>
  <c r="AA497" i="1" s="1"/>
  <c r="AM498" i="1"/>
  <c r="C499" i="1"/>
  <c r="AF499" i="1"/>
  <c r="AL499" i="1"/>
  <c r="Y498" i="1" l="1"/>
  <c r="Z498" i="1" s="1"/>
  <c r="AA498" i="1" s="1"/>
  <c r="AE499" i="1"/>
  <c r="AM499" i="1" s="1"/>
  <c r="X499" i="1"/>
  <c r="Y499" i="1" s="1"/>
  <c r="C500" i="1"/>
  <c r="AF500" i="1"/>
  <c r="AL500" i="1"/>
  <c r="AN499" i="1" l="1"/>
  <c r="X500" i="1"/>
  <c r="AE500" i="1"/>
  <c r="AN500" i="1" s="1"/>
  <c r="Z499" i="1"/>
  <c r="AA499" i="1" s="1"/>
  <c r="AM500" i="1"/>
  <c r="C501" i="1"/>
  <c r="AF501" i="1"/>
  <c r="AL501" i="1"/>
  <c r="X501" i="1" l="1"/>
  <c r="AE501" i="1"/>
  <c r="AN501" i="1" s="1"/>
  <c r="Y500" i="1"/>
  <c r="Z500" i="1" s="1"/>
  <c r="AA500" i="1" s="1"/>
  <c r="C502" i="1"/>
  <c r="D502" i="1"/>
  <c r="AD502" i="1" s="1"/>
  <c r="AF502" i="1"/>
  <c r="W502" i="1" s="1"/>
  <c r="AH502" i="1"/>
  <c r="AK502" i="1" s="1"/>
  <c r="AL502" i="1"/>
  <c r="AM501" i="1" l="1"/>
  <c r="Y501" i="1"/>
  <c r="Z501" i="1" s="1"/>
  <c r="AA501" i="1" s="1"/>
  <c r="AM502" i="1"/>
  <c r="AN502" i="1"/>
  <c r="AQ502" i="1"/>
  <c r="AI502" i="1"/>
  <c r="AG502" i="1"/>
  <c r="AC502" i="1"/>
  <c r="Y502" i="1"/>
  <c r="AA502" i="1"/>
  <c r="X502" i="1"/>
  <c r="Z502" i="1"/>
  <c r="AF503" i="1"/>
  <c r="AL503" i="1"/>
  <c r="AO503" i="1" s="1"/>
  <c r="AP503" i="1" s="1"/>
  <c r="AE503" i="1" l="1"/>
  <c r="AM503" i="1" s="1"/>
  <c r="X503" i="1"/>
  <c r="Y503" i="1" s="1"/>
  <c r="C504" i="1"/>
  <c r="AF504" i="1"/>
  <c r="AL504" i="1"/>
  <c r="Z503" i="1" l="1"/>
  <c r="AA503" i="1" s="1"/>
  <c r="AN503" i="1"/>
  <c r="X504" i="1"/>
  <c r="AE504" i="1"/>
  <c r="AM504" i="1" s="1"/>
  <c r="C505" i="1"/>
  <c r="AF505" i="1"/>
  <c r="AL505" i="1"/>
  <c r="AN504" i="1" l="1"/>
  <c r="X505" i="1"/>
  <c r="AE505" i="1"/>
  <c r="AN505" i="1" s="1"/>
  <c r="Y504" i="1"/>
  <c r="Z504" i="1" s="1"/>
  <c r="AA504" i="1" s="1"/>
  <c r="AM505" i="1"/>
  <c r="C506" i="1"/>
  <c r="AF506" i="1"/>
  <c r="AL506" i="1"/>
  <c r="Y505" i="1" l="1"/>
  <c r="Z505" i="1" s="1"/>
  <c r="AA505" i="1" s="1"/>
  <c r="X506" i="1"/>
  <c r="AE506" i="1"/>
  <c r="AM506" i="1" s="1"/>
  <c r="C507" i="1"/>
  <c r="AF507" i="1"/>
  <c r="AL507" i="1"/>
  <c r="AN506" i="1" l="1"/>
  <c r="AE507" i="1"/>
  <c r="AN507" i="1" s="1"/>
  <c r="Y506" i="1"/>
  <c r="Z506" i="1" s="1"/>
  <c r="AA506" i="1" s="1"/>
  <c r="AM507" i="1"/>
  <c r="X507" i="1"/>
  <c r="Y507" i="1" s="1"/>
  <c r="C508" i="1"/>
  <c r="AF508" i="1"/>
  <c r="AL508" i="1"/>
  <c r="AE508" i="1" l="1"/>
  <c r="AN508" i="1" s="1"/>
  <c r="Z507" i="1"/>
  <c r="AA507" i="1" s="1"/>
  <c r="AM508" i="1"/>
  <c r="X508" i="1"/>
  <c r="Y508" i="1" s="1"/>
  <c r="C509" i="1"/>
  <c r="AF509" i="1"/>
  <c r="AL509" i="1"/>
  <c r="Z508" i="1" l="1"/>
  <c r="AA508" i="1" s="1"/>
  <c r="AE509" i="1"/>
  <c r="AM509" i="1" s="1"/>
  <c r="X509" i="1"/>
  <c r="Y509" i="1" s="1"/>
  <c r="Z509" i="1" s="1"/>
  <c r="AA509" i="1" s="1"/>
  <c r="C510" i="1"/>
  <c r="AF510" i="1"/>
  <c r="AL510" i="1"/>
  <c r="AN509" i="1" l="1"/>
  <c r="X510" i="1"/>
  <c r="Y510" i="1" s="1"/>
  <c r="AE510" i="1"/>
  <c r="AM510" i="1" s="1"/>
  <c r="C511" i="1"/>
  <c r="AF511" i="1"/>
  <c r="AL511" i="1"/>
  <c r="AN510" i="1" l="1"/>
  <c r="X511" i="1"/>
  <c r="Y511" i="1" s="1"/>
  <c r="AE511" i="1"/>
  <c r="AN511" i="1" s="1"/>
  <c r="Z510" i="1"/>
  <c r="AA510" i="1" s="1"/>
  <c r="AM511" i="1"/>
  <c r="C512" i="1"/>
  <c r="AF512" i="1"/>
  <c r="AL512" i="1"/>
  <c r="AE512" i="1" l="1"/>
  <c r="AN512" i="1" s="1"/>
  <c r="Z511" i="1"/>
  <c r="AA511" i="1" s="1"/>
  <c r="AM512" i="1"/>
  <c r="X512" i="1"/>
  <c r="Y512" i="1" s="1"/>
  <c r="C513" i="1"/>
  <c r="AF513" i="1"/>
  <c r="W513" i="1" s="1"/>
  <c r="AL513" i="1"/>
  <c r="Z512" i="1" l="1"/>
  <c r="AA512" i="1" s="1"/>
  <c r="AM513" i="1"/>
  <c r="AN513" i="1"/>
  <c r="AQ513" i="1"/>
  <c r="X513" i="1"/>
  <c r="Z513" i="1"/>
  <c r="Y513" i="1"/>
  <c r="AA513" i="1"/>
  <c r="AF514" i="1"/>
  <c r="AL514" i="1"/>
  <c r="AO514" i="1" s="1"/>
  <c r="AP514" i="1" s="1"/>
  <c r="AE514" i="1" l="1"/>
  <c r="AM514" i="1" s="1"/>
  <c r="X514" i="1"/>
  <c r="C515" i="1"/>
  <c r="AF515" i="1"/>
  <c r="AL515" i="1"/>
  <c r="AN514" i="1" l="1"/>
  <c r="X515" i="1"/>
  <c r="Y515" i="1" s="1"/>
  <c r="AE515" i="1"/>
  <c r="AN515" i="1" s="1"/>
  <c r="Y514" i="1"/>
  <c r="Z514" i="1" s="1"/>
  <c r="AA514" i="1" s="1"/>
  <c r="AM515" i="1"/>
  <c r="C516" i="1"/>
  <c r="AF516" i="1"/>
  <c r="AL516" i="1"/>
  <c r="Z515" i="1" l="1"/>
  <c r="AA515" i="1" s="1"/>
  <c r="X516" i="1"/>
  <c r="Y516" i="1" s="1"/>
  <c r="AE516" i="1"/>
  <c r="AM516" i="1" s="1"/>
  <c r="C517" i="1"/>
  <c r="AF517" i="1"/>
  <c r="AL517" i="1"/>
  <c r="AN516" i="1" l="1"/>
  <c r="Z516" i="1"/>
  <c r="AA516" i="1" s="1"/>
  <c r="X517" i="1"/>
  <c r="Y517" i="1" s="1"/>
  <c r="AE517" i="1"/>
  <c r="AM517" i="1" s="1"/>
  <c r="C519" i="1"/>
  <c r="AF519" i="1"/>
  <c r="AL519" i="1"/>
  <c r="AN517" i="1" l="1"/>
  <c r="X519" i="1"/>
  <c r="AE519" i="1"/>
  <c r="AN519" i="1" s="1"/>
  <c r="Z517" i="1"/>
  <c r="AA517" i="1" s="1"/>
  <c r="C520" i="1"/>
  <c r="AF520" i="1"/>
  <c r="AL520" i="1"/>
  <c r="Y519" i="1" l="1"/>
  <c r="Z519" i="1" s="1"/>
  <c r="AA519" i="1" s="1"/>
  <c r="AM519" i="1"/>
  <c r="AE520" i="1"/>
  <c r="AM520" i="1" s="1"/>
  <c r="X520" i="1"/>
  <c r="C521" i="1"/>
  <c r="AF521" i="1"/>
  <c r="AL521" i="1"/>
  <c r="AN520" i="1" l="1"/>
  <c r="X521" i="1"/>
  <c r="AE521" i="1"/>
  <c r="AN521" i="1" s="1"/>
  <c r="Y520" i="1"/>
  <c r="Z520" i="1" s="1"/>
  <c r="AA520" i="1" s="1"/>
  <c r="AM521" i="1"/>
  <c r="C522" i="1"/>
  <c r="AF522" i="1"/>
  <c r="AL522" i="1"/>
  <c r="AE522" i="1" l="1"/>
  <c r="AN522" i="1" s="1"/>
  <c r="Y521" i="1"/>
  <c r="Z521" i="1" s="1"/>
  <c r="AA521" i="1" s="1"/>
  <c r="AM522" i="1"/>
  <c r="X522" i="1"/>
  <c r="Y522" i="1" s="1"/>
  <c r="C523" i="1"/>
  <c r="AF523" i="1"/>
  <c r="AL523" i="1"/>
  <c r="X523" i="1" l="1"/>
  <c r="AE523" i="1"/>
  <c r="AN523" i="1" s="1"/>
  <c r="Z522" i="1"/>
  <c r="AA522" i="1" s="1"/>
  <c r="AM523" i="1"/>
  <c r="C524" i="1"/>
  <c r="D524" i="1"/>
  <c r="AC524" i="1" s="1"/>
  <c r="AF524" i="1"/>
  <c r="W524" i="1" s="1"/>
  <c r="AH524" i="1"/>
  <c r="AK524" i="1" s="1"/>
  <c r="AL524" i="1"/>
  <c r="Y523" i="1" l="1"/>
  <c r="Z523" i="1" s="1"/>
  <c r="AA523" i="1" s="1"/>
  <c r="AM524" i="1"/>
  <c r="AN524" i="1"/>
  <c r="AQ524" i="1"/>
  <c r="AD524" i="1"/>
  <c r="AI524" i="1"/>
  <c r="AG524" i="1"/>
  <c r="X524" i="1"/>
  <c r="Z524" i="1"/>
  <c r="Y524" i="1"/>
  <c r="AA524" i="1"/>
  <c r="AF525" i="1"/>
  <c r="W525" i="1" s="1"/>
  <c r="AL525" i="1"/>
  <c r="AO525" i="1" s="1"/>
  <c r="AP525" i="1" s="1"/>
  <c r="AE525" i="1" l="1"/>
  <c r="AM525" i="1" s="1"/>
  <c r="X525" i="1"/>
  <c r="Y525" i="1"/>
  <c r="C526" i="1"/>
  <c r="AF526" i="1"/>
  <c r="W526" i="1" s="1"/>
  <c r="AL526" i="1"/>
  <c r="Z525" i="1" l="1"/>
  <c r="AA525" i="1" s="1"/>
  <c r="AE526" i="1"/>
  <c r="AN526" i="1" s="1"/>
  <c r="AN525" i="1"/>
  <c r="AM526" i="1"/>
  <c r="X526" i="1"/>
  <c r="C527" i="1"/>
  <c r="D527" i="1"/>
  <c r="AC527" i="1" s="1"/>
  <c r="AF527" i="1"/>
  <c r="W527" i="1" s="1"/>
  <c r="AH527" i="1"/>
  <c r="AK527" i="1" s="1"/>
  <c r="AL527" i="1"/>
  <c r="Y526" i="1" l="1"/>
  <c r="Z526" i="1" s="1"/>
  <c r="AA526" i="1" s="1"/>
  <c r="AM527" i="1"/>
  <c r="AN527" i="1"/>
  <c r="AQ527" i="1"/>
  <c r="AD527" i="1"/>
  <c r="AI527" i="1"/>
  <c r="AG527" i="1"/>
  <c r="X527" i="1"/>
  <c r="Z527" i="1"/>
  <c r="Y527" i="1"/>
  <c r="AA527" i="1"/>
  <c r="AF528" i="1"/>
  <c r="W528" i="1" s="1"/>
  <c r="AL528" i="1"/>
  <c r="AO528" i="1" s="1"/>
  <c r="AP528" i="1" s="1"/>
  <c r="AE528" i="1" l="1"/>
  <c r="AM528" i="1" s="1"/>
  <c r="X528" i="1"/>
  <c r="Y528" i="1"/>
  <c r="C529" i="1"/>
  <c r="D529" i="1"/>
  <c r="AC529" i="1" s="1"/>
  <c r="AF529" i="1"/>
  <c r="W529" i="1" s="1"/>
  <c r="AH529" i="1"/>
  <c r="AK529" i="1" s="1"/>
  <c r="AL529" i="1"/>
  <c r="Z528" i="1" l="1"/>
  <c r="AA528" i="1" s="1"/>
  <c r="AN528" i="1"/>
  <c r="AM529" i="1"/>
  <c r="AN529" i="1"/>
  <c r="AD529" i="1"/>
  <c r="AI529" i="1"/>
  <c r="AG529" i="1"/>
  <c r="X529" i="1"/>
  <c r="Z529" i="1"/>
  <c r="Y529" i="1"/>
  <c r="AA529" i="1"/>
  <c r="AQ529" i="1"/>
  <c r="AF530" i="1"/>
  <c r="W530" i="1" s="1"/>
  <c r="AL530" i="1"/>
  <c r="AO530" i="1" s="1"/>
  <c r="AP530" i="1" s="1"/>
  <c r="AE530" i="1" l="1"/>
  <c r="AM530" i="1" s="1"/>
  <c r="X530" i="1"/>
  <c r="Y530" i="1" s="1"/>
  <c r="Z530" i="1" s="1"/>
  <c r="AA530" i="1" s="1"/>
  <c r="C531" i="1"/>
  <c r="AF531" i="1"/>
  <c r="W531" i="1" s="1"/>
  <c r="AL531" i="1"/>
  <c r="AE531" i="1" l="1"/>
  <c r="AN531" i="1" s="1"/>
  <c r="AN530" i="1"/>
  <c r="AM531" i="1"/>
  <c r="X531" i="1"/>
  <c r="Y531" i="1" s="1"/>
  <c r="C532" i="1"/>
  <c r="D532" i="1"/>
  <c r="AD532" i="1" s="1"/>
  <c r="AF532" i="1"/>
  <c r="W532" i="1" s="1"/>
  <c r="AH532" i="1"/>
  <c r="AK532" i="1" s="1"/>
  <c r="AL532" i="1"/>
  <c r="Z531" i="1" l="1"/>
  <c r="AA531" i="1" s="1"/>
  <c r="AM532" i="1"/>
  <c r="AN532" i="1"/>
  <c r="AQ532" i="1"/>
  <c r="AI532" i="1"/>
  <c r="AG532" i="1"/>
  <c r="AC532" i="1"/>
  <c r="Y532" i="1"/>
  <c r="AA532" i="1"/>
  <c r="X532" i="1"/>
  <c r="Z532" i="1"/>
  <c r="AF533" i="1"/>
  <c r="W533" i="1" s="1"/>
  <c r="AL533" i="1"/>
  <c r="AO533" i="1" s="1"/>
  <c r="AP533" i="1" s="1"/>
  <c r="AE533" i="1" l="1"/>
  <c r="AM533" i="1" s="1"/>
  <c r="X533" i="1"/>
  <c r="Y533" i="1" s="1"/>
  <c r="C534" i="1"/>
  <c r="D534" i="1"/>
  <c r="AD534" i="1" s="1"/>
  <c r="AF534" i="1"/>
  <c r="W534" i="1" s="1"/>
  <c r="AH534" i="1"/>
  <c r="AK534" i="1" s="1"/>
  <c r="AL534" i="1"/>
  <c r="Z533" i="1" l="1"/>
  <c r="AA533" i="1" s="1"/>
  <c r="AN533" i="1"/>
  <c r="AM534" i="1"/>
  <c r="AN534" i="1"/>
  <c r="AQ534" i="1"/>
  <c r="AI534" i="1"/>
  <c r="AG534" i="1"/>
  <c r="AC534" i="1"/>
  <c r="Y534" i="1"/>
  <c r="AA534" i="1"/>
  <c r="X534" i="1"/>
  <c r="Z534" i="1"/>
  <c r="AF535" i="1"/>
  <c r="W535" i="1" s="1"/>
  <c r="AL535" i="1"/>
  <c r="AO535" i="1" s="1"/>
  <c r="AP535" i="1" s="1"/>
  <c r="AE535" i="1" l="1"/>
  <c r="AM535" i="1" s="1"/>
  <c r="X535" i="1"/>
  <c r="Y535" i="1" s="1"/>
  <c r="C536" i="1"/>
  <c r="AF536" i="1"/>
  <c r="W536" i="1" s="1"/>
  <c r="AL536" i="1"/>
  <c r="Z535" i="1" l="1"/>
  <c r="AA535" i="1" s="1"/>
  <c r="AE536" i="1"/>
  <c r="AN536" i="1" s="1"/>
  <c r="AN535" i="1"/>
  <c r="AM536" i="1"/>
  <c r="X536" i="1"/>
  <c r="Y536" i="1" s="1"/>
  <c r="Z536" i="1" s="1"/>
  <c r="AA536" i="1" s="1"/>
  <c r="C537" i="1"/>
  <c r="AF537" i="1"/>
  <c r="W537" i="1" s="1"/>
  <c r="AL537" i="1"/>
  <c r="AE537" i="1" l="1"/>
  <c r="AM537" i="1" s="1"/>
  <c r="X537" i="1"/>
  <c r="Y537" i="1" s="1"/>
  <c r="Z537" i="1" s="1"/>
  <c r="AA537" i="1" s="1"/>
  <c r="C538" i="1"/>
  <c r="AF538" i="1"/>
  <c r="W538" i="1" s="1"/>
  <c r="AL538" i="1"/>
  <c r="AE538" i="1" l="1"/>
  <c r="AN538" i="1" s="1"/>
  <c r="AN537" i="1"/>
  <c r="AM538" i="1"/>
  <c r="X538" i="1"/>
  <c r="C539" i="1"/>
  <c r="AF539" i="1"/>
  <c r="W539" i="1" s="1"/>
  <c r="AL539" i="1"/>
  <c r="Y538" i="1" l="1"/>
  <c r="Z538" i="1"/>
  <c r="AA538" i="1" s="1"/>
  <c r="AE539" i="1"/>
  <c r="AM539" i="1" s="1"/>
  <c r="X539" i="1"/>
  <c r="C540" i="1"/>
  <c r="D540" i="1"/>
  <c r="AD540" i="1" s="1"/>
  <c r="AF540" i="1"/>
  <c r="W540" i="1" s="1"/>
  <c r="AH540" i="1"/>
  <c r="AK540" i="1" s="1"/>
  <c r="AL540" i="1"/>
  <c r="Y539" i="1" l="1"/>
  <c r="Z539" i="1" s="1"/>
  <c r="AA539" i="1" s="1"/>
  <c r="AN539" i="1"/>
  <c r="AM540" i="1"/>
  <c r="AN540" i="1"/>
  <c r="AQ540" i="1"/>
  <c r="AI540" i="1"/>
  <c r="AG540" i="1"/>
  <c r="AC540" i="1"/>
  <c r="Y540" i="1"/>
  <c r="AA540" i="1"/>
  <c r="X540" i="1"/>
  <c r="Z540" i="1"/>
  <c r="AF541" i="1"/>
  <c r="W541" i="1" s="1"/>
  <c r="AL541" i="1"/>
  <c r="AO541" i="1" s="1"/>
  <c r="AP541" i="1" s="1"/>
  <c r="AE541" i="1" l="1"/>
  <c r="AM541" i="1" s="1"/>
  <c r="X541" i="1"/>
  <c r="C542" i="1"/>
  <c r="AF542" i="1"/>
  <c r="W542" i="1" s="1"/>
  <c r="AL542" i="1"/>
  <c r="Y541" i="1" l="1"/>
  <c r="AE542" i="1"/>
  <c r="AM542" i="1" s="1"/>
  <c r="Z541" i="1"/>
  <c r="AA541" i="1" s="1"/>
  <c r="AN541" i="1"/>
  <c r="X542" i="1"/>
  <c r="Y542" i="1" s="1"/>
  <c r="Z542" i="1" s="1"/>
  <c r="AA542" i="1" s="1"/>
  <c r="C543" i="1"/>
  <c r="AF543" i="1"/>
  <c r="W543" i="1" s="1"/>
  <c r="AL543" i="1"/>
  <c r="AE543" i="1" l="1"/>
  <c r="AN543" i="1" s="1"/>
  <c r="AN542" i="1"/>
  <c r="X543" i="1"/>
  <c r="Y543" i="1" s="1"/>
  <c r="C544" i="1"/>
  <c r="AF544" i="1"/>
  <c r="W544" i="1" s="1"/>
  <c r="AL544" i="1"/>
  <c r="AE544" i="1" l="1"/>
  <c r="AM544" i="1" s="1"/>
  <c r="AM543" i="1"/>
  <c r="Z543" i="1"/>
  <c r="AA543" i="1" s="1"/>
  <c r="X544" i="1"/>
  <c r="C545" i="1"/>
  <c r="AF545" i="1"/>
  <c r="W545" i="1" s="1"/>
  <c r="AL545" i="1"/>
  <c r="Y544" i="1" l="1"/>
  <c r="Z544" i="1" s="1"/>
  <c r="AA544" i="1" s="1"/>
  <c r="AE545" i="1"/>
  <c r="AN545" i="1" s="1"/>
  <c r="AN544" i="1"/>
  <c r="AM545" i="1"/>
  <c r="X545" i="1"/>
  <c r="Y545" i="1" s="1"/>
  <c r="Z545" i="1" s="1"/>
  <c r="AA545" i="1" s="1"/>
  <c r="C546" i="1"/>
  <c r="D546" i="1"/>
  <c r="AD546" i="1" s="1"/>
  <c r="AF546" i="1"/>
  <c r="W546" i="1" s="1"/>
  <c r="AH546" i="1"/>
  <c r="AK546" i="1" s="1"/>
  <c r="AL546" i="1"/>
  <c r="AM546" i="1" l="1"/>
  <c r="AN546" i="1"/>
  <c r="AQ546" i="1"/>
  <c r="AI546" i="1"/>
  <c r="AG546" i="1"/>
  <c r="AC546" i="1"/>
  <c r="Y546" i="1"/>
  <c r="AA546" i="1"/>
  <c r="X546" i="1"/>
  <c r="Z546" i="1"/>
  <c r="AF547" i="1"/>
  <c r="W547" i="1" s="1"/>
  <c r="AL547" i="1"/>
  <c r="AO547" i="1" s="1"/>
  <c r="AP547" i="1" s="1"/>
  <c r="AE547" i="1" l="1"/>
  <c r="AM547" i="1" s="1"/>
  <c r="X547" i="1"/>
  <c r="Y547" i="1" s="1"/>
  <c r="C548" i="1"/>
  <c r="AF548" i="1"/>
  <c r="W548" i="1" s="1"/>
  <c r="AL548" i="1"/>
  <c r="AE548" i="1" l="1"/>
  <c r="AN548" i="1" s="1"/>
  <c r="AN547" i="1"/>
  <c r="Z547" i="1"/>
  <c r="AA547" i="1" s="1"/>
  <c r="X548" i="1"/>
  <c r="C549" i="1"/>
  <c r="AF549" i="1"/>
  <c r="W549" i="1" s="1"/>
  <c r="AL549" i="1"/>
  <c r="AM548" i="1" l="1"/>
  <c r="AE549" i="1"/>
  <c r="AN549" i="1" s="1"/>
  <c r="Y548" i="1"/>
  <c r="Z548" i="1" s="1"/>
  <c r="AA548" i="1" s="1"/>
  <c r="AM549" i="1"/>
  <c r="X549" i="1"/>
  <c r="Y549" i="1"/>
  <c r="C550" i="1"/>
  <c r="AF550" i="1"/>
  <c r="W550" i="1" s="1"/>
  <c r="AL550" i="1"/>
  <c r="Z549" i="1" l="1"/>
  <c r="AA549" i="1" s="1"/>
  <c r="AE550" i="1"/>
  <c r="AM550" i="1" s="1"/>
  <c r="X550" i="1"/>
  <c r="C551" i="1"/>
  <c r="D551" i="1"/>
  <c r="AD551" i="1" s="1"/>
  <c r="AF551" i="1"/>
  <c r="W551" i="1" s="1"/>
  <c r="AH551" i="1"/>
  <c r="AK551" i="1" s="1"/>
  <c r="AL551" i="1"/>
  <c r="Y550" i="1" l="1"/>
  <c r="Z550" i="1" s="1"/>
  <c r="AA550" i="1" s="1"/>
  <c r="AN550" i="1"/>
  <c r="AM551" i="1"/>
  <c r="AN551" i="1"/>
  <c r="AQ551" i="1"/>
  <c r="AI551" i="1"/>
  <c r="AG551" i="1"/>
  <c r="AC551" i="1"/>
  <c r="Y551" i="1"/>
  <c r="AA551" i="1"/>
  <c r="X551" i="1"/>
  <c r="Z551" i="1"/>
  <c r="AF552" i="1"/>
  <c r="W552" i="1" s="1"/>
  <c r="AL552" i="1"/>
  <c r="AO552" i="1" s="1"/>
  <c r="AP552" i="1" s="1"/>
  <c r="AE552" i="1" l="1"/>
  <c r="AM552" i="1" s="1"/>
  <c r="X552" i="1"/>
  <c r="Y552" i="1" s="1"/>
  <c r="C553" i="1"/>
  <c r="AF553" i="1"/>
  <c r="W553" i="1" s="1"/>
  <c r="AL553" i="1"/>
  <c r="Z552" i="1" l="1"/>
  <c r="AA552" i="1" s="1"/>
  <c r="AE553" i="1"/>
  <c r="AN553" i="1" s="1"/>
  <c r="AN552" i="1"/>
  <c r="AM553" i="1"/>
  <c r="X553" i="1"/>
  <c r="C554" i="1"/>
  <c r="D554" i="1"/>
  <c r="AC554" i="1" s="1"/>
  <c r="AF554" i="1"/>
  <c r="W554" i="1" s="1"/>
  <c r="AH554" i="1"/>
  <c r="AK554" i="1" s="1"/>
  <c r="AL554" i="1"/>
  <c r="Y553" i="1" l="1"/>
  <c r="Z553" i="1" s="1"/>
  <c r="AA553" i="1" s="1"/>
  <c r="AM554" i="1"/>
  <c r="AN554" i="1"/>
  <c r="AD554" i="1"/>
  <c r="AI554" i="1"/>
  <c r="AG554" i="1"/>
  <c r="X554" i="1"/>
  <c r="Z554" i="1"/>
  <c r="Y554" i="1"/>
  <c r="AA554" i="1"/>
  <c r="AQ554" i="1"/>
  <c r="AF555" i="1"/>
  <c r="W555" i="1" s="1"/>
  <c r="AL555" i="1"/>
  <c r="AO555" i="1" s="1"/>
  <c r="AP555" i="1" s="1"/>
  <c r="AE555" i="1" l="1"/>
  <c r="AM555" i="1" s="1"/>
  <c r="X555" i="1"/>
  <c r="Y555" i="1" s="1"/>
  <c r="Z555" i="1" s="1"/>
  <c r="AA555" i="1" s="1"/>
  <c r="C556" i="1"/>
  <c r="D556" i="1"/>
  <c r="AC556" i="1" s="1"/>
  <c r="AF556" i="1"/>
  <c r="W556" i="1" s="1"/>
  <c r="AH556" i="1"/>
  <c r="AK556" i="1" s="1"/>
  <c r="AL556" i="1"/>
  <c r="AN555" i="1" l="1"/>
  <c r="AM556" i="1"/>
  <c r="AN556" i="1"/>
  <c r="AD556" i="1"/>
  <c r="AI556" i="1"/>
  <c r="AG556" i="1"/>
  <c r="X556" i="1"/>
  <c r="Z556" i="1"/>
  <c r="Y556" i="1"/>
  <c r="AA556" i="1"/>
  <c r="AQ556" i="1"/>
  <c r="AF557" i="1"/>
  <c r="W557" i="1" s="1"/>
  <c r="AL557" i="1"/>
  <c r="AO557" i="1" s="1"/>
  <c r="AP557" i="1" s="1"/>
  <c r="AE557" i="1" l="1"/>
  <c r="AM557" i="1" s="1"/>
  <c r="X557" i="1"/>
  <c r="C558" i="1"/>
  <c r="D558" i="1"/>
  <c r="AD558" i="1" s="1"/>
  <c r="AF558" i="1"/>
  <c r="W558" i="1" s="1"/>
  <c r="AH558" i="1"/>
  <c r="AK558" i="1" s="1"/>
  <c r="AL558" i="1"/>
  <c r="Y557" i="1" l="1"/>
  <c r="Z557" i="1" s="1"/>
  <c r="AA557" i="1" s="1"/>
  <c r="AN557" i="1"/>
  <c r="AM558" i="1"/>
  <c r="AN558" i="1"/>
  <c r="AQ558" i="1"/>
  <c r="AI558" i="1"/>
  <c r="AG558" i="1"/>
  <c r="AC558" i="1"/>
  <c r="Y558" i="1"/>
  <c r="AA558" i="1"/>
  <c r="X558" i="1"/>
  <c r="Z558" i="1"/>
  <c r="AF559" i="1"/>
  <c r="AL559" i="1"/>
  <c r="AO559" i="1" s="1"/>
  <c r="AP559" i="1" s="1"/>
  <c r="AE559" i="1" l="1"/>
  <c r="AM559" i="1" s="1"/>
  <c r="X559" i="1"/>
  <c r="Y559" i="1" s="1"/>
  <c r="Z559" i="1" s="1"/>
  <c r="AA559" i="1" s="1"/>
  <c r="C560" i="1"/>
  <c r="AF560" i="1"/>
  <c r="AL560" i="1"/>
  <c r="AN559" i="1" l="1"/>
  <c r="X560" i="1"/>
  <c r="AE560" i="1"/>
  <c r="AM560" i="1" s="1"/>
  <c r="C561" i="1"/>
  <c r="AF561" i="1"/>
  <c r="AL561" i="1"/>
  <c r="AN560" i="1" l="1"/>
  <c r="AE561" i="1"/>
  <c r="AN561" i="1" s="1"/>
  <c r="Y560" i="1"/>
  <c r="Z560" i="1" s="1"/>
  <c r="AA560" i="1" s="1"/>
  <c r="AM561" i="1"/>
  <c r="X561" i="1"/>
  <c r="C562" i="1"/>
  <c r="AF562" i="1"/>
  <c r="AL562" i="1"/>
  <c r="AE562" i="1" l="1"/>
  <c r="AN562" i="1" s="1"/>
  <c r="Y561" i="1"/>
  <c r="Z561" i="1" s="1"/>
  <c r="AA561" i="1" s="1"/>
  <c r="AM562" i="1"/>
  <c r="X562" i="1"/>
  <c r="Y562" i="1" s="1"/>
  <c r="Z562" i="1" s="1"/>
  <c r="AA562" i="1" s="1"/>
  <c r="C563" i="1"/>
  <c r="AF563" i="1"/>
  <c r="AL563" i="1"/>
  <c r="AE563" i="1" l="1"/>
  <c r="AM563" i="1" s="1"/>
  <c r="X563" i="1"/>
  <c r="Y563" i="1" s="1"/>
  <c r="Z563" i="1" s="1"/>
  <c r="AA563" i="1" s="1"/>
  <c r="C564" i="1"/>
  <c r="D564" i="1"/>
  <c r="AD564" i="1" s="1"/>
  <c r="AF564" i="1"/>
  <c r="W564" i="1" s="1"/>
  <c r="AH564" i="1"/>
  <c r="AK564" i="1" s="1"/>
  <c r="AL564" i="1"/>
  <c r="AN563" i="1" l="1"/>
  <c r="AM564" i="1"/>
  <c r="AN564" i="1"/>
  <c r="AQ564" i="1"/>
  <c r="AI564" i="1"/>
  <c r="AG564" i="1"/>
  <c r="AC564" i="1"/>
  <c r="Y564" i="1"/>
  <c r="AA564" i="1"/>
  <c r="X564" i="1"/>
  <c r="Z564" i="1"/>
  <c r="AF565" i="1"/>
  <c r="W565" i="1" s="1"/>
  <c r="AL565" i="1"/>
  <c r="AO565" i="1" s="1"/>
  <c r="AP565" i="1" s="1"/>
  <c r="X565" i="1" l="1"/>
  <c r="AE565" i="1"/>
  <c r="AM565" i="1" s="1"/>
  <c r="C566" i="1"/>
  <c r="AF566" i="1"/>
  <c r="W566" i="1" s="1"/>
  <c r="AL566" i="1"/>
  <c r="Y565" i="1" l="1"/>
  <c r="AE566" i="1"/>
  <c r="AM566" i="1" s="1"/>
  <c r="Z565" i="1"/>
  <c r="AA565" i="1" s="1"/>
  <c r="AN565" i="1"/>
  <c r="X566" i="1"/>
  <c r="C567" i="1"/>
  <c r="AF567" i="1"/>
  <c r="W567" i="1" s="1"/>
  <c r="AL567" i="1"/>
  <c r="AE567" i="1" l="1"/>
  <c r="AM567" i="1" s="1"/>
  <c r="Y566" i="1"/>
  <c r="Z566" i="1" s="1"/>
  <c r="AA566" i="1" s="1"/>
  <c r="AN566" i="1"/>
  <c r="X567" i="1"/>
  <c r="Y567" i="1" s="1"/>
  <c r="C568" i="1"/>
  <c r="AF568" i="1"/>
  <c r="W568" i="1" s="1"/>
  <c r="AL568" i="1"/>
  <c r="AN567" i="1" l="1"/>
  <c r="AE568" i="1"/>
  <c r="AN568" i="1" s="1"/>
  <c r="Z567" i="1"/>
  <c r="AA567" i="1" s="1"/>
  <c r="X568" i="1"/>
  <c r="C569" i="1"/>
  <c r="AF569" i="1"/>
  <c r="W569" i="1" s="1"/>
  <c r="AL569" i="1"/>
  <c r="AM568" i="1" l="1"/>
  <c r="Y568" i="1"/>
  <c r="Z568" i="1" s="1"/>
  <c r="AA568" i="1" s="1"/>
  <c r="AE569" i="1"/>
  <c r="AM569" i="1" s="1"/>
  <c r="X569" i="1"/>
  <c r="C570" i="1"/>
  <c r="AF570" i="1"/>
  <c r="W570" i="1" s="1"/>
  <c r="AL570" i="1"/>
  <c r="AE570" i="1" l="1"/>
  <c r="AM570" i="1" s="1"/>
  <c r="Y569" i="1"/>
  <c r="Z569" i="1" s="1"/>
  <c r="AA569" i="1" s="1"/>
  <c r="AN569" i="1"/>
  <c r="X570" i="1"/>
  <c r="Y570" i="1" s="1"/>
  <c r="Z570" i="1" s="1"/>
  <c r="AA570" i="1" s="1"/>
  <c r="C571" i="1"/>
  <c r="AF571" i="1"/>
  <c r="W571" i="1" s="1"/>
  <c r="AL571" i="1"/>
  <c r="X571" i="1" l="1"/>
  <c r="Y571" i="1" s="1"/>
  <c r="AE571" i="1"/>
  <c r="AN571" i="1" s="1"/>
  <c r="AN570" i="1"/>
  <c r="C572" i="1"/>
  <c r="AF572" i="1"/>
  <c r="W572" i="1" s="1"/>
  <c r="AL572" i="1"/>
  <c r="AM571" i="1" l="1"/>
  <c r="Z571" i="1"/>
  <c r="AA571" i="1" s="1"/>
  <c r="AE572" i="1"/>
  <c r="AM572" i="1" s="1"/>
  <c r="X572" i="1"/>
  <c r="Y572" i="1" s="1"/>
  <c r="Z572" i="1" s="1"/>
  <c r="AA572" i="1" s="1"/>
  <c r="C573" i="1"/>
  <c r="AF573" i="1"/>
  <c r="W573" i="1" s="1"/>
  <c r="AL573" i="1"/>
  <c r="AE573" i="1" l="1"/>
  <c r="AN573" i="1" s="1"/>
  <c r="AN572" i="1"/>
  <c r="X573" i="1"/>
  <c r="Y573" i="1" s="1"/>
  <c r="C574" i="1"/>
  <c r="AF574" i="1"/>
  <c r="W574" i="1" s="1"/>
  <c r="AL574" i="1"/>
  <c r="AM573" i="1" l="1"/>
  <c r="Z573" i="1"/>
  <c r="AA573" i="1" s="1"/>
  <c r="AE574" i="1"/>
  <c r="AM574" i="1" s="1"/>
  <c r="X574" i="1"/>
  <c r="Y574" i="1" s="1"/>
  <c r="Z574" i="1" s="1"/>
  <c r="AA574" i="1" s="1"/>
  <c r="C575" i="1"/>
  <c r="AF575" i="1"/>
  <c r="W575" i="1" s="1"/>
  <c r="AL575" i="1"/>
  <c r="AN574" i="1" l="1"/>
  <c r="X575" i="1"/>
  <c r="Y575" i="1" s="1"/>
  <c r="Z575" i="1" s="1"/>
  <c r="AA575" i="1" s="1"/>
  <c r="AE575" i="1"/>
  <c r="AM575" i="1" s="1"/>
  <c r="C576" i="1"/>
  <c r="AF576" i="1"/>
  <c r="W576" i="1" s="1"/>
  <c r="AL576" i="1"/>
  <c r="AN575" i="1" l="1"/>
  <c r="AE576" i="1"/>
  <c r="AM576" i="1" s="1"/>
  <c r="X576" i="1"/>
  <c r="C577" i="1"/>
  <c r="D577" i="1"/>
  <c r="AC577" i="1" s="1"/>
  <c r="AF577" i="1"/>
  <c r="W577" i="1" s="1"/>
  <c r="AH577" i="1"/>
  <c r="AK577" i="1" s="1"/>
  <c r="AL577" i="1"/>
  <c r="AN576" i="1" l="1"/>
  <c r="Y576" i="1"/>
  <c r="Z576" i="1" s="1"/>
  <c r="AA576" i="1" s="1"/>
  <c r="AM577" i="1"/>
  <c r="AN577" i="1"/>
  <c r="AD577" i="1"/>
  <c r="AI577" i="1"/>
  <c r="AG577" i="1"/>
  <c r="X577" i="1"/>
  <c r="Z577" i="1"/>
  <c r="Y577" i="1"/>
  <c r="AA577" i="1"/>
  <c r="AQ577" i="1"/>
  <c r="AF578" i="1"/>
  <c r="W578" i="1" s="1"/>
  <c r="AL578" i="1"/>
  <c r="AO578" i="1" s="1"/>
  <c r="AP578" i="1" s="1"/>
  <c r="AE578" i="1" l="1"/>
  <c r="AM578" i="1" s="1"/>
  <c r="X578" i="1"/>
  <c r="Y578" i="1" s="1"/>
  <c r="Z578" i="1" s="1"/>
  <c r="AA578" i="1" s="1"/>
  <c r="C579" i="1"/>
  <c r="D579" i="1"/>
  <c r="AC579" i="1" s="1"/>
  <c r="AF579" i="1"/>
  <c r="W579" i="1" s="1"/>
  <c r="AH579" i="1"/>
  <c r="AK579" i="1" s="1"/>
  <c r="AL579" i="1"/>
  <c r="AN578" i="1" l="1"/>
  <c r="AM579" i="1"/>
  <c r="AN579" i="1"/>
  <c r="AD579" i="1"/>
  <c r="AI579" i="1"/>
  <c r="AG579" i="1"/>
  <c r="X579" i="1"/>
  <c r="Z579" i="1"/>
  <c r="Y579" i="1"/>
  <c r="AA579" i="1"/>
  <c r="AQ579" i="1"/>
  <c r="AF580" i="1"/>
  <c r="W580" i="1" s="1"/>
  <c r="AL580" i="1"/>
  <c r="AO580" i="1" s="1"/>
  <c r="AP580" i="1" s="1"/>
  <c r="AE580" i="1" l="1"/>
  <c r="AM580" i="1" s="1"/>
  <c r="X580" i="1"/>
  <c r="C581" i="1"/>
  <c r="AF581" i="1"/>
  <c r="W581" i="1" s="1"/>
  <c r="AL581" i="1"/>
  <c r="AE581" i="1" l="1"/>
  <c r="AM581" i="1" s="1"/>
  <c r="Y580" i="1"/>
  <c r="Z580" i="1" s="1"/>
  <c r="AA580" i="1" s="1"/>
  <c r="AN580" i="1"/>
  <c r="X581" i="1"/>
  <c r="C582" i="1"/>
  <c r="AF582" i="1"/>
  <c r="W582" i="1" s="1"/>
  <c r="AL582" i="1"/>
  <c r="AE582" i="1" l="1"/>
  <c r="AM582" i="1" s="1"/>
  <c r="Y581" i="1"/>
  <c r="Z581" i="1" s="1"/>
  <c r="AA581" i="1" s="1"/>
  <c r="AN581" i="1"/>
  <c r="X582" i="1"/>
  <c r="C583" i="1"/>
  <c r="D583" i="1"/>
  <c r="AD583" i="1" s="1"/>
  <c r="AF583" i="1"/>
  <c r="W583" i="1" s="1"/>
  <c r="AH583" i="1"/>
  <c r="AK583" i="1" s="1"/>
  <c r="AL583" i="1"/>
  <c r="Y582" i="1" l="1"/>
  <c r="Z582" i="1" s="1"/>
  <c r="AA582" i="1" s="1"/>
  <c r="AN582" i="1"/>
  <c r="AM583" i="1"/>
  <c r="AN583" i="1"/>
  <c r="AQ583" i="1"/>
  <c r="AI583" i="1"/>
  <c r="AG583" i="1"/>
  <c r="AC583" i="1"/>
  <c r="Y583" i="1"/>
  <c r="AA583" i="1"/>
  <c r="X583" i="1"/>
  <c r="Z583" i="1"/>
  <c r="AF584" i="1"/>
  <c r="W584" i="1" s="1"/>
  <c r="AL584" i="1"/>
  <c r="AO584" i="1" s="1"/>
  <c r="AP584" i="1" s="1"/>
  <c r="AE584" i="1" l="1"/>
  <c r="AM584" i="1" s="1"/>
  <c r="X584" i="1"/>
  <c r="C585" i="1"/>
  <c r="D585" i="1"/>
  <c r="AD585" i="1" s="1"/>
  <c r="AF585" i="1"/>
  <c r="W585" i="1" s="1"/>
  <c r="AH585" i="1"/>
  <c r="AK585" i="1" s="1"/>
  <c r="AL585" i="1"/>
  <c r="Y584" i="1" l="1"/>
  <c r="Z584" i="1"/>
  <c r="AA584" i="1" s="1"/>
  <c r="AN584" i="1"/>
  <c r="AM585" i="1"/>
  <c r="AN585" i="1"/>
  <c r="AI585" i="1"/>
  <c r="AG585" i="1"/>
  <c r="AC585" i="1"/>
  <c r="Y585" i="1"/>
  <c r="AA585" i="1"/>
  <c r="X585" i="1"/>
  <c r="Z585" i="1"/>
  <c r="AQ585" i="1"/>
  <c r="AF586" i="1"/>
  <c r="W586" i="1" s="1"/>
  <c r="AL586" i="1"/>
  <c r="AO586" i="1" s="1"/>
  <c r="AP586" i="1" s="1"/>
  <c r="AE586" i="1" l="1"/>
  <c r="AM586" i="1" s="1"/>
  <c r="X586" i="1"/>
  <c r="Y586" i="1" s="1"/>
  <c r="Z586" i="1" s="1"/>
  <c r="AA586" i="1" s="1"/>
  <c r="C587" i="1"/>
  <c r="AF587" i="1"/>
  <c r="W587" i="1" s="1"/>
  <c r="AL587" i="1"/>
  <c r="AE587" i="1" l="1"/>
  <c r="AN587" i="1" s="1"/>
  <c r="AN586" i="1"/>
  <c r="AM587" i="1"/>
  <c r="X587" i="1"/>
  <c r="C588" i="1"/>
  <c r="AF588" i="1"/>
  <c r="W588" i="1" s="1"/>
  <c r="AL588" i="1"/>
  <c r="Y587" i="1" l="1"/>
  <c r="Z587" i="1" s="1"/>
  <c r="AA587" i="1" s="1"/>
  <c r="AE588" i="1"/>
  <c r="AM588" i="1" s="1"/>
  <c r="X588" i="1"/>
  <c r="Y588" i="1" s="1"/>
  <c r="Z588" i="1" s="1"/>
  <c r="AA588" i="1" s="1"/>
  <c r="C589" i="1"/>
  <c r="AF589" i="1"/>
  <c r="W589" i="1" s="1"/>
  <c r="AL589" i="1"/>
  <c r="AE589" i="1" l="1"/>
  <c r="AN589" i="1" s="1"/>
  <c r="AN588" i="1"/>
  <c r="X589" i="1"/>
  <c r="C590" i="1"/>
  <c r="AF590" i="1"/>
  <c r="W590" i="1" s="1"/>
  <c r="AL590" i="1"/>
  <c r="Y589" i="1" l="1"/>
  <c r="Z589" i="1" s="1"/>
  <c r="AA589" i="1" s="1"/>
  <c r="X590" i="1"/>
  <c r="Y590" i="1" s="1"/>
  <c r="Z590" i="1" s="1"/>
  <c r="AA590" i="1" s="1"/>
  <c r="AE590" i="1"/>
  <c r="AN590" i="1" s="1"/>
  <c r="AM589" i="1"/>
  <c r="C591" i="1"/>
  <c r="AF591" i="1"/>
  <c r="W591" i="1" s="1"/>
  <c r="AL591" i="1"/>
  <c r="AM590" i="1" l="1"/>
  <c r="AE591" i="1"/>
  <c r="AM591" i="1" s="1"/>
  <c r="X591" i="1"/>
  <c r="C592" i="1"/>
  <c r="AF592" i="1"/>
  <c r="W592" i="1" s="1"/>
  <c r="AL592" i="1"/>
  <c r="AE592" i="1" l="1"/>
  <c r="AM592" i="1" s="1"/>
  <c r="Y591" i="1"/>
  <c r="Z591" i="1" s="1"/>
  <c r="AA591" i="1" s="1"/>
  <c r="AN591" i="1"/>
  <c r="X592" i="1"/>
  <c r="Y592" i="1" s="1"/>
  <c r="Z592" i="1" s="1"/>
  <c r="AA592" i="1" s="1"/>
  <c r="C593" i="1"/>
  <c r="AF593" i="1"/>
  <c r="W593" i="1" s="1"/>
  <c r="AL593" i="1"/>
  <c r="AE593" i="1" l="1"/>
  <c r="AN593" i="1" s="1"/>
  <c r="AN592" i="1"/>
  <c r="AM593" i="1"/>
  <c r="X593" i="1"/>
  <c r="Y593" i="1"/>
  <c r="C594" i="1"/>
  <c r="AF594" i="1"/>
  <c r="W594" i="1" s="1"/>
  <c r="AL594" i="1"/>
  <c r="Z593" i="1" l="1"/>
  <c r="AA593" i="1" s="1"/>
  <c r="AE594" i="1"/>
  <c r="AM594" i="1" s="1"/>
  <c r="X594" i="1"/>
  <c r="C595" i="1"/>
  <c r="AF595" i="1"/>
  <c r="W595" i="1" s="1"/>
  <c r="AL595" i="1"/>
  <c r="AE595" i="1" l="1"/>
  <c r="AM595" i="1" s="1"/>
  <c r="Y594" i="1"/>
  <c r="Z594" i="1" s="1"/>
  <c r="AA594" i="1" s="1"/>
  <c r="AN594" i="1"/>
  <c r="X595" i="1"/>
  <c r="C596" i="1"/>
  <c r="AF596" i="1"/>
  <c r="W596" i="1" s="1"/>
  <c r="AL596" i="1"/>
  <c r="AE596" i="1" l="1"/>
  <c r="AM596" i="1" s="1"/>
  <c r="Y595" i="1"/>
  <c r="Z595" i="1" s="1"/>
  <c r="AA595" i="1" s="1"/>
  <c r="AN595" i="1"/>
  <c r="C597" i="1"/>
  <c r="D597" i="1"/>
  <c r="AC597" i="1" s="1"/>
  <c r="AF597" i="1"/>
  <c r="W597" i="1" s="1"/>
  <c r="AH597" i="1"/>
  <c r="AK597" i="1" s="1"/>
  <c r="AL597" i="1"/>
  <c r="AN596" i="1" l="1"/>
  <c r="X596" i="1"/>
  <c r="AM597" i="1"/>
  <c r="AN597" i="1"/>
  <c r="AD597" i="1"/>
  <c r="AI597" i="1"/>
  <c r="AG597" i="1"/>
  <c r="X597" i="1"/>
  <c r="Z597" i="1"/>
  <c r="Y597" i="1"/>
  <c r="AA597" i="1"/>
  <c r="AQ597" i="1"/>
  <c r="AF598" i="1"/>
  <c r="W598" i="1" s="1"/>
  <c r="AL598" i="1"/>
  <c r="AO598" i="1" s="1"/>
  <c r="AP598" i="1" s="1"/>
  <c r="X598" i="1" l="1"/>
  <c r="AE598" i="1"/>
  <c r="AN598" i="1" s="1"/>
  <c r="Y596" i="1"/>
  <c r="Z596" i="1" s="1"/>
  <c r="AA596" i="1" s="1"/>
  <c r="C599" i="1"/>
  <c r="AF599" i="1"/>
  <c r="W599" i="1" s="1"/>
  <c r="AL599" i="1"/>
  <c r="AE599" i="1" l="1"/>
  <c r="AM599" i="1" s="1"/>
  <c r="Y598" i="1"/>
  <c r="Z598" i="1" s="1"/>
  <c r="AA598" i="1" s="1"/>
  <c r="AM598" i="1"/>
  <c r="X599" i="1"/>
  <c r="C600" i="1"/>
  <c r="AF600" i="1"/>
  <c r="W600" i="1" s="1"/>
  <c r="AL600" i="1"/>
  <c r="AN599" i="1" l="1"/>
  <c r="Y599" i="1"/>
  <c r="Z599" i="1" s="1"/>
  <c r="AA599" i="1" s="1"/>
  <c r="X600" i="1"/>
  <c r="Y600" i="1" s="1"/>
  <c r="Z600" i="1" s="1"/>
  <c r="AA600" i="1" s="1"/>
  <c r="AE600" i="1"/>
  <c r="AM600" i="1" s="1"/>
  <c r="C601" i="1"/>
  <c r="AF601" i="1"/>
  <c r="W601" i="1" s="1"/>
  <c r="AL601" i="1"/>
  <c r="AN600" i="1" l="1"/>
  <c r="AE601" i="1"/>
  <c r="AM601" i="1" s="1"/>
  <c r="X601" i="1"/>
  <c r="C602" i="1"/>
  <c r="AF602" i="1"/>
  <c r="W602" i="1" s="1"/>
  <c r="AL602" i="1"/>
  <c r="Y601" i="1" l="1"/>
  <c r="Z601" i="1" s="1"/>
  <c r="AA601" i="1" s="1"/>
  <c r="AN601" i="1"/>
  <c r="AE602" i="1"/>
  <c r="AM602" i="1" s="1"/>
  <c r="X602" i="1"/>
  <c r="Y602" i="1" s="1"/>
  <c r="Z602" i="1" s="1"/>
  <c r="AA602" i="1" s="1"/>
  <c r="C603" i="1"/>
  <c r="AF603" i="1"/>
  <c r="W603" i="1" s="1"/>
  <c r="AL603" i="1"/>
  <c r="AE603" i="1" l="1"/>
  <c r="AN603" i="1" s="1"/>
  <c r="AN602" i="1"/>
  <c r="AM603" i="1"/>
  <c r="X603" i="1"/>
  <c r="Y603" i="1" s="1"/>
  <c r="C604" i="1"/>
  <c r="AF604" i="1"/>
  <c r="W604" i="1" s="1"/>
  <c r="AL604" i="1"/>
  <c r="Z603" i="1" l="1"/>
  <c r="AA603" i="1"/>
  <c r="AE604" i="1"/>
  <c r="AM604" i="1" s="1"/>
  <c r="X604" i="1"/>
  <c r="C605" i="1"/>
  <c r="AF605" i="1"/>
  <c r="W605" i="1" s="1"/>
  <c r="AL605" i="1"/>
  <c r="AE605" i="1" l="1"/>
  <c r="AM605" i="1" s="1"/>
  <c r="Y604" i="1"/>
  <c r="Z604" i="1" s="1"/>
  <c r="AA604" i="1" s="1"/>
  <c r="AN604" i="1"/>
  <c r="X605" i="1"/>
  <c r="Y605" i="1" s="1"/>
  <c r="C606" i="1"/>
  <c r="AF606" i="1"/>
  <c r="W606" i="1" s="1"/>
  <c r="AL606" i="1"/>
  <c r="AE606" i="1" l="1"/>
  <c r="AM606" i="1" s="1"/>
  <c r="Z605" i="1"/>
  <c r="AA605" i="1" s="1"/>
  <c r="AN605" i="1"/>
  <c r="X606" i="1"/>
  <c r="C607" i="1"/>
  <c r="AF607" i="1"/>
  <c r="W607" i="1" s="1"/>
  <c r="AL607" i="1"/>
  <c r="AE607" i="1" l="1"/>
  <c r="AM607" i="1" s="1"/>
  <c r="Y606" i="1"/>
  <c r="Z606" i="1" s="1"/>
  <c r="AA606" i="1" s="1"/>
  <c r="AN606" i="1"/>
  <c r="X607" i="1"/>
  <c r="Y607" i="1" s="1"/>
  <c r="C608" i="1"/>
  <c r="AF608" i="1"/>
  <c r="W608" i="1" s="1"/>
  <c r="AL608" i="1"/>
  <c r="AE608" i="1" l="1"/>
  <c r="AM608" i="1" s="1"/>
  <c r="Z607" i="1"/>
  <c r="AA607" i="1" s="1"/>
  <c r="AN607" i="1"/>
  <c r="X608" i="1"/>
  <c r="Y608" i="1" s="1"/>
  <c r="Z608" i="1" s="1"/>
  <c r="AA608" i="1" s="1"/>
  <c r="C609" i="1"/>
  <c r="D609" i="1"/>
  <c r="AC609" i="1" s="1"/>
  <c r="AF609" i="1"/>
  <c r="W609" i="1" s="1"/>
  <c r="AH609" i="1"/>
  <c r="AK609" i="1" s="1"/>
  <c r="AL609" i="1"/>
  <c r="AN608" i="1" l="1"/>
  <c r="AM609" i="1"/>
  <c r="AN609" i="1"/>
  <c r="AD609" i="1"/>
  <c r="AI609" i="1"/>
  <c r="AG609" i="1"/>
  <c r="X609" i="1"/>
  <c r="Z609" i="1"/>
  <c r="Y609" i="1"/>
  <c r="AA609" i="1"/>
  <c r="AQ609" i="1"/>
  <c r="AF610" i="1"/>
  <c r="W610" i="1" s="1"/>
  <c r="AL610" i="1"/>
  <c r="AO610" i="1" s="1"/>
  <c r="AP610" i="1" s="1"/>
  <c r="AE610" i="1" l="1"/>
  <c r="AM610" i="1" s="1"/>
  <c r="X610" i="1"/>
  <c r="C611" i="1"/>
  <c r="AF611" i="1"/>
  <c r="W611" i="1" s="1"/>
  <c r="AL611" i="1"/>
  <c r="AE611" i="1" l="1"/>
  <c r="AM611" i="1" s="1"/>
  <c r="Y610" i="1"/>
  <c r="Z610" i="1" s="1"/>
  <c r="AA610" i="1" s="1"/>
  <c r="AN610" i="1"/>
  <c r="X611" i="1"/>
  <c r="C612" i="1"/>
  <c r="AF612" i="1"/>
  <c r="W612" i="1" s="1"/>
  <c r="AL612" i="1"/>
  <c r="AE612" i="1" l="1"/>
  <c r="AM612" i="1" s="1"/>
  <c r="Y611" i="1"/>
  <c r="Z611" i="1" s="1"/>
  <c r="AA611" i="1" s="1"/>
  <c r="AN611" i="1"/>
  <c r="X612" i="1"/>
  <c r="Y612" i="1" s="1"/>
  <c r="C613" i="1"/>
  <c r="AF613" i="1"/>
  <c r="W613" i="1" s="1"/>
  <c r="AL613" i="1"/>
  <c r="AN612" i="1" l="1"/>
  <c r="AE613" i="1"/>
  <c r="AN613" i="1" s="1"/>
  <c r="Z612" i="1"/>
  <c r="AA612" i="1" s="1"/>
  <c r="AM613" i="1"/>
  <c r="X613" i="1"/>
  <c r="C614" i="1"/>
  <c r="AF614" i="1"/>
  <c r="W614" i="1" s="1"/>
  <c r="AL614" i="1"/>
  <c r="Y613" i="1" l="1"/>
  <c r="Z613" i="1" s="1"/>
  <c r="AA613" i="1" s="1"/>
  <c r="X614" i="1"/>
  <c r="Y614" i="1" s="1"/>
  <c r="AE614" i="1"/>
  <c r="AM614" i="1" s="1"/>
  <c r="C615" i="1"/>
  <c r="AF615" i="1"/>
  <c r="W615" i="1" s="1"/>
  <c r="AL615" i="1"/>
  <c r="AN614" i="1" l="1"/>
  <c r="AE615" i="1"/>
  <c r="AN615" i="1" s="1"/>
  <c r="Z614" i="1"/>
  <c r="AA614" i="1" s="1"/>
  <c r="AM615" i="1"/>
  <c r="X615" i="1"/>
  <c r="C616" i="1"/>
  <c r="AF616" i="1"/>
  <c r="W616" i="1" s="1"/>
  <c r="AL616" i="1"/>
  <c r="Y615" i="1" l="1"/>
  <c r="Z615" i="1" s="1"/>
  <c r="AA615" i="1" s="1"/>
  <c r="AE616" i="1"/>
  <c r="AM616" i="1" s="1"/>
  <c r="X616" i="1"/>
  <c r="Y616" i="1" s="1"/>
  <c r="Z616" i="1" s="1"/>
  <c r="AA616" i="1" s="1"/>
  <c r="C617" i="1"/>
  <c r="AF617" i="1"/>
  <c r="W617" i="1" s="1"/>
  <c r="AL617" i="1"/>
  <c r="AE617" i="1" l="1"/>
  <c r="AN617" i="1" s="1"/>
  <c r="AN616" i="1"/>
  <c r="AM617" i="1"/>
  <c r="X617" i="1"/>
  <c r="Y617" i="1" s="1"/>
  <c r="Z617" i="1" s="1"/>
  <c r="AA617" i="1" s="1"/>
  <c r="C618" i="1"/>
  <c r="AF618" i="1"/>
  <c r="W618" i="1" s="1"/>
  <c r="AL618" i="1"/>
  <c r="AE618" i="1" l="1"/>
  <c r="AM618" i="1" s="1"/>
  <c r="X618" i="1"/>
  <c r="C619" i="1"/>
  <c r="AF619" i="1"/>
  <c r="W619" i="1" s="1"/>
  <c r="AL619" i="1"/>
  <c r="AE619" i="1" l="1"/>
  <c r="AM619" i="1" s="1"/>
  <c r="Y618" i="1"/>
  <c r="Z618" i="1" s="1"/>
  <c r="AA618" i="1" s="1"/>
  <c r="AN618" i="1"/>
  <c r="X619" i="1"/>
  <c r="Y619" i="1" s="1"/>
  <c r="Z619" i="1" s="1"/>
  <c r="AA619" i="1" s="1"/>
  <c r="C620" i="1"/>
  <c r="AF620" i="1"/>
  <c r="W620" i="1" s="1"/>
  <c r="AL620" i="1"/>
  <c r="AE620" i="1" l="1"/>
  <c r="AN620" i="1" s="1"/>
  <c r="AN619" i="1"/>
  <c r="AM620" i="1"/>
  <c r="X620" i="1"/>
  <c r="C621" i="1"/>
  <c r="D621" i="1"/>
  <c r="AC621" i="1" s="1"/>
  <c r="AF621" i="1"/>
  <c r="W621" i="1" s="1"/>
  <c r="AH621" i="1"/>
  <c r="AK621" i="1" s="1"/>
  <c r="AL621" i="1"/>
  <c r="Y620" i="1" l="1"/>
  <c r="Z620" i="1" s="1"/>
  <c r="AA620" i="1" s="1"/>
  <c r="AM621" i="1"/>
  <c r="AN621" i="1"/>
  <c r="AQ621" i="1"/>
  <c r="AD621" i="1"/>
  <c r="AI621" i="1"/>
  <c r="AG621" i="1"/>
  <c r="X621" i="1"/>
  <c r="Z621" i="1"/>
  <c r="Y621" i="1"/>
  <c r="AA621" i="1"/>
  <c r="AF622" i="1"/>
  <c r="W622" i="1" s="1"/>
  <c r="AL622" i="1"/>
  <c r="AO622" i="1" s="1"/>
  <c r="AP622" i="1" s="1"/>
  <c r="X622" i="1" l="1"/>
  <c r="Y622" i="1" s="1"/>
  <c r="AE622" i="1"/>
  <c r="AM622" i="1" s="1"/>
  <c r="C623" i="1"/>
  <c r="D623" i="1"/>
  <c r="AC623" i="1" s="1"/>
  <c r="AF623" i="1"/>
  <c r="W623" i="1" s="1"/>
  <c r="AH623" i="1"/>
  <c r="AK623" i="1" s="1"/>
  <c r="AL623" i="1"/>
  <c r="Z622" i="1" l="1"/>
  <c r="AA622" i="1" s="1"/>
  <c r="AN622" i="1"/>
  <c r="AM623" i="1"/>
  <c r="AN623" i="1"/>
  <c r="AQ623" i="1"/>
  <c r="AD623" i="1"/>
  <c r="AI623" i="1"/>
  <c r="AG623" i="1"/>
  <c r="X623" i="1"/>
  <c r="Z623" i="1"/>
  <c r="Y623" i="1"/>
  <c r="AA623" i="1"/>
  <c r="AF624" i="1"/>
  <c r="W624" i="1" s="1"/>
  <c r="AL624" i="1"/>
  <c r="AO624" i="1" s="1"/>
  <c r="AP624" i="1" s="1"/>
  <c r="X624" i="1" l="1"/>
  <c r="AE624" i="1"/>
  <c r="AM624" i="1" s="1"/>
  <c r="C625" i="1"/>
  <c r="AF625" i="1"/>
  <c r="W625" i="1" s="1"/>
  <c r="AL625" i="1"/>
  <c r="Y624" i="1" l="1"/>
  <c r="Z624" i="1" s="1"/>
  <c r="AA624" i="1" s="1"/>
  <c r="X625" i="1"/>
  <c r="AE625" i="1"/>
  <c r="AN625" i="1" s="1"/>
  <c r="AN624" i="1"/>
  <c r="AM625" i="1"/>
  <c r="C626" i="1"/>
  <c r="D626" i="1"/>
  <c r="AC626" i="1" s="1"/>
  <c r="AF626" i="1"/>
  <c r="W626" i="1" s="1"/>
  <c r="AH626" i="1"/>
  <c r="AK626" i="1" s="1"/>
  <c r="AL626" i="1"/>
  <c r="Y625" i="1" l="1"/>
  <c r="Z625" i="1" s="1"/>
  <c r="AA625" i="1" s="1"/>
  <c r="AM626" i="1"/>
  <c r="AN626" i="1"/>
  <c r="AQ626" i="1"/>
  <c r="AD626" i="1"/>
  <c r="AI626" i="1"/>
  <c r="AG626" i="1"/>
  <c r="X626" i="1"/>
  <c r="Z626" i="1"/>
  <c r="Y626" i="1"/>
  <c r="AA626" i="1"/>
  <c r="AF627" i="1"/>
  <c r="W627" i="1" s="1"/>
  <c r="AL627" i="1"/>
  <c r="AO627" i="1" s="1"/>
  <c r="AP627" i="1" s="1"/>
  <c r="AE627" i="1" l="1"/>
  <c r="AM627" i="1" s="1"/>
  <c r="X627" i="1"/>
  <c r="Y627" i="1" l="1"/>
  <c r="Z627" i="1" s="1"/>
  <c r="AA627" i="1" s="1"/>
  <c r="AN627" i="1"/>
  <c r="AL8" i="1"/>
  <c r="AL3" i="1" l="1"/>
  <c r="AO3" i="1" s="1"/>
  <c r="AP3" i="1" s="1"/>
  <c r="AL4" i="1"/>
  <c r="AL5" i="1"/>
  <c r="AO5" i="1" s="1"/>
  <c r="AP5" i="1" s="1"/>
  <c r="AL6" i="1"/>
  <c r="AO6" i="1" s="1"/>
  <c r="AL7" i="1"/>
  <c r="AO7" i="1" s="1"/>
  <c r="AP7" i="1" s="1"/>
  <c r="AL9" i="1"/>
  <c r="AO9" i="1" s="1"/>
  <c r="AL10" i="1"/>
  <c r="AL11" i="1"/>
  <c r="AO11" i="1" s="1"/>
  <c r="AL12" i="1"/>
  <c r="AL13" i="1"/>
  <c r="AL14" i="1"/>
  <c r="AO14" i="1" s="1"/>
  <c r="AP14" i="1" s="1"/>
  <c r="AL15" i="1"/>
  <c r="AL16" i="1"/>
  <c r="AL17" i="1"/>
  <c r="AO17" i="1" s="1"/>
  <c r="AP17" i="1" s="1"/>
  <c r="AL18" i="1"/>
  <c r="AL19" i="1"/>
  <c r="AO19" i="1" s="1"/>
  <c r="AP19" i="1" s="1"/>
  <c r="AL20" i="1"/>
  <c r="AL21" i="1"/>
  <c r="AL22" i="1"/>
  <c r="AO22" i="1" s="1"/>
  <c r="AL23" i="1"/>
  <c r="AL24" i="1"/>
  <c r="AO24" i="1" s="1"/>
  <c r="AL25" i="1"/>
  <c r="AL26" i="1"/>
  <c r="AL27" i="1"/>
  <c r="AO27" i="1" s="1"/>
  <c r="AL28" i="1"/>
  <c r="AL29" i="1"/>
  <c r="AO29" i="1" s="1"/>
  <c r="AP29" i="1" s="1"/>
  <c r="AL30" i="1"/>
  <c r="AL31" i="1"/>
  <c r="AO31" i="1" s="1"/>
  <c r="AP31" i="1" s="1"/>
  <c r="AL32" i="1"/>
  <c r="AL33" i="1"/>
  <c r="AO33" i="1" s="1"/>
  <c r="AP33" i="1" s="1"/>
  <c r="AL34" i="1"/>
  <c r="AL35" i="1"/>
  <c r="AO35" i="1" s="1"/>
  <c r="AP35" i="1" s="1"/>
  <c r="AL36" i="1"/>
  <c r="AL37" i="1"/>
  <c r="AO37" i="1" s="1"/>
  <c r="AP37" i="1" s="1"/>
  <c r="AL38" i="1"/>
  <c r="AO38" i="1" s="1"/>
  <c r="AL39" i="1"/>
  <c r="AL40" i="1"/>
  <c r="AO40" i="1" s="1"/>
  <c r="AP40" i="1" s="1"/>
  <c r="AL41" i="1"/>
  <c r="AL42" i="1"/>
  <c r="AO42" i="1" s="1"/>
  <c r="AL43" i="1"/>
  <c r="AL44" i="1"/>
  <c r="AO44" i="1" s="1"/>
  <c r="AL45" i="1"/>
  <c r="AO45" i="1" s="1"/>
  <c r="AP45" i="1" s="1"/>
  <c r="AL46" i="1"/>
  <c r="AO46" i="1" s="1"/>
  <c r="AL47" i="1"/>
  <c r="AL48" i="1"/>
  <c r="AL49" i="1"/>
  <c r="AL50" i="1"/>
  <c r="AO50" i="1" s="1"/>
  <c r="AP50" i="1" s="1"/>
  <c r="AL51" i="1"/>
  <c r="AO51" i="1" s="1"/>
  <c r="AL52" i="1"/>
  <c r="AL53" i="1"/>
  <c r="AL54" i="1"/>
  <c r="AO54" i="1" s="1"/>
  <c r="AL55" i="1"/>
  <c r="AO55" i="1" s="1"/>
  <c r="AP55" i="1" s="1"/>
  <c r="AL56" i="1"/>
  <c r="AO56" i="1" s="1"/>
  <c r="AL57" i="1"/>
  <c r="AL58" i="1"/>
  <c r="AL59" i="1"/>
  <c r="AL60" i="1"/>
  <c r="AO60" i="1" s="1"/>
  <c r="AL61" i="1"/>
  <c r="AO61" i="1" s="1"/>
  <c r="AP61" i="1" s="1"/>
  <c r="AL62" i="1"/>
  <c r="AL63" i="1"/>
  <c r="AL64" i="1"/>
  <c r="AO64" i="1" s="1"/>
  <c r="AL65" i="1"/>
  <c r="AL66" i="1"/>
  <c r="AL67" i="1"/>
  <c r="AL68" i="1"/>
  <c r="AL69" i="1"/>
  <c r="AL71" i="1"/>
  <c r="AL72" i="1"/>
  <c r="AO72" i="1" s="1"/>
  <c r="AL73" i="1"/>
  <c r="AO73" i="1" s="1"/>
  <c r="AP73" i="1" s="1"/>
  <c r="AL74" i="1"/>
  <c r="AL75" i="1"/>
  <c r="AL76" i="1"/>
  <c r="AO76" i="1" s="1"/>
  <c r="AP76" i="1" s="1"/>
  <c r="AL77" i="1"/>
  <c r="AL78" i="1"/>
  <c r="AO78" i="1" s="1"/>
  <c r="AL79" i="1"/>
  <c r="AL80" i="1"/>
  <c r="AL81" i="1"/>
  <c r="AL82" i="1"/>
  <c r="AL83" i="1"/>
  <c r="AO83" i="1" s="1"/>
  <c r="AP83" i="1" s="1"/>
  <c r="AL84" i="1"/>
  <c r="AL85" i="1"/>
  <c r="AL86" i="1"/>
  <c r="AL87" i="1"/>
  <c r="AO87" i="1" s="1"/>
  <c r="AP87" i="1" s="1"/>
  <c r="AL88" i="1"/>
  <c r="AO88" i="1" s="1"/>
  <c r="AL89" i="1"/>
  <c r="AO89" i="1" s="1"/>
  <c r="AP89" i="1" s="1"/>
  <c r="AL90" i="1"/>
  <c r="AO90" i="1" s="1"/>
  <c r="AL91" i="1"/>
  <c r="AL92" i="1"/>
  <c r="AL93" i="1"/>
  <c r="AL94" i="1"/>
  <c r="AL95" i="1"/>
  <c r="AL96" i="1"/>
  <c r="AL97" i="1"/>
  <c r="AL98" i="1"/>
  <c r="AO98" i="1" s="1"/>
  <c r="AP98" i="1" s="1"/>
  <c r="AL99" i="1"/>
  <c r="AO99" i="1" s="1"/>
  <c r="AL100" i="1"/>
  <c r="AO100" i="1" s="1"/>
  <c r="AP100" i="1" s="1"/>
  <c r="AL101" i="1"/>
  <c r="AL102" i="1"/>
  <c r="AL103" i="1"/>
  <c r="AO103" i="1" s="1"/>
  <c r="AP103" i="1" s="1"/>
  <c r="AL104" i="1"/>
  <c r="AL105" i="1"/>
  <c r="AL106" i="1"/>
  <c r="AL107" i="1"/>
  <c r="AO107" i="1" s="1"/>
  <c r="AL108" i="1"/>
  <c r="AL109" i="1"/>
  <c r="AL110" i="1"/>
  <c r="AO110" i="1" s="1"/>
  <c r="AP110" i="1" s="1"/>
  <c r="AL111" i="1"/>
  <c r="AL112" i="1"/>
  <c r="AO112" i="1" s="1"/>
  <c r="AP112" i="1" s="1"/>
  <c r="AL113" i="1"/>
  <c r="AO113" i="1" s="1"/>
  <c r="AP113" i="1" s="1"/>
  <c r="AL114" i="1"/>
  <c r="AL115" i="1"/>
  <c r="AO115" i="1" s="1"/>
  <c r="AP115" i="1" s="1"/>
  <c r="AL116" i="1"/>
  <c r="AO116" i="1" s="1"/>
  <c r="AP116" i="1" s="1"/>
  <c r="AL117" i="1"/>
  <c r="AO117" i="1" s="1"/>
  <c r="AL118" i="1"/>
  <c r="AO118" i="1" s="1"/>
  <c r="AP118" i="1" s="1"/>
  <c r="AL119" i="1"/>
  <c r="AO119" i="1" s="1"/>
  <c r="AL121" i="1"/>
  <c r="AO121" i="1" s="1"/>
  <c r="AL122" i="1"/>
  <c r="AO122" i="1" s="1"/>
  <c r="AP122" i="1" s="1"/>
  <c r="AL123" i="1"/>
  <c r="AL124" i="1"/>
  <c r="AO124" i="1" s="1"/>
  <c r="AL125" i="1"/>
  <c r="AL126" i="1"/>
  <c r="AO126" i="1" s="1"/>
  <c r="AP126" i="1" s="1"/>
  <c r="AL127" i="1"/>
  <c r="AO127" i="1" s="1"/>
  <c r="AL128" i="1"/>
  <c r="AO128" i="1" s="1"/>
  <c r="AP128" i="1" s="1"/>
  <c r="AL129" i="1"/>
  <c r="AL130" i="1"/>
  <c r="AO130" i="1" s="1"/>
  <c r="AP130" i="1" s="1"/>
  <c r="AL131" i="1"/>
  <c r="AO131" i="1" s="1"/>
  <c r="AP131" i="1" s="1"/>
  <c r="AL132" i="1"/>
  <c r="AL133" i="1"/>
  <c r="AO133" i="1" s="1"/>
  <c r="AP133" i="1" s="1"/>
  <c r="AL134" i="1"/>
  <c r="AL135" i="1"/>
  <c r="AO135" i="1" s="1"/>
  <c r="AL136" i="1"/>
  <c r="AL137" i="1"/>
  <c r="AO137" i="1" s="1"/>
  <c r="AP137" i="1" s="1"/>
  <c r="AL138" i="1"/>
  <c r="AL139" i="1"/>
  <c r="AO139" i="1" s="1"/>
  <c r="AP139" i="1" s="1"/>
  <c r="AL140" i="1"/>
  <c r="AO140" i="1" s="1"/>
  <c r="AP140" i="1" s="1"/>
  <c r="AL141" i="1"/>
  <c r="AO141" i="1" s="1"/>
  <c r="AP141" i="1" s="1"/>
  <c r="AL143" i="1"/>
  <c r="AO143" i="1" s="1"/>
  <c r="AL144" i="1"/>
  <c r="AO144" i="1" s="1"/>
  <c r="AP144" i="1" s="1"/>
  <c r="AL145" i="1"/>
  <c r="AL146" i="1"/>
  <c r="AL147" i="1"/>
  <c r="AO147" i="1" s="1"/>
  <c r="AP147" i="1" s="1"/>
  <c r="AL148" i="1"/>
  <c r="AO148" i="1" s="1"/>
  <c r="AL149" i="1"/>
  <c r="AO149" i="1" s="1"/>
  <c r="AP149" i="1" s="1"/>
  <c r="AL150" i="1"/>
  <c r="AO150" i="1" s="1"/>
  <c r="AL151" i="1"/>
  <c r="AO151" i="1" s="1"/>
  <c r="AP151" i="1" s="1"/>
  <c r="AL152" i="1"/>
  <c r="AO152" i="1" s="1"/>
  <c r="AL153" i="1"/>
  <c r="AL154" i="1"/>
  <c r="AO154" i="1" s="1"/>
  <c r="AL155" i="1"/>
  <c r="AL156" i="1"/>
  <c r="AO156" i="1" s="1"/>
  <c r="AP156" i="1" s="1"/>
  <c r="AL157" i="1"/>
  <c r="AO157" i="1" s="1"/>
  <c r="AL158" i="1"/>
  <c r="AO158" i="1" s="1"/>
  <c r="AP158" i="1" s="1"/>
  <c r="AL159" i="1"/>
  <c r="AO159" i="1" s="1"/>
  <c r="AL160" i="1"/>
  <c r="AO160" i="1" s="1"/>
  <c r="AP160" i="1" s="1"/>
  <c r="AL161" i="1"/>
  <c r="AO161" i="1" s="1"/>
  <c r="AL162" i="1"/>
  <c r="AL164" i="1"/>
  <c r="AO164" i="1" s="1"/>
  <c r="AP164" i="1" s="1"/>
  <c r="AL165" i="1"/>
  <c r="AL166" i="1"/>
  <c r="AL167" i="1"/>
  <c r="AL168" i="1"/>
  <c r="AO168" i="1" s="1"/>
  <c r="AL169" i="1"/>
  <c r="AL170" i="1"/>
  <c r="AL171" i="1"/>
  <c r="AL172" i="1"/>
  <c r="AO172" i="1" s="1"/>
  <c r="AL173" i="1"/>
  <c r="AL174" i="1"/>
  <c r="AL175" i="1"/>
  <c r="AO175" i="1" s="1"/>
  <c r="AL176" i="1"/>
  <c r="AL177" i="1"/>
  <c r="AO177" i="1" s="1"/>
  <c r="AL178" i="1"/>
  <c r="AL179" i="1"/>
  <c r="AO179" i="1" s="1"/>
  <c r="AL180" i="1"/>
  <c r="AL181" i="1"/>
  <c r="AL182" i="1"/>
  <c r="AL183" i="1"/>
  <c r="AO183" i="1" s="1"/>
  <c r="AP183" i="1" s="1"/>
  <c r="AL184" i="1"/>
  <c r="AL185" i="1"/>
  <c r="AO185" i="1" s="1"/>
  <c r="AP185" i="1" s="1"/>
  <c r="AL186" i="1"/>
  <c r="AO186" i="1" s="1"/>
  <c r="AP186" i="1" s="1"/>
  <c r="AL187" i="1"/>
  <c r="AL188" i="1"/>
  <c r="AL189" i="1"/>
  <c r="AO189" i="1" s="1"/>
  <c r="AP189" i="1" s="1"/>
  <c r="AL190" i="1"/>
  <c r="AL191" i="1"/>
  <c r="AO191" i="1" s="1"/>
  <c r="AP191" i="1" s="1"/>
  <c r="AL192" i="1"/>
  <c r="AL193" i="1"/>
  <c r="AO193" i="1" s="1"/>
  <c r="AP193" i="1" s="1"/>
  <c r="AL194" i="1"/>
  <c r="AL195" i="1"/>
  <c r="AO195" i="1" s="1"/>
  <c r="AP195" i="1" s="1"/>
  <c r="AL196" i="1"/>
  <c r="AL197" i="1"/>
  <c r="AL198" i="1"/>
  <c r="AL199" i="1"/>
  <c r="AO199" i="1" s="1"/>
  <c r="AP199" i="1" s="1"/>
  <c r="AL200" i="1"/>
  <c r="AO200" i="1" s="1"/>
  <c r="AP200" i="1" s="1"/>
  <c r="AL201" i="1"/>
  <c r="AO201" i="1" s="1"/>
  <c r="AP201" i="1" s="1"/>
  <c r="AL202" i="1"/>
  <c r="AL203" i="1"/>
  <c r="AO203" i="1" s="1"/>
  <c r="AP203" i="1" s="1"/>
  <c r="AL204" i="1"/>
  <c r="AO204" i="1" s="1"/>
  <c r="AP204" i="1" s="1"/>
  <c r="AL205" i="1"/>
  <c r="AO205" i="1" s="1"/>
  <c r="AP205" i="1" s="1"/>
  <c r="AL206" i="1"/>
  <c r="AO206" i="1" s="1"/>
  <c r="AP206" i="1" s="1"/>
  <c r="AL207" i="1"/>
  <c r="AO207" i="1" s="1"/>
  <c r="AP207" i="1" s="1"/>
  <c r="AL208" i="1"/>
  <c r="AO208" i="1" s="1"/>
  <c r="AP208" i="1" s="1"/>
  <c r="AL209" i="1"/>
  <c r="AL210" i="1"/>
  <c r="AO210" i="1" s="1"/>
  <c r="AP210" i="1" s="1"/>
  <c r="AL211" i="1"/>
  <c r="AO211" i="1" s="1"/>
  <c r="AP211" i="1" s="1"/>
  <c r="AL212" i="1"/>
  <c r="AL213" i="1"/>
  <c r="AL214" i="1"/>
  <c r="AO214" i="1" s="1"/>
  <c r="AP214" i="1" s="1"/>
  <c r="AL215" i="1"/>
  <c r="AO215" i="1" s="1"/>
  <c r="AP215" i="1" s="1"/>
  <c r="AL216" i="1"/>
  <c r="AO216" i="1" s="1"/>
  <c r="AP216" i="1" s="1"/>
  <c r="AL217" i="1"/>
  <c r="AO217" i="1" s="1"/>
  <c r="AP217" i="1" s="1"/>
  <c r="AL218" i="1"/>
  <c r="AL219" i="1"/>
  <c r="AL220" i="1"/>
  <c r="AO220" i="1" s="1"/>
  <c r="AP220" i="1" s="1"/>
  <c r="AL221" i="1"/>
  <c r="AL222" i="1"/>
  <c r="AL223" i="1"/>
  <c r="AL224" i="1"/>
  <c r="AO224" i="1" s="1"/>
  <c r="AP224" i="1" s="1"/>
  <c r="AL225" i="1"/>
  <c r="AL226" i="1"/>
  <c r="AL227" i="1"/>
  <c r="AL228" i="1"/>
  <c r="AO228" i="1" s="1"/>
  <c r="AP228" i="1" s="1"/>
  <c r="AL229" i="1"/>
  <c r="AL230" i="1"/>
  <c r="AL231" i="1"/>
  <c r="AL232" i="1"/>
  <c r="AL233" i="1"/>
  <c r="AL234" i="1"/>
  <c r="AO234" i="1" s="1"/>
  <c r="AP234" i="1" s="1"/>
  <c r="AL235" i="1"/>
  <c r="AL236" i="1"/>
  <c r="AO236" i="1" s="1"/>
  <c r="AP236" i="1" s="1"/>
  <c r="AL237" i="1"/>
  <c r="AL238" i="1"/>
  <c r="AO238" i="1" s="1"/>
  <c r="AP238" i="1" s="1"/>
  <c r="AL239" i="1"/>
  <c r="AL240" i="1"/>
  <c r="AL241" i="1"/>
  <c r="AL242" i="1"/>
  <c r="AL243" i="1"/>
  <c r="AL244" i="1"/>
  <c r="AL245" i="1"/>
  <c r="AL246" i="1"/>
  <c r="AO246" i="1" s="1"/>
  <c r="AP246" i="1" s="1"/>
  <c r="AL247" i="1"/>
  <c r="AL248" i="1"/>
  <c r="AL249" i="1"/>
  <c r="AO249" i="1" s="1"/>
  <c r="AP249" i="1" s="1"/>
  <c r="AL250" i="1"/>
  <c r="AL251" i="1"/>
  <c r="AL252" i="1"/>
  <c r="AO252" i="1" s="1"/>
  <c r="AP252" i="1" s="1"/>
  <c r="AL253" i="1"/>
  <c r="AL254" i="1"/>
  <c r="AO254" i="1" s="1"/>
  <c r="AP254" i="1" s="1"/>
  <c r="AL255" i="1"/>
  <c r="AL256" i="1"/>
  <c r="AL257" i="1"/>
  <c r="AL258" i="1"/>
  <c r="AL259" i="1"/>
  <c r="AO259" i="1" s="1"/>
  <c r="AP259" i="1" s="1"/>
  <c r="AL260" i="1"/>
  <c r="AL261" i="1"/>
  <c r="AL262" i="1"/>
  <c r="AO262" i="1" s="1"/>
  <c r="AP262" i="1" s="1"/>
  <c r="AL263" i="1"/>
  <c r="AL264" i="1"/>
  <c r="AL265" i="1"/>
  <c r="AL266" i="1"/>
  <c r="AL267" i="1"/>
  <c r="AO267" i="1" s="1"/>
  <c r="AP267" i="1" s="1"/>
  <c r="AL268" i="1"/>
  <c r="AL269" i="1"/>
  <c r="AO269" i="1" s="1"/>
  <c r="AP269" i="1" s="1"/>
  <c r="AL270" i="1"/>
  <c r="AL271" i="1"/>
  <c r="AL272" i="1"/>
  <c r="AL273" i="1"/>
  <c r="AL274" i="1"/>
  <c r="AL275" i="1"/>
  <c r="AO275" i="1" s="1"/>
  <c r="AP275" i="1" s="1"/>
  <c r="AL276" i="1"/>
  <c r="AL277" i="1"/>
  <c r="AL278" i="1"/>
  <c r="AO278" i="1" s="1"/>
  <c r="AP278" i="1" s="1"/>
  <c r="AL279" i="1"/>
  <c r="AL280" i="1"/>
  <c r="AL281" i="1"/>
  <c r="AL282" i="1"/>
  <c r="AL283" i="1"/>
  <c r="AL284" i="1"/>
  <c r="AL285" i="1"/>
  <c r="AL286" i="1"/>
  <c r="AL287" i="1"/>
  <c r="AO287" i="1" s="1"/>
  <c r="AP287" i="1" s="1"/>
  <c r="AL288" i="1"/>
  <c r="AL289" i="1"/>
  <c r="AL290" i="1"/>
  <c r="AL291" i="1"/>
  <c r="AL292" i="1"/>
  <c r="AL293" i="1"/>
  <c r="AO293" i="1" s="1"/>
  <c r="AP293" i="1" s="1"/>
  <c r="AL294" i="1"/>
  <c r="AL295" i="1"/>
  <c r="AL296" i="1"/>
  <c r="AL297" i="1"/>
  <c r="AL298" i="1"/>
  <c r="AL299" i="1"/>
  <c r="AO299" i="1" s="1"/>
  <c r="AP299" i="1" s="1"/>
  <c r="AL300" i="1"/>
  <c r="AL301" i="1"/>
  <c r="AO301" i="1" s="1"/>
  <c r="AP301" i="1" s="1"/>
  <c r="AL302" i="1"/>
  <c r="AL303" i="1"/>
  <c r="AL304" i="1"/>
  <c r="AO304" i="1" s="1"/>
  <c r="AP304" i="1" s="1"/>
  <c r="AL305" i="1"/>
  <c r="AL306" i="1"/>
  <c r="AL307" i="1"/>
  <c r="AO307" i="1" s="1"/>
  <c r="AP307" i="1" s="1"/>
  <c r="AL308" i="1"/>
  <c r="AL309" i="1"/>
  <c r="AL310" i="1"/>
  <c r="AL311" i="1"/>
  <c r="AL312" i="1"/>
  <c r="AL313" i="1"/>
  <c r="AL314" i="1"/>
  <c r="AL315" i="1"/>
  <c r="AL316" i="1"/>
  <c r="AL317" i="1"/>
  <c r="AO317" i="1" s="1"/>
  <c r="AP317" i="1" s="1"/>
  <c r="AL318" i="1"/>
  <c r="AL319" i="1"/>
  <c r="AL320" i="1"/>
  <c r="AO320" i="1" s="1"/>
  <c r="AP320" i="1" s="1"/>
  <c r="AL321" i="1"/>
  <c r="AL322" i="1"/>
  <c r="AL323" i="1"/>
  <c r="AO323" i="1" s="1"/>
  <c r="AP323" i="1" s="1"/>
  <c r="AL324" i="1"/>
  <c r="AL325" i="1"/>
  <c r="AL326" i="1"/>
  <c r="AL327" i="1"/>
  <c r="AL328" i="1"/>
  <c r="AL329" i="1"/>
  <c r="AL330" i="1"/>
  <c r="AL331" i="1"/>
  <c r="AL332" i="1"/>
  <c r="AL358" i="1"/>
  <c r="AL359" i="1"/>
  <c r="AO359" i="1" s="1"/>
  <c r="AP359" i="1" s="1"/>
  <c r="AL360" i="1"/>
  <c r="AL361" i="1"/>
  <c r="AO361" i="1" s="1"/>
  <c r="AP361" i="1" s="1"/>
  <c r="AL333" i="1"/>
  <c r="AO333" i="1" s="1"/>
  <c r="AP333" i="1" s="1"/>
  <c r="AL334" i="1"/>
  <c r="AL335" i="1"/>
  <c r="AL336" i="1"/>
  <c r="AL337" i="1"/>
  <c r="AL338" i="1"/>
  <c r="AL339" i="1"/>
  <c r="AL340" i="1"/>
  <c r="AL341" i="1"/>
  <c r="AL342" i="1"/>
  <c r="AL343" i="1"/>
  <c r="AL344" i="1"/>
  <c r="AO344" i="1" s="1"/>
  <c r="AP344" i="1" s="1"/>
  <c r="AL345" i="1"/>
  <c r="AL346" i="1"/>
  <c r="AL347" i="1"/>
  <c r="AL348" i="1"/>
  <c r="AL349" i="1"/>
  <c r="AO349" i="1" s="1"/>
  <c r="AP349" i="1" s="1"/>
  <c r="AL350" i="1"/>
  <c r="AL351" i="1"/>
  <c r="AL352" i="1"/>
  <c r="AL353" i="1"/>
  <c r="AO353" i="1" s="1"/>
  <c r="AP353" i="1" s="1"/>
  <c r="AL354" i="1"/>
  <c r="AL355" i="1"/>
  <c r="AO355" i="1" s="1"/>
  <c r="AP355" i="1" s="1"/>
  <c r="AL356" i="1"/>
  <c r="AL357" i="1"/>
  <c r="AL362" i="1"/>
  <c r="AL363" i="1"/>
  <c r="AL364" i="1"/>
  <c r="AO364" i="1" s="1"/>
  <c r="AP364" i="1" s="1"/>
  <c r="AL365" i="1"/>
  <c r="AL366" i="1"/>
  <c r="AL367" i="1"/>
  <c r="AL368" i="1"/>
  <c r="AL369" i="1"/>
  <c r="AL370" i="1"/>
  <c r="AO370" i="1" s="1"/>
  <c r="AP370" i="1" s="1"/>
  <c r="AM369" i="1" l="1"/>
  <c r="AN369" i="1"/>
  <c r="AM343" i="1"/>
  <c r="AN343" i="1"/>
  <c r="AM360" i="1"/>
  <c r="AN360" i="1"/>
  <c r="AM358" i="1"/>
  <c r="AN358" i="1"/>
  <c r="AM319" i="1"/>
  <c r="AN319" i="1"/>
  <c r="AM303" i="1"/>
  <c r="AN303" i="1"/>
  <c r="AM261" i="1"/>
  <c r="AN261" i="1"/>
  <c r="AM253" i="1"/>
  <c r="AN253" i="1"/>
  <c r="AM354" i="1"/>
  <c r="AN354" i="1"/>
  <c r="AM352" i="1"/>
  <c r="AN352" i="1"/>
  <c r="AM348" i="1"/>
  <c r="AN348" i="1"/>
  <c r="AM332" i="1"/>
  <c r="AN332" i="1"/>
  <c r="AM322" i="1"/>
  <c r="AN322" i="1"/>
  <c r="AM316" i="1"/>
  <c r="AN316" i="1"/>
  <c r="AM306" i="1"/>
  <c r="AN306" i="1"/>
  <c r="AM300" i="1"/>
  <c r="AN300" i="1"/>
  <c r="AM298" i="1"/>
  <c r="AN298" i="1"/>
  <c r="AM292" i="1"/>
  <c r="AN292" i="1"/>
  <c r="AM274" i="1"/>
  <c r="AN274" i="1"/>
  <c r="AM268" i="1"/>
  <c r="AN268" i="1"/>
  <c r="AM266" i="1"/>
  <c r="AN266" i="1"/>
  <c r="AM258" i="1"/>
  <c r="AN258" i="1"/>
  <c r="AM363" i="1"/>
  <c r="AN363" i="1"/>
  <c r="AM277" i="1"/>
  <c r="AN277" i="1"/>
  <c r="AM251" i="1"/>
  <c r="AN251" i="1"/>
  <c r="AQ332" i="1"/>
  <c r="AQ316" i="1"/>
  <c r="AQ266" i="1"/>
  <c r="AQ210" i="1"/>
  <c r="AQ167" i="1"/>
  <c r="AQ343" i="1"/>
  <c r="AQ251" i="1"/>
  <c r="AQ237" i="1"/>
  <c r="AQ235" i="1"/>
  <c r="AQ149" i="1"/>
  <c r="G12" i="3" l="1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E1" i="9" s="1"/>
  <c r="G1" i="8"/>
  <c r="D1" i="8" s="1"/>
  <c r="F1" i="10"/>
  <c r="G1" i="6"/>
  <c r="D1" i="6" s="1"/>
  <c r="G1" i="7"/>
  <c r="F1" i="7" s="1"/>
  <c r="G1" i="5"/>
  <c r="F1" i="5" s="1"/>
  <c r="G1" i="4"/>
  <c r="D1" i="4" s="1"/>
  <c r="AF370" i="1"/>
  <c r="W370" i="1" s="1"/>
  <c r="AF369" i="1"/>
  <c r="W369" i="1" s="1"/>
  <c r="C369" i="1"/>
  <c r="AF368" i="1"/>
  <c r="W368" i="1" s="1"/>
  <c r="C368" i="1"/>
  <c r="AF367" i="1"/>
  <c r="W367" i="1" s="1"/>
  <c r="C367" i="1"/>
  <c r="AF366" i="1"/>
  <c r="W366" i="1" s="1"/>
  <c r="AF365" i="1"/>
  <c r="W365" i="1" s="1"/>
  <c r="C365" i="1"/>
  <c r="AF364" i="1"/>
  <c r="W364" i="1" s="1"/>
  <c r="AF363" i="1"/>
  <c r="W363" i="1" s="1"/>
  <c r="C363" i="1"/>
  <c r="AF362" i="1"/>
  <c r="W362" i="1" s="1"/>
  <c r="AF357" i="1"/>
  <c r="W357" i="1" s="1"/>
  <c r="C357" i="1"/>
  <c r="AF356" i="1"/>
  <c r="W356" i="1" s="1"/>
  <c r="AF355" i="1"/>
  <c r="W355" i="1" s="1"/>
  <c r="AF354" i="1"/>
  <c r="W354" i="1" s="1"/>
  <c r="C354" i="1"/>
  <c r="AF353" i="1"/>
  <c r="W353" i="1" s="1"/>
  <c r="AF352" i="1"/>
  <c r="W352" i="1" s="1"/>
  <c r="C352" i="1"/>
  <c r="AF351" i="1"/>
  <c r="W351" i="1" s="1"/>
  <c r="C351" i="1"/>
  <c r="AF350" i="1"/>
  <c r="W350" i="1" s="1"/>
  <c r="C350" i="1"/>
  <c r="AF349" i="1"/>
  <c r="W349" i="1" s="1"/>
  <c r="AF348" i="1"/>
  <c r="W348" i="1" s="1"/>
  <c r="AF347" i="1"/>
  <c r="W347" i="1" s="1"/>
  <c r="C347" i="1"/>
  <c r="AF346" i="1"/>
  <c r="W346" i="1" s="1"/>
  <c r="C346" i="1"/>
  <c r="AF345" i="1"/>
  <c r="W345" i="1" s="1"/>
  <c r="C345" i="1"/>
  <c r="AF344" i="1"/>
  <c r="W344" i="1" s="1"/>
  <c r="AH343" i="1"/>
  <c r="AK343" i="1" s="1"/>
  <c r="AF343" i="1"/>
  <c r="W343" i="1" s="1"/>
  <c r="D343" i="1"/>
  <c r="C343" i="1"/>
  <c r="AF342" i="1"/>
  <c r="W342" i="1" s="1"/>
  <c r="C342" i="1"/>
  <c r="AF341" i="1"/>
  <c r="W341" i="1" s="1"/>
  <c r="AF340" i="1"/>
  <c r="W340" i="1" s="1"/>
  <c r="C340" i="1"/>
  <c r="AF339" i="1"/>
  <c r="W339" i="1" s="1"/>
  <c r="C339" i="1"/>
  <c r="AF338" i="1"/>
  <c r="W338" i="1" s="1"/>
  <c r="C338" i="1"/>
  <c r="AF337" i="1"/>
  <c r="W337" i="1" s="1"/>
  <c r="C337" i="1"/>
  <c r="AF336" i="1"/>
  <c r="W336" i="1" s="1"/>
  <c r="AF335" i="1"/>
  <c r="W335" i="1" s="1"/>
  <c r="C335" i="1"/>
  <c r="AF334" i="1"/>
  <c r="W334" i="1" s="1"/>
  <c r="C334" i="1"/>
  <c r="AF333" i="1"/>
  <c r="W333" i="1" s="1"/>
  <c r="AF361" i="1"/>
  <c r="W361" i="1" s="1"/>
  <c r="AF360" i="1"/>
  <c r="W360" i="1" s="1"/>
  <c r="C360" i="1"/>
  <c r="AF359" i="1"/>
  <c r="W359" i="1" s="1"/>
  <c r="AF358" i="1"/>
  <c r="W358" i="1" s="1"/>
  <c r="AH332" i="1"/>
  <c r="AK332" i="1" s="1"/>
  <c r="AF332" i="1"/>
  <c r="W332" i="1" s="1"/>
  <c r="D332" i="1"/>
  <c r="C332" i="1"/>
  <c r="AF331" i="1"/>
  <c r="W331" i="1" s="1"/>
  <c r="AF330" i="1"/>
  <c r="W330" i="1" s="1"/>
  <c r="C330" i="1"/>
  <c r="AF329" i="1"/>
  <c r="W329" i="1" s="1"/>
  <c r="C329" i="1"/>
  <c r="AF328" i="1"/>
  <c r="W328" i="1" s="1"/>
  <c r="AF327" i="1"/>
  <c r="W327" i="1" s="1"/>
  <c r="C327" i="1"/>
  <c r="AF326" i="1"/>
  <c r="W326" i="1" s="1"/>
  <c r="AF325" i="1"/>
  <c r="W325" i="1" s="1"/>
  <c r="C325" i="1"/>
  <c r="AF324" i="1"/>
  <c r="W324" i="1" s="1"/>
  <c r="AF323" i="1"/>
  <c r="W323" i="1" s="1"/>
  <c r="AF322" i="1"/>
  <c r="W322" i="1" s="1"/>
  <c r="C322" i="1"/>
  <c r="AF321" i="1"/>
  <c r="W321" i="1" s="1"/>
  <c r="C321" i="1"/>
  <c r="AF320" i="1"/>
  <c r="W320" i="1" s="1"/>
  <c r="AF319" i="1"/>
  <c r="W319" i="1" s="1"/>
  <c r="C319" i="1"/>
  <c r="AF318" i="1"/>
  <c r="W318" i="1" s="1"/>
  <c r="C318" i="1"/>
  <c r="AF317" i="1"/>
  <c r="W317" i="1" s="1"/>
  <c r="AH316" i="1"/>
  <c r="AK316" i="1" s="1"/>
  <c r="AF316" i="1"/>
  <c r="W316" i="1" s="1"/>
  <c r="D316" i="1"/>
  <c r="C316" i="1"/>
  <c r="AF315" i="1"/>
  <c r="W315" i="1" s="1"/>
  <c r="C315" i="1"/>
  <c r="AF314" i="1"/>
  <c r="W314" i="1" s="1"/>
  <c r="C314" i="1"/>
  <c r="AF313" i="1"/>
  <c r="W313" i="1" s="1"/>
  <c r="C313" i="1"/>
  <c r="AF312" i="1"/>
  <c r="W312" i="1" s="1"/>
  <c r="C312" i="1"/>
  <c r="AF311" i="1"/>
  <c r="W311" i="1" s="1"/>
  <c r="AF310" i="1"/>
  <c r="W310" i="1" s="1"/>
  <c r="C310" i="1"/>
  <c r="AF309" i="1"/>
  <c r="W309" i="1" s="1"/>
  <c r="C309" i="1"/>
  <c r="AF308" i="1"/>
  <c r="W308" i="1" s="1"/>
  <c r="C308" i="1"/>
  <c r="AF307" i="1"/>
  <c r="W307" i="1" s="1"/>
  <c r="AF306" i="1"/>
  <c r="W306" i="1" s="1"/>
  <c r="C306" i="1"/>
  <c r="AF305" i="1"/>
  <c r="W305" i="1" s="1"/>
  <c r="C305" i="1"/>
  <c r="AF304" i="1"/>
  <c r="W304" i="1" s="1"/>
  <c r="AF303" i="1"/>
  <c r="W303" i="1" s="1"/>
  <c r="AF302" i="1"/>
  <c r="W302" i="1" s="1"/>
  <c r="C302" i="1"/>
  <c r="AF301" i="1"/>
  <c r="W301" i="1" s="1"/>
  <c r="AF300" i="1"/>
  <c r="W300" i="1" s="1"/>
  <c r="C300" i="1"/>
  <c r="AF299" i="1"/>
  <c r="W299" i="1" s="1"/>
  <c r="AF298" i="1"/>
  <c r="W298" i="1" s="1"/>
  <c r="C298" i="1"/>
  <c r="AF297" i="1"/>
  <c r="AF296" i="1"/>
  <c r="C296" i="1"/>
  <c r="AF295" i="1"/>
  <c r="C295" i="1"/>
  <c r="AF294" i="1"/>
  <c r="C294" i="1"/>
  <c r="AF293" i="1"/>
  <c r="AF292" i="1"/>
  <c r="W292" i="1" s="1"/>
  <c r="C292" i="1"/>
  <c r="AF291" i="1"/>
  <c r="W291" i="1" s="1"/>
  <c r="C291" i="1"/>
  <c r="AF290" i="1"/>
  <c r="W290" i="1" s="1"/>
  <c r="C290" i="1"/>
  <c r="AF289" i="1"/>
  <c r="W289" i="1" s="1"/>
  <c r="C289" i="1"/>
  <c r="AF288" i="1"/>
  <c r="W288" i="1" s="1"/>
  <c r="C288" i="1"/>
  <c r="AF287" i="1"/>
  <c r="W287" i="1" s="1"/>
  <c r="AF286" i="1"/>
  <c r="W286" i="1" s="1"/>
  <c r="AF285" i="1"/>
  <c r="W285" i="1" s="1"/>
  <c r="C285" i="1"/>
  <c r="AF284" i="1"/>
  <c r="W284" i="1" s="1"/>
  <c r="C284" i="1"/>
  <c r="AF283" i="1"/>
  <c r="W283" i="1" s="1"/>
  <c r="C283" i="1"/>
  <c r="AF282" i="1"/>
  <c r="W282" i="1" s="1"/>
  <c r="C282" i="1"/>
  <c r="AF281" i="1"/>
  <c r="W281" i="1" s="1"/>
  <c r="C281" i="1"/>
  <c r="AF280" i="1"/>
  <c r="W280" i="1" s="1"/>
  <c r="C280" i="1"/>
  <c r="AF279" i="1"/>
  <c r="W279" i="1" s="1"/>
  <c r="C279" i="1"/>
  <c r="AF278" i="1"/>
  <c r="W278" i="1" s="1"/>
  <c r="AF277" i="1"/>
  <c r="W277" i="1" s="1"/>
  <c r="C277" i="1"/>
  <c r="AF276" i="1"/>
  <c r="W276" i="1" s="1"/>
  <c r="C276" i="1"/>
  <c r="AF275" i="1"/>
  <c r="W275" i="1" s="1"/>
  <c r="AF274" i="1"/>
  <c r="W274" i="1" s="1"/>
  <c r="AF273" i="1"/>
  <c r="W273" i="1" s="1"/>
  <c r="C273" i="1"/>
  <c r="AF272" i="1"/>
  <c r="W272" i="1" s="1"/>
  <c r="C272" i="1"/>
  <c r="AF271" i="1"/>
  <c r="W271" i="1" s="1"/>
  <c r="C271" i="1"/>
  <c r="AF270" i="1"/>
  <c r="W270" i="1" s="1"/>
  <c r="C270" i="1"/>
  <c r="AF269" i="1"/>
  <c r="AF268" i="1"/>
  <c r="W268" i="1" s="1"/>
  <c r="C268" i="1"/>
  <c r="AF267" i="1"/>
  <c r="W267" i="1" s="1"/>
  <c r="AH266" i="1"/>
  <c r="AK266" i="1" s="1"/>
  <c r="AF266" i="1"/>
  <c r="W266" i="1" s="1"/>
  <c r="D266" i="1"/>
  <c r="C266" i="1"/>
  <c r="AF265" i="1"/>
  <c r="C265" i="1"/>
  <c r="AF264" i="1"/>
  <c r="C264" i="1"/>
  <c r="AF263" i="1"/>
  <c r="C263" i="1"/>
  <c r="AF262" i="1"/>
  <c r="AF261" i="1"/>
  <c r="W261" i="1" s="1"/>
  <c r="AF260" i="1"/>
  <c r="C260" i="1"/>
  <c r="AF259" i="1"/>
  <c r="AF258" i="1"/>
  <c r="W258" i="1" s="1"/>
  <c r="C258" i="1"/>
  <c r="AF257" i="1"/>
  <c r="W257" i="1" s="1"/>
  <c r="C257" i="1"/>
  <c r="AF256" i="1"/>
  <c r="W256" i="1" s="1"/>
  <c r="C256" i="1"/>
  <c r="AF255" i="1"/>
  <c r="C255" i="1"/>
  <c r="AF254" i="1"/>
  <c r="W254" i="1" s="1"/>
  <c r="AF253" i="1"/>
  <c r="W253" i="1" s="1"/>
  <c r="C253" i="1"/>
  <c r="AF252" i="1"/>
  <c r="W252" i="1" s="1"/>
  <c r="AH251" i="1"/>
  <c r="AK251" i="1" s="1"/>
  <c r="AF251" i="1"/>
  <c r="W251" i="1" s="1"/>
  <c r="D251" i="1"/>
  <c r="C251" i="1"/>
  <c r="AF249" i="1"/>
  <c r="W249" i="1" s="1"/>
  <c r="AF248" i="1"/>
  <c r="W248" i="1" s="1"/>
  <c r="C248" i="1"/>
  <c r="AF247" i="1"/>
  <c r="W247" i="1" s="1"/>
  <c r="C247" i="1"/>
  <c r="AF246" i="1"/>
  <c r="W246" i="1" s="1"/>
  <c r="AF245" i="1"/>
  <c r="W245" i="1" s="1"/>
  <c r="C245" i="1"/>
  <c r="AF244" i="1"/>
  <c r="W244" i="1" s="1"/>
  <c r="AF243" i="1"/>
  <c r="W243" i="1" s="1"/>
  <c r="C243" i="1"/>
  <c r="AF242" i="1"/>
  <c r="W242" i="1" s="1"/>
  <c r="AF241" i="1"/>
  <c r="W241" i="1" s="1"/>
  <c r="C241" i="1"/>
  <c r="AF240" i="1"/>
  <c r="W240" i="1" s="1"/>
  <c r="C240" i="1"/>
  <c r="AF239" i="1"/>
  <c r="C239" i="1"/>
  <c r="AF238" i="1"/>
  <c r="W238" i="1" s="1"/>
  <c r="AF237" i="1"/>
  <c r="W237" i="1" s="1"/>
  <c r="C237" i="1"/>
  <c r="AF236" i="1"/>
  <c r="W236" i="1" s="1"/>
  <c r="AF235" i="1"/>
  <c r="W235" i="1" s="1"/>
  <c r="C235" i="1"/>
  <c r="AF234" i="1"/>
  <c r="W234" i="1" s="1"/>
  <c r="AF233" i="1"/>
  <c r="W233" i="1" s="1"/>
  <c r="C233" i="1"/>
  <c r="AF232" i="1"/>
  <c r="W232" i="1" s="1"/>
  <c r="C232" i="1"/>
  <c r="AF231" i="1"/>
  <c r="W231" i="1" s="1"/>
  <c r="C231" i="1"/>
  <c r="AF230" i="1"/>
  <c r="W230" i="1" s="1"/>
  <c r="AF229" i="1"/>
  <c r="W229" i="1" s="1"/>
  <c r="C229" i="1"/>
  <c r="AF228" i="1"/>
  <c r="W228" i="1" s="1"/>
  <c r="AF227" i="1"/>
  <c r="W227" i="1" s="1"/>
  <c r="AF226" i="1"/>
  <c r="W226" i="1" s="1"/>
  <c r="C226" i="1"/>
  <c r="AF225" i="1"/>
  <c r="W225" i="1" s="1"/>
  <c r="AF224" i="1"/>
  <c r="W224" i="1" s="1"/>
  <c r="AF223" i="1"/>
  <c r="W223" i="1" s="1"/>
  <c r="C223" i="1"/>
  <c r="AF222" i="1"/>
  <c r="W222" i="1" s="1"/>
  <c r="AF221" i="1"/>
  <c r="W221" i="1" s="1"/>
  <c r="C221" i="1"/>
  <c r="AF220" i="1"/>
  <c r="W220" i="1" s="1"/>
  <c r="AF219" i="1"/>
  <c r="W219" i="1" s="1"/>
  <c r="AF218" i="1"/>
  <c r="W218" i="1" s="1"/>
  <c r="C218" i="1"/>
  <c r="AF217" i="1"/>
  <c r="W217" i="1" s="1"/>
  <c r="AF216" i="1"/>
  <c r="W216" i="1" s="1"/>
  <c r="AF215" i="1"/>
  <c r="W215" i="1" s="1"/>
  <c r="AF214" i="1"/>
  <c r="W214" i="1" s="1"/>
  <c r="AF213" i="1"/>
  <c r="W213" i="1" s="1"/>
  <c r="C213" i="1"/>
  <c r="AF212" i="1"/>
  <c r="W212" i="1" s="1"/>
  <c r="C212" i="1"/>
  <c r="AF211" i="1"/>
  <c r="W211" i="1" s="1"/>
  <c r="AF210" i="1"/>
  <c r="W210" i="1" s="1"/>
  <c r="AF209" i="1"/>
  <c r="W209" i="1" s="1"/>
  <c r="C209" i="1"/>
  <c r="AF208" i="1"/>
  <c r="W208" i="1" s="1"/>
  <c r="AF207" i="1"/>
  <c r="W207" i="1" s="1"/>
  <c r="AF206" i="1"/>
  <c r="W206" i="1" s="1"/>
  <c r="AF205" i="1"/>
  <c r="W205" i="1" s="1"/>
  <c r="AF204" i="1"/>
  <c r="W204" i="1" s="1"/>
  <c r="AF203" i="1"/>
  <c r="W203" i="1" s="1"/>
  <c r="AF202" i="1"/>
  <c r="W202" i="1" s="1"/>
  <c r="C202" i="1"/>
  <c r="AF201" i="1"/>
  <c r="W201" i="1" s="1"/>
  <c r="AF200" i="1"/>
  <c r="W200" i="1" s="1"/>
  <c r="AF199" i="1"/>
  <c r="W199" i="1" s="1"/>
  <c r="AF198" i="1"/>
  <c r="W198" i="1" s="1"/>
  <c r="C198" i="1"/>
  <c r="AF197" i="1"/>
  <c r="W197" i="1" s="1"/>
  <c r="C197" i="1"/>
  <c r="AF196" i="1"/>
  <c r="W196" i="1" s="1"/>
  <c r="C196" i="1"/>
  <c r="AF195" i="1"/>
  <c r="W195" i="1" s="1"/>
  <c r="AF194" i="1"/>
  <c r="W194" i="1" s="1"/>
  <c r="C194" i="1"/>
  <c r="AF193" i="1"/>
  <c r="W193" i="1" s="1"/>
  <c r="AF192" i="1"/>
  <c r="W192" i="1" s="1"/>
  <c r="C192" i="1"/>
  <c r="AF191" i="1"/>
  <c r="W191" i="1" s="1"/>
  <c r="AF190" i="1"/>
  <c r="W190" i="1" s="1"/>
  <c r="C190" i="1"/>
  <c r="AF189" i="1"/>
  <c r="W189" i="1" s="1"/>
  <c r="AF188" i="1"/>
  <c r="W188" i="1" s="1"/>
  <c r="AF187" i="1"/>
  <c r="W187" i="1" s="1"/>
  <c r="C187" i="1"/>
  <c r="AF186" i="1"/>
  <c r="W186" i="1" s="1"/>
  <c r="AF185" i="1"/>
  <c r="W185" i="1" s="1"/>
  <c r="AF184" i="1"/>
  <c r="W184" i="1" s="1"/>
  <c r="AF183" i="1"/>
  <c r="W183" i="1" s="1"/>
  <c r="AF182" i="1"/>
  <c r="W182" i="1" s="1"/>
  <c r="C182" i="1"/>
  <c r="AF181" i="1"/>
  <c r="W181" i="1" s="1"/>
  <c r="C181" i="1"/>
  <c r="AF180" i="1"/>
  <c r="W180" i="1" s="1"/>
  <c r="C180" i="1"/>
  <c r="AF179" i="1"/>
  <c r="AF178" i="1"/>
  <c r="W178" i="1" s="1"/>
  <c r="C178" i="1"/>
  <c r="AF177" i="1"/>
  <c r="W177" i="1" s="1"/>
  <c r="AF176" i="1"/>
  <c r="W176" i="1" s="1"/>
  <c r="AF175" i="1"/>
  <c r="W175" i="1" s="1"/>
  <c r="AF174" i="1"/>
  <c r="W174" i="1" s="1"/>
  <c r="C174" i="1"/>
  <c r="AF173" i="1"/>
  <c r="AE173" i="1" s="1"/>
  <c r="AF172" i="1"/>
  <c r="AF171" i="1"/>
  <c r="W171" i="1" s="1"/>
  <c r="AF170" i="1"/>
  <c r="AF169" i="1"/>
  <c r="AE169" i="1" s="1"/>
  <c r="C169" i="1"/>
  <c r="AF168" i="1"/>
  <c r="AF167" i="1"/>
  <c r="W167" i="1" s="1"/>
  <c r="AF166" i="1"/>
  <c r="W166" i="1" s="1"/>
  <c r="AF165" i="1"/>
  <c r="W165" i="1" s="1"/>
  <c r="C165" i="1"/>
  <c r="AF164" i="1"/>
  <c r="W164" i="1" s="1"/>
  <c r="AF162" i="1"/>
  <c r="C162" i="1"/>
  <c r="AF161" i="1"/>
  <c r="W161" i="1" s="1"/>
  <c r="AF160" i="1"/>
  <c r="W160" i="1" s="1"/>
  <c r="AF159" i="1"/>
  <c r="W159" i="1" s="1"/>
  <c r="AF158" i="1"/>
  <c r="AF157" i="1"/>
  <c r="W157" i="1" s="1"/>
  <c r="AF156" i="1"/>
  <c r="AF155" i="1"/>
  <c r="W155" i="1" s="1"/>
  <c r="C155" i="1"/>
  <c r="AF154" i="1"/>
  <c r="AF153" i="1"/>
  <c r="W153" i="1" s="1"/>
  <c r="AF152" i="1"/>
  <c r="W152" i="1" s="1"/>
  <c r="AF151" i="1"/>
  <c r="W151" i="1" s="1"/>
  <c r="AF150" i="1"/>
  <c r="W150" i="1" s="1"/>
  <c r="AF149" i="1"/>
  <c r="W149" i="1" s="1"/>
  <c r="AF148" i="1"/>
  <c r="W148" i="1" s="1"/>
  <c r="AF147" i="1"/>
  <c r="AF146" i="1"/>
  <c r="W146" i="1" s="1"/>
  <c r="AF145" i="1"/>
  <c r="AF144" i="1"/>
  <c r="W144" i="1" s="1"/>
  <c r="AF143" i="1"/>
  <c r="AF141" i="1"/>
  <c r="W141" i="1" s="1"/>
  <c r="AF140" i="1"/>
  <c r="W140" i="1" s="1"/>
  <c r="AF139" i="1"/>
  <c r="W139" i="1" s="1"/>
  <c r="AF138" i="1"/>
  <c r="AF137" i="1"/>
  <c r="W137" i="1" s="1"/>
  <c r="AF136" i="1"/>
  <c r="AF135" i="1"/>
  <c r="W135" i="1" s="1"/>
  <c r="AF134" i="1"/>
  <c r="AF133" i="1"/>
  <c r="W133" i="1" s="1"/>
  <c r="AF132" i="1"/>
  <c r="W132" i="1" s="1"/>
  <c r="C132" i="1"/>
  <c r="AF131" i="1"/>
  <c r="W131" i="1" s="1"/>
  <c r="AF130" i="1"/>
  <c r="AF129" i="1"/>
  <c r="W129" i="1" s="1"/>
  <c r="C129" i="1"/>
  <c r="AF128" i="1"/>
  <c r="AF127" i="1"/>
  <c r="W127" i="1" s="1"/>
  <c r="AF126" i="1"/>
  <c r="AE126" i="1" s="1"/>
  <c r="AF125" i="1"/>
  <c r="W125" i="1" s="1"/>
  <c r="C125" i="1"/>
  <c r="AF124" i="1"/>
  <c r="AF123" i="1"/>
  <c r="W123" i="1" s="1"/>
  <c r="C123" i="1"/>
  <c r="AF122" i="1"/>
  <c r="AF121" i="1"/>
  <c r="W121" i="1" s="1"/>
  <c r="AF119" i="1"/>
  <c r="AF118" i="1"/>
  <c r="W118" i="1" s="1"/>
  <c r="AF117" i="1"/>
  <c r="W117" i="1" s="1"/>
  <c r="AF116" i="1"/>
  <c r="W116" i="1" s="1"/>
  <c r="AF115" i="1"/>
  <c r="W115" i="1" s="1"/>
  <c r="AF114" i="1"/>
  <c r="W114" i="1" s="1"/>
  <c r="C114" i="1"/>
  <c r="AF113" i="1"/>
  <c r="W113" i="1" s="1"/>
  <c r="AF112" i="1"/>
  <c r="W112" i="1" s="1"/>
  <c r="AF111" i="1"/>
  <c r="W111" i="1" s="1"/>
  <c r="C111" i="1"/>
  <c r="AF110" i="1"/>
  <c r="W110" i="1" s="1"/>
  <c r="AF109" i="1"/>
  <c r="W109" i="1" s="1"/>
  <c r="AF108" i="1"/>
  <c r="W108" i="1" s="1"/>
  <c r="C108" i="1"/>
  <c r="AF107" i="1"/>
  <c r="AF106" i="1"/>
  <c r="W106" i="1" s="1"/>
  <c r="C106" i="1"/>
  <c r="AF105" i="1"/>
  <c r="AF104" i="1"/>
  <c r="W104" i="1" s="1"/>
  <c r="AF103" i="1"/>
  <c r="AF102" i="1"/>
  <c r="W102" i="1" s="1"/>
  <c r="C102" i="1"/>
  <c r="AF101" i="1"/>
  <c r="AE101" i="1" s="1"/>
  <c r="AF100" i="1"/>
  <c r="AF99" i="1"/>
  <c r="AE99" i="1" s="1"/>
  <c r="AF98" i="1"/>
  <c r="AF97" i="1"/>
  <c r="W97" i="1" s="1"/>
  <c r="AF96" i="1"/>
  <c r="AE96" i="1" s="1"/>
  <c r="C96" i="1"/>
  <c r="AF95" i="1"/>
  <c r="AE95" i="1" s="1"/>
  <c r="C95" i="1"/>
  <c r="AF94" i="1"/>
  <c r="AE94" i="1" s="1"/>
  <c r="AF93" i="1"/>
  <c r="AE93" i="1" s="1"/>
  <c r="C93" i="1"/>
  <c r="AF92" i="1"/>
  <c r="AE92" i="1" s="1"/>
  <c r="AF91" i="1"/>
  <c r="C91" i="1"/>
  <c r="AF90" i="1"/>
  <c r="AE90" i="1" s="1"/>
  <c r="AF89" i="1"/>
  <c r="AE89" i="1" s="1"/>
  <c r="AF88" i="1"/>
  <c r="W88" i="1" s="1"/>
  <c r="AF87" i="1"/>
  <c r="AE87" i="1" s="1"/>
  <c r="AF86" i="1"/>
  <c r="W86" i="1" s="1"/>
  <c r="C86" i="1"/>
  <c r="AF85" i="1"/>
  <c r="C85" i="1"/>
  <c r="AF84" i="1"/>
  <c r="AF83" i="1"/>
  <c r="AF82" i="1"/>
  <c r="W82" i="1" s="1"/>
  <c r="C82" i="1"/>
  <c r="AF81" i="1"/>
  <c r="W81" i="1" s="1"/>
  <c r="C81" i="1"/>
  <c r="AF80" i="1"/>
  <c r="W80" i="1" s="1"/>
  <c r="AF79" i="1"/>
  <c r="W79" i="1" s="1"/>
  <c r="C79" i="1"/>
  <c r="AF78" i="1"/>
  <c r="W78" i="1" s="1"/>
  <c r="AF77" i="1"/>
  <c r="W77" i="1" s="1"/>
  <c r="C77" i="1"/>
  <c r="AF76" i="1"/>
  <c r="W76" i="1" s="1"/>
  <c r="AF75" i="1"/>
  <c r="W75" i="1" s="1"/>
  <c r="AF74" i="1"/>
  <c r="W74" i="1" s="1"/>
  <c r="C74" i="1"/>
  <c r="AF73" i="1"/>
  <c r="W73" i="1" s="1"/>
  <c r="AF72" i="1"/>
  <c r="W72" i="1" s="1"/>
  <c r="AF71" i="1"/>
  <c r="W71" i="1" s="1"/>
  <c r="AF69" i="1"/>
  <c r="W69" i="1" s="1"/>
  <c r="C69" i="1"/>
  <c r="AF68" i="1"/>
  <c r="AF67" i="1"/>
  <c r="W67" i="1" s="1"/>
  <c r="C67" i="1"/>
  <c r="AF66" i="1"/>
  <c r="C66" i="1"/>
  <c r="AF65" i="1"/>
  <c r="W65" i="1" s="1"/>
  <c r="AF64" i="1"/>
  <c r="AF63" i="1"/>
  <c r="W63" i="1" s="1"/>
  <c r="C63" i="1"/>
  <c r="AF62" i="1"/>
  <c r="AF61" i="1"/>
  <c r="W61" i="1" s="1"/>
  <c r="AF60" i="1"/>
  <c r="W60" i="1" s="1"/>
  <c r="AF59" i="1"/>
  <c r="W59" i="1" s="1"/>
  <c r="AF58" i="1"/>
  <c r="AF57" i="1"/>
  <c r="W57" i="1" s="1"/>
  <c r="AF56" i="1"/>
  <c r="W56" i="1" s="1"/>
  <c r="AF55" i="1"/>
  <c r="W55" i="1" s="1"/>
  <c r="AF54" i="1"/>
  <c r="W54" i="1" s="1"/>
  <c r="AF53" i="1"/>
  <c r="W53" i="1" s="1"/>
  <c r="AF52" i="1"/>
  <c r="W52" i="1" s="1"/>
  <c r="AF51" i="1"/>
  <c r="W51" i="1" s="1"/>
  <c r="AF50" i="1"/>
  <c r="W50" i="1" s="1"/>
  <c r="AF49" i="1"/>
  <c r="W49" i="1" s="1"/>
  <c r="C49" i="1"/>
  <c r="AF48" i="1"/>
  <c r="W48" i="1" s="1"/>
  <c r="C48" i="1"/>
  <c r="AF47" i="1"/>
  <c r="AF46" i="1"/>
  <c r="W46" i="1" s="1"/>
  <c r="AF45" i="1"/>
  <c r="W45" i="1" s="1"/>
  <c r="AF44" i="1"/>
  <c r="W44" i="1" s="1"/>
  <c r="AF43" i="1"/>
  <c r="C43" i="1"/>
  <c r="AF42" i="1"/>
  <c r="W42" i="1" s="1"/>
  <c r="AF41" i="1"/>
  <c r="W41" i="1" s="1"/>
  <c r="C41" i="1"/>
  <c r="AF40" i="1"/>
  <c r="AF39" i="1"/>
  <c r="W39" i="1" s="1"/>
  <c r="AF38" i="1"/>
  <c r="AF37" i="1"/>
  <c r="AE37" i="1" s="1"/>
  <c r="AF36" i="1"/>
  <c r="W36" i="1" s="1"/>
  <c r="AF35" i="1"/>
  <c r="W35" i="1" s="1"/>
  <c r="AF34" i="1"/>
  <c r="W34" i="1" s="1"/>
  <c r="C34" i="1"/>
  <c r="AF33" i="1"/>
  <c r="AF32" i="1"/>
  <c r="W32" i="1" s="1"/>
  <c r="C32" i="1"/>
  <c r="AF31" i="1"/>
  <c r="AF30" i="1"/>
  <c r="W30" i="1" s="1"/>
  <c r="C30" i="1"/>
  <c r="AF29" i="1"/>
  <c r="AF28" i="1"/>
  <c r="W28" i="1" s="1"/>
  <c r="AF27" i="1"/>
  <c r="W27" i="1" s="1"/>
  <c r="AF26" i="1"/>
  <c r="C26" i="1"/>
  <c r="AF25" i="1"/>
  <c r="W25" i="1" s="1"/>
  <c r="C25" i="1"/>
  <c r="AF24" i="1"/>
  <c r="AF23" i="1"/>
  <c r="W23" i="1" s="1"/>
  <c r="C23" i="1"/>
  <c r="AF22" i="1"/>
  <c r="AF21" i="1"/>
  <c r="W21" i="1" s="1"/>
  <c r="C21" i="1"/>
  <c r="AF20" i="1"/>
  <c r="C20" i="1"/>
  <c r="AF19" i="1"/>
  <c r="W19" i="1" s="1"/>
  <c r="AF18" i="1"/>
  <c r="C18" i="1"/>
  <c r="AF17" i="1"/>
  <c r="W17" i="1" s="1"/>
  <c r="AF16" i="1"/>
  <c r="W16" i="1" s="1"/>
  <c r="C16" i="1"/>
  <c r="AF15" i="1"/>
  <c r="W15" i="1" s="1"/>
  <c r="AF14" i="1"/>
  <c r="AF13" i="1"/>
  <c r="W13" i="1" s="1"/>
  <c r="C13" i="1"/>
  <c r="AF12" i="1"/>
  <c r="C12" i="1"/>
  <c r="AF11" i="1"/>
  <c r="AF10" i="1"/>
  <c r="C10" i="1"/>
  <c r="AF9" i="1"/>
  <c r="AF8" i="1"/>
  <c r="AF7" i="1"/>
  <c r="AF6" i="1"/>
  <c r="AF5" i="1"/>
  <c r="AE5" i="1" s="1"/>
  <c r="AF4" i="1"/>
  <c r="AF3" i="1"/>
  <c r="AE3" i="1" s="1"/>
  <c r="H1" i="1"/>
  <c r="AE14" i="1" l="1"/>
  <c r="W14" i="1"/>
  <c r="AE33" i="1"/>
  <c r="W33" i="1"/>
  <c r="AE62" i="1"/>
  <c r="W62" i="1"/>
  <c r="AE66" i="1"/>
  <c r="W66" i="1"/>
  <c r="AE105" i="1"/>
  <c r="W105" i="1"/>
  <c r="AE122" i="1"/>
  <c r="W122" i="1"/>
  <c r="AE20" i="1"/>
  <c r="W20" i="1"/>
  <c r="AE24" i="1"/>
  <c r="W24" i="1"/>
  <c r="AE26" i="1"/>
  <c r="W26" i="1"/>
  <c r="AE31" i="1"/>
  <c r="W31" i="1"/>
  <c r="AE43" i="1"/>
  <c r="W43" i="1"/>
  <c r="AE47" i="1"/>
  <c r="W47" i="1"/>
  <c r="AE64" i="1"/>
  <c r="W64" i="1"/>
  <c r="AE68" i="1"/>
  <c r="W68" i="1"/>
  <c r="AE83" i="1"/>
  <c r="W83" i="1"/>
  <c r="AE107" i="1"/>
  <c r="W107" i="1"/>
  <c r="AE124" i="1"/>
  <c r="W124" i="1"/>
  <c r="AE130" i="1"/>
  <c r="W130" i="1"/>
  <c r="AE154" i="1"/>
  <c r="W154" i="1"/>
  <c r="AE162" i="1"/>
  <c r="W162" i="1"/>
  <c r="AE179" i="1"/>
  <c r="W179" i="1"/>
  <c r="AE269" i="1"/>
  <c r="W269" i="1"/>
  <c r="AE18" i="1"/>
  <c r="W18" i="1"/>
  <c r="AE22" i="1"/>
  <c r="W22" i="1"/>
  <c r="AE29" i="1"/>
  <c r="W29" i="1"/>
  <c r="AE58" i="1"/>
  <c r="W58" i="1"/>
  <c r="AE84" i="1"/>
  <c r="W84" i="1"/>
  <c r="AE85" i="1"/>
  <c r="W85" i="1"/>
  <c r="AE103" i="1"/>
  <c r="W103" i="1"/>
  <c r="AE119" i="1"/>
  <c r="W119" i="1"/>
  <c r="AE128" i="1"/>
  <c r="W128" i="1"/>
  <c r="AE134" i="1"/>
  <c r="W134" i="1"/>
  <c r="AE136" i="1"/>
  <c r="W136" i="1"/>
  <c r="AE138" i="1"/>
  <c r="W138" i="1"/>
  <c r="AE143" i="1"/>
  <c r="W143" i="1"/>
  <c r="AE145" i="1"/>
  <c r="W145" i="1"/>
  <c r="AE147" i="1"/>
  <c r="W147" i="1"/>
  <c r="AE156" i="1"/>
  <c r="W156" i="1"/>
  <c r="AE158" i="1"/>
  <c r="W158" i="1"/>
  <c r="AE239" i="1"/>
  <c r="W239" i="1"/>
  <c r="AE255" i="1"/>
  <c r="W255" i="1"/>
  <c r="AE9" i="1"/>
  <c r="AE17" i="1"/>
  <c r="AE27" i="1"/>
  <c r="AE34" i="1"/>
  <c r="AE38" i="1"/>
  <c r="AE67" i="1"/>
  <c r="AE71" i="1"/>
  <c r="AE74" i="1"/>
  <c r="AE76" i="1"/>
  <c r="AE81" i="1"/>
  <c r="AE82" i="1"/>
  <c r="AE100" i="1"/>
  <c r="AE123" i="1"/>
  <c r="AE131" i="1"/>
  <c r="AE153" i="1"/>
  <c r="AE164" i="1"/>
  <c r="AE170" i="1"/>
  <c r="AE172" i="1"/>
  <c r="AE175" i="1"/>
  <c r="AE177" i="1"/>
  <c r="AE183" i="1"/>
  <c r="AE188" i="1"/>
  <c r="AE191" i="1"/>
  <c r="AE192" i="1"/>
  <c r="AM192" i="1" s="1"/>
  <c r="AE195" i="1"/>
  <c r="AE196" i="1"/>
  <c r="AE197" i="1"/>
  <c r="AE203" i="1"/>
  <c r="AE205" i="1"/>
  <c r="AE207" i="1"/>
  <c r="AE214" i="1"/>
  <c r="AM214" i="1" s="1"/>
  <c r="AE226" i="1"/>
  <c r="AN226" i="1" s="1"/>
  <c r="AE229" i="1"/>
  <c r="AM229" i="1" s="1"/>
  <c r="AE240" i="1"/>
  <c r="AE244" i="1"/>
  <c r="AE249" i="1"/>
  <c r="AN249" i="1" s="1"/>
  <c r="AE254" i="1"/>
  <c r="AE256" i="1"/>
  <c r="AE267" i="1"/>
  <c r="AE278" i="1"/>
  <c r="AE279" i="1"/>
  <c r="AE281" i="1"/>
  <c r="AE282" i="1"/>
  <c r="AE283" i="1"/>
  <c r="AE284" i="1"/>
  <c r="AE285" i="1"/>
  <c r="AM285" i="1" s="1"/>
  <c r="AE287" i="1"/>
  <c r="AE288" i="1"/>
  <c r="AE289" i="1"/>
  <c r="AE290" i="1"/>
  <c r="AE291" i="1"/>
  <c r="AE297" i="1"/>
  <c r="AE301" i="1"/>
  <c r="AE302" i="1"/>
  <c r="AN302" i="1" s="1"/>
  <c r="AE305" i="1"/>
  <c r="AE311" i="1"/>
  <c r="AE312" i="1"/>
  <c r="AE313" i="1"/>
  <c r="AE314" i="1"/>
  <c r="AE315" i="1"/>
  <c r="AE320" i="1"/>
  <c r="AE321" i="1"/>
  <c r="AE324" i="1"/>
  <c r="AE325" i="1"/>
  <c r="AM325" i="1" s="1"/>
  <c r="AE328" i="1"/>
  <c r="AE329" i="1"/>
  <c r="AE330" i="1"/>
  <c r="AN330" i="1" s="1"/>
  <c r="AE361" i="1"/>
  <c r="AM361" i="1" s="1"/>
  <c r="AE336" i="1"/>
  <c r="AE337" i="1"/>
  <c r="AE338" i="1"/>
  <c r="AE339" i="1"/>
  <c r="AE340" i="1"/>
  <c r="AN340" i="1" s="1"/>
  <c r="AE344" i="1"/>
  <c r="AE345" i="1"/>
  <c r="AE346" i="1"/>
  <c r="AE347" i="1"/>
  <c r="AN347" i="1" s="1"/>
  <c r="AE349" i="1"/>
  <c r="AE350" i="1"/>
  <c r="AE351" i="1"/>
  <c r="AE355" i="1"/>
  <c r="AN355" i="1" s="1"/>
  <c r="AE362" i="1"/>
  <c r="AE366" i="1"/>
  <c r="AE367" i="1"/>
  <c r="AE368" i="1"/>
  <c r="AE4" i="1"/>
  <c r="AE6" i="1"/>
  <c r="AE8" i="1"/>
  <c r="AE11" i="1"/>
  <c r="AE12" i="1"/>
  <c r="AE15" i="1"/>
  <c r="AE16" i="1"/>
  <c r="AE19" i="1"/>
  <c r="AE21" i="1"/>
  <c r="AE25" i="1"/>
  <c r="AE28" i="1"/>
  <c r="AE32" i="1"/>
  <c r="AE35" i="1"/>
  <c r="AE42" i="1"/>
  <c r="AE45" i="1"/>
  <c r="AE48" i="1"/>
  <c r="AE51" i="1"/>
  <c r="AE53" i="1"/>
  <c r="AE55" i="1"/>
  <c r="AE57" i="1"/>
  <c r="AE59" i="1"/>
  <c r="AE61" i="1"/>
  <c r="AE69" i="1"/>
  <c r="AE72" i="1"/>
  <c r="AE78" i="1"/>
  <c r="AE79" i="1"/>
  <c r="AM79" i="1" s="1"/>
  <c r="AE104" i="1"/>
  <c r="AE108" i="1"/>
  <c r="AE110" i="1"/>
  <c r="AE113" i="1"/>
  <c r="AE114" i="1"/>
  <c r="AE116" i="1"/>
  <c r="AE118" i="1"/>
  <c r="AE133" i="1"/>
  <c r="AE135" i="1"/>
  <c r="AE137" i="1"/>
  <c r="AE141" i="1"/>
  <c r="AE144" i="1"/>
  <c r="AE146" i="1"/>
  <c r="AE148" i="1"/>
  <c r="AE150" i="1"/>
  <c r="AE152" i="1"/>
  <c r="AE155" i="1"/>
  <c r="AE157" i="1"/>
  <c r="AE161" i="1"/>
  <c r="AE166" i="1"/>
  <c r="AE168" i="1"/>
  <c r="AE176" i="1"/>
  <c r="AE180" i="1"/>
  <c r="AE181" i="1"/>
  <c r="AE182" i="1"/>
  <c r="AE186" i="1"/>
  <c r="AE187" i="1"/>
  <c r="AE189" i="1"/>
  <c r="AE190" i="1"/>
  <c r="AE193" i="1"/>
  <c r="AE199" i="1"/>
  <c r="AE201" i="1"/>
  <c r="AE204" i="1"/>
  <c r="AE208" i="1"/>
  <c r="AE209" i="1"/>
  <c r="AE211" i="1"/>
  <c r="AE212" i="1"/>
  <c r="AE217" i="1"/>
  <c r="AE218" i="1"/>
  <c r="AM218" i="1" s="1"/>
  <c r="AE220" i="1"/>
  <c r="AE221" i="1"/>
  <c r="AM221" i="1" s="1"/>
  <c r="AE224" i="1"/>
  <c r="AN224" i="1" s="1"/>
  <c r="AE227" i="1"/>
  <c r="AE230" i="1"/>
  <c r="AE231" i="1"/>
  <c r="AE232" i="1"/>
  <c r="AE233" i="1"/>
  <c r="AM233" i="1" s="1"/>
  <c r="AE236" i="1"/>
  <c r="AE242" i="1"/>
  <c r="AE243" i="1"/>
  <c r="AE246" i="1"/>
  <c r="AE247" i="1"/>
  <c r="AE248" i="1"/>
  <c r="AE252" i="1"/>
  <c r="AE259" i="1"/>
  <c r="AE260" i="1"/>
  <c r="AN260" i="1" s="1"/>
  <c r="AE262" i="1"/>
  <c r="AE263" i="1"/>
  <c r="AE264" i="1"/>
  <c r="AE265" i="1"/>
  <c r="AE270" i="1"/>
  <c r="AE271" i="1"/>
  <c r="AE272" i="1"/>
  <c r="AE273" i="1"/>
  <c r="AM273" i="1" s="1"/>
  <c r="AE275" i="1"/>
  <c r="AE276" i="1"/>
  <c r="AE293" i="1"/>
  <c r="AE294" i="1"/>
  <c r="AE295" i="1"/>
  <c r="AE296" i="1"/>
  <c r="AM296" i="1" s="1"/>
  <c r="AE299" i="1"/>
  <c r="AE307" i="1"/>
  <c r="AM307" i="1" s="1"/>
  <c r="AE308" i="1"/>
  <c r="AE309" i="1"/>
  <c r="AE310" i="1"/>
  <c r="AM310" i="1" s="1"/>
  <c r="AE317" i="1"/>
  <c r="AE318" i="1"/>
  <c r="AE323" i="1"/>
  <c r="AM323" i="1" s="1"/>
  <c r="AE326" i="1"/>
  <c r="AE327" i="1"/>
  <c r="AM327" i="1" s="1"/>
  <c r="AE331" i="1"/>
  <c r="AE359" i="1"/>
  <c r="AE333" i="1"/>
  <c r="AE334" i="1"/>
  <c r="AE335" i="1"/>
  <c r="AM335" i="1" s="1"/>
  <c r="AE341" i="1"/>
  <c r="AE342" i="1"/>
  <c r="AE353" i="1"/>
  <c r="AE356" i="1"/>
  <c r="AE357" i="1"/>
  <c r="AM357" i="1" s="1"/>
  <c r="AE364" i="1"/>
  <c r="AE365" i="1"/>
  <c r="AM365" i="1" s="1"/>
  <c r="AE370" i="1"/>
  <c r="X7" i="1"/>
  <c r="Y7" i="1" s="1"/>
  <c r="Z7" i="1" s="1"/>
  <c r="AA7" i="1" s="1"/>
  <c r="AE7" i="1"/>
  <c r="AE10" i="1"/>
  <c r="AE40" i="1"/>
  <c r="AE46" i="1"/>
  <c r="AE50" i="1"/>
  <c r="AE52" i="1"/>
  <c r="AE56" i="1"/>
  <c r="AE63" i="1"/>
  <c r="X65" i="1"/>
  <c r="AE65" i="1"/>
  <c r="AE73" i="1"/>
  <c r="AE77" i="1"/>
  <c r="AE80" i="1"/>
  <c r="AE91" i="1"/>
  <c r="AN91" i="1" s="1"/>
  <c r="AE98" i="1"/>
  <c r="AE106" i="1"/>
  <c r="AE112" i="1"/>
  <c r="AE117" i="1"/>
  <c r="AE140" i="1"/>
  <c r="AE151" i="1"/>
  <c r="AE160" i="1"/>
  <c r="AM160" i="1" s="1"/>
  <c r="AE165" i="1"/>
  <c r="AM165" i="1" s="1"/>
  <c r="AE178" i="1"/>
  <c r="AE185" i="1"/>
  <c r="AE216" i="1"/>
  <c r="AE222" i="1"/>
  <c r="AE225" i="1"/>
  <c r="AE228" i="1"/>
  <c r="AE234" i="1"/>
  <c r="AE238" i="1"/>
  <c r="AE241" i="1"/>
  <c r="AM241" i="1" s="1"/>
  <c r="AE245" i="1"/>
  <c r="AN245" i="1" s="1"/>
  <c r="AE257" i="1"/>
  <c r="AE280" i="1"/>
  <c r="AE304" i="1"/>
  <c r="AM340" i="1"/>
  <c r="AM286" i="1"/>
  <c r="AN286" i="1"/>
  <c r="AM249" i="1"/>
  <c r="X64" i="1"/>
  <c r="X3" i="1"/>
  <c r="X68" i="1"/>
  <c r="X58" i="1"/>
  <c r="X62" i="1"/>
  <c r="X66" i="1"/>
  <c r="AM237" i="1"/>
  <c r="AN237" i="1"/>
  <c r="AM235" i="1"/>
  <c r="AN235" i="1"/>
  <c r="AM210" i="1"/>
  <c r="AN210" i="1"/>
  <c r="AM83" i="1"/>
  <c r="X83" i="1"/>
  <c r="AM128" i="1"/>
  <c r="X132" i="1"/>
  <c r="Y132" i="1" s="1"/>
  <c r="Z132" i="1" s="1"/>
  <c r="AA132" i="1" s="1"/>
  <c r="AM5" i="1"/>
  <c r="AN5" i="1"/>
  <c r="X60" i="1"/>
  <c r="Y60" i="1" s="1"/>
  <c r="Z60" i="1" s="1"/>
  <c r="AA60" i="1" s="1"/>
  <c r="AN84" i="1"/>
  <c r="X84" i="1"/>
  <c r="AN85" i="1"/>
  <c r="X85" i="1"/>
  <c r="AN86" i="1"/>
  <c r="X86" i="1"/>
  <c r="AN88" i="1"/>
  <c r="X88" i="1"/>
  <c r="X130" i="1"/>
  <c r="Y130" i="1" s="1"/>
  <c r="Z130" i="1" s="1"/>
  <c r="AA130" i="1" s="1"/>
  <c r="X136" i="1"/>
  <c r="Y136" i="1" s="1"/>
  <c r="Z136" i="1" s="1"/>
  <c r="AA136" i="1" s="1"/>
  <c r="X138" i="1"/>
  <c r="Y138" i="1" s="1"/>
  <c r="Z138" i="1" s="1"/>
  <c r="AA138" i="1" s="1"/>
  <c r="X22" i="1"/>
  <c r="Y22" i="1" s="1"/>
  <c r="Z22" i="1" s="1"/>
  <c r="AA22" i="1" s="1"/>
  <c r="X37" i="1"/>
  <c r="X43" i="1"/>
  <c r="X87" i="1"/>
  <c r="X90" i="1"/>
  <c r="Y90" i="1" s="1"/>
  <c r="Z90" i="1" s="1"/>
  <c r="AA90" i="1" s="1"/>
  <c r="AN92" i="1"/>
  <c r="X92" i="1"/>
  <c r="Y92" i="1" s="1"/>
  <c r="Z92" i="1" s="1"/>
  <c r="AA92" i="1" s="1"/>
  <c r="AM93" i="1"/>
  <c r="X93" i="1"/>
  <c r="AN97" i="1"/>
  <c r="X97" i="1"/>
  <c r="X107" i="1"/>
  <c r="Y107" i="1" s="1"/>
  <c r="Z107" i="1" s="1"/>
  <c r="AA107" i="1" s="1"/>
  <c r="AM124" i="1"/>
  <c r="Y124" i="1"/>
  <c r="Z124" i="1" s="1"/>
  <c r="AA124" i="1" s="1"/>
  <c r="X134" i="1"/>
  <c r="X145" i="1"/>
  <c r="Y145" i="1" s="1"/>
  <c r="Z145" i="1" s="1"/>
  <c r="AA145" i="1" s="1"/>
  <c r="X147" i="1"/>
  <c r="X149" i="1"/>
  <c r="AN167" i="1"/>
  <c r="X167" i="1"/>
  <c r="X255" i="1"/>
  <c r="X261" i="1"/>
  <c r="X269" i="1"/>
  <c r="X5" i="1"/>
  <c r="X14" i="1"/>
  <c r="Y14" i="1" s="1"/>
  <c r="Z14" i="1" s="1"/>
  <c r="AA14" i="1" s="1"/>
  <c r="X18" i="1"/>
  <c r="Y18" i="1" s="1"/>
  <c r="Z18" i="1" s="1"/>
  <c r="AA18" i="1" s="1"/>
  <c r="X20" i="1"/>
  <c r="Y20" i="1" s="1"/>
  <c r="Z20" i="1" s="1"/>
  <c r="AA20" i="1" s="1"/>
  <c r="X24" i="1"/>
  <c r="Y24" i="1" s="1"/>
  <c r="Z24" i="1" s="1"/>
  <c r="AA24" i="1" s="1"/>
  <c r="X26" i="1"/>
  <c r="X29" i="1"/>
  <c r="Y29" i="1" s="1"/>
  <c r="Z29" i="1" s="1"/>
  <c r="AA29" i="1" s="1"/>
  <c r="X31" i="1"/>
  <c r="Y31" i="1" s="1"/>
  <c r="Z31" i="1" s="1"/>
  <c r="AA31" i="1" s="1"/>
  <c r="X33" i="1"/>
  <c r="Y33" i="1" s="1"/>
  <c r="Z33" i="1" s="1"/>
  <c r="AA33" i="1" s="1"/>
  <c r="X41" i="1"/>
  <c r="Y41" i="1" s="1"/>
  <c r="Z41" i="1" s="1"/>
  <c r="AA41" i="1" s="1"/>
  <c r="X47" i="1"/>
  <c r="Y47" i="1" s="1"/>
  <c r="Z47" i="1" s="1"/>
  <c r="AA47" i="1" s="1"/>
  <c r="X49" i="1"/>
  <c r="Y49" i="1" s="1"/>
  <c r="Z49" i="1" s="1"/>
  <c r="AA49" i="1" s="1"/>
  <c r="AN89" i="1"/>
  <c r="X89" i="1"/>
  <c r="AN94" i="1"/>
  <c r="X94" i="1"/>
  <c r="AN95" i="1"/>
  <c r="X95" i="1"/>
  <c r="AM96" i="1"/>
  <c r="X96" i="1"/>
  <c r="Y96" i="1" s="1"/>
  <c r="Z96" i="1" s="1"/>
  <c r="AA96" i="1" s="1"/>
  <c r="X99" i="1"/>
  <c r="X101" i="1"/>
  <c r="Y101" i="1" s="1"/>
  <c r="Z101" i="1" s="1"/>
  <c r="AA101" i="1" s="1"/>
  <c r="AN103" i="1"/>
  <c r="X103" i="1"/>
  <c r="AM105" i="1"/>
  <c r="X105" i="1"/>
  <c r="AN119" i="1"/>
  <c r="X119" i="1"/>
  <c r="Y119" i="1" s="1"/>
  <c r="Z119" i="1" s="1"/>
  <c r="AA119" i="1" s="1"/>
  <c r="AM122" i="1"/>
  <c r="X122" i="1"/>
  <c r="AM126" i="1"/>
  <c r="X126" i="1"/>
  <c r="Y126" i="1" s="1"/>
  <c r="Z126" i="1" s="1"/>
  <c r="AA126" i="1" s="1"/>
  <c r="X143" i="1"/>
  <c r="Y143" i="1" s="1"/>
  <c r="Z143" i="1" s="1"/>
  <c r="AA143" i="1" s="1"/>
  <c r="X156" i="1"/>
  <c r="AN158" i="1"/>
  <c r="X158" i="1"/>
  <c r="X171" i="1"/>
  <c r="X239" i="1"/>
  <c r="X179" i="1"/>
  <c r="AN173" i="1"/>
  <c r="X173" i="1"/>
  <c r="X169" i="1"/>
  <c r="AN162" i="1"/>
  <c r="X162" i="1"/>
  <c r="X154" i="1"/>
  <c r="AM136" i="1"/>
  <c r="AN136" i="1"/>
  <c r="AM103" i="1"/>
  <c r="AM99" i="1"/>
  <c r="AN99" i="1"/>
  <c r="E1" i="8"/>
  <c r="B13" i="8" s="1"/>
  <c r="I13" i="8" s="1"/>
  <c r="AM162" i="1"/>
  <c r="AM149" i="1"/>
  <c r="AN149" i="1"/>
  <c r="AM147" i="1"/>
  <c r="AN147" i="1"/>
  <c r="AM143" i="1"/>
  <c r="AN143" i="1"/>
  <c r="AM134" i="1"/>
  <c r="AN128" i="1"/>
  <c r="AN126" i="1"/>
  <c r="AM119" i="1"/>
  <c r="AM62" i="1"/>
  <c r="AN62" i="1"/>
  <c r="AM97" i="1"/>
  <c r="AM95" i="1"/>
  <c r="AM94" i="1"/>
  <c r="AM89" i="1"/>
  <c r="AM87" i="1"/>
  <c r="AN87" i="1"/>
  <c r="AM86" i="1"/>
  <c r="X9" i="1"/>
  <c r="Y9" i="1" s="1"/>
  <c r="Z9" i="1" s="1"/>
  <c r="AA9" i="1" s="1"/>
  <c r="X11" i="1"/>
  <c r="Y11" i="1" s="1"/>
  <c r="Z11" i="1" s="1"/>
  <c r="AA11" i="1" s="1"/>
  <c r="X13" i="1"/>
  <c r="AI316" i="1"/>
  <c r="AI332" i="1"/>
  <c r="AI251" i="1"/>
  <c r="AI266" i="1"/>
  <c r="AI343" i="1"/>
  <c r="AD251" i="1"/>
  <c r="AG316" i="1"/>
  <c r="AG332" i="1"/>
  <c r="AD343" i="1"/>
  <c r="X63" i="1"/>
  <c r="X67" i="1"/>
  <c r="X102" i="1"/>
  <c r="X121" i="1"/>
  <c r="X128" i="1"/>
  <c r="X146" i="1"/>
  <c r="Y146" i="1" s="1"/>
  <c r="Z146" i="1" s="1"/>
  <c r="AA146" i="1" s="1"/>
  <c r="X160" i="1"/>
  <c r="X161" i="1"/>
  <c r="X165" i="1"/>
  <c r="Y165" i="1" s="1"/>
  <c r="Z165" i="1" s="1"/>
  <c r="AA165" i="1" s="1"/>
  <c r="X175" i="1"/>
  <c r="X176" i="1"/>
  <c r="X177" i="1"/>
  <c r="X180" i="1"/>
  <c r="Y180" i="1" s="1"/>
  <c r="X4" i="1"/>
  <c r="Y4" i="1" s="1"/>
  <c r="Z4" i="1" s="1"/>
  <c r="AA4" i="1" s="1"/>
  <c r="X15" i="1"/>
  <c r="Y15" i="1" s="1"/>
  <c r="Z15" i="1" s="1"/>
  <c r="AA15" i="1" s="1"/>
  <c r="X17" i="1"/>
  <c r="X30" i="1"/>
  <c r="X32" i="1"/>
  <c r="X34" i="1"/>
  <c r="X44" i="1"/>
  <c r="Y44" i="1" s="1"/>
  <c r="Z44" i="1" s="1"/>
  <c r="AA44" i="1" s="1"/>
  <c r="X46" i="1"/>
  <c r="X53" i="1"/>
  <c r="X56" i="1"/>
  <c r="X91" i="1"/>
  <c r="X112" i="1"/>
  <c r="X118" i="1"/>
  <c r="X123" i="1"/>
  <c r="X141" i="1"/>
  <c r="Y141" i="1" s="1"/>
  <c r="Z141" i="1" s="1"/>
  <c r="AA141" i="1" s="1"/>
  <c r="X159" i="1"/>
  <c r="Y159" i="1" s="1"/>
  <c r="Z159" i="1" s="1"/>
  <c r="AA159" i="1" s="1"/>
  <c r="X168" i="1"/>
  <c r="X188" i="1"/>
  <c r="X55" i="1"/>
  <c r="X223" i="1"/>
  <c r="Y223" i="1" s="1"/>
  <c r="Z223" i="1" s="1"/>
  <c r="AA223" i="1" s="1"/>
  <c r="X247" i="1"/>
  <c r="X215" i="1"/>
  <c r="X231" i="1"/>
  <c r="Y231" i="1" s="1"/>
  <c r="Z231" i="1" s="1"/>
  <c r="AA231" i="1" s="1"/>
  <c r="X51" i="1"/>
  <c r="Y51" i="1" s="1"/>
  <c r="Z51" i="1" s="1"/>
  <c r="AA51" i="1" s="1"/>
  <c r="X52" i="1"/>
  <c r="Y52" i="1" s="1"/>
  <c r="Z52" i="1" s="1"/>
  <c r="AA52" i="1" s="1"/>
  <c r="X111" i="1"/>
  <c r="Y111" i="1" s="1"/>
  <c r="Z111" i="1" s="1"/>
  <c r="AA111" i="1" s="1"/>
  <c r="X115" i="1"/>
  <c r="Y115" i="1" s="1"/>
  <c r="Z115" i="1" s="1"/>
  <c r="AA115" i="1" s="1"/>
  <c r="X117" i="1"/>
  <c r="Y117" i="1" s="1"/>
  <c r="Z117" i="1" s="1"/>
  <c r="AA117" i="1" s="1"/>
  <c r="X191" i="1"/>
  <c r="Y191" i="1" s="1"/>
  <c r="Z191" i="1" s="1"/>
  <c r="AA191" i="1" s="1"/>
  <c r="X207" i="1"/>
  <c r="Y207" i="1" s="1"/>
  <c r="Z207" i="1" s="1"/>
  <c r="AA207" i="1" s="1"/>
  <c r="X182" i="1"/>
  <c r="Y182" i="1" s="1"/>
  <c r="Z182" i="1" s="1"/>
  <c r="AA182" i="1" s="1"/>
  <c r="X199" i="1"/>
  <c r="Y199" i="1" s="1"/>
  <c r="Z199" i="1" s="1"/>
  <c r="AA199" i="1" s="1"/>
  <c r="X27" i="1"/>
  <c r="Y27" i="1" s="1"/>
  <c r="Z27" i="1" s="1"/>
  <c r="AA27" i="1" s="1"/>
  <c r="X39" i="1"/>
  <c r="X109" i="1"/>
  <c r="Y109" i="1" s="1"/>
  <c r="Z109" i="1" s="1"/>
  <c r="AA109" i="1" s="1"/>
  <c r="X187" i="1"/>
  <c r="Y187" i="1" s="1"/>
  <c r="Z187" i="1" s="1"/>
  <c r="AA187" i="1" s="1"/>
  <c r="X193" i="1"/>
  <c r="Y193" i="1" s="1"/>
  <c r="Z193" i="1" s="1"/>
  <c r="AA193" i="1" s="1"/>
  <c r="X201" i="1"/>
  <c r="Y201" i="1" s="1"/>
  <c r="Z201" i="1" s="1"/>
  <c r="AA201" i="1" s="1"/>
  <c r="X209" i="1"/>
  <c r="X217" i="1"/>
  <c r="Y217" i="1" s="1"/>
  <c r="Z217" i="1" s="1"/>
  <c r="AA217" i="1" s="1"/>
  <c r="X225" i="1"/>
  <c r="Y225" i="1" s="1"/>
  <c r="Z225" i="1" s="1"/>
  <c r="AA225" i="1" s="1"/>
  <c r="X233" i="1"/>
  <c r="Y233" i="1" s="1"/>
  <c r="Z233" i="1" s="1"/>
  <c r="AA233" i="1" s="1"/>
  <c r="X241" i="1"/>
  <c r="X249" i="1"/>
  <c r="X257" i="1"/>
  <c r="Y257" i="1" s="1"/>
  <c r="Z257" i="1" s="1"/>
  <c r="AA257" i="1" s="1"/>
  <c r="X277" i="1"/>
  <c r="X319" i="1"/>
  <c r="X329" i="1"/>
  <c r="Y329" i="1" s="1"/>
  <c r="Z329" i="1" s="1"/>
  <c r="AA329" i="1" s="1"/>
  <c r="X360" i="1"/>
  <c r="X341" i="1"/>
  <c r="Y341" i="1" s="1"/>
  <c r="Z341" i="1" s="1"/>
  <c r="AA341" i="1" s="1"/>
  <c r="X347" i="1"/>
  <c r="Y347" i="1" s="1"/>
  <c r="Z347" i="1" s="1"/>
  <c r="AA347" i="1" s="1"/>
  <c r="X355" i="1"/>
  <c r="Y355" i="1" s="1"/>
  <c r="Z355" i="1" s="1"/>
  <c r="AA355" i="1" s="1"/>
  <c r="X367" i="1"/>
  <c r="Y367" i="1" s="1"/>
  <c r="Z367" i="1" s="1"/>
  <c r="AA367" i="1" s="1"/>
  <c r="X259" i="1"/>
  <c r="Y259" i="1" s="1"/>
  <c r="Z259" i="1" s="1"/>
  <c r="AA259" i="1" s="1"/>
  <c r="X267" i="1"/>
  <c r="Y267" i="1" s="1"/>
  <c r="Z267" i="1" s="1"/>
  <c r="AA267" i="1" s="1"/>
  <c r="X275" i="1"/>
  <c r="Y275" i="1" s="1"/>
  <c r="Z275" i="1" s="1"/>
  <c r="AA275" i="1" s="1"/>
  <c r="X289" i="1"/>
  <c r="Y289" i="1" s="1"/>
  <c r="Z289" i="1" s="1"/>
  <c r="AA289" i="1" s="1"/>
  <c r="X295" i="1"/>
  <c r="Y295" i="1" s="1"/>
  <c r="Z295" i="1" s="1"/>
  <c r="AA295" i="1" s="1"/>
  <c r="X305" i="1"/>
  <c r="Y305" i="1" s="1"/>
  <c r="Z305" i="1" s="1"/>
  <c r="AA305" i="1" s="1"/>
  <c r="X311" i="1"/>
  <c r="Y311" i="1" s="1"/>
  <c r="Z311" i="1" s="1"/>
  <c r="AA311" i="1" s="1"/>
  <c r="X351" i="1"/>
  <c r="Y351" i="1" s="1"/>
  <c r="Z351" i="1" s="1"/>
  <c r="AA351" i="1" s="1"/>
  <c r="X363" i="1"/>
  <c r="X287" i="1"/>
  <c r="Y287" i="1" s="1"/>
  <c r="Z287" i="1" s="1"/>
  <c r="AA287" i="1" s="1"/>
  <c r="X297" i="1"/>
  <c r="Y297" i="1" s="1"/>
  <c r="Z297" i="1" s="1"/>
  <c r="AA297" i="1" s="1"/>
  <c r="X303" i="1"/>
  <c r="X313" i="1"/>
  <c r="Y313" i="1" s="1"/>
  <c r="Z313" i="1" s="1"/>
  <c r="AA313" i="1" s="1"/>
  <c r="X321" i="1"/>
  <c r="Y321" i="1" s="1"/>
  <c r="Z321" i="1" s="1"/>
  <c r="AA321" i="1" s="1"/>
  <c r="X327" i="1"/>
  <c r="Y327" i="1" s="1"/>
  <c r="Z327" i="1" s="1"/>
  <c r="AA327" i="1" s="1"/>
  <c r="X333" i="1"/>
  <c r="Y333" i="1" s="1"/>
  <c r="Z333" i="1" s="1"/>
  <c r="AA333" i="1" s="1"/>
  <c r="X339" i="1"/>
  <c r="Y339" i="1" s="1"/>
  <c r="Z339" i="1" s="1"/>
  <c r="AA339" i="1" s="1"/>
  <c r="X349" i="1"/>
  <c r="Y349" i="1" s="1"/>
  <c r="Z349" i="1" s="1"/>
  <c r="AA349" i="1" s="1"/>
  <c r="X353" i="1"/>
  <c r="Y353" i="1" s="1"/>
  <c r="Z353" i="1" s="1"/>
  <c r="AA353" i="1" s="1"/>
  <c r="X357" i="1"/>
  <c r="Y357" i="1" s="1"/>
  <c r="Z357" i="1" s="1"/>
  <c r="AA357" i="1" s="1"/>
  <c r="X365" i="1"/>
  <c r="Y365" i="1" s="1"/>
  <c r="Z365" i="1" s="1"/>
  <c r="AA365" i="1" s="1"/>
  <c r="X369" i="1"/>
  <c r="X35" i="1"/>
  <c r="Y35" i="1" s="1"/>
  <c r="X19" i="1"/>
  <c r="X21" i="1"/>
  <c r="Y21" i="1" s="1"/>
  <c r="Z21" i="1" s="1"/>
  <c r="AA21" i="1" s="1"/>
  <c r="X23" i="1"/>
  <c r="X25" i="1"/>
  <c r="Y25" i="1" s="1"/>
  <c r="Z25" i="1" s="1"/>
  <c r="AA25" i="1" s="1"/>
  <c r="X48" i="1"/>
  <c r="X50" i="1"/>
  <c r="Y50" i="1" s="1"/>
  <c r="Z50" i="1" s="1"/>
  <c r="AA50" i="1" s="1"/>
  <c r="X54" i="1"/>
  <c r="Y54" i="1" s="1"/>
  <c r="X291" i="1"/>
  <c r="Y291" i="1" s="1"/>
  <c r="X307" i="1"/>
  <c r="Y307" i="1" s="1"/>
  <c r="Z307" i="1" s="1"/>
  <c r="AA307" i="1" s="1"/>
  <c r="X317" i="1"/>
  <c r="Y317" i="1" s="1"/>
  <c r="X358" i="1"/>
  <c r="X345" i="1"/>
  <c r="Y345" i="1" s="1"/>
  <c r="X8" i="1"/>
  <c r="X10" i="1"/>
  <c r="Y10" i="1" s="1"/>
  <c r="Z10" i="1" s="1"/>
  <c r="AA10" i="1" s="1"/>
  <c r="X12" i="1"/>
  <c r="X16" i="1"/>
  <c r="Y16" i="1" s="1"/>
  <c r="X38" i="1"/>
  <c r="X45" i="1"/>
  <c r="Y45" i="1" s="1"/>
  <c r="X283" i="1"/>
  <c r="Y283" i="1" s="1"/>
  <c r="Z283" i="1" s="1"/>
  <c r="AA283" i="1" s="1"/>
  <c r="X299" i="1"/>
  <c r="Y299" i="1" s="1"/>
  <c r="X315" i="1"/>
  <c r="Y315" i="1" s="1"/>
  <c r="Z315" i="1" s="1"/>
  <c r="AA315" i="1" s="1"/>
  <c r="X325" i="1"/>
  <c r="Y325" i="1" s="1"/>
  <c r="X337" i="1"/>
  <c r="Y337" i="1" s="1"/>
  <c r="Z337" i="1" s="1"/>
  <c r="AA337" i="1" s="1"/>
  <c r="X263" i="1"/>
  <c r="Y263" i="1" s="1"/>
  <c r="Z263" i="1" s="1"/>
  <c r="AA263" i="1" s="1"/>
  <c r="X265" i="1"/>
  <c r="Y265" i="1" s="1"/>
  <c r="Z265" i="1" s="1"/>
  <c r="AA265" i="1" s="1"/>
  <c r="X271" i="1"/>
  <c r="Y271" i="1" s="1"/>
  <c r="Z271" i="1" s="1"/>
  <c r="AA271" i="1" s="1"/>
  <c r="X273" i="1"/>
  <c r="Y273" i="1" s="1"/>
  <c r="Z273" i="1" s="1"/>
  <c r="AA273" i="1" s="1"/>
  <c r="X279" i="1"/>
  <c r="Y279" i="1" s="1"/>
  <c r="Z279" i="1" s="1"/>
  <c r="AA279" i="1" s="1"/>
  <c r="X281" i="1"/>
  <c r="Y281" i="1" s="1"/>
  <c r="Z281" i="1" s="1"/>
  <c r="AA281" i="1" s="1"/>
  <c r="X323" i="1"/>
  <c r="Y323" i="1" s="1"/>
  <c r="Z323" i="1" s="1"/>
  <c r="AA323" i="1" s="1"/>
  <c r="X331" i="1"/>
  <c r="Y331" i="1" s="1"/>
  <c r="Z331" i="1" s="1"/>
  <c r="AA331" i="1" s="1"/>
  <c r="X335" i="1"/>
  <c r="Y335" i="1" s="1"/>
  <c r="Z335" i="1" s="1"/>
  <c r="AA335" i="1" s="1"/>
  <c r="X343" i="1"/>
  <c r="X82" i="1"/>
  <c r="Y82" i="1" s="1"/>
  <c r="X113" i="1"/>
  <c r="Y113" i="1" s="1"/>
  <c r="X140" i="1"/>
  <c r="Y140" i="1" s="1"/>
  <c r="X152" i="1"/>
  <c r="Y152" i="1" s="1"/>
  <c r="X181" i="1"/>
  <c r="Y181" i="1" s="1"/>
  <c r="X189" i="1"/>
  <c r="Y189" i="1" s="1"/>
  <c r="X195" i="1"/>
  <c r="Y195" i="1" s="1"/>
  <c r="X197" i="1"/>
  <c r="Y197" i="1" s="1"/>
  <c r="X203" i="1"/>
  <c r="X205" i="1"/>
  <c r="X211" i="1"/>
  <c r="Y211" i="1" s="1"/>
  <c r="X213" i="1"/>
  <c r="Y213" i="1" s="1"/>
  <c r="X219" i="1"/>
  <c r="X221" i="1"/>
  <c r="Y221" i="1" s="1"/>
  <c r="X227" i="1"/>
  <c r="Y227" i="1" s="1"/>
  <c r="X229" i="1"/>
  <c r="Y229" i="1" s="1"/>
  <c r="X235" i="1"/>
  <c r="X237" i="1"/>
  <c r="X243" i="1"/>
  <c r="X245" i="1"/>
  <c r="X251" i="1"/>
  <c r="X253" i="1"/>
  <c r="X285" i="1"/>
  <c r="Y285" i="1" s="1"/>
  <c r="X293" i="1"/>
  <c r="Y293" i="1" s="1"/>
  <c r="X301" i="1"/>
  <c r="Y301" i="1" s="1"/>
  <c r="X309" i="1"/>
  <c r="Y309" i="1" s="1"/>
  <c r="E1" i="4"/>
  <c r="B51" i="4" s="1"/>
  <c r="X184" i="1"/>
  <c r="Y184" i="1" s="1"/>
  <c r="Z184" i="1" s="1"/>
  <c r="AA184" i="1" s="1"/>
  <c r="E1" i="6"/>
  <c r="B8" i="6" s="1"/>
  <c r="H8" i="6" s="1"/>
  <c r="D1" i="5"/>
  <c r="E1" i="5" s="1"/>
  <c r="B49" i="5" s="1"/>
  <c r="AG266" i="1"/>
  <c r="AD266" i="1"/>
  <c r="AD316" i="1"/>
  <c r="AD332" i="1"/>
  <c r="X186" i="1"/>
  <c r="X194" i="1"/>
  <c r="X202" i="1"/>
  <c r="X210" i="1"/>
  <c r="X218" i="1"/>
  <c r="X226" i="1"/>
  <c r="X234" i="1"/>
  <c r="X242" i="1"/>
  <c r="X250" i="1"/>
  <c r="X258" i="1"/>
  <c r="X266" i="1"/>
  <c r="X274" i="1"/>
  <c r="X282" i="1"/>
  <c r="X290" i="1"/>
  <c r="X298" i="1"/>
  <c r="X306" i="1"/>
  <c r="X314" i="1"/>
  <c r="X322" i="1"/>
  <c r="X330" i="1"/>
  <c r="X334" i="1"/>
  <c r="X342" i="1"/>
  <c r="X190" i="1"/>
  <c r="Y190" i="1" s="1"/>
  <c r="Z190" i="1" s="1"/>
  <c r="AA190" i="1" s="1"/>
  <c r="X198" i="1"/>
  <c r="Y198" i="1" s="1"/>
  <c r="Z198" i="1" s="1"/>
  <c r="AA198" i="1" s="1"/>
  <c r="X206" i="1"/>
  <c r="Y206" i="1" s="1"/>
  <c r="Z206" i="1" s="1"/>
  <c r="AA206" i="1" s="1"/>
  <c r="X214" i="1"/>
  <c r="Y214" i="1" s="1"/>
  <c r="Z214" i="1" s="1"/>
  <c r="AA214" i="1" s="1"/>
  <c r="X222" i="1"/>
  <c r="Y222" i="1" s="1"/>
  <c r="Z222" i="1" s="1"/>
  <c r="AA222" i="1" s="1"/>
  <c r="X230" i="1"/>
  <c r="Y230" i="1" s="1"/>
  <c r="Z230" i="1" s="1"/>
  <c r="AA230" i="1" s="1"/>
  <c r="X238" i="1"/>
  <c r="Y238" i="1" s="1"/>
  <c r="Z238" i="1" s="1"/>
  <c r="AA238" i="1" s="1"/>
  <c r="X246" i="1"/>
  <c r="Y246" i="1" s="1"/>
  <c r="Z246" i="1" s="1"/>
  <c r="AA246" i="1" s="1"/>
  <c r="X254" i="1"/>
  <c r="Y254" i="1" s="1"/>
  <c r="Z254" i="1" s="1"/>
  <c r="AA254" i="1" s="1"/>
  <c r="X262" i="1"/>
  <c r="Y262" i="1" s="1"/>
  <c r="Z262" i="1" s="1"/>
  <c r="AA262" i="1" s="1"/>
  <c r="X270" i="1"/>
  <c r="Y270" i="1" s="1"/>
  <c r="Z270" i="1" s="1"/>
  <c r="AA270" i="1" s="1"/>
  <c r="X278" i="1"/>
  <c r="Y278" i="1" s="1"/>
  <c r="Z278" i="1" s="1"/>
  <c r="AA278" i="1" s="1"/>
  <c r="X286" i="1"/>
  <c r="Y286" i="1" s="1"/>
  <c r="Z286" i="1" s="1"/>
  <c r="AA286" i="1" s="1"/>
  <c r="X294" i="1"/>
  <c r="Y294" i="1" s="1"/>
  <c r="Z294" i="1" s="1"/>
  <c r="AA294" i="1" s="1"/>
  <c r="X302" i="1"/>
  <c r="Y302" i="1" s="1"/>
  <c r="Z302" i="1" s="1"/>
  <c r="AA302" i="1" s="1"/>
  <c r="X310" i="1"/>
  <c r="Y310" i="1" s="1"/>
  <c r="Z310" i="1" s="1"/>
  <c r="AA310" i="1" s="1"/>
  <c r="X318" i="1"/>
  <c r="Y318" i="1" s="1"/>
  <c r="Z318" i="1" s="1"/>
  <c r="AA318" i="1" s="1"/>
  <c r="X326" i="1"/>
  <c r="Y326" i="1" s="1"/>
  <c r="Z326" i="1" s="1"/>
  <c r="AA326" i="1" s="1"/>
  <c r="X359" i="1"/>
  <c r="Y359" i="1" s="1"/>
  <c r="Z359" i="1" s="1"/>
  <c r="AA359" i="1" s="1"/>
  <c r="X338" i="1"/>
  <c r="Y338" i="1" s="1"/>
  <c r="Z338" i="1" s="1"/>
  <c r="AA338" i="1" s="1"/>
  <c r="X346" i="1"/>
  <c r="Y346" i="1" s="1"/>
  <c r="Z346" i="1" s="1"/>
  <c r="AA346" i="1" s="1"/>
  <c r="X6" i="1"/>
  <c r="Y6" i="1" s="1"/>
  <c r="Y13" i="1"/>
  <c r="Z13" i="1" s="1"/>
  <c r="AA13" i="1" s="1"/>
  <c r="X28" i="1"/>
  <c r="X36" i="1"/>
  <c r="Y36" i="1" s="1"/>
  <c r="Z36" i="1" s="1"/>
  <c r="AA36" i="1" s="1"/>
  <c r="Y39" i="1"/>
  <c r="Z39" i="1" s="1"/>
  <c r="AA39" i="1" s="1"/>
  <c r="X40" i="1"/>
  <c r="X42" i="1"/>
  <c r="Y43" i="1"/>
  <c r="Z43" i="1" s="1"/>
  <c r="AA43" i="1" s="1"/>
  <c r="X57" i="1"/>
  <c r="Y57" i="1" s="1"/>
  <c r="X59" i="1"/>
  <c r="Y59" i="1" s="1"/>
  <c r="X61" i="1"/>
  <c r="Y61" i="1" s="1"/>
  <c r="X69" i="1"/>
  <c r="Y69" i="1" s="1"/>
  <c r="X71" i="1"/>
  <c r="Y71" i="1" s="1"/>
  <c r="Z71" i="1" s="1"/>
  <c r="AA71" i="1" s="1"/>
  <c r="X72" i="1"/>
  <c r="Y72" i="1" s="1"/>
  <c r="X73" i="1"/>
  <c r="Y73" i="1" s="1"/>
  <c r="Z73" i="1" s="1"/>
  <c r="AA73" i="1" s="1"/>
  <c r="X74" i="1"/>
  <c r="Y74" i="1" s="1"/>
  <c r="Z74" i="1" s="1"/>
  <c r="AA74" i="1" s="1"/>
  <c r="X75" i="1"/>
  <c r="Y75" i="1" s="1"/>
  <c r="Z75" i="1" s="1"/>
  <c r="AA75" i="1" s="1"/>
  <c r="X76" i="1"/>
  <c r="Y76" i="1" s="1"/>
  <c r="X77" i="1"/>
  <c r="Y77" i="1" s="1"/>
  <c r="Z77" i="1" s="1"/>
  <c r="AA77" i="1" s="1"/>
  <c r="X78" i="1"/>
  <c r="Y78" i="1" s="1"/>
  <c r="Z78" i="1" s="1"/>
  <c r="AA78" i="1" s="1"/>
  <c r="X79" i="1"/>
  <c r="Y79" i="1" s="1"/>
  <c r="Z79" i="1" s="1"/>
  <c r="AA79" i="1" s="1"/>
  <c r="X80" i="1"/>
  <c r="Y80" i="1" s="1"/>
  <c r="X81" i="1"/>
  <c r="Y81" i="1" s="1"/>
  <c r="Y83" i="1"/>
  <c r="Z83" i="1" s="1"/>
  <c r="AA83" i="1" s="1"/>
  <c r="X98" i="1"/>
  <c r="Y98" i="1" s="1"/>
  <c r="Z98" i="1" s="1"/>
  <c r="AA98" i="1" s="1"/>
  <c r="X100" i="1"/>
  <c r="Y100" i="1" s="1"/>
  <c r="Z100" i="1" s="1"/>
  <c r="AA100" i="1" s="1"/>
  <c r="X104" i="1"/>
  <c r="Y104" i="1" s="1"/>
  <c r="Z104" i="1" s="1"/>
  <c r="AA104" i="1" s="1"/>
  <c r="X106" i="1"/>
  <c r="Y106" i="1" s="1"/>
  <c r="X108" i="1"/>
  <c r="Y108" i="1" s="1"/>
  <c r="Z108" i="1" s="1"/>
  <c r="AA108" i="1" s="1"/>
  <c r="X110" i="1"/>
  <c r="Y110" i="1" s="1"/>
  <c r="Z110" i="1" s="1"/>
  <c r="AA110" i="1" s="1"/>
  <c r="X114" i="1"/>
  <c r="Y114" i="1" s="1"/>
  <c r="Z114" i="1" s="1"/>
  <c r="AA114" i="1" s="1"/>
  <c r="X116" i="1"/>
  <c r="X125" i="1"/>
  <c r="X127" i="1"/>
  <c r="Y127" i="1" s="1"/>
  <c r="Z127" i="1" s="1"/>
  <c r="AA127" i="1" s="1"/>
  <c r="X133" i="1"/>
  <c r="Y133" i="1" s="1"/>
  <c r="Z133" i="1" s="1"/>
  <c r="AA133" i="1" s="1"/>
  <c r="Y134" i="1"/>
  <c r="Z134" i="1" s="1"/>
  <c r="AA134" i="1" s="1"/>
  <c r="X135" i="1"/>
  <c r="Y135" i="1" s="1"/>
  <c r="Z135" i="1" s="1"/>
  <c r="AA135" i="1" s="1"/>
  <c r="X137" i="1"/>
  <c r="Y137" i="1" s="1"/>
  <c r="Z137" i="1" s="1"/>
  <c r="AA137" i="1" s="1"/>
  <c r="X139" i="1"/>
  <c r="Y139" i="1" s="1"/>
  <c r="Z139" i="1" s="1"/>
  <c r="AA139" i="1" s="1"/>
  <c r="X144" i="1"/>
  <c r="X148" i="1"/>
  <c r="X150" i="1"/>
  <c r="Y150" i="1" s="1"/>
  <c r="Z150" i="1" s="1"/>
  <c r="AA150" i="1" s="1"/>
  <c r="X151" i="1"/>
  <c r="Y151" i="1" s="1"/>
  <c r="X153" i="1"/>
  <c r="X155" i="1"/>
  <c r="Y155" i="1" s="1"/>
  <c r="X157" i="1"/>
  <c r="X164" i="1"/>
  <c r="X166" i="1"/>
  <c r="X170" i="1"/>
  <c r="X172" i="1"/>
  <c r="Y172" i="1" s="1"/>
  <c r="X174" i="1"/>
  <c r="X178" i="1"/>
  <c r="Y178" i="1" s="1"/>
  <c r="Z178" i="1" s="1"/>
  <c r="AA178" i="1" s="1"/>
  <c r="X185" i="1"/>
  <c r="Y185" i="1" s="1"/>
  <c r="Z185" i="1" s="1"/>
  <c r="AA185" i="1" s="1"/>
  <c r="AG251" i="1"/>
  <c r="AG343" i="1"/>
  <c r="X192" i="1"/>
  <c r="Y192" i="1" s="1"/>
  <c r="X196" i="1"/>
  <c r="Y196" i="1" s="1"/>
  <c r="X200" i="1"/>
  <c r="Y200" i="1" s="1"/>
  <c r="X204" i="1"/>
  <c r="Y204" i="1" s="1"/>
  <c r="X208" i="1"/>
  <c r="Y208" i="1" s="1"/>
  <c r="Z208" i="1" s="1"/>
  <c r="AA208" i="1" s="1"/>
  <c r="X212" i="1"/>
  <c r="Y212" i="1" s="1"/>
  <c r="X216" i="1"/>
  <c r="Y216" i="1" s="1"/>
  <c r="X220" i="1"/>
  <c r="Y220" i="1" s="1"/>
  <c r="X224" i="1"/>
  <c r="Y224" i="1" s="1"/>
  <c r="X228" i="1"/>
  <c r="Y228" i="1" s="1"/>
  <c r="X232" i="1"/>
  <c r="Y232" i="1" s="1"/>
  <c r="X236" i="1"/>
  <c r="Y236" i="1" s="1"/>
  <c r="X240" i="1"/>
  <c r="Y240" i="1" s="1"/>
  <c r="X244" i="1"/>
  <c r="Y244" i="1" s="1"/>
  <c r="X248" i="1"/>
  <c r="Y248" i="1" s="1"/>
  <c r="AC251" i="1"/>
  <c r="X252" i="1"/>
  <c r="Y252" i="1" s="1"/>
  <c r="X256" i="1"/>
  <c r="Y256" i="1" s="1"/>
  <c r="Z256" i="1" s="1"/>
  <c r="AA256" i="1" s="1"/>
  <c r="X260" i="1"/>
  <c r="Y260" i="1" s="1"/>
  <c r="X264" i="1"/>
  <c r="Y264" i="1" s="1"/>
  <c r="X268" i="1"/>
  <c r="Y268" i="1" s="1"/>
  <c r="X272" i="1"/>
  <c r="Y272" i="1" s="1"/>
  <c r="X276" i="1"/>
  <c r="Y276" i="1" s="1"/>
  <c r="X280" i="1"/>
  <c r="Y280" i="1" s="1"/>
  <c r="X284" i="1"/>
  <c r="Y284" i="1" s="1"/>
  <c r="X288" i="1"/>
  <c r="Y288" i="1" s="1"/>
  <c r="X292" i="1"/>
  <c r="Y292" i="1" s="1"/>
  <c r="X296" i="1"/>
  <c r="Y296" i="1" s="1"/>
  <c r="X300" i="1"/>
  <c r="Y300" i="1" s="1"/>
  <c r="X304" i="1"/>
  <c r="Y304" i="1" s="1"/>
  <c r="X308" i="1"/>
  <c r="Y308" i="1" s="1"/>
  <c r="X312" i="1"/>
  <c r="Y312" i="1" s="1"/>
  <c r="Z316" i="1"/>
  <c r="X316" i="1"/>
  <c r="Y316" i="1" s="1"/>
  <c r="AA316" i="1"/>
  <c r="X320" i="1"/>
  <c r="Y320" i="1" s="1"/>
  <c r="X324" i="1"/>
  <c r="Y324" i="1" s="1"/>
  <c r="X328" i="1"/>
  <c r="Y328" i="1" s="1"/>
  <c r="Z332" i="1"/>
  <c r="X332" i="1"/>
  <c r="Y332" i="1" s="1"/>
  <c r="AA332" i="1"/>
  <c r="X361" i="1"/>
  <c r="Y361" i="1" s="1"/>
  <c r="Z361" i="1" s="1"/>
  <c r="AA361" i="1" s="1"/>
  <c r="X336" i="1"/>
  <c r="Y336" i="1" s="1"/>
  <c r="X340" i="1"/>
  <c r="Y340" i="1" s="1"/>
  <c r="AC343" i="1"/>
  <c r="X344" i="1"/>
  <c r="Y344" i="1" s="1"/>
  <c r="X348" i="1"/>
  <c r="Y348" i="1" s="1"/>
  <c r="Y203" i="1"/>
  <c r="Y205" i="1"/>
  <c r="Y209" i="1"/>
  <c r="Z209" i="1" s="1"/>
  <c r="AA209" i="1" s="1"/>
  <c r="Y215" i="1"/>
  <c r="Z215" i="1" s="1"/>
  <c r="AA215" i="1" s="1"/>
  <c r="Y219" i="1"/>
  <c r="Y235" i="1"/>
  <c r="Y237" i="1"/>
  <c r="Y241" i="1"/>
  <c r="Z241" i="1" s="1"/>
  <c r="AA241" i="1" s="1"/>
  <c r="Y243" i="1"/>
  <c r="Y245" i="1"/>
  <c r="Y247" i="1"/>
  <c r="Z247" i="1" s="1"/>
  <c r="AA247" i="1" s="1"/>
  <c r="Y249" i="1"/>
  <c r="Z249" i="1" s="1"/>
  <c r="AA249" i="1" s="1"/>
  <c r="Y251" i="1"/>
  <c r="Y253" i="1"/>
  <c r="AC266" i="1"/>
  <c r="Y277" i="1"/>
  <c r="Z277" i="1" s="1"/>
  <c r="AA277" i="1" s="1"/>
  <c r="Y303" i="1"/>
  <c r="Z303" i="1" s="1"/>
  <c r="AA303" i="1" s="1"/>
  <c r="AC316" i="1"/>
  <c r="Y319" i="1"/>
  <c r="Z319" i="1" s="1"/>
  <c r="AA319" i="1" s="1"/>
  <c r="AC332" i="1"/>
  <c r="Y358" i="1"/>
  <c r="Z358" i="1" s="1"/>
  <c r="AA358" i="1" s="1"/>
  <c r="Y360" i="1"/>
  <c r="Z360" i="1" s="1"/>
  <c r="AA360" i="1" s="1"/>
  <c r="Y343" i="1"/>
  <c r="Z343" i="1" s="1"/>
  <c r="AA343" i="1" s="1"/>
  <c r="X350" i="1"/>
  <c r="X352" i="1"/>
  <c r="X354" i="1"/>
  <c r="X356" i="1"/>
  <c r="X362" i="1"/>
  <c r="Y363" i="1"/>
  <c r="Z363" i="1" s="1"/>
  <c r="AA363" i="1" s="1"/>
  <c r="X364" i="1"/>
  <c r="X366" i="1"/>
  <c r="X368" i="1"/>
  <c r="Y369" i="1"/>
  <c r="Z369" i="1" s="1"/>
  <c r="AA369" i="1" s="1"/>
  <c r="X370" i="1"/>
  <c r="Y352" i="1"/>
  <c r="Z352" i="1" s="1"/>
  <c r="AA352" i="1" s="1"/>
  <c r="Y364" i="1"/>
  <c r="Z364" i="1" s="1"/>
  <c r="AA364" i="1" s="1"/>
  <c r="D1" i="7"/>
  <c r="E1" i="7" s="1"/>
  <c r="B25" i="9"/>
  <c r="B22" i="9"/>
  <c r="B20" i="9"/>
  <c r="B18" i="9"/>
  <c r="B16" i="9"/>
  <c r="B14" i="9"/>
  <c r="B12" i="9"/>
  <c r="B10" i="9"/>
  <c r="B8" i="9"/>
  <c r="B6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AN192" i="1" l="1"/>
  <c r="AM302" i="1"/>
  <c r="AM355" i="1"/>
  <c r="X124" i="1"/>
  <c r="AN160" i="1"/>
  <c r="AN327" i="1"/>
  <c r="Y3" i="1"/>
  <c r="Z3" i="1" s="1"/>
  <c r="AA3" i="1" s="1"/>
  <c r="AM226" i="1"/>
  <c r="AN214" i="1"/>
  <c r="AN285" i="1"/>
  <c r="AN325" i="1"/>
  <c r="AM330" i="1"/>
  <c r="AM347" i="1"/>
  <c r="AN361" i="1"/>
  <c r="Y179" i="1"/>
  <c r="Z179" i="1" s="1"/>
  <c r="AA179" i="1" s="1"/>
  <c r="Y171" i="1"/>
  <c r="Z171" i="1" s="1"/>
  <c r="AA171" i="1" s="1"/>
  <c r="Y154" i="1"/>
  <c r="Z154" i="1" s="1"/>
  <c r="AA154" i="1" s="1"/>
  <c r="AN233" i="1"/>
  <c r="Y99" i="1"/>
  <c r="Z99" i="1" s="1"/>
  <c r="AA99" i="1" s="1"/>
  <c r="AM91" i="1"/>
  <c r="AN165" i="1"/>
  <c r="AN218" i="1"/>
  <c r="AM224" i="1"/>
  <c r="AN296" i="1"/>
  <c r="Y147" i="1"/>
  <c r="Z147" i="1" s="1"/>
  <c r="AA147" i="1" s="1"/>
  <c r="Y66" i="1"/>
  <c r="Z66" i="1" s="1"/>
  <c r="AA66" i="1" s="1"/>
  <c r="Y37" i="1"/>
  <c r="Z37" i="1" s="1"/>
  <c r="AA37" i="1" s="1"/>
  <c r="AN229" i="1"/>
  <c r="AM260" i="1"/>
  <c r="AN310" i="1"/>
  <c r="AN357" i="1"/>
  <c r="Z328" i="1"/>
  <c r="AA328" i="1" s="1"/>
  <c r="Z320" i="1"/>
  <c r="AA320" i="1" s="1"/>
  <c r="AM245" i="1"/>
  <c r="AN273" i="1"/>
  <c r="AN307" i="1"/>
  <c r="AN323" i="1"/>
  <c r="AN335" i="1"/>
  <c r="AN365" i="1"/>
  <c r="Z260" i="1"/>
  <c r="AA260" i="1" s="1"/>
  <c r="AM370" i="1"/>
  <c r="AN370" i="1"/>
  <c r="AM368" i="1"/>
  <c r="AN368" i="1"/>
  <c r="AM367" i="1"/>
  <c r="AN367" i="1"/>
  <c r="AM366" i="1"/>
  <c r="AN366" i="1"/>
  <c r="AM364" i="1"/>
  <c r="AN364" i="1"/>
  <c r="AN362" i="1"/>
  <c r="AM362" i="1"/>
  <c r="AM359" i="1"/>
  <c r="AN359" i="1"/>
  <c r="AM356" i="1"/>
  <c r="AN356" i="1"/>
  <c r="AM353" i="1"/>
  <c r="AN353" i="1"/>
  <c r="AM351" i="1"/>
  <c r="AN351" i="1"/>
  <c r="AM350" i="1"/>
  <c r="AN350" i="1"/>
  <c r="AM349" i="1"/>
  <c r="AN349" i="1"/>
  <c r="AM346" i="1"/>
  <c r="AN346" i="1"/>
  <c r="AM345" i="1"/>
  <c r="AN345" i="1"/>
  <c r="AM344" i="1"/>
  <c r="AN344" i="1"/>
  <c r="AM342" i="1"/>
  <c r="AN342" i="1"/>
  <c r="Z340" i="1"/>
  <c r="AA340" i="1" s="1"/>
  <c r="AM341" i="1"/>
  <c r="AN341" i="1"/>
  <c r="AM339" i="1"/>
  <c r="AN339" i="1"/>
  <c r="AM338" i="1"/>
  <c r="AN338" i="1"/>
  <c r="AM337" i="1"/>
  <c r="AN337" i="1"/>
  <c r="AM336" i="1"/>
  <c r="AN336" i="1"/>
  <c r="AM334" i="1"/>
  <c r="AN334" i="1"/>
  <c r="AM333" i="1"/>
  <c r="AN333" i="1"/>
  <c r="AM331" i="1"/>
  <c r="AN331" i="1"/>
  <c r="AM329" i="1"/>
  <c r="AN329" i="1"/>
  <c r="AM328" i="1"/>
  <c r="AN328" i="1"/>
  <c r="AM326" i="1"/>
  <c r="AN326" i="1"/>
  <c r="AM324" i="1"/>
  <c r="AN324" i="1"/>
  <c r="AM321" i="1"/>
  <c r="AN321" i="1"/>
  <c r="AM320" i="1"/>
  <c r="AN320" i="1"/>
  <c r="AM318" i="1"/>
  <c r="AN318" i="1"/>
  <c r="AM317" i="1"/>
  <c r="AN317" i="1"/>
  <c r="AM315" i="1"/>
  <c r="AN315" i="1"/>
  <c r="AM314" i="1"/>
  <c r="AN314" i="1"/>
  <c r="AM313" i="1"/>
  <c r="AN313" i="1"/>
  <c r="AM312" i="1"/>
  <c r="AN312" i="1"/>
  <c r="AM311" i="1"/>
  <c r="AN311" i="1"/>
  <c r="AM309" i="1"/>
  <c r="AN309" i="1"/>
  <c r="Z308" i="1"/>
  <c r="AA308" i="1" s="1"/>
  <c r="AM308" i="1"/>
  <c r="AN308" i="1"/>
  <c r="AM305" i="1"/>
  <c r="AN305" i="1"/>
  <c r="Z304" i="1"/>
  <c r="AA304" i="1" s="1"/>
  <c r="AM304" i="1"/>
  <c r="AN304" i="1"/>
  <c r="AM301" i="1"/>
  <c r="AN301" i="1"/>
  <c r="AM299" i="1"/>
  <c r="AN299" i="1"/>
  <c r="AM297" i="1"/>
  <c r="AN297" i="1"/>
  <c r="Z296" i="1"/>
  <c r="AA296" i="1" s="1"/>
  <c r="AN295" i="1"/>
  <c r="AM295" i="1"/>
  <c r="AM294" i="1"/>
  <c r="AN294" i="1"/>
  <c r="AM293" i="1"/>
  <c r="AN293" i="1"/>
  <c r="AM291" i="1"/>
  <c r="AN291" i="1"/>
  <c r="AM290" i="1"/>
  <c r="AN290" i="1"/>
  <c r="AM289" i="1"/>
  <c r="AN289" i="1"/>
  <c r="AM288" i="1"/>
  <c r="AN288" i="1"/>
  <c r="AM287" i="1"/>
  <c r="AN287" i="1"/>
  <c r="AM284" i="1"/>
  <c r="AN284" i="1"/>
  <c r="AM283" i="1"/>
  <c r="AN283" i="1"/>
  <c r="AM282" i="1"/>
  <c r="AN282" i="1"/>
  <c r="AM281" i="1"/>
  <c r="AN281" i="1"/>
  <c r="AM280" i="1"/>
  <c r="AN280" i="1"/>
  <c r="AM279" i="1"/>
  <c r="AN279" i="1"/>
  <c r="AM278" i="1"/>
  <c r="AN278" i="1"/>
  <c r="AM276" i="1"/>
  <c r="AN276" i="1"/>
  <c r="AM275" i="1"/>
  <c r="AN275" i="1"/>
  <c r="AM272" i="1"/>
  <c r="AN272" i="1"/>
  <c r="AM271" i="1"/>
  <c r="AN271" i="1"/>
  <c r="AM270" i="1"/>
  <c r="AN270" i="1"/>
  <c r="AM269" i="1"/>
  <c r="AN269" i="1"/>
  <c r="AM267" i="1"/>
  <c r="AN267" i="1"/>
  <c r="AM265" i="1"/>
  <c r="AN265" i="1"/>
  <c r="AM264" i="1"/>
  <c r="AN264" i="1"/>
  <c r="AM263" i="1"/>
  <c r="AN263" i="1"/>
  <c r="AM262" i="1"/>
  <c r="AN262" i="1"/>
  <c r="AM259" i="1"/>
  <c r="AN259" i="1"/>
  <c r="AM257" i="1"/>
  <c r="AN257" i="1"/>
  <c r="AM256" i="1"/>
  <c r="AN256" i="1"/>
  <c r="AM255" i="1"/>
  <c r="AN255" i="1"/>
  <c r="AM254" i="1"/>
  <c r="AN254" i="1"/>
  <c r="AM252" i="1"/>
  <c r="AN252" i="1"/>
  <c r="AN241" i="1"/>
  <c r="AM248" i="1"/>
  <c r="AN248" i="1"/>
  <c r="AM227" i="1"/>
  <c r="AN227" i="1"/>
  <c r="AN221" i="1"/>
  <c r="AM216" i="1"/>
  <c r="AN216" i="1"/>
  <c r="AM209" i="1"/>
  <c r="AN209" i="1"/>
  <c r="AM207" i="1"/>
  <c r="AN207" i="1"/>
  <c r="AM205" i="1"/>
  <c r="AN205" i="1"/>
  <c r="AM203" i="1"/>
  <c r="AN203" i="1"/>
  <c r="AM199" i="1"/>
  <c r="AN199" i="1"/>
  <c r="Z192" i="1"/>
  <c r="AA192" i="1" s="1"/>
  <c r="AM190" i="1"/>
  <c r="AN190" i="1"/>
  <c r="AM188" i="1"/>
  <c r="AN188" i="1"/>
  <c r="AM185" i="1"/>
  <c r="AN185" i="1"/>
  <c r="AM182" i="1"/>
  <c r="AN182" i="1"/>
  <c r="AM178" i="1"/>
  <c r="AN178" i="1"/>
  <c r="AM173" i="1"/>
  <c r="AN122" i="1"/>
  <c r="AN93" i="1"/>
  <c r="AM92" i="1"/>
  <c r="AM84" i="1"/>
  <c r="AN83" i="1"/>
  <c r="AM50" i="1"/>
  <c r="AN50" i="1"/>
  <c r="Y261" i="1"/>
  <c r="Z261" i="1" s="1"/>
  <c r="AA261" i="1" s="1"/>
  <c r="Y58" i="1"/>
  <c r="Z58" i="1" s="1"/>
  <c r="AA58" i="1" s="1"/>
  <c r="Y269" i="1"/>
  <c r="Z269" i="1" s="1"/>
  <c r="AA269" i="1" s="1"/>
  <c r="Y255" i="1"/>
  <c r="Z255" i="1" s="1"/>
  <c r="AA255" i="1" s="1"/>
  <c r="Y239" i="1"/>
  <c r="Z239" i="1" s="1"/>
  <c r="AA239" i="1" s="1"/>
  <c r="Y169" i="1"/>
  <c r="Z169" i="1" s="1"/>
  <c r="AA169" i="1" s="1"/>
  <c r="Y156" i="1"/>
  <c r="Z156" i="1" s="1"/>
  <c r="AA156" i="1" s="1"/>
  <c r="Y68" i="1"/>
  <c r="Z68" i="1" s="1"/>
  <c r="AA68" i="1" s="1"/>
  <c r="Y64" i="1"/>
  <c r="Z64" i="1" s="1"/>
  <c r="AA64" i="1" s="1"/>
  <c r="AM250" i="1"/>
  <c r="AN250" i="1"/>
  <c r="AM247" i="1"/>
  <c r="AN247" i="1"/>
  <c r="AM246" i="1"/>
  <c r="AN246" i="1"/>
  <c r="AM244" i="1"/>
  <c r="AN244" i="1"/>
  <c r="AM243" i="1"/>
  <c r="AN243" i="1"/>
  <c r="AM242" i="1"/>
  <c r="AN242" i="1"/>
  <c r="AM240" i="1"/>
  <c r="AN240" i="1"/>
  <c r="AM239" i="1"/>
  <c r="AN239" i="1"/>
  <c r="AM238" i="1"/>
  <c r="AN238" i="1"/>
  <c r="AM236" i="1"/>
  <c r="AN236" i="1"/>
  <c r="AM234" i="1"/>
  <c r="AN234" i="1"/>
  <c r="AM232" i="1"/>
  <c r="AN232" i="1"/>
  <c r="AM231" i="1"/>
  <c r="AN231" i="1"/>
  <c r="AN230" i="1"/>
  <c r="AM230" i="1"/>
  <c r="Z228" i="1"/>
  <c r="AA228" i="1" s="1"/>
  <c r="AM228" i="1"/>
  <c r="AN228" i="1"/>
  <c r="AM225" i="1"/>
  <c r="AN225" i="1"/>
  <c r="Z224" i="1"/>
  <c r="AA224" i="1" s="1"/>
  <c r="AM223" i="1"/>
  <c r="AN223" i="1"/>
  <c r="AM222" i="1"/>
  <c r="AN222" i="1"/>
  <c r="AM220" i="1"/>
  <c r="AN220" i="1"/>
  <c r="AM219" i="1"/>
  <c r="AN219" i="1"/>
  <c r="AM217" i="1"/>
  <c r="AN217" i="1"/>
  <c r="AM215" i="1"/>
  <c r="AN215" i="1"/>
  <c r="AM213" i="1"/>
  <c r="AN213" i="1"/>
  <c r="AM212" i="1"/>
  <c r="AN212" i="1"/>
  <c r="AM211" i="1"/>
  <c r="AN211" i="1"/>
  <c r="AM85" i="1"/>
  <c r="AM88" i="1"/>
  <c r="AN105" i="1"/>
  <c r="AN124" i="1"/>
  <c r="AM167" i="1"/>
  <c r="AM158" i="1"/>
  <c r="AN96" i="1"/>
  <c r="Y84" i="1"/>
  <c r="Z84" i="1" s="1"/>
  <c r="AA84" i="1" s="1"/>
  <c r="Y149" i="1"/>
  <c r="Z149" i="1" s="1"/>
  <c r="AA149" i="1" s="1"/>
  <c r="Y122" i="1"/>
  <c r="Z122" i="1" s="1"/>
  <c r="AA122" i="1" s="1"/>
  <c r="Y26" i="1"/>
  <c r="Z26" i="1" s="1"/>
  <c r="AA26" i="1" s="1"/>
  <c r="Y5" i="1"/>
  <c r="Z5" i="1" s="1"/>
  <c r="AA5" i="1" s="1"/>
  <c r="Z204" i="1"/>
  <c r="AA204" i="1" s="1"/>
  <c r="AN134" i="1"/>
  <c r="AM183" i="1"/>
  <c r="AN183" i="1"/>
  <c r="AM180" i="1"/>
  <c r="AN180" i="1"/>
  <c r="AM106" i="1"/>
  <c r="AN106" i="1"/>
  <c r="AM26" i="1"/>
  <c r="AN26" i="1"/>
  <c r="AM45" i="1"/>
  <c r="AN45" i="1"/>
  <c r="AM193" i="1"/>
  <c r="AN193" i="1"/>
  <c r="AM195" i="1"/>
  <c r="AN195" i="1"/>
  <c r="AM197" i="1"/>
  <c r="AN197" i="1"/>
  <c r="AM200" i="1"/>
  <c r="AN200" i="1"/>
  <c r="AM202" i="1"/>
  <c r="AN202" i="1"/>
  <c r="AM208" i="1"/>
  <c r="AN208" i="1"/>
  <c r="AM187" i="1"/>
  <c r="AN187" i="1"/>
  <c r="AM204" i="1"/>
  <c r="AN204" i="1"/>
  <c r="AM186" i="1"/>
  <c r="AN186" i="1"/>
  <c r="AM10" i="1"/>
  <c r="AN10" i="1"/>
  <c r="AM63" i="1"/>
  <c r="AN63" i="1"/>
  <c r="AM184" i="1"/>
  <c r="AN184" i="1"/>
  <c r="AM191" i="1"/>
  <c r="AN191" i="1"/>
  <c r="AM194" i="1"/>
  <c r="AN194" i="1"/>
  <c r="AM196" i="1"/>
  <c r="AN196" i="1"/>
  <c r="AM198" i="1"/>
  <c r="AN198" i="1"/>
  <c r="AM201" i="1"/>
  <c r="AN201" i="1"/>
  <c r="AM206" i="1"/>
  <c r="AN206" i="1"/>
  <c r="AM189" i="1"/>
  <c r="AN189" i="1"/>
  <c r="AM181" i="1"/>
  <c r="AN181" i="1"/>
  <c r="AM179" i="1"/>
  <c r="AN179" i="1"/>
  <c r="AM177" i="1"/>
  <c r="AN177" i="1"/>
  <c r="AM175" i="1"/>
  <c r="AN175" i="1"/>
  <c r="AM169" i="1"/>
  <c r="AN169" i="1"/>
  <c r="AM159" i="1"/>
  <c r="AN159" i="1"/>
  <c r="AM155" i="1"/>
  <c r="AN155" i="1"/>
  <c r="AM152" i="1"/>
  <c r="AN152" i="1"/>
  <c r="AM145" i="1"/>
  <c r="AN145" i="1"/>
  <c r="AM138" i="1"/>
  <c r="AN138" i="1"/>
  <c r="AM133" i="1"/>
  <c r="AN133" i="1"/>
  <c r="AM130" i="1"/>
  <c r="AN130" i="1"/>
  <c r="AM125" i="1"/>
  <c r="AN125" i="1"/>
  <c r="AM117" i="1"/>
  <c r="AN117" i="1"/>
  <c r="AM115" i="1"/>
  <c r="AN115" i="1"/>
  <c r="AM108" i="1"/>
  <c r="AN108" i="1"/>
  <c r="Y105" i="1"/>
  <c r="Z105" i="1" s="1"/>
  <c r="AA105" i="1" s="1"/>
  <c r="AN79" i="1"/>
  <c r="AM74" i="1"/>
  <c r="AN74" i="1"/>
  <c r="AM72" i="1"/>
  <c r="AN72" i="1"/>
  <c r="AM61" i="1"/>
  <c r="AN61" i="1"/>
  <c r="AM58" i="1"/>
  <c r="AN58" i="1"/>
  <c r="AM56" i="1"/>
  <c r="AN56" i="1"/>
  <c r="AM54" i="1"/>
  <c r="AN54" i="1"/>
  <c r="AM52" i="1"/>
  <c r="AN52" i="1"/>
  <c r="AM38" i="1"/>
  <c r="AN38" i="1"/>
  <c r="AM14" i="1"/>
  <c r="AN14" i="1"/>
  <c r="AM7" i="1"/>
  <c r="AN7" i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AM176" i="1"/>
  <c r="AN176" i="1"/>
  <c r="AM174" i="1"/>
  <c r="AN174" i="1"/>
  <c r="AM172" i="1"/>
  <c r="AN172" i="1"/>
  <c r="AM171" i="1"/>
  <c r="AN171" i="1"/>
  <c r="AM170" i="1"/>
  <c r="AN170" i="1"/>
  <c r="Y153" i="1"/>
  <c r="Z153" i="1" s="1"/>
  <c r="AA153" i="1" s="1"/>
  <c r="Y46" i="1"/>
  <c r="Z46" i="1" s="1"/>
  <c r="AA46" i="1" s="1"/>
  <c r="AM168" i="1"/>
  <c r="AN168" i="1"/>
  <c r="AM166" i="1"/>
  <c r="AN166" i="1"/>
  <c r="AM164" i="1"/>
  <c r="AN164" i="1"/>
  <c r="AM161" i="1"/>
  <c r="AN161" i="1"/>
  <c r="AM157" i="1"/>
  <c r="AN157" i="1"/>
  <c r="AM156" i="1"/>
  <c r="AN156" i="1"/>
  <c r="AM154" i="1"/>
  <c r="AN154" i="1"/>
  <c r="AM153" i="1"/>
  <c r="AN153" i="1"/>
  <c r="Z151" i="1"/>
  <c r="AA151" i="1" s="1"/>
  <c r="AM151" i="1"/>
  <c r="AN151" i="1"/>
  <c r="AM150" i="1"/>
  <c r="AN150" i="1"/>
  <c r="AM148" i="1"/>
  <c r="AN148" i="1"/>
  <c r="AM146" i="1"/>
  <c r="AN146" i="1"/>
  <c r="AM144" i="1"/>
  <c r="AN144" i="1"/>
  <c r="AM141" i="1"/>
  <c r="AN141" i="1"/>
  <c r="AM140" i="1"/>
  <c r="AN140" i="1"/>
  <c r="AM139" i="1"/>
  <c r="AN139" i="1"/>
  <c r="AM137" i="1"/>
  <c r="AN137" i="1"/>
  <c r="AM135" i="1"/>
  <c r="AN135" i="1"/>
  <c r="AM132" i="1"/>
  <c r="AN132" i="1"/>
  <c r="AM131" i="1"/>
  <c r="AN131" i="1"/>
  <c r="AM129" i="1"/>
  <c r="AN129" i="1"/>
  <c r="AM127" i="1"/>
  <c r="AN127" i="1"/>
  <c r="AM123" i="1"/>
  <c r="AN123" i="1"/>
  <c r="AM121" i="1"/>
  <c r="AN121" i="1"/>
  <c r="AM118" i="1"/>
  <c r="AN118" i="1"/>
  <c r="AM116" i="1"/>
  <c r="AN116" i="1"/>
  <c r="AM114" i="1"/>
  <c r="AN114" i="1"/>
  <c r="AM113" i="1"/>
  <c r="AN113" i="1"/>
  <c r="AM112" i="1"/>
  <c r="AN112" i="1"/>
  <c r="AM111" i="1"/>
  <c r="AN111" i="1"/>
  <c r="AM110" i="1"/>
  <c r="AN110" i="1"/>
  <c r="AM109" i="1"/>
  <c r="AN109" i="1"/>
  <c r="AM12" i="1"/>
  <c r="AN12" i="1"/>
  <c r="AM8" i="1"/>
  <c r="AN8" i="1"/>
  <c r="AM28" i="1"/>
  <c r="AN28" i="1"/>
  <c r="AM25" i="1"/>
  <c r="AN25" i="1"/>
  <c r="AM23" i="1"/>
  <c r="AN23" i="1"/>
  <c r="AM21" i="1"/>
  <c r="AN21" i="1"/>
  <c r="AM19" i="1"/>
  <c r="AN19" i="1"/>
  <c r="AM55" i="1"/>
  <c r="AN55" i="1"/>
  <c r="AM53" i="1"/>
  <c r="AN53" i="1"/>
  <c r="AM46" i="1"/>
  <c r="AN46" i="1"/>
  <c r="AM44" i="1"/>
  <c r="AN44" i="1"/>
  <c r="AM34" i="1"/>
  <c r="AN34" i="1"/>
  <c r="AM32" i="1"/>
  <c r="AN32" i="1"/>
  <c r="AM30" i="1"/>
  <c r="AN30" i="1"/>
  <c r="AM17" i="1"/>
  <c r="AN17" i="1"/>
  <c r="AM15" i="1"/>
  <c r="AN15" i="1"/>
  <c r="AM4" i="1"/>
  <c r="AN4" i="1"/>
  <c r="AM67" i="1"/>
  <c r="AN67" i="1"/>
  <c r="AM65" i="1"/>
  <c r="AN65" i="1"/>
  <c r="AM13" i="1"/>
  <c r="AN13" i="1"/>
  <c r="AM22" i="1"/>
  <c r="AN22" i="1"/>
  <c r="AM18" i="1"/>
  <c r="AN18" i="1"/>
  <c r="AM29" i="1"/>
  <c r="AN29" i="1"/>
  <c r="AM33" i="1"/>
  <c r="AN33" i="1"/>
  <c r="AM39" i="1"/>
  <c r="AN39" i="1"/>
  <c r="AM66" i="1"/>
  <c r="AN66" i="1"/>
  <c r="AM68" i="1"/>
  <c r="AN68" i="1"/>
  <c r="AM24" i="1"/>
  <c r="AN24" i="1"/>
  <c r="AM69" i="1"/>
  <c r="AN69" i="1"/>
  <c r="AM60" i="1"/>
  <c r="AN60" i="1"/>
  <c r="AM43" i="1"/>
  <c r="AN43" i="1"/>
  <c r="AM3" i="1"/>
  <c r="AN3" i="1"/>
  <c r="AM49" i="1"/>
  <c r="AN49" i="1"/>
  <c r="AM64" i="1"/>
  <c r="AN64" i="1"/>
  <c r="AM40" i="1"/>
  <c r="AN40" i="1"/>
  <c r="AM48" i="1"/>
  <c r="AN48" i="1"/>
  <c r="AM42" i="1"/>
  <c r="AN42" i="1"/>
  <c r="AM36" i="1"/>
  <c r="AN36" i="1"/>
  <c r="AM9" i="1"/>
  <c r="AN9" i="1"/>
  <c r="AM11" i="1"/>
  <c r="AN11" i="1"/>
  <c r="AM6" i="1"/>
  <c r="AN6" i="1"/>
  <c r="AM20" i="1"/>
  <c r="AN20" i="1"/>
  <c r="AM16" i="1"/>
  <c r="AN16" i="1"/>
  <c r="AM31" i="1"/>
  <c r="AN31" i="1"/>
  <c r="AM37" i="1"/>
  <c r="AN37" i="1"/>
  <c r="AM41" i="1"/>
  <c r="AN41" i="1"/>
  <c r="AM35" i="1"/>
  <c r="AN35" i="1"/>
  <c r="AM71" i="1"/>
  <c r="AN71" i="1"/>
  <c r="AM57" i="1"/>
  <c r="AN57" i="1"/>
  <c r="AM47" i="1"/>
  <c r="AN47" i="1"/>
  <c r="AM51" i="1"/>
  <c r="AN51" i="1"/>
  <c r="AM27" i="1"/>
  <c r="AN27" i="1"/>
  <c r="AM59" i="1"/>
  <c r="AN59" i="1"/>
  <c r="AM107" i="1"/>
  <c r="AN107" i="1"/>
  <c r="AM104" i="1"/>
  <c r="AN104" i="1"/>
  <c r="AM102" i="1"/>
  <c r="AN102" i="1"/>
  <c r="AM101" i="1"/>
  <c r="AN101" i="1"/>
  <c r="AM100" i="1"/>
  <c r="AN100" i="1"/>
  <c r="AM98" i="1"/>
  <c r="AN98" i="1"/>
  <c r="AM90" i="1"/>
  <c r="AN90" i="1"/>
  <c r="AM82" i="1"/>
  <c r="AN82" i="1"/>
  <c r="AM81" i="1"/>
  <c r="AN81" i="1"/>
  <c r="AM80" i="1"/>
  <c r="AN80" i="1"/>
  <c r="AM78" i="1"/>
  <c r="AN78" i="1"/>
  <c r="AM77" i="1"/>
  <c r="AN77" i="1"/>
  <c r="AM76" i="1"/>
  <c r="AN76" i="1"/>
  <c r="AM75" i="1"/>
  <c r="AN75" i="1"/>
  <c r="AM73" i="1"/>
  <c r="AN73" i="1"/>
  <c r="Z59" i="1"/>
  <c r="AA59" i="1" s="1"/>
  <c r="Y55" i="1"/>
  <c r="Z55" i="1" s="1"/>
  <c r="AA55" i="1" s="1"/>
  <c r="Y168" i="1"/>
  <c r="Z168" i="1" s="1"/>
  <c r="AA168" i="1" s="1"/>
  <c r="Y30" i="1"/>
  <c r="Z30" i="1" s="1"/>
  <c r="AA30" i="1" s="1"/>
  <c r="Y17" i="1"/>
  <c r="Z17" i="1" s="1"/>
  <c r="AA17" i="1" s="1"/>
  <c r="Y167" i="1"/>
  <c r="Z167" i="1" s="1"/>
  <c r="AA167" i="1" s="1"/>
  <c r="Y173" i="1"/>
  <c r="Z173" i="1" s="1"/>
  <c r="AA173" i="1" s="1"/>
  <c r="Y95" i="1"/>
  <c r="Z95" i="1" s="1"/>
  <c r="AA95" i="1" s="1"/>
  <c r="Y368" i="1"/>
  <c r="Z368" i="1" s="1"/>
  <c r="AA368" i="1" s="1"/>
  <c r="Y356" i="1"/>
  <c r="Z356" i="1" s="1"/>
  <c r="AA356" i="1" s="1"/>
  <c r="Z348" i="1"/>
  <c r="AA348" i="1" s="1"/>
  <c r="Z300" i="1"/>
  <c r="AA300" i="1" s="1"/>
  <c r="Z252" i="1"/>
  <c r="AA252" i="1" s="1"/>
  <c r="Z236" i="1"/>
  <c r="AA236" i="1" s="1"/>
  <c r="Z232" i="1"/>
  <c r="AA232" i="1" s="1"/>
  <c r="Z216" i="1"/>
  <c r="AA216" i="1" s="1"/>
  <c r="Z200" i="1"/>
  <c r="AA200" i="1" s="1"/>
  <c r="Z344" i="1"/>
  <c r="AA344" i="1" s="1"/>
  <c r="Z336" i="1"/>
  <c r="AA336" i="1" s="1"/>
  <c r="Z324" i="1"/>
  <c r="AA324" i="1" s="1"/>
  <c r="Z312" i="1"/>
  <c r="AA312" i="1" s="1"/>
  <c r="Z292" i="1"/>
  <c r="AA292" i="1" s="1"/>
  <c r="Z288" i="1"/>
  <c r="AA288" i="1" s="1"/>
  <c r="Z284" i="1"/>
  <c r="AA284" i="1" s="1"/>
  <c r="Z280" i="1"/>
  <c r="AA280" i="1" s="1"/>
  <c r="Z276" i="1"/>
  <c r="AA276" i="1" s="1"/>
  <c r="Z272" i="1"/>
  <c r="AA272" i="1" s="1"/>
  <c r="Z268" i="1"/>
  <c r="AA268" i="1" s="1"/>
  <c r="Z264" i="1"/>
  <c r="AA264" i="1" s="1"/>
  <c r="Z248" i="1"/>
  <c r="AA248" i="1" s="1"/>
  <c r="Z240" i="1"/>
  <c r="AA240" i="1" s="1"/>
  <c r="Z212" i="1"/>
  <c r="AA212" i="1" s="1"/>
  <c r="Z244" i="1"/>
  <c r="AA244" i="1" s="1"/>
  <c r="Z220" i="1"/>
  <c r="AA220" i="1" s="1"/>
  <c r="Z196" i="1"/>
  <c r="AA196" i="1" s="1"/>
  <c r="Y177" i="1"/>
  <c r="Z177" i="1" s="1"/>
  <c r="AA177" i="1" s="1"/>
  <c r="Z172" i="1"/>
  <c r="AA172" i="1" s="1"/>
  <c r="Y164" i="1"/>
  <c r="Z164" i="1" s="1"/>
  <c r="AA164" i="1" s="1"/>
  <c r="Z155" i="1"/>
  <c r="AA155" i="1" s="1"/>
  <c r="Y116" i="1"/>
  <c r="Z116" i="1" s="1"/>
  <c r="AA116" i="1" s="1"/>
  <c r="Y112" i="1"/>
  <c r="Z112" i="1" s="1"/>
  <c r="AA112" i="1" s="1"/>
  <c r="Y102" i="1"/>
  <c r="Z102" i="1" s="1"/>
  <c r="AA102" i="1" s="1"/>
  <c r="Y88" i="1"/>
  <c r="Z88" i="1" s="1"/>
  <c r="AA88" i="1" s="1"/>
  <c r="Y87" i="1"/>
  <c r="Z87" i="1" s="1"/>
  <c r="AA87" i="1" s="1"/>
  <c r="Z81" i="1"/>
  <c r="AA81" i="1" s="1"/>
  <c r="Z80" i="1"/>
  <c r="AA80" i="1" s="1"/>
  <c r="Z76" i="1"/>
  <c r="AA76" i="1" s="1"/>
  <c r="Z72" i="1"/>
  <c r="AA72" i="1" s="1"/>
  <c r="Z69" i="1"/>
  <c r="AA69" i="1" s="1"/>
  <c r="Z61" i="1"/>
  <c r="AA61" i="1" s="1"/>
  <c r="Z57" i="1"/>
  <c r="AA57" i="1" s="1"/>
  <c r="X131" i="1"/>
  <c r="Y131" i="1" s="1"/>
  <c r="Z131" i="1" s="1"/>
  <c r="AA131" i="1" s="1"/>
  <c r="Y118" i="1"/>
  <c r="Z118" i="1" s="1"/>
  <c r="AA118" i="1" s="1"/>
  <c r="Y67" i="1"/>
  <c r="Z67" i="1" s="1"/>
  <c r="AA67" i="1" s="1"/>
  <c r="Y34" i="1"/>
  <c r="Z34" i="1" s="1"/>
  <c r="AA34" i="1" s="1"/>
  <c r="X183" i="1"/>
  <c r="Y183" i="1" s="1"/>
  <c r="Z183" i="1" s="1"/>
  <c r="AA183" i="1" s="1"/>
  <c r="Y158" i="1"/>
  <c r="Z158" i="1" s="1"/>
  <c r="AA158" i="1" s="1"/>
  <c r="X129" i="1"/>
  <c r="Y129" i="1" s="1"/>
  <c r="Z129" i="1" s="1"/>
  <c r="AA129" i="1" s="1"/>
  <c r="Y103" i="1"/>
  <c r="Z103" i="1" s="1"/>
  <c r="AA103" i="1" s="1"/>
  <c r="Y94" i="1"/>
  <c r="Z94" i="1" s="1"/>
  <c r="AA94" i="1" s="1"/>
  <c r="Y91" i="1"/>
  <c r="Z91" i="1" s="1"/>
  <c r="AA91" i="1" s="1"/>
  <c r="Y86" i="1"/>
  <c r="Z86" i="1" s="1"/>
  <c r="AA86" i="1" s="1"/>
  <c r="Y53" i="1"/>
  <c r="Z53" i="1" s="1"/>
  <c r="AA53" i="1" s="1"/>
  <c r="Z6" i="1"/>
  <c r="AA6" i="1" s="1"/>
  <c r="Y175" i="1"/>
  <c r="Z175" i="1" s="1"/>
  <c r="AA175" i="1" s="1"/>
  <c r="Y123" i="1"/>
  <c r="Z123" i="1" s="1"/>
  <c r="AA123" i="1" s="1"/>
  <c r="Y63" i="1"/>
  <c r="Z63" i="1" s="1"/>
  <c r="AA63" i="1" s="1"/>
  <c r="Y162" i="1"/>
  <c r="Z162" i="1" s="1"/>
  <c r="AA162" i="1" s="1"/>
  <c r="Y160" i="1"/>
  <c r="Z160" i="1" s="1"/>
  <c r="AA160" i="1" s="1"/>
  <c r="Y128" i="1"/>
  <c r="Z128" i="1" s="1"/>
  <c r="AA128" i="1" s="1"/>
  <c r="Y97" i="1"/>
  <c r="Z97" i="1" s="1"/>
  <c r="AA97" i="1" s="1"/>
  <c r="Y93" i="1"/>
  <c r="Z93" i="1" s="1"/>
  <c r="AA93" i="1" s="1"/>
  <c r="Y89" i="1"/>
  <c r="Z89" i="1" s="1"/>
  <c r="AA89" i="1" s="1"/>
  <c r="Y85" i="1"/>
  <c r="Z85" i="1" s="1"/>
  <c r="AA85" i="1" s="1"/>
  <c r="Y62" i="1"/>
  <c r="Z62" i="1" s="1"/>
  <c r="AA62" i="1" s="1"/>
  <c r="Y370" i="1"/>
  <c r="Z370" i="1" s="1"/>
  <c r="AA370" i="1" s="1"/>
  <c r="Y366" i="1"/>
  <c r="Z366" i="1" s="1"/>
  <c r="AA366" i="1" s="1"/>
  <c r="Y362" i="1"/>
  <c r="Z362" i="1" s="1"/>
  <c r="AA362" i="1" s="1"/>
  <c r="Y354" i="1"/>
  <c r="Z354" i="1" s="1"/>
  <c r="AA354" i="1" s="1"/>
  <c r="Y350" i="1"/>
  <c r="Z350" i="1" s="1"/>
  <c r="AA350" i="1" s="1"/>
  <c r="Y174" i="1"/>
  <c r="Z174" i="1" s="1"/>
  <c r="AA174" i="1" s="1"/>
  <c r="Y170" i="1"/>
  <c r="Z170" i="1" s="1"/>
  <c r="AA170" i="1" s="1"/>
  <c r="Y166" i="1"/>
  <c r="Z166" i="1" s="1"/>
  <c r="AA166" i="1" s="1"/>
  <c r="Z180" i="1"/>
  <c r="AA180" i="1" s="1"/>
  <c r="Y56" i="1"/>
  <c r="Z56" i="1" s="1"/>
  <c r="AA56" i="1" s="1"/>
  <c r="Y342" i="1"/>
  <c r="Z342" i="1" s="1"/>
  <c r="AA342" i="1" s="1"/>
  <c r="Y334" i="1"/>
  <c r="Z334" i="1" s="1"/>
  <c r="AA334" i="1" s="1"/>
  <c r="Y330" i="1"/>
  <c r="Z330" i="1" s="1"/>
  <c r="AA330" i="1" s="1"/>
  <c r="Y322" i="1"/>
  <c r="Z322" i="1" s="1"/>
  <c r="AA322" i="1" s="1"/>
  <c r="Y314" i="1"/>
  <c r="Z314" i="1" s="1"/>
  <c r="AA314" i="1" s="1"/>
  <c r="Y306" i="1"/>
  <c r="Z306" i="1" s="1"/>
  <c r="AA306" i="1" s="1"/>
  <c r="Z309" i="1"/>
  <c r="AA309" i="1" s="1"/>
  <c r="Z301" i="1"/>
  <c r="AA301" i="1" s="1"/>
  <c r="Z285" i="1"/>
  <c r="AA285" i="1" s="1"/>
  <c r="Z251" i="1"/>
  <c r="AA251" i="1" s="1"/>
  <c r="Z245" i="1"/>
  <c r="AA245" i="1" s="1"/>
  <c r="Z235" i="1"/>
  <c r="AA235" i="1" s="1"/>
  <c r="Z229" i="1"/>
  <c r="AA229" i="1" s="1"/>
  <c r="Z221" i="1"/>
  <c r="AA221" i="1" s="1"/>
  <c r="Z213" i="1"/>
  <c r="AA213" i="1" s="1"/>
  <c r="Z205" i="1"/>
  <c r="AA205" i="1" s="1"/>
  <c r="Z197" i="1"/>
  <c r="AA197" i="1" s="1"/>
  <c r="Z189" i="1"/>
  <c r="AA189" i="1" s="1"/>
  <c r="Z152" i="1"/>
  <c r="AA152" i="1" s="1"/>
  <c r="Z82" i="1"/>
  <c r="AA82" i="1" s="1"/>
  <c r="Z345" i="1"/>
  <c r="AA345" i="1" s="1"/>
  <c r="Z317" i="1"/>
  <c r="AA317" i="1" s="1"/>
  <c r="Z291" i="1"/>
  <c r="AA291" i="1" s="1"/>
  <c r="Z35" i="1"/>
  <c r="AA35" i="1" s="1"/>
  <c r="Y298" i="1"/>
  <c r="Z298" i="1" s="1"/>
  <c r="AA298" i="1" s="1"/>
  <c r="Y290" i="1"/>
  <c r="Z290" i="1" s="1"/>
  <c r="AA290" i="1" s="1"/>
  <c r="Y282" i="1"/>
  <c r="Z282" i="1" s="1"/>
  <c r="AA282" i="1" s="1"/>
  <c r="Y274" i="1"/>
  <c r="Z274" i="1" s="1"/>
  <c r="AA274" i="1" s="1"/>
  <c r="Y266" i="1"/>
  <c r="Z266" i="1" s="1"/>
  <c r="AA266" i="1" s="1"/>
  <c r="Y258" i="1"/>
  <c r="Z258" i="1" s="1"/>
  <c r="AA258" i="1" s="1"/>
  <c r="Y250" i="1"/>
  <c r="Z250" i="1" s="1"/>
  <c r="AA250" i="1" s="1"/>
  <c r="Y242" i="1"/>
  <c r="Z242" i="1" s="1"/>
  <c r="AA242" i="1" s="1"/>
  <c r="Y234" i="1"/>
  <c r="Z234" i="1" s="1"/>
  <c r="AA234" i="1" s="1"/>
  <c r="Y226" i="1"/>
  <c r="Z226" i="1" s="1"/>
  <c r="AA226" i="1" s="1"/>
  <c r="Y218" i="1"/>
  <c r="Z218" i="1" s="1"/>
  <c r="AA218" i="1" s="1"/>
  <c r="Y210" i="1"/>
  <c r="Z210" i="1" s="1"/>
  <c r="AA210" i="1" s="1"/>
  <c r="Y202" i="1"/>
  <c r="Z202" i="1" s="1"/>
  <c r="AA202" i="1" s="1"/>
  <c r="Y194" i="1"/>
  <c r="Z194" i="1" s="1"/>
  <c r="AA194" i="1" s="1"/>
  <c r="Z293" i="1"/>
  <c r="AA293" i="1" s="1"/>
  <c r="Z253" i="1"/>
  <c r="AA253" i="1" s="1"/>
  <c r="Z243" i="1"/>
  <c r="AA243" i="1" s="1"/>
  <c r="Z237" i="1"/>
  <c r="AA237" i="1" s="1"/>
  <c r="Z227" i="1"/>
  <c r="AA227" i="1" s="1"/>
  <c r="Z219" i="1"/>
  <c r="AA219" i="1" s="1"/>
  <c r="Z211" i="1"/>
  <c r="AA211" i="1" s="1"/>
  <c r="Z203" i="1"/>
  <c r="AA203" i="1" s="1"/>
  <c r="Z195" i="1"/>
  <c r="AA195" i="1" s="1"/>
  <c r="Z181" i="1"/>
  <c r="AA181" i="1" s="1"/>
  <c r="Z140" i="1"/>
  <c r="AA140" i="1" s="1"/>
  <c r="Z113" i="1"/>
  <c r="AA113" i="1" s="1"/>
  <c r="Z325" i="1"/>
  <c r="AA325" i="1" s="1"/>
  <c r="Z299" i="1"/>
  <c r="AA299" i="1" s="1"/>
  <c r="Z45" i="1"/>
  <c r="AA45" i="1" s="1"/>
  <c r="Z16" i="1"/>
  <c r="AA16" i="1" s="1"/>
  <c r="Z54" i="1"/>
  <c r="AA54" i="1" s="1"/>
  <c r="Z106" i="1"/>
  <c r="AA106" i="1" s="1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Y188" i="1"/>
  <c r="Z188" i="1" s="1"/>
  <c r="AA188" i="1" s="1"/>
  <c r="Y186" i="1"/>
  <c r="Z186" i="1" s="1"/>
  <c r="AA186" i="1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E18" i="9"/>
  <c r="B7" i="12"/>
  <c r="B5" i="12"/>
  <c r="B8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I13" i="9"/>
  <c r="G13" i="9"/>
  <c r="E13" i="9"/>
  <c r="C13" i="9"/>
  <c r="H13" i="9"/>
  <c r="D13" i="9"/>
  <c r="J13" i="9"/>
  <c r="F13" i="9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8" i="9"/>
  <c r="H8" i="9"/>
  <c r="F8" i="9"/>
  <c r="D8" i="9"/>
  <c r="I8" i="9"/>
  <c r="E8" i="9"/>
  <c r="C8" i="9"/>
  <c r="G8" i="9"/>
  <c r="J12" i="9"/>
  <c r="H12" i="9"/>
  <c r="F12" i="9"/>
  <c r="D12" i="9"/>
  <c r="I12" i="9"/>
  <c r="E12" i="9"/>
  <c r="G12" i="9"/>
  <c r="C12" i="9"/>
  <c r="J16" i="9"/>
  <c r="H16" i="9"/>
  <c r="F16" i="9"/>
  <c r="D16" i="9"/>
  <c r="I16" i="9"/>
  <c r="E16" i="9"/>
  <c r="C16" i="9"/>
  <c r="G16" i="9"/>
  <c r="J20" i="9"/>
  <c r="H20" i="9"/>
  <c r="F20" i="9"/>
  <c r="D20" i="9"/>
  <c r="I20" i="9"/>
  <c r="E20" i="9"/>
  <c r="G20" i="9"/>
  <c r="C20" i="9"/>
  <c r="J25" i="9"/>
  <c r="H25" i="9"/>
  <c r="F25" i="9"/>
  <c r="D25" i="9"/>
  <c r="G25" i="9"/>
  <c r="C25" i="9"/>
  <c r="E25" i="9"/>
  <c r="I25" i="9"/>
  <c r="J51" i="4"/>
  <c r="H51" i="4"/>
  <c r="F51" i="4"/>
  <c r="D51" i="4"/>
  <c r="I51" i="4"/>
  <c r="G51" i="4"/>
  <c r="E51" i="4"/>
  <c r="C51" i="4"/>
  <c r="Y176" i="1"/>
  <c r="Z176" i="1" s="1"/>
  <c r="AA176" i="1" s="1"/>
  <c r="Y161" i="1"/>
  <c r="Z161" i="1" s="1"/>
  <c r="AA161" i="1" s="1"/>
  <c r="Y157" i="1"/>
  <c r="Z157" i="1" s="1"/>
  <c r="AA157" i="1" s="1"/>
  <c r="Y148" i="1"/>
  <c r="Z148" i="1" s="1"/>
  <c r="AA148" i="1" s="1"/>
  <c r="Y144" i="1"/>
  <c r="Z144" i="1" s="1"/>
  <c r="AA144" i="1" s="1"/>
  <c r="Y125" i="1"/>
  <c r="Z125" i="1" s="1"/>
  <c r="AA125" i="1" s="1"/>
  <c r="Y121" i="1"/>
  <c r="Z121" i="1" s="1"/>
  <c r="AA121" i="1" s="1"/>
  <c r="Y65" i="1"/>
  <c r="Z65" i="1" s="1"/>
  <c r="AA65" i="1" s="1"/>
  <c r="Y48" i="1"/>
  <c r="Z48" i="1" s="1"/>
  <c r="AA48" i="1" s="1"/>
  <c r="Y42" i="1"/>
  <c r="Z42" i="1" s="1"/>
  <c r="AA42" i="1" s="1"/>
  <c r="Y40" i="1"/>
  <c r="Z40" i="1" s="1"/>
  <c r="AA40" i="1" s="1"/>
  <c r="Y38" i="1"/>
  <c r="Z38" i="1" s="1"/>
  <c r="AA38" i="1" s="1"/>
  <c r="Y32" i="1"/>
  <c r="Z32" i="1" s="1"/>
  <c r="AA32" i="1" s="1"/>
  <c r="Y28" i="1"/>
  <c r="Z28" i="1" s="1"/>
  <c r="AA28" i="1" s="1"/>
  <c r="Y23" i="1"/>
  <c r="Z23" i="1" s="1"/>
  <c r="AA23" i="1" s="1"/>
  <c r="Y19" i="1"/>
  <c r="Z19" i="1" s="1"/>
  <c r="AA19" i="1" s="1"/>
  <c r="Y12" i="1"/>
  <c r="Z12" i="1" s="1"/>
  <c r="AA12" i="1" s="1"/>
  <c r="Y8" i="1"/>
  <c r="Z8" i="1" s="1"/>
  <c r="AA8" i="1" s="1"/>
  <c r="G12" i="8" l="1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K22" i="8" s="1"/>
  <c r="L22" i="8" s="1"/>
  <c r="M22" i="8" s="1"/>
  <c r="F22" i="8"/>
  <c r="I14" i="8"/>
  <c r="K14" i="8" s="1"/>
  <c r="L14" i="8" s="1"/>
  <c r="M14" i="8" s="1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12" i="9"/>
  <c r="L12" i="9" s="1"/>
  <c r="M12" i="9" s="1"/>
  <c r="K8" i="9"/>
  <c r="L8" i="9" s="1"/>
  <c r="M8" i="9" s="1"/>
  <c r="K10" i="9"/>
  <c r="L10" i="9" s="1"/>
  <c r="M10" i="9" s="1"/>
  <c r="K20" i="9"/>
  <c r="L20" i="9" s="1"/>
  <c r="M20" i="9" s="1"/>
  <c r="K18" i="9"/>
  <c r="L18" i="9" s="1"/>
  <c r="M18" i="9" s="1"/>
  <c r="K51" i="4"/>
  <c r="L51" i="4" s="1"/>
  <c r="M51" i="4" s="1"/>
  <c r="K16" i="9"/>
  <c r="L16" i="9" s="1"/>
  <c r="M16" i="9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K14" i="9"/>
  <c r="L14" i="9" s="1"/>
  <c r="K25" i="9"/>
  <c r="L25" i="9" s="1"/>
  <c r="M25" i="9" s="1"/>
  <c r="K23" i="9"/>
  <c r="L23" i="9" s="1"/>
  <c r="M23" i="9" s="1"/>
  <c r="K6" i="9"/>
  <c r="L6" i="9" s="1"/>
  <c r="M6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K13" i="9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K15" i="9"/>
  <c r="K7" i="9"/>
  <c r="K9" i="9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K24" i="9"/>
  <c r="K11" i="9"/>
  <c r="K17" i="9"/>
  <c r="J7" i="12"/>
  <c r="H7" i="12"/>
  <c r="F7" i="12"/>
  <c r="D7" i="12"/>
  <c r="G7" i="12"/>
  <c r="C7" i="12"/>
  <c r="I7" i="12"/>
  <c r="K7" i="12" s="1"/>
  <c r="E7" i="12"/>
  <c r="K19" i="9"/>
  <c r="K5" i="9"/>
  <c r="K21" i="9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4" i="8" l="1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M14" i="9"/>
  <c r="K9" i="7"/>
  <c r="L9" i="7" s="1"/>
  <c r="M9" i="7" s="1"/>
  <c r="L5" i="12"/>
  <c r="M5" i="12" s="1"/>
  <c r="L6" i="12"/>
  <c r="M6" i="12" s="1"/>
  <c r="K25" i="7"/>
  <c r="K27" i="7"/>
  <c r="K11" i="7"/>
  <c r="L5" i="9"/>
  <c r="M5" i="9" s="1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21" i="9"/>
  <c r="M21" i="9" s="1"/>
  <c r="L19" i="9"/>
  <c r="M19" i="9" s="1"/>
  <c r="L17" i="9"/>
  <c r="M17" i="9" s="1"/>
  <c r="L24" i="9"/>
  <c r="M24" i="9" s="1"/>
  <c r="L11" i="8"/>
  <c r="M11" i="8" s="1"/>
  <c r="L9" i="9"/>
  <c r="M9" i="9" s="1"/>
  <c r="L15" i="9"/>
  <c r="M15" i="9" s="1"/>
  <c r="L17" i="6"/>
  <c r="M17" i="6" s="1"/>
  <c r="L14" i="6"/>
  <c r="M14" i="6" s="1"/>
  <c r="L8" i="12"/>
  <c r="M8" i="12" s="1"/>
  <c r="K19" i="7"/>
  <c r="K13" i="7"/>
  <c r="C138" i="1" l="1"/>
  <c r="C171" i="1"/>
  <c r="C36" i="1"/>
  <c r="C71" i="1"/>
  <c r="C105" i="1"/>
  <c r="C136" i="1"/>
  <c r="C58" i="1"/>
  <c r="C101" i="1"/>
  <c r="C167" i="1"/>
  <c r="C173" i="1"/>
  <c r="C188" i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AH253" i="1" l="1"/>
  <c r="AK253" i="1" s="1"/>
  <c r="D253" i="1"/>
  <c r="AG253" i="1" l="1"/>
  <c r="AI253" i="1"/>
  <c r="AH258" i="1" l="1"/>
  <c r="AK258" i="1" s="1"/>
  <c r="D258" i="1" l="1"/>
  <c r="AG258" i="1" l="1"/>
  <c r="AI258" i="1"/>
  <c r="AH261" i="1" l="1"/>
  <c r="AK261" i="1" s="1"/>
  <c r="D261" i="1"/>
  <c r="AI261" i="1" l="1"/>
  <c r="AG261" i="1"/>
  <c r="AH268" i="1" l="1"/>
  <c r="AK268" i="1" s="1"/>
  <c r="D268" i="1"/>
  <c r="AI268" i="1" l="1"/>
  <c r="AG268" i="1"/>
  <c r="D274" i="1" l="1"/>
  <c r="AH274" i="1"/>
  <c r="AK274" i="1" s="1"/>
  <c r="AI274" i="1" l="1"/>
  <c r="AG274" i="1"/>
  <c r="D277" i="1" l="1"/>
  <c r="AH277" i="1"/>
  <c r="AK277" i="1" s="1"/>
  <c r="AG277" i="1" l="1"/>
  <c r="D292" i="1" l="1"/>
  <c r="AH292" i="1" l="1"/>
  <c r="AK292" i="1" s="1"/>
  <c r="AG292" i="1"/>
  <c r="AI292" i="1"/>
  <c r="D298" i="1" l="1"/>
  <c r="AH298" i="1"/>
  <c r="AK298" i="1" s="1"/>
  <c r="AG298" i="1" l="1"/>
  <c r="AI298" i="1"/>
  <c r="AH300" i="1" l="1"/>
  <c r="AK300" i="1" s="1"/>
  <c r="D300" i="1"/>
  <c r="AI300" i="1" l="1"/>
  <c r="AG300" i="1"/>
  <c r="D303" i="1" l="1"/>
  <c r="AH303" i="1"/>
  <c r="AK303" i="1" s="1"/>
  <c r="AI303" i="1" l="1"/>
  <c r="AG303" i="1"/>
  <c r="D306" i="1" l="1"/>
  <c r="AH306" i="1" l="1"/>
  <c r="AK306" i="1" s="1"/>
  <c r="AG306" i="1"/>
  <c r="AI306" i="1"/>
  <c r="D319" i="1" l="1"/>
  <c r="AH319" i="1" l="1"/>
  <c r="AK319" i="1" s="1"/>
  <c r="AG319" i="1"/>
  <c r="AI319" i="1"/>
  <c r="D322" i="1" l="1"/>
  <c r="AH322" i="1" l="1"/>
  <c r="AK322" i="1" s="1"/>
  <c r="AG322" i="1"/>
  <c r="AI322" i="1"/>
  <c r="D348" i="1" l="1"/>
  <c r="AH348" i="1"/>
  <c r="AK348" i="1" s="1"/>
  <c r="AI348" i="1" l="1"/>
  <c r="AG348" i="1"/>
  <c r="AH352" i="1" l="1"/>
  <c r="AK352" i="1" s="1"/>
  <c r="D352" i="1" l="1"/>
  <c r="AI352" i="1" l="1"/>
  <c r="AG352" i="1"/>
  <c r="D354" i="1"/>
  <c r="AH354" i="1"/>
  <c r="AK354" i="1" s="1"/>
  <c r="AI354" i="1" l="1"/>
  <c r="AG354" i="1"/>
  <c r="D358" i="1" l="1"/>
  <c r="AH358" i="1"/>
  <c r="AK358" i="1" s="1"/>
  <c r="AI358" i="1" l="1"/>
  <c r="AG358" i="1"/>
  <c r="D360" i="1"/>
  <c r="AH360" i="1"/>
  <c r="AK360" i="1" s="1"/>
  <c r="AG360" i="1" l="1"/>
  <c r="AI360" i="1"/>
  <c r="AH363" i="1"/>
  <c r="AK363" i="1" s="1"/>
  <c r="D363" i="1"/>
  <c r="AG363" i="1" l="1"/>
  <c r="AI363" i="1" l="1"/>
  <c r="AH369" i="1" l="1"/>
  <c r="AK369" i="1" s="1"/>
  <c r="D369" i="1"/>
  <c r="AG369" i="1" l="1"/>
  <c r="AI369" i="1"/>
  <c r="D372" i="1" l="1"/>
  <c r="AH372" i="1"/>
  <c r="AK372" i="1" s="1"/>
  <c r="D374" i="1"/>
  <c r="AH374" i="1" l="1"/>
  <c r="AK374" i="1" s="1"/>
  <c r="AI372" i="1"/>
  <c r="AG372" i="1"/>
  <c r="AG374" i="1"/>
  <c r="AH376" i="1"/>
  <c r="AK376" i="1" s="1"/>
  <c r="D376" i="1" l="1"/>
  <c r="AI374" i="1"/>
  <c r="D378" i="1"/>
  <c r="AH378" i="1"/>
  <c r="AK378" i="1" s="1"/>
  <c r="AI376" i="1" l="1"/>
  <c r="AI378" i="1"/>
  <c r="AG376" i="1"/>
  <c r="AG378" i="1"/>
  <c r="D381" i="1" l="1"/>
  <c r="AH381" i="1"/>
  <c r="AK381" i="1" s="1"/>
  <c r="AG381" i="1" l="1"/>
  <c r="AI381" i="1"/>
  <c r="D389" i="1" l="1"/>
  <c r="AH389" i="1"/>
  <c r="AK389" i="1" s="1"/>
  <c r="AG389" i="1" l="1"/>
  <c r="AH393" i="1" l="1"/>
  <c r="AK393" i="1" s="1"/>
  <c r="D393" i="1"/>
  <c r="AI393" i="1" l="1"/>
  <c r="AG393" i="1"/>
  <c r="AI389" i="1"/>
  <c r="AH405" i="1" l="1"/>
  <c r="AK405" i="1" s="1"/>
  <c r="D405" i="1"/>
  <c r="AI405" i="1" l="1"/>
  <c r="AG405" i="1"/>
  <c r="AH416" i="1" l="1"/>
  <c r="AK416" i="1" s="1"/>
  <c r="D416" i="1"/>
  <c r="AI416" i="1" l="1"/>
  <c r="D419" i="1"/>
  <c r="AH419" i="1"/>
  <c r="AK419" i="1" s="1"/>
  <c r="AG416" i="1"/>
  <c r="AG419" i="1" l="1"/>
  <c r="AI419" i="1" l="1"/>
  <c r="AH430" i="1" l="1"/>
  <c r="AK430" i="1" s="1"/>
  <c r="D430" i="1"/>
  <c r="AG430" i="1" l="1"/>
  <c r="AH438" i="1" l="1"/>
  <c r="AK438" i="1" s="1"/>
  <c r="D438" i="1"/>
  <c r="AI438" i="1" l="1"/>
  <c r="AG438" i="1"/>
  <c r="AH445" i="1" l="1"/>
  <c r="AK445" i="1" s="1"/>
  <c r="D445" i="1"/>
  <c r="AG445" i="1" l="1"/>
  <c r="AI445" i="1" l="1"/>
  <c r="AH456" i="1" l="1"/>
  <c r="AK456" i="1" s="1"/>
  <c r="D456" i="1" l="1"/>
  <c r="AQ372" i="1" l="1"/>
  <c r="AQ374" i="1"/>
  <c r="AQ376" i="1"/>
  <c r="AQ378" i="1"/>
  <c r="AQ381" i="1"/>
  <c r="AQ389" i="1"/>
  <c r="AQ393" i="1"/>
  <c r="AQ405" i="1"/>
  <c r="AQ416" i="1"/>
  <c r="AQ419" i="1"/>
  <c r="AQ430" i="1"/>
  <c r="AQ438" i="1"/>
  <c r="AQ354" i="1"/>
  <c r="AQ369" i="1"/>
  <c r="AQ363" i="1"/>
  <c r="AQ360" i="1"/>
  <c r="AQ352" i="1"/>
  <c r="AQ348" i="1"/>
  <c r="AQ358" i="1"/>
  <c r="AQ306" i="1"/>
  <c r="AQ286" i="1"/>
  <c r="AQ202" i="1"/>
  <c r="AQ253" i="1"/>
  <c r="AQ292" i="1"/>
  <c r="AQ200" i="1"/>
  <c r="AQ223" i="1"/>
  <c r="AQ322" i="1"/>
  <c r="AQ298" i="1"/>
  <c r="AQ198" i="1"/>
  <c r="AQ219" i="1"/>
  <c r="AQ215" i="1"/>
  <c r="AQ258" i="1"/>
  <c r="AQ174" i="1"/>
  <c r="AQ274" i="1"/>
  <c r="AQ303" i="1"/>
  <c r="AQ300" i="1"/>
  <c r="AQ194" i="1"/>
  <c r="AQ261" i="1"/>
  <c r="AQ171" i="1"/>
  <c r="AQ268" i="1"/>
  <c r="AQ206" i="1"/>
  <c r="AQ277" i="1"/>
  <c r="AQ213" i="1"/>
  <c r="AQ184" i="1"/>
  <c r="AQ319" i="1"/>
  <c r="AI456" i="1"/>
  <c r="AG456" i="1"/>
  <c r="D467" i="1" l="1"/>
  <c r="AH467" i="1"/>
  <c r="AK467" i="1" s="1"/>
  <c r="AG467" i="1" l="1"/>
  <c r="AC300" i="1" l="1"/>
  <c r="AD268" i="1"/>
  <c r="AD369" i="1"/>
  <c r="AC374" i="1"/>
  <c r="AC274" i="1"/>
  <c r="AD292" i="1"/>
  <c r="AD393" i="1"/>
  <c r="AC261" i="1"/>
  <c r="AD306" i="1"/>
  <c r="AD363" i="1"/>
  <c r="AC277" i="1"/>
  <c r="AD322" i="1"/>
  <c r="AD298" i="1"/>
  <c r="AD416" i="1"/>
  <c r="AD253" i="1"/>
  <c r="AD376" i="1"/>
  <c r="AD319" i="1"/>
  <c r="AC306" i="1"/>
  <c r="AC369" i="1"/>
  <c r="AC416" i="1"/>
  <c r="AC352" i="1"/>
  <c r="AC253" i="1"/>
  <c r="AC292" i="1"/>
  <c r="AC268" i="1"/>
  <c r="AD430" i="1"/>
  <c r="AD303" i="1"/>
  <c r="AC430" i="1"/>
  <c r="AC378" i="1"/>
  <c r="AD358" i="1"/>
  <c r="AD348" i="1"/>
  <c r="AD300" i="1"/>
  <c r="AC405" i="1"/>
  <c r="AC360" i="1"/>
  <c r="AC322" i="1"/>
  <c r="AC319" i="1"/>
  <c r="AC372" i="1"/>
  <c r="AD445" i="1"/>
  <c r="AC419" i="1"/>
  <c r="AD467" i="1"/>
  <c r="AC363" i="1"/>
  <c r="AC258" i="1"/>
  <c r="AC354" i="1"/>
  <c r="AC358" i="1"/>
  <c r="AC376" i="1"/>
  <c r="AC389" i="1"/>
  <c r="AD405" i="1"/>
  <c r="AC445" i="1"/>
  <c r="AD277" i="1"/>
  <c r="AD389" i="1"/>
  <c r="AC348" i="1"/>
  <c r="AD438" i="1"/>
  <c r="AD352" i="1"/>
  <c r="AD274" i="1"/>
  <c r="AC303" i="1"/>
  <c r="AD374" i="1"/>
  <c r="AD381" i="1"/>
  <c r="AC393" i="1"/>
  <c r="AD258" i="1"/>
  <c r="AD261" i="1"/>
  <c r="AD378" i="1"/>
  <c r="AD419" i="1"/>
  <c r="AC298" i="1"/>
  <c r="AD456" i="1"/>
  <c r="AD372" i="1"/>
  <c r="AC438" i="1"/>
  <c r="AC381" i="1"/>
  <c r="AD360" i="1"/>
  <c r="AD354" i="1"/>
  <c r="AC467" i="1"/>
  <c r="AC456" i="1"/>
  <c r="AI467" i="1" l="1"/>
  <c r="D23" i="1"/>
  <c r="C474" i="1" l="1"/>
  <c r="AH23" i="1"/>
  <c r="AG23" i="1"/>
  <c r="AK23" i="1" l="1"/>
  <c r="AI23" i="1" l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A2" i="2"/>
  <c r="R2" i="2" l="1"/>
  <c r="H2" i="2"/>
  <c r="I2" i="2"/>
  <c r="F2" i="2"/>
  <c r="J2" i="2"/>
  <c r="AK160" i="1" l="1"/>
  <c r="D171" i="1" l="1"/>
  <c r="AH171" i="1"/>
  <c r="AK171" i="1" l="1"/>
  <c r="AG171" i="1"/>
  <c r="AI171" i="1"/>
  <c r="AQ23" i="1" l="1"/>
  <c r="AD171" i="1" l="1"/>
  <c r="AC23" i="1"/>
  <c r="AC171" i="1"/>
  <c r="AD23" i="1"/>
  <c r="B176" i="1" l="1"/>
  <c r="C176" i="1" s="1"/>
  <c r="C463" i="1" l="1"/>
  <c r="C455" i="1"/>
  <c r="C447" i="1"/>
  <c r="C440" i="1"/>
  <c r="C437" i="1"/>
  <c r="C435" i="1"/>
  <c r="C433" i="1"/>
  <c r="C422" i="1"/>
  <c r="C413" i="1"/>
  <c r="C402" i="1"/>
  <c r="C395" i="1"/>
  <c r="C393" i="1"/>
  <c r="C391" i="1"/>
  <c r="C376" i="1"/>
  <c r="C372" i="1"/>
  <c r="C366" i="1"/>
  <c r="C362" i="1"/>
  <c r="C358" i="1"/>
  <c r="C356" i="1"/>
  <c r="C348" i="1"/>
  <c r="C341" i="1"/>
  <c r="C336" i="1"/>
  <c r="C331" i="1"/>
  <c r="C328" i="1"/>
  <c r="C326" i="1"/>
  <c r="C324" i="1"/>
  <c r="C311" i="1"/>
  <c r="C303" i="1"/>
  <c r="C297" i="1"/>
  <c r="C286" i="1"/>
  <c r="C274" i="1"/>
  <c r="C261" i="1"/>
  <c r="C250" i="1"/>
  <c r="C244" i="1"/>
  <c r="C242" i="1"/>
  <c r="C227" i="1"/>
  <c r="C225" i="1"/>
  <c r="C230" i="1"/>
  <c r="C222" i="1"/>
  <c r="C219" i="1"/>
  <c r="C205" i="1"/>
  <c r="C184" i="1"/>
  <c r="B170" i="1"/>
  <c r="C170" i="1" s="1"/>
  <c r="C166" i="1"/>
  <c r="B153" i="1"/>
  <c r="C153" i="1" s="1"/>
  <c r="B53" i="1"/>
  <c r="C53" i="1" s="1"/>
  <c r="B146" i="1"/>
  <c r="C146" i="1" s="1"/>
  <c r="C145" i="1"/>
  <c r="B134" i="1"/>
  <c r="C134" i="1" s="1"/>
  <c r="B109" i="1"/>
  <c r="C109" i="1" s="1"/>
  <c r="B104" i="1"/>
  <c r="C104" i="1" s="1"/>
  <c r="B97" i="1"/>
  <c r="C97" i="1" s="1"/>
  <c r="B94" i="1"/>
  <c r="C94" i="1" s="1"/>
  <c r="B92" i="1"/>
  <c r="C92" i="1" s="1"/>
  <c r="B84" i="1"/>
  <c r="C84" i="1" s="1"/>
  <c r="C80" i="1"/>
  <c r="B75" i="1"/>
  <c r="C75" i="1" s="1"/>
  <c r="C68" i="1"/>
  <c r="C65" i="1"/>
  <c r="B62" i="1"/>
  <c r="C62" i="1" s="1"/>
  <c r="B59" i="1"/>
  <c r="C59" i="1" s="1"/>
  <c r="B57" i="1"/>
  <c r="C57" i="1" s="1"/>
  <c r="C52" i="1"/>
  <c r="C47" i="1"/>
  <c r="B39" i="1"/>
  <c r="C39" i="1" s="1"/>
  <c r="C28" i="1"/>
  <c r="B15" i="1"/>
  <c r="C15" i="1" s="1"/>
  <c r="B8" i="1"/>
  <c r="C8" i="1" s="1"/>
  <c r="C4" i="1"/>
  <c r="AP179" i="1" l="1"/>
  <c r="AP175" i="1"/>
  <c r="AP152" i="1"/>
  <c r="AP148" i="1"/>
  <c r="AP127" i="1"/>
  <c r="AP90" i="1"/>
  <c r="AP78" i="1"/>
  <c r="AP51" i="1"/>
  <c r="AP168" i="1"/>
  <c r="AP159" i="1"/>
  <c r="AP143" i="1"/>
  <c r="AP119" i="1"/>
  <c r="AP107" i="1"/>
  <c r="AP64" i="1"/>
  <c r="AP56" i="1"/>
  <c r="AP46" i="1"/>
  <c r="AP42" i="1"/>
  <c r="AP24" i="1"/>
  <c r="AP9" i="1"/>
  <c r="AP177" i="1"/>
  <c r="AP154" i="1"/>
  <c r="AP150" i="1"/>
  <c r="AP135" i="1"/>
  <c r="AP121" i="1"/>
  <c r="AP88" i="1"/>
  <c r="AP72" i="1"/>
  <c r="AP27" i="1"/>
  <c r="AP172" i="1"/>
  <c r="AP161" i="1"/>
  <c r="AP157" i="1"/>
  <c r="AP124" i="1"/>
  <c r="AP117" i="1"/>
  <c r="AP99" i="1"/>
  <c r="AP60" i="1"/>
  <c r="AP54" i="1"/>
  <c r="AP44" i="1"/>
  <c r="AP38" i="1"/>
  <c r="AP22" i="1"/>
  <c r="AP11" i="1"/>
  <c r="AP6" i="1"/>
  <c r="AQ127" i="1" l="1"/>
  <c r="AQ102" i="1"/>
  <c r="AQ60" i="1"/>
  <c r="AQ111" i="1"/>
  <c r="AQ39" i="1"/>
  <c r="AQ132" i="1"/>
  <c r="AQ75" i="1"/>
  <c r="AQ30" i="1"/>
  <c r="AQ125" i="1"/>
  <c r="AQ109" i="1"/>
  <c r="AQ129" i="1"/>
  <c r="AQ44" i="1"/>
  <c r="AQ36" i="1"/>
  <c r="AQ115" i="1"/>
  <c r="AQ97" i="1"/>
  <c r="AQ159" i="1"/>
  <c r="AQ139" i="1"/>
  <c r="AQ88" i="1"/>
  <c r="AQ86" i="1"/>
  <c r="AQ49" i="1"/>
  <c r="AQ54" i="1"/>
  <c r="AQ41" i="1"/>
  <c r="AQ121" i="1"/>
  <c r="AQ13" i="1"/>
  <c r="D39" i="1" l="1"/>
  <c r="D41" i="1"/>
  <c r="AH44" i="1"/>
  <c r="D44" i="1"/>
  <c r="AG44" i="1" s="1"/>
  <c r="AH60" i="1"/>
  <c r="D60" i="1"/>
  <c r="AG60" i="1" l="1"/>
  <c r="AK150" i="1"/>
  <c r="AK60" i="1"/>
  <c r="AK44" i="1"/>
  <c r="AI60" i="1"/>
  <c r="AI44" i="1"/>
  <c r="D13" i="1" l="1"/>
  <c r="D30" i="1"/>
  <c r="D36" i="1"/>
  <c r="D49" i="1"/>
  <c r="AH54" i="1"/>
  <c r="D54" i="1"/>
  <c r="D75" i="1"/>
  <c r="D86" i="1"/>
  <c r="AH88" i="1"/>
  <c r="D88" i="1"/>
  <c r="D97" i="1"/>
  <c r="D102" i="1"/>
  <c r="D109" i="1"/>
  <c r="D111" i="1"/>
  <c r="D115" i="1"/>
  <c r="AH121" i="1"/>
  <c r="D121" i="1"/>
  <c r="D125" i="1"/>
  <c r="AH127" i="1"/>
  <c r="D127" i="1"/>
  <c r="D129" i="1"/>
  <c r="D132" i="1"/>
  <c r="D139" i="1"/>
  <c r="D149" i="1"/>
  <c r="AH149" i="1"/>
  <c r="AH159" i="1"/>
  <c r="D159" i="1"/>
  <c r="D167" i="1"/>
  <c r="AH167" i="1"/>
  <c r="D174" i="1"/>
  <c r="AH174" i="1"/>
  <c r="AH184" i="1"/>
  <c r="D184" i="1"/>
  <c r="D194" i="1"/>
  <c r="AH194" i="1"/>
  <c r="AH198" i="1"/>
  <c r="D198" i="1"/>
  <c r="D200" i="1"/>
  <c r="AH200" i="1"/>
  <c r="D202" i="1"/>
  <c r="AH202" i="1"/>
  <c r="D206" i="1"/>
  <c r="AH206" i="1"/>
  <c r="AK206" i="1" l="1"/>
  <c r="AK200" i="1"/>
  <c r="AK172" i="1"/>
  <c r="AK149" i="1"/>
  <c r="AK54" i="1"/>
  <c r="AK45" i="1"/>
  <c r="AK24" i="1"/>
  <c r="AI206" i="1"/>
  <c r="AK201" i="1"/>
  <c r="AK202" i="1" s="1"/>
  <c r="AI200" i="1"/>
  <c r="AK194" i="1"/>
  <c r="AK195" i="1" s="1"/>
  <c r="AK184" i="1"/>
  <c r="AK159" i="1"/>
  <c r="AI149" i="1"/>
  <c r="AK121" i="1"/>
  <c r="AI88" i="1"/>
  <c r="AK55" i="1"/>
  <c r="AI54" i="1"/>
  <c r="AG198" i="1"/>
  <c r="AI194" i="1"/>
  <c r="AI184" i="1"/>
  <c r="AG167" i="1"/>
  <c r="AG159" i="1"/>
  <c r="AI121" i="1"/>
  <c r="AG88" i="1"/>
  <c r="AG206" i="1"/>
  <c r="AG202" i="1"/>
  <c r="AG200" i="1"/>
  <c r="AG194" i="1"/>
  <c r="AG184" i="1"/>
  <c r="AG174" i="1"/>
  <c r="AI159" i="1"/>
  <c r="AG149" i="1"/>
  <c r="AG127" i="1"/>
  <c r="AG121" i="1"/>
  <c r="AG54" i="1"/>
  <c r="AH210" i="1"/>
  <c r="D210" i="1"/>
  <c r="AK210" i="1" l="1"/>
  <c r="AI210" i="1"/>
  <c r="AG210" i="1"/>
  <c r="AI202" i="1"/>
  <c r="AK211" i="1" l="1"/>
  <c r="AH111" i="1" l="1"/>
  <c r="AH109" i="1"/>
  <c r="AH115" i="1"/>
  <c r="D213" i="1"/>
  <c r="AH213" i="1"/>
  <c r="AK213" i="1" l="1"/>
  <c r="AG213" i="1"/>
  <c r="AI213" i="1"/>
  <c r="AH30" i="1"/>
  <c r="AH36" i="1"/>
  <c r="AH132" i="1" l="1"/>
  <c r="AH139" i="1"/>
  <c r="AH129" i="1"/>
  <c r="AH13" i="1"/>
  <c r="D215" i="1"/>
  <c r="AH215" i="1"/>
  <c r="AK215" i="1" l="1"/>
  <c r="AI215" i="1"/>
  <c r="AH102" i="1"/>
  <c r="AG215" i="1"/>
  <c r="AH219" i="1" l="1"/>
  <c r="D219" i="1"/>
  <c r="AK219" i="1" l="1"/>
  <c r="AG219" i="1"/>
  <c r="AI219" i="1"/>
  <c r="AK220" i="1" l="1"/>
  <c r="D223" i="1" l="1"/>
  <c r="AH223" i="1"/>
  <c r="AK223" i="1" l="1"/>
  <c r="AG223" i="1"/>
  <c r="AI223" i="1"/>
  <c r="AK224" i="1" l="1"/>
  <c r="D235" i="1" l="1"/>
  <c r="AH235" i="1"/>
  <c r="AK235" i="1" l="1"/>
  <c r="AI235" i="1"/>
  <c r="AG235" i="1"/>
  <c r="AK236" i="1" l="1"/>
  <c r="AH237" i="1"/>
  <c r="D237" i="1"/>
  <c r="AK237" i="1" l="1"/>
  <c r="AG237" i="1"/>
  <c r="AI237" i="1"/>
  <c r="AK238" i="1" l="1"/>
  <c r="AI39" i="1" l="1"/>
  <c r="AI41" i="1"/>
  <c r="AC39" i="1"/>
  <c r="AG39" i="1"/>
  <c r="AD39" i="1"/>
  <c r="AG41" i="1"/>
  <c r="AC41" i="1"/>
  <c r="AD41" i="1"/>
  <c r="AI115" i="1"/>
  <c r="AI139" i="1"/>
  <c r="AG13" i="1"/>
  <c r="AG30" i="1"/>
  <c r="AI36" i="1"/>
  <c r="AG36" i="1"/>
  <c r="AG75" i="1"/>
  <c r="AG86" i="1"/>
  <c r="AG97" i="1"/>
  <c r="AG102" i="1"/>
  <c r="AG111" i="1"/>
  <c r="AG125" i="1"/>
  <c r="AI132" i="1"/>
  <c r="AG139" i="1"/>
  <c r="AI30" i="1"/>
  <c r="AG49" i="1"/>
  <c r="AI75" i="1"/>
  <c r="AI86" i="1"/>
  <c r="AI97" i="1"/>
  <c r="AI102" i="1"/>
  <c r="AG109" i="1"/>
  <c r="AG115" i="1"/>
  <c r="AG129" i="1"/>
  <c r="AG132" i="1"/>
  <c r="AI167" i="1" l="1"/>
  <c r="AI174" i="1"/>
  <c r="AI127" i="1" l="1"/>
  <c r="AH39" i="1" l="1"/>
  <c r="AK39" i="1" s="1"/>
  <c r="AK37" i="1"/>
  <c r="AH41" i="1"/>
  <c r="AK41" i="1" s="1"/>
  <c r="AH49" i="1"/>
  <c r="AK61" i="1" l="1"/>
  <c r="AK40" i="1"/>
  <c r="AC174" i="1"/>
  <c r="AD194" i="1"/>
  <c r="AC200" i="1"/>
  <c r="AC194" i="1"/>
  <c r="AC198" i="1"/>
  <c r="AD202" i="1"/>
  <c r="AC184" i="1"/>
  <c r="AD198" i="1"/>
  <c r="AC202" i="1"/>
  <c r="AD167" i="1"/>
  <c r="AC149" i="1"/>
  <c r="AD184" i="1"/>
  <c r="AD210" i="1"/>
  <c r="AC213" i="1"/>
  <c r="AD213" i="1"/>
  <c r="AD215" i="1"/>
  <c r="AD219" i="1"/>
  <c r="AC223" i="1"/>
  <c r="AD88" i="1"/>
  <c r="AD235" i="1"/>
  <c r="AD237" i="1"/>
  <c r="AC129" i="1"/>
  <c r="AC36" i="1"/>
  <c r="AD30" i="1"/>
  <c r="AD139" i="1"/>
  <c r="AC115" i="1"/>
  <c r="AD13" i="1"/>
  <c r="AD129" i="1"/>
  <c r="AC86" i="1"/>
  <c r="AC102" i="1"/>
  <c r="AC97" i="1"/>
  <c r="AD102" i="1"/>
  <c r="AD125" i="1"/>
  <c r="AC75" i="1"/>
  <c r="AC13" i="1"/>
  <c r="AC30" i="1"/>
  <c r="AC125" i="1"/>
  <c r="AD200" i="1"/>
  <c r="AC206" i="1"/>
  <c r="AD206" i="1"/>
  <c r="AD174" i="1"/>
  <c r="AC167" i="1"/>
  <c r="AD149" i="1"/>
  <c r="AC210" i="1"/>
  <c r="AC215" i="1"/>
  <c r="AC219" i="1"/>
  <c r="AD223" i="1"/>
  <c r="AC88" i="1"/>
  <c r="AC235" i="1"/>
  <c r="AC237" i="1"/>
  <c r="AD109" i="1"/>
  <c r="AD75" i="1"/>
  <c r="AD115" i="1"/>
  <c r="AC111" i="1"/>
  <c r="AC49" i="1"/>
  <c r="AC132" i="1"/>
  <c r="AD111" i="1"/>
  <c r="AD49" i="1"/>
  <c r="AD97" i="1"/>
  <c r="AD86" i="1"/>
  <c r="AC139" i="1"/>
  <c r="AD132" i="1"/>
  <c r="AD36" i="1"/>
  <c r="AC109" i="1"/>
  <c r="AH75" i="1"/>
  <c r="AK75" i="1" l="1"/>
  <c r="AK76" i="1" l="1"/>
  <c r="AH86" i="1" l="1"/>
  <c r="AK87" i="1" l="1"/>
  <c r="AK88" i="1"/>
  <c r="AK89" i="1"/>
  <c r="AH97" i="1" l="1"/>
  <c r="AK97" i="1" l="1"/>
  <c r="AK98" i="1" s="1"/>
  <c r="AH125" i="1"/>
  <c r="AK122" i="1" l="1"/>
  <c r="AC44" i="1" l="1"/>
  <c r="AC60" i="1"/>
  <c r="AD44" i="1"/>
  <c r="AD60" i="1"/>
  <c r="AD121" i="1"/>
  <c r="AC127" i="1"/>
  <c r="AD159" i="1"/>
  <c r="AD54" i="1"/>
  <c r="AD127" i="1"/>
  <c r="AC121" i="1"/>
  <c r="AC54" i="1"/>
  <c r="AC159" i="1"/>
  <c r="AK42" i="1" l="1"/>
  <c r="A3" i="10" l="1"/>
  <c r="B4" i="11"/>
  <c r="B4" i="8"/>
  <c r="B5" i="6"/>
  <c r="B6" i="6"/>
  <c r="B4" i="9" l="1"/>
  <c r="D6" i="6"/>
  <c r="F6" i="6"/>
  <c r="E6" i="6"/>
  <c r="C5" i="6"/>
  <c r="G5" i="6"/>
  <c r="J4" i="8"/>
  <c r="D4" i="8"/>
  <c r="F4" i="8"/>
  <c r="E4" i="8"/>
  <c r="C4" i="11"/>
  <c r="D4" i="11"/>
  <c r="H4" i="11"/>
  <c r="C3" i="10"/>
  <c r="E3" i="10"/>
  <c r="D3" i="10"/>
  <c r="H5" i="6"/>
  <c r="C6" i="6"/>
  <c r="H6" i="6"/>
  <c r="G6" i="6"/>
  <c r="D5" i="6"/>
  <c r="E5" i="6"/>
  <c r="C4" i="8"/>
  <c r="I4" i="8"/>
  <c r="G4" i="8"/>
  <c r="H4" i="8"/>
  <c r="G4" i="11"/>
  <c r="F4" i="11"/>
  <c r="E4" i="11"/>
  <c r="B3" i="10"/>
  <c r="F3" i="10"/>
  <c r="G3" i="10"/>
  <c r="F5" i="6"/>
  <c r="B5" i="7"/>
  <c r="B7" i="6"/>
  <c r="M3" i="10" l="1"/>
  <c r="I7" i="6"/>
  <c r="J7" i="6"/>
  <c r="F7" i="6"/>
  <c r="E7" i="6"/>
  <c r="C7" i="6"/>
  <c r="D7" i="6"/>
  <c r="G7" i="6"/>
  <c r="H7" i="6"/>
  <c r="J6" i="6"/>
  <c r="N3" i="10"/>
  <c r="I3" i="10" s="1"/>
  <c r="K1" i="10" s="1"/>
  <c r="J4" i="11"/>
  <c r="J5" i="6"/>
  <c r="K4" i="8"/>
  <c r="L4" i="8" s="1"/>
  <c r="M4" i="8" s="1"/>
  <c r="C4" i="9"/>
  <c r="D4" i="9"/>
  <c r="I4" i="9"/>
  <c r="J4" i="9"/>
  <c r="F4" i="9"/>
  <c r="H4" i="9"/>
  <c r="E4" i="9"/>
  <c r="G4" i="9"/>
  <c r="I5" i="6"/>
  <c r="H3" i="10"/>
  <c r="C5" i="7"/>
  <c r="E5" i="7"/>
  <c r="B6" i="7"/>
  <c r="F5" i="7"/>
  <c r="G5" i="7"/>
  <c r="D5" i="7"/>
  <c r="H5" i="7"/>
  <c r="K7" i="6" l="1"/>
  <c r="L7" i="6" s="1"/>
  <c r="M7" i="6" s="1"/>
  <c r="J3" i="10"/>
  <c r="K3" i="10" s="1"/>
  <c r="L3" i="10" s="1"/>
  <c r="J5" i="7"/>
  <c r="J6" i="7"/>
  <c r="I6" i="7"/>
  <c r="I6" i="6"/>
  <c r="K6" i="6" s="1"/>
  <c r="L6" i="6" s="1"/>
  <c r="M6" i="6" s="1"/>
  <c r="I4" i="11"/>
  <c r="K4" i="11" s="1"/>
  <c r="L4" i="11" s="1"/>
  <c r="M4" i="11" s="1"/>
  <c r="K4" i="9"/>
  <c r="L4" i="9" s="1"/>
  <c r="M4" i="9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I5" i="7"/>
  <c r="K5" i="7" s="1"/>
  <c r="L5" i="7" s="1"/>
  <c r="M5" i="7" s="1"/>
  <c r="A3" i="1"/>
  <c r="A4" i="1"/>
  <c r="D3" i="1"/>
  <c r="AH3" i="1"/>
  <c r="A51" i="4" l="1"/>
  <c r="A14" i="7"/>
  <c r="A26" i="7"/>
  <c r="A17" i="7"/>
  <c r="A14" i="9"/>
  <c r="A12" i="7"/>
  <c r="A7" i="8"/>
  <c r="A20" i="7"/>
  <c r="A30" i="7"/>
  <c r="A23" i="9"/>
  <c r="A21" i="9"/>
  <c r="A22" i="9"/>
  <c r="A6" i="8"/>
  <c r="A19" i="7"/>
  <c r="A9" i="9"/>
  <c r="A10" i="8"/>
  <c r="A50" i="4"/>
  <c r="A18" i="9"/>
  <c r="A15" i="7"/>
  <c r="A20" i="8"/>
  <c r="A43" i="4"/>
  <c r="A18" i="6"/>
  <c r="A48" i="5"/>
  <c r="A20" i="9"/>
  <c r="A22" i="7"/>
  <c r="A8" i="8"/>
  <c r="A13" i="8"/>
  <c r="A27" i="7"/>
  <c r="A36" i="4"/>
  <c r="A25" i="9"/>
  <c r="A10" i="6"/>
  <c r="A7" i="9"/>
  <c r="A37" i="4"/>
  <c r="A50" i="5"/>
  <c r="A6" i="9"/>
  <c r="A44" i="4"/>
  <c r="A22" i="6"/>
  <c r="A13" i="9"/>
  <c r="A7" i="7"/>
  <c r="A25" i="8"/>
  <c r="A45" i="5"/>
  <c r="A13" i="6"/>
  <c r="A16" i="8"/>
  <c r="A14" i="8"/>
  <c r="A13" i="7"/>
  <c r="A45" i="4"/>
  <c r="A52" i="4"/>
  <c r="A18" i="8"/>
  <c r="A46" i="4"/>
  <c r="A15" i="8"/>
  <c r="A25" i="7"/>
  <c r="A17" i="8"/>
  <c r="A21" i="6"/>
  <c r="A9" i="6"/>
  <c r="A21" i="8"/>
  <c r="A24" i="8"/>
  <c r="A24" i="9"/>
  <c r="A46" i="5"/>
  <c r="A10" i="7"/>
  <c r="A23" i="8"/>
  <c r="A40" i="4"/>
  <c r="A24" i="7"/>
  <c r="A5" i="12"/>
  <c r="A12" i="9"/>
  <c r="A23" i="7"/>
  <c r="A29" i="7"/>
  <c r="A15" i="9"/>
  <c r="A18" i="7"/>
  <c r="A28" i="7"/>
  <c r="A7" i="12"/>
  <c r="A44" i="5"/>
  <c r="A8" i="7"/>
  <c r="A49" i="4"/>
  <c r="A16" i="7"/>
  <c r="A38" i="4"/>
  <c r="A11" i="8"/>
  <c r="A47" i="4"/>
  <c r="A12" i="6"/>
  <c r="A11" i="6"/>
  <c r="A19" i="8"/>
  <c r="A16" i="9"/>
  <c r="A32" i="7"/>
  <c r="A39" i="4"/>
  <c r="A19" i="9"/>
  <c r="A9" i="7"/>
  <c r="A47" i="5"/>
  <c r="A16" i="6"/>
  <c r="A11" i="9"/>
  <c r="A9" i="8"/>
  <c r="A8" i="9"/>
  <c r="A31" i="7"/>
  <c r="A19" i="6"/>
  <c r="A42" i="4"/>
  <c r="A17" i="6"/>
  <c r="A15" i="6"/>
  <c r="A12" i="8"/>
  <c r="A49" i="5"/>
  <c r="A11" i="7"/>
  <c r="A17" i="9"/>
  <c r="A8" i="6"/>
  <c r="A5" i="9"/>
  <c r="A5" i="8"/>
  <c r="A14" i="6"/>
  <c r="A6" i="12"/>
  <c r="A5" i="11"/>
  <c r="A48" i="4"/>
  <c r="A22" i="8"/>
  <c r="A8" i="12"/>
  <c r="A6" i="11"/>
  <c r="A20" i="6"/>
  <c r="A41" i="4"/>
  <c r="A10" i="9"/>
  <c r="A21" i="7"/>
  <c r="A4" i="8"/>
  <c r="A4" i="11"/>
  <c r="A5" i="6"/>
  <c r="A6" i="6"/>
  <c r="A7" i="6"/>
  <c r="A4" i="9"/>
  <c r="A5" i="7"/>
  <c r="A6" i="7"/>
  <c r="AI3" i="1"/>
  <c r="AK3" i="1"/>
  <c r="AJ4" i="1"/>
  <c r="B2" i="2"/>
  <c r="A5" i="1"/>
  <c r="AG3" i="1"/>
  <c r="D4" i="1"/>
  <c r="AH4" i="1"/>
  <c r="G2" i="2" l="1"/>
  <c r="AK4" i="1"/>
  <c r="AJ5" i="1"/>
  <c r="B5" i="1" s="1"/>
  <c r="C5" i="1" s="1"/>
  <c r="D5" i="1"/>
  <c r="AG4" i="1"/>
  <c r="AI4" i="1"/>
  <c r="A6" i="1"/>
  <c r="AH5" i="1"/>
  <c r="A7" i="1"/>
  <c r="D6" i="1"/>
  <c r="AK5" i="1" l="1"/>
  <c r="AJ7" i="1"/>
  <c r="B7" i="1" s="1"/>
  <c r="C7" i="1" s="1"/>
  <c r="AJ6" i="1"/>
  <c r="B6" i="1" s="1"/>
  <c r="C6" i="1" s="1"/>
  <c r="AH6" i="1"/>
  <c r="A8" i="1"/>
  <c r="AG6" i="1"/>
  <c r="AI5" i="1"/>
  <c r="AG5" i="1"/>
  <c r="AH7" i="1"/>
  <c r="D7" i="1"/>
  <c r="AK6" i="1" l="1"/>
  <c r="AK7" i="1" s="1"/>
  <c r="AJ8" i="1"/>
  <c r="AH8" i="1"/>
  <c r="D8" i="1"/>
  <c r="AG7" i="1"/>
  <c r="A9" i="1"/>
  <c r="AI6" i="1"/>
  <c r="AK8" i="1" l="1"/>
  <c r="AJ9" i="1"/>
  <c r="B9" i="1" s="1"/>
  <c r="C9" i="1" s="1"/>
  <c r="AI13" i="1"/>
  <c r="AH9" i="1"/>
  <c r="A10" i="1"/>
  <c r="AG8" i="1"/>
  <c r="D9" i="1"/>
  <c r="AI7" i="1"/>
  <c r="AI8" i="1"/>
  <c r="AK9" i="1" l="1"/>
  <c r="AJ10" i="1"/>
  <c r="AG9" i="1"/>
  <c r="AH10" i="1"/>
  <c r="AI9" i="1"/>
  <c r="D10" i="1"/>
  <c r="A11" i="1"/>
  <c r="AK10" i="1" l="1"/>
  <c r="AJ11" i="1"/>
  <c r="B11" i="1" s="1"/>
  <c r="C11" i="1" s="1"/>
  <c r="AH11" i="1"/>
  <c r="A12" i="1"/>
  <c r="AI10" i="1"/>
  <c r="AG10" i="1"/>
  <c r="D11" i="1"/>
  <c r="AK11" i="1" l="1"/>
  <c r="AJ12" i="1"/>
  <c r="A13" i="1"/>
  <c r="AI11" i="1"/>
  <c r="AH12" i="1"/>
  <c r="D12" i="1"/>
  <c r="AG11" i="1"/>
  <c r="AK12" i="1" l="1"/>
  <c r="AK13" i="1" s="1"/>
  <c r="AJ13" i="1"/>
  <c r="AI12" i="1"/>
  <c r="A14" i="1"/>
  <c r="AG12" i="1"/>
  <c r="AK14" i="1" l="1"/>
  <c r="A15" i="1"/>
  <c r="D14" i="1"/>
  <c r="AH15" i="1"/>
  <c r="AH14" i="1"/>
  <c r="A16" i="1"/>
  <c r="D15" i="1"/>
  <c r="AK15" i="1" l="1"/>
  <c r="AJ15" i="1"/>
  <c r="AI14" i="1"/>
  <c r="AJ16" i="1"/>
  <c r="AG14" i="1"/>
  <c r="AI15" i="1"/>
  <c r="A17" i="1"/>
  <c r="AH16" i="1"/>
  <c r="AG15" i="1"/>
  <c r="D16" i="1"/>
  <c r="AK16" i="1" l="1"/>
  <c r="AJ17" i="1"/>
  <c r="B17" i="1" s="1"/>
  <c r="C17" i="1" s="1"/>
  <c r="AI16" i="1"/>
  <c r="AG16" i="1"/>
  <c r="AH17" i="1"/>
  <c r="D17" i="1"/>
  <c r="A18" i="1"/>
  <c r="AK17" i="1" l="1"/>
  <c r="AJ18" i="1"/>
  <c r="AI17" i="1"/>
  <c r="AG17" i="1"/>
  <c r="AH18" i="1"/>
  <c r="D18" i="1"/>
  <c r="A19" i="1"/>
  <c r="AH19" i="1"/>
  <c r="AK18" i="1" l="1"/>
  <c r="AK19" i="1" s="1"/>
  <c r="AJ19" i="1"/>
  <c r="B19" i="1" s="1"/>
  <c r="C19" i="1" s="1"/>
  <c r="D19" i="1"/>
  <c r="AI18" i="1"/>
  <c r="AG18" i="1"/>
  <c r="A20" i="1"/>
  <c r="AH20" i="1"/>
  <c r="D20" i="1"/>
  <c r="A21" i="1"/>
  <c r="AJ20" i="1" l="1"/>
  <c r="AK20" i="1"/>
  <c r="AJ21" i="1"/>
  <c r="AG19" i="1"/>
  <c r="A22" i="1"/>
  <c r="D22" i="1"/>
  <c r="AG20" i="1"/>
  <c r="AH22" i="1"/>
  <c r="AH21" i="1"/>
  <c r="AI19" i="1"/>
  <c r="D21" i="1"/>
  <c r="AK21" i="1" l="1"/>
  <c r="AK22" i="1" s="1"/>
  <c r="AJ22" i="1"/>
  <c r="B22" i="1" s="1"/>
  <c r="C22" i="1" s="1"/>
  <c r="AG22" i="1"/>
  <c r="AG21" i="1"/>
  <c r="A23" i="1"/>
  <c r="AI20" i="1"/>
  <c r="A24" i="1"/>
  <c r="D24" i="1"/>
  <c r="AH24" i="1"/>
  <c r="AJ23" i="1" l="1"/>
  <c r="AI24" i="1"/>
  <c r="A25" i="1"/>
  <c r="D25" i="1"/>
  <c r="AI21" i="1"/>
  <c r="AH25" i="1"/>
  <c r="AG24" i="1"/>
  <c r="AK25" i="1" l="1"/>
  <c r="AJ25" i="1"/>
  <c r="AG25" i="1"/>
  <c r="AI22" i="1"/>
  <c r="A26" i="1"/>
  <c r="AI25" i="1"/>
  <c r="A27" i="1"/>
  <c r="A28" i="1" s="1"/>
  <c r="D27" i="1"/>
  <c r="AH28" i="1"/>
  <c r="AH27" i="1"/>
  <c r="D28" i="1"/>
  <c r="AH26" i="1"/>
  <c r="D26" i="1"/>
  <c r="AJ27" i="1" l="1"/>
  <c r="B27" i="1" s="1"/>
  <c r="C27" i="1" s="1"/>
  <c r="AK26" i="1"/>
  <c r="AK27" i="1" s="1"/>
  <c r="AK28" i="1" s="1"/>
  <c r="AJ26" i="1"/>
  <c r="AJ28" i="1"/>
  <c r="A29" i="1"/>
  <c r="AI26" i="1"/>
  <c r="D29" i="1"/>
  <c r="AG28" i="1"/>
  <c r="AH29" i="1"/>
  <c r="AG26" i="1"/>
  <c r="AG27" i="1"/>
  <c r="A30" i="1"/>
  <c r="A31" i="1" s="1"/>
  <c r="AJ30" i="1" l="1"/>
  <c r="AJ29" i="1"/>
  <c r="B29" i="1" s="1"/>
  <c r="C29" i="1" s="1"/>
  <c r="AK29" i="1"/>
  <c r="AK30" i="1" s="1"/>
  <c r="AK31" i="1" s="1"/>
  <c r="AH31" i="1"/>
  <c r="AI27" i="1"/>
  <c r="A32" i="1"/>
  <c r="D32" i="1"/>
  <c r="AG29" i="1"/>
  <c r="D31" i="1"/>
  <c r="AH32" i="1"/>
  <c r="AK32" i="1" l="1"/>
  <c r="AJ32" i="1"/>
  <c r="AI31" i="1"/>
  <c r="AI28" i="1"/>
  <c r="AI32" i="1"/>
  <c r="AG31" i="1"/>
  <c r="AG32" i="1"/>
  <c r="A33" i="1"/>
  <c r="AH33" i="1"/>
  <c r="D33" i="1"/>
  <c r="A34" i="1"/>
  <c r="AJ33" i="1" l="1"/>
  <c r="B33" i="1" s="1"/>
  <c r="C33" i="1" s="1"/>
  <c r="AK33" i="1"/>
  <c r="AJ34" i="1"/>
  <c r="AI29" i="1"/>
  <c r="AG33" i="1"/>
  <c r="D34" i="1"/>
  <c r="A35" i="1"/>
  <c r="AI33" i="1"/>
  <c r="AH34" i="1"/>
  <c r="AH35" i="1"/>
  <c r="D35" i="1"/>
  <c r="AK34" i="1" l="1"/>
  <c r="AK35" i="1" s="1"/>
  <c r="AK36" i="1" s="1"/>
  <c r="AJ35" i="1"/>
  <c r="B35" i="1" s="1"/>
  <c r="C35" i="1" s="1"/>
  <c r="AK50" i="1"/>
  <c r="A36" i="1"/>
  <c r="AG35" i="1"/>
  <c r="AG34" i="1"/>
  <c r="A37" i="1"/>
  <c r="B3" i="4"/>
  <c r="AI34" i="1"/>
  <c r="AJ36" i="1" l="1"/>
  <c r="AI49" i="1"/>
  <c r="A38" i="1"/>
  <c r="C3" i="4"/>
  <c r="D38" i="1"/>
  <c r="AH37" i="1"/>
  <c r="AI35" i="1"/>
  <c r="H3" i="4"/>
  <c r="G3" i="4"/>
  <c r="AH38" i="1"/>
  <c r="F3" i="4"/>
  <c r="D3" i="4"/>
  <c r="E3" i="4"/>
  <c r="D37" i="1"/>
  <c r="AI37" i="1" l="1"/>
  <c r="AJ38" i="1"/>
  <c r="B38" i="1" s="1"/>
  <c r="C38" i="1" s="1"/>
  <c r="AK38" i="1"/>
  <c r="A3" i="4"/>
  <c r="A39" i="1"/>
  <c r="AI38" i="1"/>
  <c r="AG37" i="1"/>
  <c r="AG38" i="1"/>
  <c r="A40" i="1"/>
  <c r="AH40" i="1"/>
  <c r="D40" i="1"/>
  <c r="A41" i="1"/>
  <c r="AJ39" i="1" l="1"/>
  <c r="AI40" i="1"/>
  <c r="AJ41" i="1"/>
  <c r="A42" i="1"/>
  <c r="AG40" i="1"/>
  <c r="D42" i="1"/>
  <c r="A43" i="1"/>
  <c r="AH42" i="1"/>
  <c r="AJ43" i="1" l="1"/>
  <c r="AI42" i="1"/>
  <c r="B3" i="11"/>
  <c r="AG42" i="1"/>
  <c r="AH43" i="1"/>
  <c r="A44" i="1"/>
  <c r="D43" i="1"/>
  <c r="AK43" i="1" l="1"/>
  <c r="AJ44" i="1"/>
  <c r="B44" i="1" s="1"/>
  <c r="C44" i="1" s="1"/>
  <c r="J3" i="11"/>
  <c r="I3" i="11"/>
  <c r="E3" i="11"/>
  <c r="D3" i="11"/>
  <c r="C3" i="11"/>
  <c r="G3" i="11"/>
  <c r="H3" i="11"/>
  <c r="F3" i="11"/>
  <c r="A45" i="1"/>
  <c r="AG43" i="1"/>
  <c r="AI43" i="1"/>
  <c r="AH45" i="1"/>
  <c r="A46" i="1"/>
  <c r="A47" i="1"/>
  <c r="A48" i="1" s="1"/>
  <c r="AH47" i="1"/>
  <c r="D48" i="1"/>
  <c r="AH46" i="1"/>
  <c r="D47" i="1"/>
  <c r="D46" i="1"/>
  <c r="AJ46" i="1" l="1"/>
  <c r="B46" i="1" s="1"/>
  <c r="C46" i="1" s="1"/>
  <c r="AK46" i="1"/>
  <c r="AK47" i="1" s="1"/>
  <c r="AJ48" i="1"/>
  <c r="AJ47" i="1"/>
  <c r="A3" i="11"/>
  <c r="K3" i="11"/>
  <c r="L3" i="11" s="1"/>
  <c r="M3" i="11" s="1"/>
  <c r="AH48" i="1"/>
  <c r="A49" i="1"/>
  <c r="D45" i="1"/>
  <c r="AG47" i="1"/>
  <c r="A50" i="1"/>
  <c r="AG46" i="1"/>
  <c r="AG48" i="1"/>
  <c r="AK48" i="1" l="1"/>
  <c r="AK49" i="1" s="1"/>
  <c r="AI45" i="1"/>
  <c r="AJ49" i="1"/>
  <c r="AG45" i="1"/>
  <c r="AH50" i="1"/>
  <c r="D50" i="1"/>
  <c r="AI46" i="1"/>
  <c r="A51" i="1"/>
  <c r="AH51" i="1"/>
  <c r="A52" i="1"/>
  <c r="D52" i="1" s="1"/>
  <c r="D51" i="1"/>
  <c r="AI50" i="1" l="1"/>
  <c r="AJ52" i="1"/>
  <c r="AK51" i="1"/>
  <c r="AJ51" i="1"/>
  <c r="B51" i="1" s="1"/>
  <c r="C51" i="1" s="1"/>
  <c r="AG52" i="1"/>
  <c r="AG50" i="1"/>
  <c r="AH52" i="1"/>
  <c r="AI51" i="1"/>
  <c r="A53" i="1"/>
  <c r="AG51" i="1"/>
  <c r="A54" i="1"/>
  <c r="A55" i="1"/>
  <c r="D55" i="1" s="1"/>
  <c r="AH55" i="1"/>
  <c r="AI47" i="1"/>
  <c r="AI48" i="1" s="1"/>
  <c r="D53" i="1"/>
  <c r="AH53" i="1"/>
  <c r="A56" i="1"/>
  <c r="AH56" i="1" s="1"/>
  <c r="A57" i="1"/>
  <c r="AK52" i="1" l="1"/>
  <c r="AK53" i="1" s="1"/>
  <c r="AI55" i="1"/>
  <c r="AJ54" i="1"/>
  <c r="B54" i="1" s="1"/>
  <c r="C54" i="1" s="1"/>
  <c r="AJ53" i="1"/>
  <c r="AJ57" i="1"/>
  <c r="AK56" i="1"/>
  <c r="AJ56" i="1"/>
  <c r="B56" i="1" s="1"/>
  <c r="C56" i="1" s="1"/>
  <c r="D57" i="1"/>
  <c r="AG55" i="1"/>
  <c r="A58" i="1"/>
  <c r="A59" i="1"/>
  <c r="D58" i="1"/>
  <c r="AI52" i="1"/>
  <c r="AI53" i="1" s="1"/>
  <c r="AG53" i="1"/>
  <c r="AH57" i="1"/>
  <c r="D56" i="1"/>
  <c r="AK57" i="1" l="1"/>
  <c r="AJ58" i="1"/>
  <c r="AJ59" i="1"/>
  <c r="AH58" i="1"/>
  <c r="D59" i="1"/>
  <c r="AH59" i="1"/>
  <c r="AG58" i="1"/>
  <c r="A60" i="1"/>
  <c r="AI56" i="1"/>
  <c r="AG56" i="1"/>
  <c r="AG57" i="1"/>
  <c r="A61" i="1"/>
  <c r="AK58" i="1" l="1"/>
  <c r="AK59" i="1" s="1"/>
  <c r="AJ60" i="1"/>
  <c r="B60" i="1" s="1"/>
  <c r="C60" i="1" s="1"/>
  <c r="AI57" i="1"/>
  <c r="AI58" i="1"/>
  <c r="AH61" i="1"/>
  <c r="AG59" i="1"/>
  <c r="D61" i="1"/>
  <c r="A62" i="1"/>
  <c r="D62" i="1"/>
  <c r="AI61" i="1" l="1"/>
  <c r="AJ62" i="1"/>
  <c r="AH62" i="1"/>
  <c r="AG61" i="1"/>
  <c r="AI59" i="1"/>
  <c r="AG62" i="1"/>
  <c r="AI62" i="1"/>
  <c r="A63" i="1"/>
  <c r="D63" i="1"/>
  <c r="AK62" i="1" l="1"/>
  <c r="AJ63" i="1"/>
  <c r="AH63" i="1"/>
  <c r="AI63" i="1"/>
  <c r="A64" i="1"/>
  <c r="A65" i="1"/>
  <c r="AH64" i="1"/>
  <c r="AH65" i="1"/>
  <c r="AG63" i="1"/>
  <c r="D64" i="1"/>
  <c r="AK63" i="1" l="1"/>
  <c r="AK64" i="1" s="1"/>
  <c r="AK65" i="1" s="1"/>
  <c r="AJ65" i="1"/>
  <c r="AJ64" i="1"/>
  <c r="B64" i="1" s="1"/>
  <c r="C64" i="1" s="1"/>
  <c r="D65" i="1"/>
  <c r="A66" i="1"/>
  <c r="D66" i="1"/>
  <c r="AH66" i="1"/>
  <c r="AI64" i="1"/>
  <c r="AG64" i="1"/>
  <c r="A67" i="1"/>
  <c r="D67" i="1" s="1"/>
  <c r="AJ67" i="1" l="1"/>
  <c r="AJ66" i="1"/>
  <c r="AK66" i="1"/>
  <c r="AG66" i="1"/>
  <c r="AG65" i="1"/>
  <c r="AI65" i="1"/>
  <c r="AH67" i="1"/>
  <c r="AG67" i="1"/>
  <c r="A68" i="1"/>
  <c r="D68" i="1"/>
  <c r="AH68" i="1"/>
  <c r="AK67" i="1" l="1"/>
  <c r="AK68" i="1" s="1"/>
  <c r="AJ68" i="1"/>
  <c r="A69" i="1"/>
  <c r="AH69" i="1"/>
  <c r="D69" i="1"/>
  <c r="A70" i="1"/>
  <c r="A71" i="1"/>
  <c r="AI66" i="1"/>
  <c r="AG68" i="1"/>
  <c r="AH71" i="1"/>
  <c r="AH70" i="1"/>
  <c r="D70" i="1"/>
  <c r="D71" i="1"/>
  <c r="AJ69" i="1" l="1"/>
  <c r="AK69" i="1"/>
  <c r="AK71" i="1" s="1"/>
  <c r="AJ71" i="1"/>
  <c r="AJ70" i="1"/>
  <c r="B70" i="1" s="1"/>
  <c r="C70" i="1" s="1"/>
  <c r="AG71" i="1"/>
  <c r="AG70" i="1"/>
  <c r="A72" i="1"/>
  <c r="AI67" i="1"/>
  <c r="AG69" i="1"/>
  <c r="AH72" i="1"/>
  <c r="A73" i="1"/>
  <c r="D72" i="1"/>
  <c r="D73" i="1"/>
  <c r="AH73" i="1"/>
  <c r="AK70" i="1" l="1"/>
  <c r="AJ73" i="1"/>
  <c r="B73" i="1" s="1"/>
  <c r="C73" i="1" s="1"/>
  <c r="AJ72" i="1"/>
  <c r="B72" i="1" s="1"/>
  <c r="C72" i="1" s="1"/>
  <c r="AK72" i="1"/>
  <c r="AK73" i="1" s="1"/>
  <c r="AI68" i="1"/>
  <c r="AG72" i="1"/>
  <c r="AG73" i="1"/>
  <c r="A74" i="1"/>
  <c r="AH74" i="1"/>
  <c r="D74" i="1"/>
  <c r="A75" i="1"/>
  <c r="AJ75" i="1" l="1"/>
  <c r="AJ74" i="1"/>
  <c r="AK74" i="1"/>
  <c r="AI69" i="1"/>
  <c r="A76" i="1"/>
  <c r="AG74" i="1"/>
  <c r="D76" i="1"/>
  <c r="A77" i="1"/>
  <c r="AH76" i="1"/>
  <c r="AH77" i="1"/>
  <c r="D77" i="1"/>
  <c r="AK77" i="1" l="1"/>
  <c r="AJ77" i="1"/>
  <c r="AI76" i="1"/>
  <c r="AG76" i="1"/>
  <c r="A78" i="1"/>
  <c r="D78" i="1"/>
  <c r="A79" i="1"/>
  <c r="AH79" i="1"/>
  <c r="AI77" i="1"/>
  <c r="AG77" i="1"/>
  <c r="AI70" i="1"/>
  <c r="AH78" i="1"/>
  <c r="D79" i="1"/>
  <c r="A80" i="1"/>
  <c r="AH80" i="1"/>
  <c r="A81" i="1"/>
  <c r="D80" i="1"/>
  <c r="AH81" i="1"/>
  <c r="A82" i="1"/>
  <c r="D81" i="1"/>
  <c r="AH82" i="1"/>
  <c r="A83" i="1"/>
  <c r="AH83" i="1"/>
  <c r="A84" i="1"/>
  <c r="D84" i="1"/>
  <c r="AH84" i="1"/>
  <c r="AJ80" i="1" l="1"/>
  <c r="AJ79" i="1"/>
  <c r="AJ78" i="1"/>
  <c r="B78" i="1" s="1"/>
  <c r="C78" i="1" s="1"/>
  <c r="AK78" i="1"/>
  <c r="AK79" i="1" s="1"/>
  <c r="AK80" i="1" s="1"/>
  <c r="AK81" i="1" s="1"/>
  <c r="AK82" i="1" s="1"/>
  <c r="AK83" i="1" s="1"/>
  <c r="AK84" i="1" s="1"/>
  <c r="AJ83" i="1"/>
  <c r="B83" i="1" s="1"/>
  <c r="C83" i="1" s="1"/>
  <c r="AJ82" i="1"/>
  <c r="AJ81" i="1"/>
  <c r="AJ84" i="1"/>
  <c r="AG80" i="1"/>
  <c r="AG78" i="1"/>
  <c r="A85" i="1"/>
  <c r="A86" i="1"/>
  <c r="AI78" i="1"/>
  <c r="D83" i="1"/>
  <c r="AI71" i="1"/>
  <c r="AG81" i="1"/>
  <c r="AG79" i="1"/>
  <c r="AG84" i="1"/>
  <c r="D82" i="1"/>
  <c r="D85" i="1"/>
  <c r="AH85" i="1"/>
  <c r="AJ86" i="1" l="1"/>
  <c r="AJ85" i="1"/>
  <c r="AK85" i="1"/>
  <c r="AK86" i="1" s="1"/>
  <c r="AI79" i="1"/>
  <c r="AI80" i="1" s="1"/>
  <c r="AI81" i="1"/>
  <c r="AG85" i="1"/>
  <c r="A87" i="1"/>
  <c r="AI82" i="1"/>
  <c r="AH87" i="1"/>
  <c r="D87" i="1"/>
  <c r="AI72" i="1"/>
  <c r="AG82" i="1"/>
  <c r="AG83" i="1"/>
  <c r="AI87" i="1" l="1"/>
  <c r="AI73" i="1"/>
  <c r="AI83" i="1"/>
  <c r="A88" i="1"/>
  <c r="AG87" i="1"/>
  <c r="A89" i="1"/>
  <c r="A90" i="1" s="1"/>
  <c r="D89" i="1"/>
  <c r="AH90" i="1"/>
  <c r="A91" i="1"/>
  <c r="A92" i="1" s="1"/>
  <c r="AH91" i="1"/>
  <c r="AH92" i="1"/>
  <c r="A93" i="1"/>
  <c r="D92" i="1"/>
  <c r="D91" i="1"/>
  <c r="D90" i="1"/>
  <c r="AH89" i="1"/>
  <c r="AJ91" i="1" l="1"/>
  <c r="AJ90" i="1"/>
  <c r="B90" i="1" s="1"/>
  <c r="C90" i="1" s="1"/>
  <c r="AI89" i="1"/>
  <c r="AJ88" i="1"/>
  <c r="B88" i="1" s="1"/>
  <c r="C88" i="1" s="1"/>
  <c r="AK90" i="1"/>
  <c r="AK91" i="1" s="1"/>
  <c r="AK92" i="1" s="1"/>
  <c r="AJ92" i="1"/>
  <c r="AJ93" i="1"/>
  <c r="AI84" i="1"/>
  <c r="AI90" i="1"/>
  <c r="D93" i="1"/>
  <c r="AI91" i="1"/>
  <c r="AG89" i="1"/>
  <c r="AH93" i="1"/>
  <c r="A94" i="1"/>
  <c r="AG92" i="1"/>
  <c r="AI74" i="1"/>
  <c r="AG91" i="1"/>
  <c r="AG90" i="1"/>
  <c r="AI85" i="1"/>
  <c r="AK93" i="1" l="1"/>
  <c r="AJ94" i="1"/>
  <c r="D94" i="1"/>
  <c r="AI92" i="1"/>
  <c r="AH94" i="1"/>
  <c r="A95" i="1"/>
  <c r="AG93" i="1"/>
  <c r="AH95" i="1"/>
  <c r="A96" i="1"/>
  <c r="AK94" i="1" l="1"/>
  <c r="AK95" i="1" s="1"/>
  <c r="AJ96" i="1"/>
  <c r="AJ95" i="1"/>
  <c r="A97" i="1"/>
  <c r="D95" i="1"/>
  <c r="AI93" i="1"/>
  <c r="AH96" i="1"/>
  <c r="D96" i="1"/>
  <c r="AG94" i="1"/>
  <c r="AK96" i="1" l="1"/>
  <c r="AJ97" i="1"/>
  <c r="AG95" i="1"/>
  <c r="A98" i="1"/>
  <c r="D98" i="1"/>
  <c r="A99" i="1"/>
  <c r="AH99" i="1"/>
  <c r="D99" i="1"/>
  <c r="AI94" i="1"/>
  <c r="AG96" i="1"/>
  <c r="AH98" i="1"/>
  <c r="A100" i="1"/>
  <c r="AI98" i="1" l="1"/>
  <c r="AK99" i="1"/>
  <c r="AJ99" i="1"/>
  <c r="B99" i="1" s="1"/>
  <c r="C99" i="1" s="1"/>
  <c r="AJ100" i="1"/>
  <c r="B100" i="1" s="1"/>
  <c r="C100" i="1" s="1"/>
  <c r="D100" i="1"/>
  <c r="AI99" i="1"/>
  <c r="AI95" i="1"/>
  <c r="AG98" i="1"/>
  <c r="AG99" i="1"/>
  <c r="AH100" i="1"/>
  <c r="A101" i="1"/>
  <c r="D101" i="1"/>
  <c r="AH101" i="1"/>
  <c r="AJ101" i="1" l="1"/>
  <c r="AK100" i="1"/>
  <c r="AK101" i="1" s="1"/>
  <c r="AK102" i="1" s="1"/>
  <c r="AK103" i="1" s="1"/>
  <c r="A102" i="1"/>
  <c r="AI96" i="1"/>
  <c r="AG100" i="1"/>
  <c r="A103" i="1"/>
  <c r="A104" i="1" s="1"/>
  <c r="AH103" i="1"/>
  <c r="AI100" i="1"/>
  <c r="AG101" i="1"/>
  <c r="AJ102" i="1" l="1"/>
  <c r="AJ104" i="1"/>
  <c r="D103" i="1"/>
  <c r="D104" i="1"/>
  <c r="AH104" i="1"/>
  <c r="A105" i="1"/>
  <c r="AI101" i="1"/>
  <c r="AH105" i="1"/>
  <c r="A106" i="1"/>
  <c r="D105" i="1"/>
  <c r="AI103" i="1" l="1"/>
  <c r="AK104" i="1"/>
  <c r="AK105" i="1" s="1"/>
  <c r="AJ106" i="1"/>
  <c r="AJ105" i="1"/>
  <c r="A107" i="1"/>
  <c r="A108" i="1"/>
  <c r="AG105" i="1"/>
  <c r="AH108" i="1"/>
  <c r="AH107" i="1"/>
  <c r="D108" i="1"/>
  <c r="AI104" i="1"/>
  <c r="AG104" i="1"/>
  <c r="A109" i="1"/>
  <c r="AH106" i="1"/>
  <c r="D106" i="1"/>
  <c r="AG103" i="1"/>
  <c r="D107" i="1"/>
  <c r="AJ107" i="1" l="1"/>
  <c r="B107" i="1" s="1"/>
  <c r="C107" i="1" s="1"/>
  <c r="AK106" i="1"/>
  <c r="AK107" i="1" s="1"/>
  <c r="AK108" i="1" s="1"/>
  <c r="AK109" i="1" s="1"/>
  <c r="AK110" i="1" s="1"/>
  <c r="AK111" i="1" s="1"/>
  <c r="AK112" i="1" s="1"/>
  <c r="AJ109" i="1"/>
  <c r="AJ108" i="1"/>
  <c r="AI105" i="1"/>
  <c r="AI106" i="1"/>
  <c r="AG107" i="1"/>
  <c r="AG106" i="1"/>
  <c r="A110" i="1"/>
  <c r="AG108" i="1"/>
  <c r="AI109" i="1" l="1"/>
  <c r="AH110" i="1"/>
  <c r="AI107" i="1"/>
  <c r="D110" i="1"/>
  <c r="A111" i="1"/>
  <c r="AI110" i="1" l="1"/>
  <c r="AI111" i="1" s="1"/>
  <c r="AJ111" i="1"/>
  <c r="AG110" i="1"/>
  <c r="AI108" i="1"/>
  <c r="A112" i="1"/>
  <c r="D112" i="1"/>
  <c r="AI112" i="1" l="1"/>
  <c r="AH112" i="1"/>
  <c r="A113" i="1"/>
  <c r="AG112" i="1"/>
  <c r="AH113" i="1"/>
  <c r="A114" i="1"/>
  <c r="D113" i="1"/>
  <c r="AJ113" i="1" l="1"/>
  <c r="B113" i="1" s="1"/>
  <c r="C113" i="1" s="1"/>
  <c r="AK113" i="1"/>
  <c r="AJ114" i="1"/>
  <c r="AH114" i="1"/>
  <c r="AI113" i="1"/>
  <c r="A115" i="1"/>
  <c r="D114" i="1"/>
  <c r="A116" i="1"/>
  <c r="D116" i="1" s="1"/>
  <c r="AH116" i="1"/>
  <c r="A117" i="1"/>
  <c r="AG113" i="1"/>
  <c r="AK114" i="1" l="1"/>
  <c r="AK115" i="1" s="1"/>
  <c r="AK116" i="1" s="1"/>
  <c r="AJ115" i="1"/>
  <c r="B115" i="1" s="1"/>
  <c r="C115" i="1" s="1"/>
  <c r="AJ117" i="1"/>
  <c r="B117" i="1" s="1"/>
  <c r="C117" i="1" s="1"/>
  <c r="AI116" i="1"/>
  <c r="AG116" i="1"/>
  <c r="AI114" i="1"/>
  <c r="AG114" i="1"/>
  <c r="D117" i="1"/>
  <c r="A118" i="1"/>
  <c r="AH117" i="1"/>
  <c r="AK117" i="1" l="1"/>
  <c r="AJ118" i="1"/>
  <c r="B118" i="1" s="1"/>
  <c r="C118" i="1" s="1"/>
  <c r="D118" i="1"/>
  <c r="A119" i="1"/>
  <c r="AH118" i="1"/>
  <c r="AI117" i="1"/>
  <c r="AG117" i="1"/>
  <c r="AK118" i="1" l="1"/>
  <c r="AJ119" i="1"/>
  <c r="B119" i="1" s="1"/>
  <c r="C119" i="1" s="1"/>
  <c r="D119" i="1"/>
  <c r="AH119" i="1"/>
  <c r="AI118" i="1"/>
  <c r="AG118" i="1"/>
  <c r="A120" i="1"/>
  <c r="AH120" i="1"/>
  <c r="D120" i="1"/>
  <c r="A121" i="1"/>
  <c r="AK119" i="1" l="1"/>
  <c r="AK120" i="1" s="1"/>
  <c r="AJ121" i="1"/>
  <c r="B121" i="1" s="1"/>
  <c r="C121" i="1" s="1"/>
  <c r="AJ120" i="1"/>
  <c r="B120" i="1" s="1"/>
  <c r="C120" i="1" s="1"/>
  <c r="AG120" i="1"/>
  <c r="A122" i="1"/>
  <c r="A123" i="1"/>
  <c r="AI119" i="1"/>
  <c r="AG119" i="1"/>
  <c r="D122" i="1"/>
  <c r="AJ123" i="1" l="1"/>
  <c r="AI122" i="1"/>
  <c r="AI125" i="1"/>
  <c r="AH122" i="1"/>
  <c r="AH123" i="1"/>
  <c r="A124" i="1"/>
  <c r="D123" i="1"/>
  <c r="AG122" i="1"/>
  <c r="AI120" i="1"/>
  <c r="A125" i="1"/>
  <c r="A126" i="1" s="1"/>
  <c r="D124" i="1"/>
  <c r="AK123" i="1" l="1"/>
  <c r="AJ125" i="1"/>
  <c r="AJ124" i="1"/>
  <c r="B124" i="1" s="1"/>
  <c r="C124" i="1" s="1"/>
  <c r="AH124" i="1"/>
  <c r="AH126" i="1"/>
  <c r="D126" i="1"/>
  <c r="AI123" i="1"/>
  <c r="AG123" i="1"/>
  <c r="A127" i="1"/>
  <c r="AG124" i="1"/>
  <c r="AK124" i="1" l="1"/>
  <c r="AK125" i="1" s="1"/>
  <c r="AK126" i="1" s="1"/>
  <c r="AK127" i="1" s="1"/>
  <c r="AK128" i="1" s="1"/>
  <c r="AK129" i="1" s="1"/>
  <c r="AK130" i="1" s="1"/>
  <c r="AI126" i="1"/>
  <c r="AJ127" i="1"/>
  <c r="B127" i="1" s="1"/>
  <c r="C127" i="1" s="1"/>
  <c r="AK140" i="1"/>
  <c r="A128" i="1"/>
  <c r="AI124" i="1"/>
  <c r="AH128" i="1"/>
  <c r="AG126" i="1"/>
  <c r="A129" i="1"/>
  <c r="A130" i="1" s="1"/>
  <c r="D128" i="1"/>
  <c r="AJ129" i="1" l="1"/>
  <c r="AI128" i="1"/>
  <c r="AI129" i="1" s="1"/>
  <c r="AH130" i="1"/>
  <c r="A131" i="1"/>
  <c r="AH131" i="1"/>
  <c r="A132" i="1"/>
  <c r="D130" i="1"/>
  <c r="AG128" i="1"/>
  <c r="D131" i="1"/>
  <c r="A133" i="1"/>
  <c r="AH133" i="1"/>
  <c r="A134" i="1"/>
  <c r="D133" i="1"/>
  <c r="AI130" i="1" l="1"/>
  <c r="AJ131" i="1"/>
  <c r="B131" i="1" s="1"/>
  <c r="C131" i="1" s="1"/>
  <c r="AJ132" i="1"/>
  <c r="AJ134" i="1"/>
  <c r="AI133" i="1"/>
  <c r="AK131" i="1"/>
  <c r="AK132" i="1" s="1"/>
  <c r="AK133" i="1" s="1"/>
  <c r="D134" i="1"/>
  <c r="AG131" i="1"/>
  <c r="AG130" i="1"/>
  <c r="AI131" i="1"/>
  <c r="A135" i="1"/>
  <c r="D135" i="1"/>
  <c r="AG133" i="1"/>
  <c r="AH134" i="1"/>
  <c r="A136" i="1"/>
  <c r="AH135" i="1"/>
  <c r="D136" i="1"/>
  <c r="AH136" i="1"/>
  <c r="A137" i="1"/>
  <c r="D137" i="1"/>
  <c r="AH137" i="1"/>
  <c r="AK134" i="1" l="1"/>
  <c r="AK135" i="1" s="1"/>
  <c r="AK136" i="1" s="1"/>
  <c r="AK137" i="1" s="1"/>
  <c r="AJ137" i="1"/>
  <c r="B137" i="1" s="1"/>
  <c r="C137" i="1" s="1"/>
  <c r="AJ136" i="1"/>
  <c r="AJ135" i="1"/>
  <c r="B135" i="1" s="1"/>
  <c r="C135" i="1" s="1"/>
  <c r="A138" i="1"/>
  <c r="AH138" i="1"/>
  <c r="AG135" i="1"/>
  <c r="AG136" i="1"/>
  <c r="AG137" i="1"/>
  <c r="A139" i="1"/>
  <c r="AG134" i="1"/>
  <c r="AI134" i="1"/>
  <c r="AJ139" i="1" l="1"/>
  <c r="B139" i="1" s="1"/>
  <c r="C139" i="1" s="1"/>
  <c r="AJ138" i="1"/>
  <c r="AK138" i="1"/>
  <c r="AK139" i="1" s="1"/>
  <c r="D138" i="1"/>
  <c r="AI135" i="1"/>
  <c r="AI136" i="1" s="1"/>
  <c r="A140" i="1"/>
  <c r="D140" i="1"/>
  <c r="AH140" i="1"/>
  <c r="A141" i="1"/>
  <c r="AH141" i="1"/>
  <c r="D141" i="1"/>
  <c r="AK141" i="1" l="1"/>
  <c r="AJ141" i="1"/>
  <c r="B141" i="1" s="1"/>
  <c r="C141" i="1" s="1"/>
  <c r="AI140" i="1"/>
  <c r="AG138" i="1"/>
  <c r="AG140" i="1"/>
  <c r="AI141" i="1"/>
  <c r="A142" i="1"/>
  <c r="AG141" i="1"/>
  <c r="AI137" i="1"/>
  <c r="AJ142" i="1" l="1"/>
  <c r="A143" i="1"/>
  <c r="A144" i="1"/>
  <c r="D142" i="1"/>
  <c r="AI138" i="1"/>
  <c r="D143" i="1"/>
  <c r="AH142" i="1"/>
  <c r="AH143" i="1"/>
  <c r="AK142" i="1" l="1"/>
  <c r="AJ144" i="1"/>
  <c r="B144" i="1" s="1"/>
  <c r="C144" i="1" s="1"/>
  <c r="AK143" i="1"/>
  <c r="AJ143" i="1"/>
  <c r="B143" i="1" s="1"/>
  <c r="C143" i="1" s="1"/>
  <c r="D144" i="1"/>
  <c r="AH144" i="1"/>
  <c r="A145" i="1"/>
  <c r="AG143" i="1"/>
  <c r="AG142" i="1"/>
  <c r="A146" i="1"/>
  <c r="AI142" i="1"/>
  <c r="D145" i="1"/>
  <c r="AK144" i="1" l="1"/>
  <c r="AJ146" i="1"/>
  <c r="AJ145" i="1"/>
  <c r="AI143" i="1"/>
  <c r="AH145" i="1"/>
  <c r="AI144" i="1"/>
  <c r="AH146" i="1"/>
  <c r="AG144" i="1"/>
  <c r="D146" i="1"/>
  <c r="A147" i="1"/>
  <c r="AG145" i="1"/>
  <c r="A148" i="1"/>
  <c r="D147" i="1"/>
  <c r="AH147" i="1"/>
  <c r="AK145" i="1" l="1"/>
  <c r="AK146" i="1" s="1"/>
  <c r="AK147" i="1" s="1"/>
  <c r="AJ148" i="1"/>
  <c r="B148" i="1" s="1"/>
  <c r="C148" i="1" s="1"/>
  <c r="AJ147" i="1"/>
  <c r="B147" i="1" s="1"/>
  <c r="C147" i="1" s="1"/>
  <c r="AH148" i="1"/>
  <c r="AG146" i="1"/>
  <c r="AG147" i="1"/>
  <c r="A149" i="1"/>
  <c r="D148" i="1"/>
  <c r="AI145" i="1"/>
  <c r="A150" i="1"/>
  <c r="AH150" i="1"/>
  <c r="D150" i="1"/>
  <c r="A151" i="1"/>
  <c r="D151" i="1"/>
  <c r="AH151" i="1"/>
  <c r="A152" i="1"/>
  <c r="D152" i="1"/>
  <c r="AH152" i="1"/>
  <c r="A153" i="1"/>
  <c r="D153" i="1"/>
  <c r="AK148" i="1" l="1"/>
  <c r="AJ153" i="1"/>
  <c r="AJ152" i="1"/>
  <c r="B152" i="1" s="1"/>
  <c r="C152" i="1" s="1"/>
  <c r="AK151" i="1"/>
  <c r="AK152" i="1" s="1"/>
  <c r="AJ151" i="1"/>
  <c r="B151" i="1" s="1"/>
  <c r="C151" i="1" s="1"/>
  <c r="AI150" i="1"/>
  <c r="AJ149" i="1"/>
  <c r="B149" i="1" s="1"/>
  <c r="C149" i="1" s="1"/>
  <c r="AH153" i="1"/>
  <c r="AG148" i="1"/>
  <c r="A154" i="1"/>
  <c r="AH154" i="1"/>
  <c r="AG153" i="1"/>
  <c r="AG152" i="1"/>
  <c r="AG150" i="1"/>
  <c r="D154" i="1"/>
  <c r="AI151" i="1"/>
  <c r="AI146" i="1"/>
  <c r="AG151" i="1"/>
  <c r="A155" i="1"/>
  <c r="AK153" i="1" l="1"/>
  <c r="AK154" i="1" s="1"/>
  <c r="AJ155" i="1"/>
  <c r="AJ154" i="1"/>
  <c r="B154" i="1" s="1"/>
  <c r="C154" i="1" s="1"/>
  <c r="AG154" i="1"/>
  <c r="AI147" i="1"/>
  <c r="A156" i="1"/>
  <c r="AI152" i="1"/>
  <c r="A157" i="1"/>
  <c r="D156" i="1"/>
  <c r="AH155" i="1"/>
  <c r="D155" i="1"/>
  <c r="AH156" i="1"/>
  <c r="AK155" i="1" l="1"/>
  <c r="AK156" i="1" s="1"/>
  <c r="AJ157" i="1"/>
  <c r="B157" i="1" s="1"/>
  <c r="C157" i="1" s="1"/>
  <c r="AJ156" i="1"/>
  <c r="B156" i="1" s="1"/>
  <c r="C156" i="1" s="1"/>
  <c r="D157" i="1"/>
  <c r="AI153" i="1"/>
  <c r="A158" i="1"/>
  <c r="A159" i="1"/>
  <c r="AI148" i="1"/>
  <c r="A160" i="1"/>
  <c r="A161" i="1"/>
  <c r="D161" i="1"/>
  <c r="AH161" i="1"/>
  <c r="AG156" i="1"/>
  <c r="D158" i="1"/>
  <c r="AH157" i="1"/>
  <c r="AG155" i="1"/>
  <c r="AH158" i="1"/>
  <c r="D160" i="1"/>
  <c r="AH160" i="1"/>
  <c r="A162" i="1"/>
  <c r="AH162" i="1"/>
  <c r="A163" i="1"/>
  <c r="A164" i="1" s="1"/>
  <c r="AH163" i="1"/>
  <c r="A165" i="1"/>
  <c r="A166" i="1" s="1"/>
  <c r="D164" i="1"/>
  <c r="D165" i="1"/>
  <c r="AH164" i="1"/>
  <c r="D163" i="1"/>
  <c r="D162" i="1"/>
  <c r="AK157" i="1" l="1"/>
  <c r="AK158" i="1" s="1"/>
  <c r="AJ164" i="1"/>
  <c r="B164" i="1" s="1"/>
  <c r="C164" i="1" s="1"/>
  <c r="AJ163" i="1"/>
  <c r="AJ162" i="1"/>
  <c r="AK161" i="1"/>
  <c r="AK162" i="1" s="1"/>
  <c r="AK163" i="1" s="1"/>
  <c r="AJ161" i="1"/>
  <c r="B161" i="1" s="1"/>
  <c r="C161" i="1" s="1"/>
  <c r="AI160" i="1"/>
  <c r="AJ159" i="1"/>
  <c r="B159" i="1" s="1"/>
  <c r="C159" i="1" s="1"/>
  <c r="AJ158" i="1"/>
  <c r="B158" i="1" s="1"/>
  <c r="C158" i="1" s="1"/>
  <c r="AJ166" i="1"/>
  <c r="AJ165" i="1"/>
  <c r="AG157" i="1"/>
  <c r="AG162" i="1"/>
  <c r="AI154" i="1"/>
  <c r="AG164" i="1"/>
  <c r="AG161" i="1"/>
  <c r="AG158" i="1"/>
  <c r="AG163" i="1"/>
  <c r="AH165" i="1"/>
  <c r="AG165" i="1"/>
  <c r="AH166" i="1"/>
  <c r="AI161" i="1"/>
  <c r="AG160" i="1"/>
  <c r="AI162" i="1"/>
  <c r="D166" i="1"/>
  <c r="A167" i="1"/>
  <c r="A168" i="1"/>
  <c r="AK164" i="1" l="1"/>
  <c r="AK165" i="1" s="1"/>
  <c r="AK166" i="1" s="1"/>
  <c r="AK167" i="1" s="1"/>
  <c r="AK168" i="1" s="1"/>
  <c r="AJ167" i="1"/>
  <c r="AI163" i="1"/>
  <c r="A169" i="1"/>
  <c r="D168" i="1"/>
  <c r="AI155" i="1"/>
  <c r="AG166" i="1"/>
  <c r="AI164" i="1"/>
  <c r="A170" i="1"/>
  <c r="D169" i="1"/>
  <c r="AH168" i="1"/>
  <c r="AI168" i="1" l="1"/>
  <c r="AJ170" i="1"/>
  <c r="AJ169" i="1"/>
  <c r="AI156" i="1"/>
  <c r="D170" i="1"/>
  <c r="AI165" i="1"/>
  <c r="AI157" i="1"/>
  <c r="AI169" i="1"/>
  <c r="AG169" i="1"/>
  <c r="AI166" i="1"/>
  <c r="AH170" i="1"/>
  <c r="A171" i="1"/>
  <c r="AH169" i="1"/>
  <c r="AG168" i="1"/>
  <c r="AK169" i="1" l="1"/>
  <c r="AK170" i="1" s="1"/>
  <c r="AJ171" i="1"/>
  <c r="AG170" i="1"/>
  <c r="AI158" i="1"/>
  <c r="AI170" i="1"/>
  <c r="A172" i="1"/>
  <c r="A173" i="1"/>
  <c r="D172" i="1"/>
  <c r="AI172" i="1" l="1"/>
  <c r="AJ173" i="1"/>
  <c r="AH172" i="1"/>
  <c r="AG172" i="1"/>
  <c r="A174" i="1"/>
  <c r="D173" i="1"/>
  <c r="AH173" i="1"/>
  <c r="AK173" i="1" l="1"/>
  <c r="AK174" i="1" s="1"/>
  <c r="AK175" i="1" s="1"/>
  <c r="AJ174" i="1"/>
  <c r="A175" i="1"/>
  <c r="AH175" i="1"/>
  <c r="D175" i="1"/>
  <c r="AG173" i="1"/>
  <c r="A176" i="1"/>
  <c r="AI173" i="1"/>
  <c r="D176" i="1"/>
  <c r="A177" i="1"/>
  <c r="AH176" i="1"/>
  <c r="AI175" i="1" l="1"/>
  <c r="AJ176" i="1"/>
  <c r="AK176" i="1"/>
  <c r="AJ177" i="1"/>
  <c r="B177" i="1" s="1"/>
  <c r="C177" i="1" s="1"/>
  <c r="AH177" i="1"/>
  <c r="AG175" i="1"/>
  <c r="D177" i="1"/>
  <c r="AI176" i="1"/>
  <c r="A178" i="1"/>
  <c r="A179" i="1"/>
  <c r="AG176" i="1"/>
  <c r="D178" i="1"/>
  <c r="AK177" i="1" l="1"/>
  <c r="AJ178" i="1"/>
  <c r="AJ179" i="1"/>
  <c r="B179" i="1" s="1"/>
  <c r="C179" i="1" s="1"/>
  <c r="AH179" i="1"/>
  <c r="AG178" i="1"/>
  <c r="AH178" i="1"/>
  <c r="AI177" i="1"/>
  <c r="A180" i="1"/>
  <c r="A181" i="1"/>
  <c r="D179" i="1"/>
  <c r="AG177" i="1"/>
  <c r="AK178" i="1" l="1"/>
  <c r="AK179" i="1" s="1"/>
  <c r="AJ181" i="1"/>
  <c r="AJ180" i="1"/>
  <c r="AK185" i="1"/>
  <c r="D181" i="1"/>
  <c r="AH180" i="1"/>
  <c r="A182" i="1"/>
  <c r="AG179" i="1"/>
  <c r="D182" i="1"/>
  <c r="AH181" i="1"/>
  <c r="D180" i="1"/>
  <c r="AI178" i="1"/>
  <c r="A183" i="1"/>
  <c r="AH182" i="1"/>
  <c r="AK180" i="1" l="1"/>
  <c r="AK181" i="1" s="1"/>
  <c r="AK182" i="1"/>
  <c r="AJ183" i="1"/>
  <c r="B183" i="1" s="1"/>
  <c r="C183" i="1" s="1"/>
  <c r="AJ182" i="1"/>
  <c r="AG182" i="1"/>
  <c r="AH183" i="1"/>
  <c r="AG181" i="1"/>
  <c r="AI179" i="1"/>
  <c r="D183" i="1"/>
  <c r="A184" i="1"/>
  <c r="AG180" i="1"/>
  <c r="AK183" i="1" l="1"/>
  <c r="AJ184" i="1"/>
  <c r="AI180" i="1"/>
  <c r="AI181" i="1"/>
  <c r="AG183" i="1"/>
  <c r="A185" i="1"/>
  <c r="A186" i="1"/>
  <c r="AH186" i="1"/>
  <c r="A187" i="1"/>
  <c r="A188" i="1" s="1"/>
  <c r="A189" i="1" s="1"/>
  <c r="D187" i="1"/>
  <c r="D188" i="1"/>
  <c r="AH187" i="1"/>
  <c r="D186" i="1"/>
  <c r="D185" i="1"/>
  <c r="AH185" i="1"/>
  <c r="AJ186" i="1" l="1"/>
  <c r="B186" i="1" s="1"/>
  <c r="C186" i="1" s="1"/>
  <c r="AI185" i="1"/>
  <c r="AK186" i="1"/>
  <c r="AK187" i="1" s="1"/>
  <c r="AJ188" i="1"/>
  <c r="AJ187" i="1"/>
  <c r="AJ189" i="1"/>
  <c r="B189" i="1" s="1"/>
  <c r="C189" i="1" s="1"/>
  <c r="AG188" i="1"/>
  <c r="AI182" i="1"/>
  <c r="D189" i="1"/>
  <c r="AG185" i="1"/>
  <c r="AG186" i="1"/>
  <c r="AI186" i="1"/>
  <c r="AH189" i="1"/>
  <c r="AG187" i="1"/>
  <c r="AH188" i="1"/>
  <c r="A190" i="1"/>
  <c r="A191" i="1"/>
  <c r="D190" i="1"/>
  <c r="AH190" i="1"/>
  <c r="AJ190" i="1" l="1"/>
  <c r="AK188" i="1"/>
  <c r="AK189" i="1" s="1"/>
  <c r="AK190" i="1" s="1"/>
  <c r="AJ191" i="1"/>
  <c r="B191" i="1" s="1"/>
  <c r="C191" i="1" s="1"/>
  <c r="AG189" i="1"/>
  <c r="AH191" i="1"/>
  <c r="AI183" i="1"/>
  <c r="A192" i="1"/>
  <c r="A193" i="1"/>
  <c r="A194" i="1" s="1"/>
  <c r="D192" i="1"/>
  <c r="D191" i="1"/>
  <c r="AI187" i="1"/>
  <c r="AI188" i="1" s="1"/>
  <c r="AG190" i="1"/>
  <c r="AI189" i="1"/>
  <c r="AH192" i="1"/>
  <c r="AJ192" i="1" l="1"/>
  <c r="AK191" i="1"/>
  <c r="AK192" i="1" s="1"/>
  <c r="AJ193" i="1"/>
  <c r="B193" i="1" s="1"/>
  <c r="C193" i="1" s="1"/>
  <c r="AJ194" i="1"/>
  <c r="AG191" i="1"/>
  <c r="A195" i="1"/>
  <c r="AI190" i="1"/>
  <c r="AH193" i="1"/>
  <c r="D193" i="1"/>
  <c r="AG192" i="1"/>
  <c r="AK193" i="1" l="1"/>
  <c r="AI198" i="1"/>
  <c r="AG193" i="1"/>
  <c r="AI191" i="1"/>
  <c r="A196" i="1"/>
  <c r="AH196" i="1"/>
  <c r="A197" i="1"/>
  <c r="AH197" i="1" s="1"/>
  <c r="AH195" i="1"/>
  <c r="D195" i="1"/>
  <c r="D196" i="1"/>
  <c r="D197" i="1"/>
  <c r="AK196" i="1" l="1"/>
  <c r="AK197" i="1" s="1"/>
  <c r="AK198" i="1" s="1"/>
  <c r="AJ197" i="1"/>
  <c r="AJ196" i="1"/>
  <c r="AI195" i="1"/>
  <c r="AK199" i="1"/>
  <c r="AI196" i="1"/>
  <c r="AG197" i="1"/>
  <c r="AI192" i="1"/>
  <c r="A198" i="1"/>
  <c r="AG196" i="1"/>
  <c r="AG195" i="1"/>
  <c r="AJ198" i="1" l="1"/>
  <c r="AK203" i="1"/>
  <c r="AI193" i="1"/>
  <c r="AI197" i="1"/>
  <c r="A199" i="1"/>
  <c r="A200" i="1"/>
  <c r="A201" i="1"/>
  <c r="D201" i="1"/>
  <c r="AH201" i="1"/>
  <c r="AH199" i="1"/>
  <c r="AI201" i="1" l="1"/>
  <c r="AJ200" i="1"/>
  <c r="B200" i="1" s="1"/>
  <c r="C200" i="1" s="1"/>
  <c r="D199" i="1"/>
  <c r="AG201" i="1"/>
  <c r="A202" i="1"/>
  <c r="A203" i="1"/>
  <c r="D203" i="1"/>
  <c r="AI199" i="1" l="1"/>
  <c r="AI203" i="1"/>
  <c r="AJ202" i="1"/>
  <c r="AH203" i="1"/>
  <c r="AG199" i="1"/>
  <c r="AG203" i="1"/>
  <c r="A204" i="1"/>
  <c r="D204" i="1"/>
  <c r="AH204" i="1"/>
  <c r="A205" i="1"/>
  <c r="D205" i="1"/>
  <c r="AH205" i="1"/>
  <c r="A206" i="1"/>
  <c r="A207" i="1"/>
  <c r="D207" i="1"/>
  <c r="AH207" i="1"/>
  <c r="A208" i="1"/>
  <c r="AJ206" i="1" l="1"/>
  <c r="B206" i="1" s="1"/>
  <c r="C206" i="1" s="1"/>
  <c r="AJ205" i="1"/>
  <c r="AK204" i="1"/>
  <c r="AK205" i="1" s="1"/>
  <c r="AJ204" i="1"/>
  <c r="B204" i="1" s="1"/>
  <c r="C204" i="1" s="1"/>
  <c r="AK207" i="1"/>
  <c r="AI207" i="1"/>
  <c r="AJ208" i="1"/>
  <c r="B208" i="1" s="1"/>
  <c r="C208" i="1" s="1"/>
  <c r="AG207" i="1"/>
  <c r="AG205" i="1"/>
  <c r="D208" i="1"/>
  <c r="A209" i="1"/>
  <c r="AI204" i="1"/>
  <c r="AG204" i="1"/>
  <c r="AH208" i="1"/>
  <c r="D209" i="1"/>
  <c r="AK208" i="1" l="1"/>
  <c r="AJ209" i="1"/>
  <c r="AI205" i="1"/>
  <c r="A210" i="1"/>
  <c r="A211" i="1"/>
  <c r="AG209" i="1"/>
  <c r="AH209" i="1"/>
  <c r="AI208" i="1"/>
  <c r="AG208" i="1"/>
  <c r="AK209" i="1" l="1"/>
  <c r="AJ210" i="1"/>
  <c r="B210" i="1" s="1"/>
  <c r="C210" i="1" s="1"/>
  <c r="A212" i="1"/>
  <c r="D211" i="1"/>
  <c r="AH212" i="1"/>
  <c r="D212" i="1"/>
  <c r="AI209" i="1"/>
  <c r="A213" i="1"/>
  <c r="AH211" i="1"/>
  <c r="AJ212" i="1" l="1"/>
  <c r="AI211" i="1"/>
  <c r="AK212" i="1"/>
  <c r="AK214" i="1"/>
  <c r="AJ213" i="1"/>
  <c r="AG212" i="1"/>
  <c r="A214" i="1"/>
  <c r="D214" i="1"/>
  <c r="AG211" i="1"/>
  <c r="AI212" i="1"/>
  <c r="A215" i="1"/>
  <c r="AI214" i="1" l="1"/>
  <c r="AJ215" i="1"/>
  <c r="B215" i="1" s="1"/>
  <c r="C215" i="1" s="1"/>
  <c r="AK216" i="1"/>
  <c r="AH214" i="1"/>
  <c r="A216" i="1"/>
  <c r="AG214" i="1"/>
  <c r="A217" i="1"/>
  <c r="A218" i="1"/>
  <c r="D217" i="1"/>
  <c r="D216" i="1"/>
  <c r="AH216" i="1"/>
  <c r="AH217" i="1"/>
  <c r="AI216" i="1" l="1"/>
  <c r="AK217" i="1"/>
  <c r="AJ217" i="1"/>
  <c r="B217" i="1" s="1"/>
  <c r="C217" i="1" s="1"/>
  <c r="AJ218" i="1"/>
  <c r="AI217" i="1"/>
  <c r="D218" i="1"/>
  <c r="AH218" i="1"/>
  <c r="A219" i="1"/>
  <c r="AG217" i="1"/>
  <c r="AG216" i="1"/>
  <c r="AK218" i="1" l="1"/>
  <c r="AJ219" i="1"/>
  <c r="AI218" i="1"/>
  <c r="AG218" i="1"/>
  <c r="A220" i="1"/>
  <c r="A221" i="1"/>
  <c r="AH220" i="1"/>
  <c r="D220" i="1"/>
  <c r="AI220" i="1" l="1"/>
  <c r="AJ221" i="1"/>
  <c r="AH221" i="1"/>
  <c r="A222" i="1"/>
  <c r="AH222" i="1"/>
  <c r="AG220" i="1"/>
  <c r="A223" i="1"/>
  <c r="D221" i="1"/>
  <c r="AK221" i="1" l="1"/>
  <c r="AK222" i="1" s="1"/>
  <c r="AJ223" i="1"/>
  <c r="AJ222" i="1"/>
  <c r="AK252" i="1"/>
  <c r="A224" i="1"/>
  <c r="D224" i="1"/>
  <c r="AG221" i="1"/>
  <c r="AH224" i="1"/>
  <c r="A225" i="1"/>
  <c r="AH225" i="1"/>
  <c r="D222" i="1"/>
  <c r="AI221" i="1"/>
  <c r="AK225" i="1" l="1"/>
  <c r="AJ225" i="1"/>
  <c r="AI224" i="1"/>
  <c r="AK254" i="1"/>
  <c r="A226" i="1"/>
  <c r="D225" i="1"/>
  <c r="AG224" i="1"/>
  <c r="AI222" i="1"/>
  <c r="AG222" i="1"/>
  <c r="A227" i="1"/>
  <c r="D227" i="1" s="1"/>
  <c r="D226" i="1"/>
  <c r="AH226" i="1"/>
  <c r="AH227" i="1"/>
  <c r="AJ226" i="1" l="1"/>
  <c r="AK226" i="1"/>
  <c r="AK227" i="1" s="1"/>
  <c r="AJ227" i="1"/>
  <c r="AG225" i="1"/>
  <c r="AI225" i="1"/>
  <c r="AG226" i="1"/>
  <c r="AG227" i="1"/>
  <c r="A228" i="1"/>
  <c r="D228" i="1"/>
  <c r="AH228" i="1"/>
  <c r="A229" i="1"/>
  <c r="AH229" i="1" s="1"/>
  <c r="AJ229" i="1" l="1"/>
  <c r="AJ228" i="1"/>
  <c r="B228" i="1" s="1"/>
  <c r="C228" i="1" s="1"/>
  <c r="AK228" i="1"/>
  <c r="AK229" i="1" s="1"/>
  <c r="AK259" i="1"/>
  <c r="D229" i="1"/>
  <c r="AG228" i="1"/>
  <c r="A230" i="1"/>
  <c r="AI226" i="1"/>
  <c r="D230" i="1"/>
  <c r="AJ230" i="1" l="1"/>
  <c r="AK262" i="1"/>
  <c r="AH230" i="1"/>
  <c r="AI227" i="1"/>
  <c r="AI228" i="1"/>
  <c r="AG230" i="1"/>
  <c r="AG229" i="1"/>
  <c r="A231" i="1"/>
  <c r="AK230" i="1" l="1"/>
  <c r="AJ231" i="1"/>
  <c r="A232" i="1"/>
  <c r="AH232" i="1"/>
  <c r="AH231" i="1"/>
  <c r="D231" i="1"/>
  <c r="A233" i="1"/>
  <c r="D232" i="1"/>
  <c r="AI229" i="1"/>
  <c r="AK231" i="1" l="1"/>
  <c r="AK232" i="1" s="1"/>
  <c r="AJ233" i="1"/>
  <c r="AJ232" i="1"/>
  <c r="AI230" i="1"/>
  <c r="AH233" i="1"/>
  <c r="A234" i="1"/>
  <c r="D234" i="1"/>
  <c r="AG232" i="1"/>
  <c r="AG231" i="1"/>
  <c r="D233" i="1"/>
  <c r="AH234" i="1"/>
  <c r="A235" i="1"/>
  <c r="AK233" i="1" l="1"/>
  <c r="AK234" i="1" s="1"/>
  <c r="AJ235" i="1"/>
  <c r="AJ234" i="1"/>
  <c r="B234" i="1" s="1"/>
  <c r="C234" i="1" s="1"/>
  <c r="AK267" i="1"/>
  <c r="A236" i="1"/>
  <c r="AG233" i="1"/>
  <c r="AH236" i="1"/>
  <c r="AG234" i="1"/>
  <c r="D236" i="1"/>
  <c r="AI231" i="1"/>
  <c r="A237" i="1"/>
  <c r="AJ237" i="1" l="1"/>
  <c r="AI236" i="1"/>
  <c r="AK269" i="1"/>
  <c r="A238" i="1"/>
  <c r="AI232" i="1"/>
  <c r="AH238" i="1"/>
  <c r="AG236" i="1"/>
  <c r="A239" i="1"/>
  <c r="D238" i="1"/>
  <c r="AJ239" i="1" l="1"/>
  <c r="AI238" i="1"/>
  <c r="AH239" i="1"/>
  <c r="D239" i="1"/>
  <c r="AG238" i="1"/>
  <c r="AI233" i="1"/>
  <c r="A240" i="1"/>
  <c r="AH240" i="1"/>
  <c r="D240" i="1"/>
  <c r="A241" i="1"/>
  <c r="AH241" i="1"/>
  <c r="D241" i="1"/>
  <c r="AK239" i="1" l="1"/>
  <c r="AK240" i="1" s="1"/>
  <c r="AK241" i="1" s="1"/>
  <c r="AJ241" i="1"/>
  <c r="AJ240" i="1"/>
  <c r="AI239" i="1"/>
  <c r="AG240" i="1"/>
  <c r="A242" i="1"/>
  <c r="AG239" i="1"/>
  <c r="AI234" i="1"/>
  <c r="AG241" i="1"/>
  <c r="AJ242" i="1" l="1"/>
  <c r="AH242" i="1"/>
  <c r="AI240" i="1"/>
  <c r="AI241" i="1"/>
  <c r="D242" i="1"/>
  <c r="A243" i="1"/>
  <c r="D243" i="1"/>
  <c r="A244" i="1"/>
  <c r="A245" i="1" s="1"/>
  <c r="D244" i="1"/>
  <c r="AH245" i="1"/>
  <c r="A246" i="1"/>
  <c r="A247" i="1" s="1"/>
  <c r="A248" i="1" s="1"/>
  <c r="AH246" i="1"/>
  <c r="D247" i="1"/>
  <c r="D246" i="1"/>
  <c r="D245" i="1"/>
  <c r="AH244" i="1"/>
  <c r="AH243" i="1"/>
  <c r="AK242" i="1" l="1"/>
  <c r="AK243" i="1" s="1"/>
  <c r="AK244" i="1" s="1"/>
  <c r="AK245" i="1" s="1"/>
  <c r="AK246" i="1" s="1"/>
  <c r="AJ246" i="1"/>
  <c r="B246" i="1" s="1"/>
  <c r="C246" i="1" s="1"/>
  <c r="AJ245" i="1"/>
  <c r="AJ244" i="1"/>
  <c r="AJ243" i="1"/>
  <c r="AJ248" i="1"/>
  <c r="AJ247" i="1"/>
  <c r="AK275" i="1"/>
  <c r="AH248" i="1"/>
  <c r="D248" i="1"/>
  <c r="AG243" i="1"/>
  <c r="AG247" i="1"/>
  <c r="AI242" i="1"/>
  <c r="AH247" i="1"/>
  <c r="A249" i="1"/>
  <c r="AG246" i="1"/>
  <c r="AG245" i="1"/>
  <c r="AG244" i="1"/>
  <c r="AG242" i="1"/>
  <c r="AH249" i="1"/>
  <c r="A250" i="1"/>
  <c r="D249" i="1"/>
  <c r="D250" i="1"/>
  <c r="A251" i="1"/>
  <c r="AH250" i="1"/>
  <c r="AK247" i="1" l="1"/>
  <c r="AK248" i="1" s="1"/>
  <c r="AK249" i="1" s="1"/>
  <c r="AK250" i="1" s="1"/>
  <c r="AJ251" i="1"/>
  <c r="AJ250" i="1"/>
  <c r="AJ249" i="1"/>
  <c r="B249" i="1" s="1"/>
  <c r="C249" i="1" s="1"/>
  <c r="A252" i="1"/>
  <c r="AH252" i="1"/>
  <c r="AG248" i="1"/>
  <c r="AG250" i="1"/>
  <c r="D252" i="1"/>
  <c r="A253" i="1"/>
  <c r="AG249" i="1"/>
  <c r="AI243" i="1"/>
  <c r="A254" i="1"/>
  <c r="D254" i="1" s="1"/>
  <c r="AH254" i="1"/>
  <c r="AI254" i="1" l="1"/>
  <c r="AJ253" i="1"/>
  <c r="AI252" i="1"/>
  <c r="AK278" i="1"/>
  <c r="AI277" i="1"/>
  <c r="A255" i="1"/>
  <c r="AG252" i="1"/>
  <c r="D255" i="1"/>
  <c r="A256" i="1"/>
  <c r="D256" i="1"/>
  <c r="AG254" i="1"/>
  <c r="AI244" i="1"/>
  <c r="AH255" i="1"/>
  <c r="AH256" i="1"/>
  <c r="A257" i="1"/>
  <c r="D257" i="1"/>
  <c r="A258" i="1"/>
  <c r="AH257" i="1"/>
  <c r="AJ257" i="1" l="1"/>
  <c r="AJ256" i="1"/>
  <c r="AK255" i="1"/>
  <c r="AK256" i="1" s="1"/>
  <c r="AK257" i="1" s="1"/>
  <c r="AJ255" i="1"/>
  <c r="AJ258" i="1"/>
  <c r="D286" i="1"/>
  <c r="AH286" i="1"/>
  <c r="AI245" i="1"/>
  <c r="AI255" i="1"/>
  <c r="AG257" i="1"/>
  <c r="AG255" i="1"/>
  <c r="AG256" i="1"/>
  <c r="A259" i="1"/>
  <c r="AI256" i="1"/>
  <c r="D259" i="1"/>
  <c r="A260" i="1"/>
  <c r="AH260" i="1"/>
  <c r="D260" i="1"/>
  <c r="AI259" i="1" l="1"/>
  <c r="AK260" i="1"/>
  <c r="AJ260" i="1"/>
  <c r="AC286" i="1"/>
  <c r="AG286" i="1"/>
  <c r="AD286" i="1"/>
  <c r="AH259" i="1"/>
  <c r="AI260" i="1"/>
  <c r="AI246" i="1"/>
  <c r="AG260" i="1"/>
  <c r="AI257" i="1"/>
  <c r="AG259" i="1"/>
  <c r="A261" i="1"/>
  <c r="A262" i="1"/>
  <c r="D262" i="1"/>
  <c r="AI262" i="1" l="1"/>
  <c r="AJ261" i="1"/>
  <c r="AH262" i="1"/>
  <c r="AI247" i="1"/>
  <c r="AG262" i="1"/>
  <c r="A263" i="1"/>
  <c r="D263" i="1"/>
  <c r="A264" i="1"/>
  <c r="AH263" i="1"/>
  <c r="D264" i="1"/>
  <c r="A265" i="1"/>
  <c r="AH264" i="1"/>
  <c r="D265" i="1"/>
  <c r="AH265" i="1"/>
  <c r="A266" i="1"/>
  <c r="AJ264" i="1" l="1"/>
  <c r="AK263" i="1"/>
  <c r="AK264" i="1" s="1"/>
  <c r="AK265" i="1" s="1"/>
  <c r="AJ263" i="1"/>
  <c r="AJ266" i="1"/>
  <c r="AJ265" i="1"/>
  <c r="AK293" i="1"/>
  <c r="A267" i="1"/>
  <c r="AH267" i="1"/>
  <c r="AG265" i="1"/>
  <c r="AI263" i="1"/>
  <c r="AG264" i="1"/>
  <c r="D267" i="1"/>
  <c r="AI248" i="1"/>
  <c r="AG263" i="1"/>
  <c r="AI267" i="1" l="1"/>
  <c r="AI264" i="1"/>
  <c r="AI265" i="1"/>
  <c r="AG267" i="1"/>
  <c r="A268" i="1"/>
  <c r="AI249" i="1"/>
  <c r="A269" i="1"/>
  <c r="AH269" i="1"/>
  <c r="D269" i="1"/>
  <c r="AI269" i="1" l="1"/>
  <c r="AJ268" i="1"/>
  <c r="AI286" i="1"/>
  <c r="AG269" i="1"/>
  <c r="A270" i="1"/>
  <c r="AI250" i="1"/>
  <c r="AH270" i="1"/>
  <c r="D270" i="1"/>
  <c r="A271" i="1"/>
  <c r="D271" i="1"/>
  <c r="AH271" i="1"/>
  <c r="AK270" i="1" l="1"/>
  <c r="AK271" i="1" s="1"/>
  <c r="AJ271" i="1"/>
  <c r="AJ270" i="1"/>
  <c r="AG271" i="1"/>
  <c r="AI270" i="1"/>
  <c r="AI271" i="1" s="1"/>
  <c r="AG270" i="1"/>
  <c r="A272" i="1"/>
  <c r="D272" i="1"/>
  <c r="A273" i="1"/>
  <c r="AH272" i="1"/>
  <c r="AH273" i="1"/>
  <c r="A274" i="1"/>
  <c r="D273" i="1"/>
  <c r="A275" i="1"/>
  <c r="AH275" i="1"/>
  <c r="D275" i="1"/>
  <c r="A276" i="1"/>
  <c r="AJ274" i="1" l="1"/>
  <c r="AJ273" i="1"/>
  <c r="AK272" i="1"/>
  <c r="AK273" i="1" s="1"/>
  <c r="AJ272" i="1"/>
  <c r="AJ276" i="1"/>
  <c r="AI275" i="1"/>
  <c r="AK299" i="1"/>
  <c r="AH276" i="1"/>
  <c r="AG272" i="1"/>
  <c r="AG275" i="1"/>
  <c r="AI272" i="1"/>
  <c r="A277" i="1"/>
  <c r="AG273" i="1"/>
  <c r="D276" i="1"/>
  <c r="AK276" i="1" l="1"/>
  <c r="AJ277" i="1"/>
  <c r="AK301" i="1"/>
  <c r="AI273" i="1"/>
  <c r="AG276" i="1"/>
  <c r="A278" i="1"/>
  <c r="AI276" i="1"/>
  <c r="D278" i="1"/>
  <c r="AH278" i="1"/>
  <c r="A279" i="1"/>
  <c r="D279" i="1"/>
  <c r="AH279" i="1"/>
  <c r="AI278" i="1" l="1"/>
  <c r="AK279" i="1"/>
  <c r="AJ279" i="1"/>
  <c r="AK304" i="1"/>
  <c r="A280" i="1"/>
  <c r="AG278" i="1"/>
  <c r="A281" i="1"/>
  <c r="D281" i="1"/>
  <c r="A282" i="1"/>
  <c r="AG279" i="1"/>
  <c r="AI279" i="1"/>
  <c r="AH280" i="1"/>
  <c r="D280" i="1"/>
  <c r="AJ280" i="1" l="1"/>
  <c r="AK280" i="1"/>
  <c r="AJ282" i="1"/>
  <c r="AJ281" i="1"/>
  <c r="AK307" i="1"/>
  <c r="AG280" i="1"/>
  <c r="AH282" i="1"/>
  <c r="AG281" i="1"/>
  <c r="AI280" i="1"/>
  <c r="AH281" i="1"/>
  <c r="A283" i="1"/>
  <c r="D282" i="1"/>
  <c r="A284" i="1"/>
  <c r="D284" i="1" s="1"/>
  <c r="AH283" i="1"/>
  <c r="AK281" i="1" l="1"/>
  <c r="AK282" i="1" s="1"/>
  <c r="AK283" i="1" s="1"/>
  <c r="AJ284" i="1"/>
  <c r="AJ283" i="1"/>
  <c r="AK317" i="1"/>
  <c r="AH284" i="1"/>
  <c r="AI281" i="1"/>
  <c r="AG284" i="1"/>
  <c r="D283" i="1"/>
  <c r="A285" i="1"/>
  <c r="AG282" i="1"/>
  <c r="D285" i="1"/>
  <c r="AH285" i="1"/>
  <c r="A286" i="1"/>
  <c r="AK284" i="1" l="1"/>
  <c r="AK285" i="1" s="1"/>
  <c r="AK286" i="1" s="1"/>
  <c r="AK287" i="1" s="1"/>
  <c r="AJ286" i="1"/>
  <c r="AJ285" i="1"/>
  <c r="AK320" i="1"/>
  <c r="AG283" i="1"/>
  <c r="AI282" i="1"/>
  <c r="A287" i="1"/>
  <c r="A288" i="1"/>
  <c r="AG285" i="1"/>
  <c r="AH287" i="1"/>
  <c r="A289" i="1"/>
  <c r="AH288" i="1"/>
  <c r="D288" i="1"/>
  <c r="D287" i="1"/>
  <c r="AJ289" i="1" l="1"/>
  <c r="AJ288" i="1"/>
  <c r="AI287" i="1"/>
  <c r="AK288" i="1"/>
  <c r="D289" i="1"/>
  <c r="AG287" i="1"/>
  <c r="AI283" i="1"/>
  <c r="AI288" i="1"/>
  <c r="A290" i="1"/>
  <c r="AG288" i="1"/>
  <c r="AH289" i="1"/>
  <c r="D290" i="1"/>
  <c r="AH290" i="1"/>
  <c r="AK289" i="1" l="1"/>
  <c r="AK290" i="1" s="1"/>
  <c r="AJ290" i="1"/>
  <c r="AK323" i="1"/>
  <c r="AI284" i="1"/>
  <c r="A291" i="1"/>
  <c r="AH291" i="1"/>
  <c r="AG290" i="1"/>
  <c r="AG289" i="1"/>
  <c r="AI289" i="1"/>
  <c r="D291" i="1"/>
  <c r="AJ291" i="1" l="1"/>
  <c r="AK291" i="1"/>
  <c r="A292" i="1"/>
  <c r="AI285" i="1"/>
  <c r="AG291" i="1"/>
  <c r="A293" i="1"/>
  <c r="AI290" i="1"/>
  <c r="AH293" i="1"/>
  <c r="A294" i="1"/>
  <c r="D293" i="1"/>
  <c r="AJ292" i="1" l="1"/>
  <c r="AJ294" i="1"/>
  <c r="AI293" i="1"/>
  <c r="AH294" i="1"/>
  <c r="AG293" i="1"/>
  <c r="A295" i="1"/>
  <c r="D295" i="1"/>
  <c r="D294" i="1"/>
  <c r="A296" i="1"/>
  <c r="AH295" i="1"/>
  <c r="AI291" i="1"/>
  <c r="AK294" i="1" l="1"/>
  <c r="AK295" i="1" s="1"/>
  <c r="AJ296" i="1"/>
  <c r="AJ295" i="1"/>
  <c r="D296" i="1"/>
  <c r="AH296" i="1"/>
  <c r="AG295" i="1"/>
  <c r="AI294" i="1"/>
  <c r="AI295" i="1" s="1"/>
  <c r="AG294" i="1"/>
  <c r="A297" i="1"/>
  <c r="AH297" i="1"/>
  <c r="D297" i="1"/>
  <c r="A298" i="1"/>
  <c r="AK296" i="1" l="1"/>
  <c r="AK297" i="1" s="1"/>
  <c r="AJ298" i="1"/>
  <c r="AJ297" i="1"/>
  <c r="AK333" i="1"/>
  <c r="AG296" i="1"/>
  <c r="A299" i="1"/>
  <c r="AI296" i="1"/>
  <c r="D299" i="1"/>
  <c r="A300" i="1"/>
  <c r="AG297" i="1"/>
  <c r="AH299" i="1"/>
  <c r="AJ300" i="1" l="1"/>
  <c r="AI299" i="1"/>
  <c r="AI297" i="1"/>
  <c r="A301" i="1"/>
  <c r="AH301" i="1"/>
  <c r="AG299" i="1"/>
  <c r="AK344" i="1" l="1"/>
  <c r="D301" i="1"/>
  <c r="A302" i="1"/>
  <c r="D302" i="1"/>
  <c r="A303" i="1"/>
  <c r="A304" i="1"/>
  <c r="D304" i="1"/>
  <c r="A305" i="1"/>
  <c r="AH305" i="1"/>
  <c r="D305" i="1"/>
  <c r="A306" i="1"/>
  <c r="A307" i="1"/>
  <c r="D307" i="1" s="1"/>
  <c r="AI304" i="1" l="1"/>
  <c r="AJ303" i="1"/>
  <c r="AJ302" i="1"/>
  <c r="AI301" i="1"/>
  <c r="AJ305" i="1"/>
  <c r="AK305" i="1"/>
  <c r="AI307" i="1"/>
  <c r="AJ306" i="1"/>
  <c r="AH304" i="1"/>
  <c r="AG302" i="1"/>
  <c r="AH302" i="1"/>
  <c r="AG301" i="1"/>
  <c r="AH307" i="1"/>
  <c r="AG305" i="1"/>
  <c r="AI305" i="1"/>
  <c r="AG304" i="1"/>
  <c r="AI302" i="1"/>
  <c r="A308" i="1"/>
  <c r="AH308" i="1"/>
  <c r="D308" i="1"/>
  <c r="AG307" i="1"/>
  <c r="A309" i="1"/>
  <c r="AH309" i="1"/>
  <c r="AK302" i="1" l="1"/>
  <c r="AJ309" i="1"/>
  <c r="AK308" i="1"/>
  <c r="AK309" i="1" s="1"/>
  <c r="AJ308" i="1"/>
  <c r="AK349" i="1"/>
  <c r="D309" i="1"/>
  <c r="A310" i="1"/>
  <c r="AG308" i="1"/>
  <c r="AI308" i="1"/>
  <c r="A311" i="1"/>
  <c r="D310" i="1"/>
  <c r="AH310" i="1"/>
  <c r="D311" i="1"/>
  <c r="AJ311" i="1" l="1"/>
  <c r="AJ310" i="1"/>
  <c r="AK310" i="1"/>
  <c r="AK353" i="1"/>
  <c r="AG309" i="1"/>
  <c r="AG311" i="1"/>
  <c r="AI309" i="1"/>
  <c r="AG310" i="1"/>
  <c r="AH311" i="1"/>
  <c r="A312" i="1"/>
  <c r="D312" i="1"/>
  <c r="AI310" i="1"/>
  <c r="A313" i="1"/>
  <c r="A314" i="1"/>
  <c r="AH314" i="1"/>
  <c r="D313" i="1"/>
  <c r="D314" i="1"/>
  <c r="AH313" i="1"/>
  <c r="AH312" i="1"/>
  <c r="AK311" i="1" l="1"/>
  <c r="AK312" i="1" s="1"/>
  <c r="AK313" i="1" s="1"/>
  <c r="AK314" i="1" s="1"/>
  <c r="AJ314" i="1"/>
  <c r="AJ313" i="1"/>
  <c r="AJ312" i="1"/>
  <c r="AK355" i="1"/>
  <c r="AG313" i="1"/>
  <c r="A315" i="1"/>
  <c r="AI311" i="1"/>
  <c r="D315" i="1"/>
  <c r="AG312" i="1"/>
  <c r="AG314" i="1"/>
  <c r="AH315" i="1"/>
  <c r="A316" i="1"/>
  <c r="AJ316" i="1" l="1"/>
  <c r="AJ315" i="1"/>
  <c r="AK315" i="1"/>
  <c r="A317" i="1"/>
  <c r="D317" i="1"/>
  <c r="AG315" i="1"/>
  <c r="AI312" i="1"/>
  <c r="AI317" i="1" l="1"/>
  <c r="AK359" i="1"/>
  <c r="AH317" i="1"/>
  <c r="A318" i="1"/>
  <c r="A319" i="1"/>
  <c r="AG317" i="1"/>
  <c r="D318" i="1"/>
  <c r="AI313" i="1"/>
  <c r="AI314" i="1"/>
  <c r="AH318" i="1"/>
  <c r="AJ319" i="1" l="1"/>
  <c r="AK318" i="1"/>
  <c r="AJ318" i="1"/>
  <c r="AK361" i="1"/>
  <c r="A320" i="1"/>
  <c r="D320" i="1"/>
  <c r="AG318" i="1"/>
  <c r="AI315" i="1"/>
  <c r="A321" i="1"/>
  <c r="D321" i="1" s="1"/>
  <c r="AI318" i="1"/>
  <c r="AH320" i="1"/>
  <c r="A322" i="1"/>
  <c r="AH321" i="1"/>
  <c r="AJ322" i="1" l="1"/>
  <c r="AK321" i="1"/>
  <c r="AJ321" i="1"/>
  <c r="AI320" i="1"/>
  <c r="AK364" i="1"/>
  <c r="AG320" i="1"/>
  <c r="AG321" i="1"/>
  <c r="AI321" i="1"/>
  <c r="A323" i="1"/>
  <c r="D323" i="1"/>
  <c r="AH323" i="1"/>
  <c r="A324" i="1"/>
  <c r="D324" i="1"/>
  <c r="AH324" i="1"/>
  <c r="AK324" i="1" l="1"/>
  <c r="AJ324" i="1"/>
  <c r="AI323" i="1"/>
  <c r="AG323" i="1"/>
  <c r="AI324" i="1"/>
  <c r="A325" i="1"/>
  <c r="AG324" i="1"/>
  <c r="AH325" i="1"/>
  <c r="A326" i="1"/>
  <c r="D325" i="1"/>
  <c r="AH326" i="1"/>
  <c r="AJ326" i="1" l="1"/>
  <c r="AJ325" i="1"/>
  <c r="AK325" i="1"/>
  <c r="AK326" i="1" s="1"/>
  <c r="D326" i="1"/>
  <c r="AG325" i="1"/>
  <c r="AI325" i="1"/>
  <c r="A327" i="1"/>
  <c r="A328" i="1"/>
  <c r="D328" i="1"/>
  <c r="AH328" i="1"/>
  <c r="AH327" i="1"/>
  <c r="AJ328" i="1" l="1"/>
  <c r="AJ327" i="1"/>
  <c r="AK327" i="1"/>
  <c r="AK328" i="1" s="1"/>
  <c r="D327" i="1"/>
  <c r="AG328" i="1"/>
  <c r="A329" i="1"/>
  <c r="D329" i="1"/>
  <c r="AH329" i="1"/>
  <c r="AG326" i="1"/>
  <c r="AI326" i="1"/>
  <c r="A330" i="1"/>
  <c r="AH330" i="1" s="1"/>
  <c r="D330" i="1"/>
  <c r="AJ330" i="1" l="1"/>
  <c r="AJ329" i="1"/>
  <c r="AK329" i="1"/>
  <c r="AK330" i="1" s="1"/>
  <c r="AK370" i="1"/>
  <c r="AG327" i="1"/>
  <c r="AG329" i="1"/>
  <c r="AI327" i="1"/>
  <c r="A331" i="1"/>
  <c r="AH331" i="1"/>
  <c r="AG330" i="1"/>
  <c r="A332" i="1"/>
  <c r="AI328" i="1"/>
  <c r="AI329" i="1"/>
  <c r="D331" i="1"/>
  <c r="AJ332" i="1" l="1"/>
  <c r="AJ331" i="1"/>
  <c r="AK331" i="1"/>
  <c r="AK373" i="1"/>
  <c r="AI330" i="1"/>
  <c r="A333" i="1"/>
  <c r="D333" i="1"/>
  <c r="AG331" i="1"/>
  <c r="AI331" i="1"/>
  <c r="A334" i="1"/>
  <c r="AH334" i="1"/>
  <c r="AH333" i="1"/>
  <c r="D334" i="1"/>
  <c r="AK334" i="1" l="1"/>
  <c r="AJ334" i="1"/>
  <c r="AI333" i="1"/>
  <c r="A335" i="1"/>
  <c r="AI334" i="1"/>
  <c r="D335" i="1"/>
  <c r="A336" i="1"/>
  <c r="AG333" i="1"/>
  <c r="AH335" i="1"/>
  <c r="AG334" i="1"/>
  <c r="D336" i="1"/>
  <c r="AJ336" i="1" l="1"/>
  <c r="AJ335" i="1"/>
  <c r="AK335" i="1"/>
  <c r="AK375" i="1"/>
  <c r="AH336" i="1"/>
  <c r="A337" i="1"/>
  <c r="A338" i="1"/>
  <c r="AG335" i="1"/>
  <c r="AH337" i="1"/>
  <c r="AI335" i="1"/>
  <c r="AG336" i="1"/>
  <c r="D337" i="1"/>
  <c r="AH338" i="1"/>
  <c r="D338" i="1"/>
  <c r="AK336" i="1" l="1"/>
  <c r="AK337" i="1" s="1"/>
  <c r="AK338" i="1" s="1"/>
  <c r="AJ338" i="1"/>
  <c r="AJ337" i="1"/>
  <c r="AK377" i="1"/>
  <c r="A339" i="1"/>
  <c r="A340" i="1"/>
  <c r="D340" i="1"/>
  <c r="D339" i="1"/>
  <c r="AG338" i="1"/>
  <c r="AI336" i="1"/>
  <c r="AI337" i="1" s="1"/>
  <c r="AH339" i="1"/>
  <c r="AH340" i="1"/>
  <c r="AG337" i="1"/>
  <c r="AJ340" i="1" l="1"/>
  <c r="AJ339" i="1"/>
  <c r="AK339" i="1"/>
  <c r="AK340" i="1" s="1"/>
  <c r="AK379" i="1"/>
  <c r="AI338" i="1"/>
  <c r="AG339" i="1"/>
  <c r="AI339" i="1"/>
  <c r="AG340" i="1"/>
  <c r="A341" i="1"/>
  <c r="D341" i="1"/>
  <c r="AH341" i="1"/>
  <c r="AJ341" i="1" l="1"/>
  <c r="AK341" i="1"/>
  <c r="A342" i="1"/>
  <c r="AI340" i="1"/>
  <c r="AI341" i="1"/>
  <c r="A343" i="1"/>
  <c r="AG341" i="1"/>
  <c r="AH342" i="1"/>
  <c r="D342" i="1"/>
  <c r="AJ342" i="1" l="1"/>
  <c r="AK342" i="1"/>
  <c r="AJ343" i="1"/>
  <c r="AK382" i="1"/>
  <c r="AG342" i="1"/>
  <c r="A344" i="1"/>
  <c r="AI342" i="1"/>
  <c r="A345" i="1"/>
  <c r="A346" i="1"/>
  <c r="AH346" i="1"/>
  <c r="D344" i="1"/>
  <c r="AH344" i="1"/>
  <c r="D345" i="1"/>
  <c r="D346" i="1"/>
  <c r="AH345" i="1"/>
  <c r="AI344" i="1" l="1"/>
  <c r="AJ346" i="1"/>
  <c r="AK345" i="1"/>
  <c r="AK346" i="1" s="1"/>
  <c r="AJ345" i="1"/>
  <c r="AG345" i="1"/>
  <c r="A347" i="1"/>
  <c r="A348" i="1"/>
  <c r="AH347" i="1"/>
  <c r="AG344" i="1"/>
  <c r="AI345" i="1"/>
  <c r="AG346" i="1"/>
  <c r="AJ348" i="1" l="1"/>
  <c r="AJ347" i="1"/>
  <c r="AK347" i="1"/>
  <c r="D347" i="1"/>
  <c r="AI346" i="1"/>
  <c r="A349" i="1"/>
  <c r="AH349" i="1"/>
  <c r="D349" i="1"/>
  <c r="A350" i="1"/>
  <c r="AH350" i="1"/>
  <c r="AK350" i="1" l="1"/>
  <c r="AJ350" i="1"/>
  <c r="AI349" i="1"/>
  <c r="AK390" i="1"/>
  <c r="D350" i="1"/>
  <c r="AG347" i="1"/>
  <c r="A351" i="1"/>
  <c r="A352" i="1"/>
  <c r="AI347" i="1"/>
  <c r="AG349" i="1"/>
  <c r="AH351" i="1"/>
  <c r="AJ352" i="1" l="1"/>
  <c r="AJ351" i="1"/>
  <c r="AK351" i="1"/>
  <c r="D351" i="1"/>
  <c r="AI350" i="1"/>
  <c r="AG350" i="1"/>
  <c r="A353" i="1"/>
  <c r="AH353" i="1"/>
  <c r="D353" i="1"/>
  <c r="A354" i="1"/>
  <c r="AJ354" i="1" l="1"/>
  <c r="AI353" i="1"/>
  <c r="AK394" i="1"/>
  <c r="AG351" i="1"/>
  <c r="A355" i="1"/>
  <c r="AH355" i="1"/>
  <c r="AI351" i="1"/>
  <c r="AG353" i="1"/>
  <c r="AK406" i="1" l="1"/>
  <c r="D355" i="1"/>
  <c r="A356" i="1"/>
  <c r="AH356" i="1"/>
  <c r="A357" i="1"/>
  <c r="AH357" i="1"/>
  <c r="A358" i="1"/>
  <c r="A359" i="1"/>
  <c r="AH359" i="1"/>
  <c r="D357" i="1"/>
  <c r="D359" i="1"/>
  <c r="A360" i="1"/>
  <c r="AJ360" i="1" l="1"/>
  <c r="AI359" i="1"/>
  <c r="AJ358" i="1"/>
  <c r="AJ357" i="1"/>
  <c r="AK356" i="1"/>
  <c r="AK357" i="1" s="1"/>
  <c r="AJ356" i="1"/>
  <c r="AI355" i="1"/>
  <c r="A361" i="1"/>
  <c r="AG359" i="1"/>
  <c r="AG357" i="1"/>
  <c r="D356" i="1"/>
  <c r="AG355" i="1"/>
  <c r="D361" i="1"/>
  <c r="AH361" i="1"/>
  <c r="A362" i="1"/>
  <c r="D362" i="1"/>
  <c r="AH362" i="1"/>
  <c r="AK362" i="1" l="1"/>
  <c r="AJ362" i="1"/>
  <c r="AI361" i="1"/>
  <c r="AI362" i="1"/>
  <c r="AG362" i="1"/>
  <c r="A363" i="1"/>
  <c r="AI356" i="1"/>
  <c r="AI357" i="1" s="1"/>
  <c r="AG361" i="1"/>
  <c r="AG356" i="1"/>
  <c r="A364" i="1"/>
  <c r="AH364" i="1"/>
  <c r="D364" i="1"/>
  <c r="AI364" i="1" l="1"/>
  <c r="AJ363" i="1"/>
  <c r="AG364" i="1"/>
  <c r="A365" i="1"/>
  <c r="D365" i="1"/>
  <c r="AH365" i="1"/>
  <c r="A366" i="1"/>
  <c r="AH366" i="1"/>
  <c r="D366" i="1"/>
  <c r="AJ366" i="1" l="1"/>
  <c r="AK365" i="1"/>
  <c r="AK366" i="1" s="1"/>
  <c r="AJ365" i="1"/>
  <c r="AG366" i="1"/>
  <c r="A367" i="1"/>
  <c r="AI365" i="1"/>
  <c r="AI366" i="1"/>
  <c r="AG365" i="1"/>
  <c r="D367" i="1"/>
  <c r="AH367" i="1"/>
  <c r="A368" i="1"/>
  <c r="D368" i="1"/>
  <c r="AH368" i="1"/>
  <c r="AJ368" i="1" l="1"/>
  <c r="AJ367" i="1"/>
  <c r="AK367" i="1"/>
  <c r="AK368" i="1" s="1"/>
  <c r="AK415" i="1"/>
  <c r="AG368" i="1"/>
  <c r="A369" i="1"/>
  <c r="AG367" i="1"/>
  <c r="AI367" i="1"/>
  <c r="AI368" i="1" s="1"/>
  <c r="A370" i="1"/>
  <c r="AH370" i="1"/>
  <c r="D370" i="1"/>
  <c r="AI370" i="1" l="1"/>
  <c r="AJ369" i="1"/>
  <c r="A371" i="1"/>
  <c r="AG370" i="1"/>
  <c r="D371" i="1"/>
  <c r="AH371" i="1"/>
  <c r="A372" i="1"/>
  <c r="AJ372" i="1" l="1"/>
  <c r="AK371" i="1"/>
  <c r="AJ371" i="1"/>
  <c r="AK417" i="1"/>
  <c r="A373" i="1"/>
  <c r="AI371" i="1"/>
  <c r="AG371" i="1"/>
  <c r="AH373" i="1"/>
  <c r="D373" i="1"/>
  <c r="A374" i="1"/>
  <c r="AJ374" i="1" l="1"/>
  <c r="AI373" i="1"/>
  <c r="A375" i="1"/>
  <c r="AG373" i="1"/>
  <c r="D375" i="1"/>
  <c r="AH375" i="1"/>
  <c r="A376" i="1"/>
  <c r="AJ376" i="1" l="1"/>
  <c r="AI375" i="1"/>
  <c r="A377" i="1"/>
  <c r="AG375" i="1"/>
  <c r="D377" i="1"/>
  <c r="AH377" i="1"/>
  <c r="A378" i="1"/>
  <c r="AJ378" i="1" l="1"/>
  <c r="AI377" i="1"/>
  <c r="A379" i="1"/>
  <c r="AG377" i="1"/>
  <c r="D379" i="1"/>
  <c r="AH379" i="1"/>
  <c r="A380" i="1"/>
  <c r="D380" i="1"/>
  <c r="AH380" i="1"/>
  <c r="AK380" i="1" l="1"/>
  <c r="AJ380" i="1"/>
  <c r="AI379" i="1"/>
  <c r="AK420" i="1"/>
  <c r="AI380" i="1"/>
  <c r="AG379" i="1"/>
  <c r="AG380" i="1"/>
  <c r="A381" i="1"/>
  <c r="A382" i="1"/>
  <c r="AH382" i="1"/>
  <c r="D382" i="1"/>
  <c r="AI382" i="1" l="1"/>
  <c r="AJ381" i="1"/>
  <c r="A383" i="1"/>
  <c r="AG382" i="1"/>
  <c r="D383" i="1"/>
  <c r="AH383" i="1"/>
  <c r="A384" i="1"/>
  <c r="AH384" i="1"/>
  <c r="D384" i="1"/>
  <c r="AJ384" i="1" l="1"/>
  <c r="AK383" i="1"/>
  <c r="AK384" i="1" s="1"/>
  <c r="AJ383" i="1"/>
  <c r="AK431" i="1"/>
  <c r="AG384" i="1"/>
  <c r="A385" i="1"/>
  <c r="AI383" i="1"/>
  <c r="AI384" i="1"/>
  <c r="AG383" i="1"/>
  <c r="AH385" i="1"/>
  <c r="D385" i="1"/>
  <c r="A386" i="1"/>
  <c r="AH386" i="1"/>
  <c r="D386" i="1"/>
  <c r="AJ386" i="1" l="1"/>
  <c r="AJ385" i="1"/>
  <c r="AK385" i="1"/>
  <c r="AK386" i="1" s="1"/>
  <c r="AK439" i="1"/>
  <c r="AI430" i="1"/>
  <c r="AG386" i="1"/>
  <c r="A387" i="1"/>
  <c r="AG385" i="1"/>
  <c r="AI385" i="1"/>
  <c r="AI386" i="1" s="1"/>
  <c r="D387" i="1"/>
  <c r="AH387" i="1"/>
  <c r="A388" i="1"/>
  <c r="AH388" i="1"/>
  <c r="D388" i="1"/>
  <c r="AJ388" i="1" l="1"/>
  <c r="AJ387" i="1"/>
  <c r="AK387" i="1"/>
  <c r="AK388" i="1" s="1"/>
  <c r="AK446" i="1"/>
  <c r="AG388" i="1"/>
  <c r="A389" i="1"/>
  <c r="AG387" i="1"/>
  <c r="AI387" i="1"/>
  <c r="AI388" i="1" s="1"/>
  <c r="A390" i="1"/>
  <c r="AH390" i="1"/>
  <c r="D390" i="1"/>
  <c r="AI390" i="1" l="1"/>
  <c r="AJ389" i="1"/>
  <c r="A391" i="1"/>
  <c r="AG390" i="1"/>
  <c r="AH391" i="1"/>
  <c r="D391" i="1"/>
  <c r="AK391" i="1" l="1"/>
  <c r="AJ391" i="1"/>
  <c r="AG391" i="1"/>
  <c r="AI391" i="1"/>
  <c r="A392" i="1"/>
  <c r="AH392" i="1"/>
  <c r="D392" i="1"/>
  <c r="A393" i="1"/>
  <c r="A394" i="1"/>
  <c r="AH394" i="1"/>
  <c r="D394" i="1"/>
  <c r="A395" i="1"/>
  <c r="D395" i="1"/>
  <c r="AH395" i="1"/>
  <c r="A396" i="1"/>
  <c r="AH396" i="1"/>
  <c r="D396" i="1"/>
  <c r="A397" i="1"/>
  <c r="AH397" i="1"/>
  <c r="D397" i="1"/>
  <c r="A398" i="1"/>
  <c r="AH398" i="1"/>
  <c r="D398" i="1"/>
  <c r="A399" i="1"/>
  <c r="D399" i="1"/>
  <c r="AH399" i="1"/>
  <c r="A400" i="1"/>
  <c r="D400" i="1"/>
  <c r="AH400" i="1"/>
  <c r="A401" i="1"/>
  <c r="AH401" i="1"/>
  <c r="D401" i="1"/>
  <c r="A402" i="1"/>
  <c r="AH402" i="1"/>
  <c r="D402" i="1"/>
  <c r="A403" i="1"/>
  <c r="D403" i="1"/>
  <c r="A404" i="1"/>
  <c r="D404" i="1"/>
  <c r="AH404" i="1"/>
  <c r="A405" i="1"/>
  <c r="A406" i="1"/>
  <c r="D406" i="1"/>
  <c r="AH406" i="1"/>
  <c r="A407" i="1"/>
  <c r="D407" i="1"/>
  <c r="AH407" i="1"/>
  <c r="AK407" i="1" l="1"/>
  <c r="AJ407" i="1"/>
  <c r="AI406" i="1"/>
  <c r="AJ405" i="1"/>
  <c r="AJ404" i="1"/>
  <c r="AJ403" i="1"/>
  <c r="AJ402" i="1"/>
  <c r="AJ401" i="1"/>
  <c r="AJ400" i="1"/>
  <c r="AJ399" i="1"/>
  <c r="AJ398" i="1"/>
  <c r="AJ397" i="1"/>
  <c r="AJ396" i="1"/>
  <c r="AK395" i="1"/>
  <c r="AK396" i="1" s="1"/>
  <c r="AK397" i="1" s="1"/>
  <c r="AK398" i="1" s="1"/>
  <c r="AK399" i="1" s="1"/>
  <c r="AK400" i="1" s="1"/>
  <c r="AK401" i="1" s="1"/>
  <c r="AK402" i="1" s="1"/>
  <c r="AJ395" i="1"/>
  <c r="AI394" i="1"/>
  <c r="AJ393" i="1"/>
  <c r="AJ392" i="1"/>
  <c r="AK392" i="1"/>
  <c r="AK457" i="1"/>
  <c r="AG407" i="1"/>
  <c r="AG406" i="1"/>
  <c r="AH403" i="1"/>
  <c r="AG402" i="1"/>
  <c r="AG400" i="1"/>
  <c r="AG399" i="1"/>
  <c r="AG396" i="1"/>
  <c r="AG392" i="1"/>
  <c r="AI407" i="1"/>
  <c r="A408" i="1"/>
  <c r="AG404" i="1"/>
  <c r="AG403" i="1"/>
  <c r="AG401" i="1"/>
  <c r="AG397" i="1"/>
  <c r="AG395" i="1"/>
  <c r="AI392" i="1"/>
  <c r="AG398" i="1"/>
  <c r="AI395" i="1"/>
  <c r="AI396" i="1" s="1"/>
  <c r="AI397" i="1" s="1"/>
  <c r="AI398" i="1" s="1"/>
  <c r="AG394" i="1"/>
  <c r="D408" i="1"/>
  <c r="AH408" i="1"/>
  <c r="A409" i="1"/>
  <c r="D409" i="1"/>
  <c r="AH409" i="1"/>
  <c r="A410" i="1"/>
  <c r="AH410" i="1"/>
  <c r="D410" i="1"/>
  <c r="AJ410" i="1" l="1"/>
  <c r="AJ409" i="1"/>
  <c r="AK408" i="1"/>
  <c r="AK409" i="1" s="1"/>
  <c r="AK410" i="1" s="1"/>
  <c r="AJ408" i="1"/>
  <c r="AK403" i="1"/>
  <c r="AK404" i="1" s="1"/>
  <c r="AK468" i="1"/>
  <c r="AG410" i="1"/>
  <c r="AG409" i="1"/>
  <c r="AI408" i="1"/>
  <c r="AI399" i="1"/>
  <c r="AI400" i="1" s="1"/>
  <c r="AI401" i="1" s="1"/>
  <c r="A411" i="1"/>
  <c r="AI409" i="1"/>
  <c r="AI410" i="1" s="1"/>
  <c r="AG408" i="1"/>
  <c r="D411" i="1"/>
  <c r="AH411" i="1"/>
  <c r="A412" i="1"/>
  <c r="AH412" i="1"/>
  <c r="D412" i="1"/>
  <c r="A413" i="1"/>
  <c r="AH413" i="1"/>
  <c r="D413" i="1"/>
  <c r="A414" i="1"/>
  <c r="A415" i="1"/>
  <c r="D415" i="1"/>
  <c r="AH415" i="1"/>
  <c r="A416" i="1"/>
  <c r="A417" i="1"/>
  <c r="D417" i="1"/>
  <c r="AH417" i="1"/>
  <c r="A418" i="1"/>
  <c r="D418" i="1"/>
  <c r="AH418" i="1"/>
  <c r="A419" i="1"/>
  <c r="A420" i="1"/>
  <c r="AH420" i="1"/>
  <c r="D420" i="1"/>
  <c r="A421" i="1"/>
  <c r="AH421" i="1"/>
  <c r="D421" i="1"/>
  <c r="A422" i="1"/>
  <c r="AH422" i="1"/>
  <c r="D422" i="1"/>
  <c r="A423" i="1"/>
  <c r="AH423" i="1"/>
  <c r="D423" i="1"/>
  <c r="A424" i="1"/>
  <c r="AH424" i="1"/>
  <c r="D424" i="1"/>
  <c r="A425" i="1"/>
  <c r="AH425" i="1"/>
  <c r="D425" i="1"/>
  <c r="A426" i="1"/>
  <c r="AH426" i="1"/>
  <c r="D426" i="1"/>
  <c r="A427" i="1"/>
  <c r="AH427" i="1"/>
  <c r="D427" i="1"/>
  <c r="A428" i="1"/>
  <c r="D428" i="1"/>
  <c r="AH428" i="1"/>
  <c r="A429" i="1"/>
  <c r="D429" i="1"/>
  <c r="AH429" i="1"/>
  <c r="A430" i="1"/>
  <c r="A431" i="1"/>
  <c r="AH431" i="1"/>
  <c r="D431" i="1"/>
  <c r="A432" i="1"/>
  <c r="AH432" i="1"/>
  <c r="D432" i="1"/>
  <c r="A433" i="1"/>
  <c r="AH433" i="1"/>
  <c r="D433" i="1"/>
  <c r="A434" i="1"/>
  <c r="D434" i="1"/>
  <c r="AH434" i="1"/>
  <c r="A435" i="1"/>
  <c r="D435" i="1"/>
  <c r="A436" i="1"/>
  <c r="D436" i="1"/>
  <c r="AH436" i="1"/>
  <c r="A437" i="1"/>
  <c r="D437" i="1"/>
  <c r="AH437" i="1"/>
  <c r="A438" i="1"/>
  <c r="A439" i="1"/>
  <c r="D439" i="1"/>
  <c r="AH439" i="1"/>
  <c r="A440" i="1"/>
  <c r="AH440" i="1"/>
  <c r="D440" i="1"/>
  <c r="A441" i="1"/>
  <c r="AH441" i="1"/>
  <c r="D441" i="1"/>
  <c r="A442" i="1"/>
  <c r="AH442" i="1"/>
  <c r="D442" i="1"/>
  <c r="A443" i="1"/>
  <c r="D443" i="1"/>
  <c r="AH443" i="1"/>
  <c r="A444" i="1"/>
  <c r="AH444" i="1"/>
  <c r="D444" i="1"/>
  <c r="A445" i="1"/>
  <c r="A446" i="1"/>
  <c r="AH446" i="1"/>
  <c r="D446" i="1"/>
  <c r="A447" i="1"/>
  <c r="D447" i="1"/>
  <c r="AH447" i="1"/>
  <c r="A448" i="1"/>
  <c r="D448" i="1"/>
  <c r="AH448" i="1"/>
  <c r="A449" i="1"/>
  <c r="AH449" i="1"/>
  <c r="D449" i="1"/>
  <c r="A450" i="1"/>
  <c r="D450" i="1"/>
  <c r="AH450" i="1"/>
  <c r="A451" i="1"/>
  <c r="AH451" i="1"/>
  <c r="D451" i="1"/>
  <c r="A452" i="1"/>
  <c r="D452" i="1"/>
  <c r="AH452" i="1"/>
  <c r="AJ448" i="1" l="1"/>
  <c r="AK447" i="1"/>
  <c r="AK448" i="1" s="1"/>
  <c r="AK449" i="1" s="1"/>
  <c r="AK450" i="1" s="1"/>
  <c r="AK451" i="1" s="1"/>
  <c r="AK452" i="1" s="1"/>
  <c r="AJ447" i="1"/>
  <c r="AI446" i="1"/>
  <c r="AJ445" i="1"/>
  <c r="AJ444" i="1"/>
  <c r="AJ443" i="1"/>
  <c r="AJ442" i="1"/>
  <c r="AJ441" i="1"/>
  <c r="AK440" i="1"/>
  <c r="AK441" i="1" s="1"/>
  <c r="AK442" i="1" s="1"/>
  <c r="AK443" i="1" s="1"/>
  <c r="AK444" i="1" s="1"/>
  <c r="AJ440" i="1"/>
  <c r="AI439" i="1"/>
  <c r="AJ438" i="1"/>
  <c r="AJ437" i="1"/>
  <c r="AJ436" i="1"/>
  <c r="AJ435" i="1"/>
  <c r="AJ434" i="1"/>
  <c r="AJ433" i="1"/>
  <c r="AK432" i="1"/>
  <c r="AK433" i="1" s="1"/>
  <c r="AK434" i="1" s="1"/>
  <c r="AJ432" i="1"/>
  <c r="AI431" i="1"/>
  <c r="AJ430" i="1"/>
  <c r="AJ429" i="1"/>
  <c r="AJ428" i="1"/>
  <c r="AJ427" i="1"/>
  <c r="AJ426" i="1"/>
  <c r="AJ425" i="1"/>
  <c r="AJ424" i="1"/>
  <c r="AJ423" i="1"/>
  <c r="AJ422" i="1"/>
  <c r="AK421" i="1"/>
  <c r="AK422" i="1" s="1"/>
  <c r="AK423" i="1" s="1"/>
  <c r="AK424" i="1" s="1"/>
  <c r="AK425" i="1" s="1"/>
  <c r="AK426" i="1" s="1"/>
  <c r="AK427" i="1" s="1"/>
  <c r="AK428" i="1" s="1"/>
  <c r="AK429" i="1" s="1"/>
  <c r="AJ421" i="1"/>
  <c r="AI420" i="1"/>
  <c r="AJ419" i="1"/>
  <c r="AK418" i="1"/>
  <c r="AJ418" i="1"/>
  <c r="AI417" i="1"/>
  <c r="AJ416" i="1"/>
  <c r="AI415" i="1"/>
  <c r="AJ414" i="1"/>
  <c r="AJ413" i="1"/>
  <c r="AJ412" i="1"/>
  <c r="AJ411" i="1"/>
  <c r="AK411" i="1"/>
  <c r="AK412" i="1" s="1"/>
  <c r="AK413" i="1" s="1"/>
  <c r="AJ450" i="1"/>
  <c r="AJ449" i="1"/>
  <c r="AJ452" i="1"/>
  <c r="AJ451" i="1"/>
  <c r="AG447" i="1"/>
  <c r="AG442" i="1"/>
  <c r="AG441" i="1"/>
  <c r="AG440" i="1"/>
  <c r="AG437" i="1"/>
  <c r="AG436" i="1"/>
  <c r="AG433" i="1"/>
  <c r="AG432" i="1"/>
  <c r="AG431" i="1"/>
  <c r="AG429" i="1"/>
  <c r="AG427" i="1"/>
  <c r="AG423" i="1"/>
  <c r="AG421" i="1"/>
  <c r="AG420" i="1"/>
  <c r="AG418" i="1"/>
  <c r="AG417" i="1"/>
  <c r="AG415" i="1"/>
  <c r="AI402" i="1"/>
  <c r="AG450" i="1"/>
  <c r="AG448" i="1"/>
  <c r="AI447" i="1"/>
  <c r="AI448" i="1" s="1"/>
  <c r="AG446" i="1"/>
  <c r="AG444" i="1"/>
  <c r="AG443" i="1"/>
  <c r="AI440" i="1"/>
  <c r="AI441" i="1" s="1"/>
  <c r="AG439" i="1"/>
  <c r="AG435" i="1"/>
  <c r="AH435" i="1"/>
  <c r="AG434" i="1"/>
  <c r="AI432" i="1"/>
  <c r="AI433" i="1" s="1"/>
  <c r="AI434" i="1" s="1"/>
  <c r="AI435" i="1" s="1"/>
  <c r="AI436" i="1" s="1"/>
  <c r="AI437" i="1" s="1"/>
  <c r="AG428" i="1"/>
  <c r="AG426" i="1"/>
  <c r="AG425" i="1"/>
  <c r="AG424" i="1"/>
  <c r="AG422" i="1"/>
  <c r="AI421" i="1"/>
  <c r="AI422" i="1" s="1"/>
  <c r="AI423" i="1" s="1"/>
  <c r="AI424" i="1" s="1"/>
  <c r="AI425" i="1" s="1"/>
  <c r="AI426" i="1" s="1"/>
  <c r="AI427" i="1" s="1"/>
  <c r="AI428" i="1" s="1"/>
  <c r="AI429" i="1" s="1"/>
  <c r="AI418" i="1"/>
  <c r="AG411" i="1"/>
  <c r="A453" i="1"/>
  <c r="AI449" i="1"/>
  <c r="AG449" i="1"/>
  <c r="AG451" i="1"/>
  <c r="AG452" i="1"/>
  <c r="AG413" i="1"/>
  <c r="AG412" i="1"/>
  <c r="AI411" i="1"/>
  <c r="AI412" i="1" s="1"/>
  <c r="AI413" i="1" s="1"/>
  <c r="D453" i="1"/>
  <c r="AH453" i="1"/>
  <c r="A454" i="1"/>
  <c r="D454" i="1"/>
  <c r="AH454" i="1"/>
  <c r="AK435" i="1" l="1"/>
  <c r="AK436" i="1" s="1"/>
  <c r="AK437" i="1" s="1"/>
  <c r="AJ454" i="1"/>
  <c r="AJ453" i="1"/>
  <c r="AK453" i="1"/>
  <c r="AK454" i="1" s="1"/>
  <c r="AI403" i="1"/>
  <c r="AI450" i="1"/>
  <c r="AG454" i="1"/>
  <c r="AI442" i="1"/>
  <c r="AI443" i="1" s="1"/>
  <c r="AI444" i="1" s="1"/>
  <c r="AG453" i="1"/>
  <c r="A455" i="1"/>
  <c r="AH455" i="1"/>
  <c r="A456" i="1"/>
  <c r="D455" i="1"/>
  <c r="AJ456" i="1" l="1"/>
  <c r="AJ455" i="1"/>
  <c r="AK455" i="1"/>
  <c r="AK484" i="1"/>
  <c r="AK479" i="1"/>
  <c r="AI404" i="1"/>
  <c r="A457" i="1"/>
  <c r="AH457" i="1"/>
  <c r="AI451" i="1"/>
  <c r="D457" i="1"/>
  <c r="AG455" i="1"/>
  <c r="A458" i="1"/>
  <c r="D458" i="1"/>
  <c r="A459" i="1"/>
  <c r="AH458" i="1"/>
  <c r="AH459" i="1"/>
  <c r="A460" i="1"/>
  <c r="D459" i="1"/>
  <c r="D460" i="1"/>
  <c r="AH460" i="1"/>
  <c r="A461" i="1"/>
  <c r="D461" i="1"/>
  <c r="AH461" i="1"/>
  <c r="A462" i="1"/>
  <c r="AH462" i="1"/>
  <c r="D462" i="1"/>
  <c r="A463" i="1"/>
  <c r="AH463" i="1"/>
  <c r="D463" i="1"/>
  <c r="A464" i="1"/>
  <c r="D464" i="1"/>
  <c r="AH464" i="1"/>
  <c r="A465" i="1"/>
  <c r="AH465" i="1"/>
  <c r="D465" i="1"/>
  <c r="A466" i="1"/>
  <c r="D466" i="1"/>
  <c r="AH466" i="1"/>
  <c r="A467" i="1"/>
  <c r="A468" i="1"/>
  <c r="AH468" i="1"/>
  <c r="D468" i="1"/>
  <c r="A469" i="1"/>
  <c r="D469" i="1"/>
  <c r="AH469" i="1"/>
  <c r="A470" i="1"/>
  <c r="D470" i="1"/>
  <c r="AH470" i="1"/>
  <c r="A471" i="1"/>
  <c r="AH471" i="1"/>
  <c r="D471" i="1"/>
  <c r="A472" i="1"/>
  <c r="D472" i="1"/>
  <c r="AH472" i="1"/>
  <c r="A473" i="1"/>
  <c r="AH473" i="1"/>
  <c r="D473" i="1"/>
  <c r="A474" i="1"/>
  <c r="D474" i="1"/>
  <c r="AH474" i="1"/>
  <c r="A475" i="1"/>
  <c r="D475" i="1"/>
  <c r="AH475" i="1"/>
  <c r="A476" i="1"/>
  <c r="D476" i="1"/>
  <c r="AH476" i="1"/>
  <c r="A477" i="1"/>
  <c r="D477" i="1"/>
  <c r="AH477" i="1"/>
  <c r="A478" i="1"/>
  <c r="AJ476" i="1" l="1"/>
  <c r="AJ475" i="1"/>
  <c r="AJ474" i="1"/>
  <c r="AJ473" i="1"/>
  <c r="AJ472" i="1"/>
  <c r="AJ471" i="1"/>
  <c r="AJ470" i="1"/>
  <c r="AK469" i="1"/>
  <c r="AK470" i="1" s="1"/>
  <c r="AK471" i="1" s="1"/>
  <c r="AK472" i="1" s="1"/>
  <c r="AK473" i="1" s="1"/>
  <c r="AK474" i="1" s="1"/>
  <c r="AK475" i="1" s="1"/>
  <c r="AK476" i="1" s="1"/>
  <c r="AK477" i="1" s="1"/>
  <c r="AJ469" i="1"/>
  <c r="AI468" i="1"/>
  <c r="AJ467" i="1"/>
  <c r="AJ466" i="1"/>
  <c r="AJ465" i="1"/>
  <c r="AJ464" i="1"/>
  <c r="AJ463" i="1"/>
  <c r="AJ462" i="1"/>
  <c r="AJ461" i="1"/>
  <c r="AJ460" i="1"/>
  <c r="AJ459" i="1"/>
  <c r="AK458" i="1"/>
  <c r="AK459" i="1" s="1"/>
  <c r="AK460" i="1" s="1"/>
  <c r="AK461" i="1" s="1"/>
  <c r="AK462" i="1" s="1"/>
  <c r="AK463" i="1" s="1"/>
  <c r="AK464" i="1" s="1"/>
  <c r="AK465" i="1" s="1"/>
  <c r="AK466" i="1" s="1"/>
  <c r="AJ458" i="1"/>
  <c r="AI457" i="1"/>
  <c r="AJ478" i="1"/>
  <c r="AJ477" i="1"/>
  <c r="AG476" i="1"/>
  <c r="AG463" i="1"/>
  <c r="AG472" i="1"/>
  <c r="AI458" i="1"/>
  <c r="AG465" i="1"/>
  <c r="AG473" i="1"/>
  <c r="AG460" i="1"/>
  <c r="AG466" i="1"/>
  <c r="AG474" i="1"/>
  <c r="AG468" i="1"/>
  <c r="AG464" i="1"/>
  <c r="AG469" i="1"/>
  <c r="AI452" i="1"/>
  <c r="AG477" i="1"/>
  <c r="AG470" i="1"/>
  <c r="A479" i="1"/>
  <c r="AG458" i="1"/>
  <c r="A480" i="1"/>
  <c r="AH480" i="1" s="1"/>
  <c r="AG471" i="1"/>
  <c r="AG457" i="1"/>
  <c r="AG459" i="1"/>
  <c r="AG475" i="1"/>
  <c r="AG461" i="1"/>
  <c r="AI469" i="1"/>
  <c r="AH479" i="1"/>
  <c r="AG462" i="1"/>
  <c r="D479" i="1"/>
  <c r="D480" i="1"/>
  <c r="AK480" i="1" l="1"/>
  <c r="AJ480" i="1"/>
  <c r="AI479" i="1"/>
  <c r="AI459" i="1"/>
  <c r="AI470" i="1"/>
  <c r="AI480" i="1"/>
  <c r="AG480" i="1"/>
  <c r="AI453" i="1"/>
  <c r="AG479" i="1"/>
  <c r="A481" i="1"/>
  <c r="A482" i="1"/>
  <c r="A483" i="1" s="1"/>
  <c r="D481" i="1"/>
  <c r="AH482" i="1"/>
  <c r="AH481" i="1"/>
  <c r="AJ483" i="1" l="1"/>
  <c r="AJ482" i="1"/>
  <c r="AJ481" i="1"/>
  <c r="AK481" i="1"/>
  <c r="AK482" i="1" s="1"/>
  <c r="AK495" i="1"/>
  <c r="A484" i="1"/>
  <c r="AI460" i="1"/>
  <c r="AI481" i="1"/>
  <c r="AG481" i="1"/>
  <c r="AI471" i="1"/>
  <c r="D482" i="1"/>
  <c r="AI472" i="1"/>
  <c r="AI454" i="1"/>
  <c r="AH484" i="1"/>
  <c r="D484" i="1"/>
  <c r="A485" i="1"/>
  <c r="D485" i="1"/>
  <c r="AH485" i="1"/>
  <c r="A486" i="1"/>
  <c r="D486" i="1"/>
  <c r="A487" i="1"/>
  <c r="AK485" i="1" l="1"/>
  <c r="AJ485" i="1"/>
  <c r="AI484" i="1"/>
  <c r="AJ487" i="1"/>
  <c r="AJ486" i="1"/>
  <c r="AH487" i="1"/>
  <c r="AG485" i="1"/>
  <c r="AI455" i="1"/>
  <c r="A488" i="1"/>
  <c r="AG482" i="1"/>
  <c r="AI473" i="1"/>
  <c r="AI482" i="1"/>
  <c r="A489" i="1"/>
  <c r="AH489" i="1"/>
  <c r="AH486" i="1"/>
  <c r="AI485" i="1"/>
  <c r="AG484" i="1"/>
  <c r="AI461" i="1"/>
  <c r="AI486" i="1"/>
  <c r="D487" i="1"/>
  <c r="AH488" i="1"/>
  <c r="AG486" i="1"/>
  <c r="D488" i="1"/>
  <c r="A490" i="1"/>
  <c r="AH490" i="1"/>
  <c r="D490" i="1"/>
  <c r="AK486" i="1" l="1"/>
  <c r="AK487" i="1" s="1"/>
  <c r="AK488" i="1" s="1"/>
  <c r="AK489" i="1" s="1"/>
  <c r="AK490" i="1" s="1"/>
  <c r="AJ490" i="1"/>
  <c r="AJ489" i="1"/>
  <c r="AJ488" i="1"/>
  <c r="A491" i="1"/>
  <c r="AI474" i="1"/>
  <c r="AG488" i="1"/>
  <c r="AI462" i="1"/>
  <c r="D489" i="1"/>
  <c r="AI487" i="1"/>
  <c r="AG487" i="1"/>
  <c r="AG490" i="1"/>
  <c r="D491" i="1"/>
  <c r="AH491" i="1"/>
  <c r="A492" i="1"/>
  <c r="AH492" i="1"/>
  <c r="D492" i="1"/>
  <c r="A493" i="1"/>
  <c r="AH493" i="1"/>
  <c r="A494" i="1"/>
  <c r="AJ492" i="1" l="1"/>
  <c r="AJ491" i="1"/>
  <c r="AK491" i="1"/>
  <c r="AK492" i="1" s="1"/>
  <c r="AK493" i="1" s="1"/>
  <c r="AJ494" i="1"/>
  <c r="AJ493" i="1"/>
  <c r="AK503" i="1"/>
  <c r="D513" i="1"/>
  <c r="AH513" i="1"/>
  <c r="AG492" i="1"/>
  <c r="AG491" i="1"/>
  <c r="AG489" i="1"/>
  <c r="A495" i="1"/>
  <c r="A496" i="1"/>
  <c r="D495" i="1"/>
  <c r="AI463" i="1"/>
  <c r="D493" i="1"/>
  <c r="AI475" i="1"/>
  <c r="AI488" i="1"/>
  <c r="AI489" i="1" s="1"/>
  <c r="AH495" i="1"/>
  <c r="D496" i="1"/>
  <c r="AJ496" i="1" l="1"/>
  <c r="AI495" i="1"/>
  <c r="AK514" i="1"/>
  <c r="AG513" i="1"/>
  <c r="AI464" i="1"/>
  <c r="AI490" i="1"/>
  <c r="AG496" i="1"/>
  <c r="AI496" i="1"/>
  <c r="A497" i="1"/>
  <c r="A498" i="1"/>
  <c r="D497" i="1"/>
  <c r="D498" i="1"/>
  <c r="AI476" i="1"/>
  <c r="AG493" i="1"/>
  <c r="AH496" i="1"/>
  <c r="AG495" i="1"/>
  <c r="AH497" i="1"/>
  <c r="AK496" i="1" l="1"/>
  <c r="AK497" i="1" s="1"/>
  <c r="AJ498" i="1"/>
  <c r="AJ497" i="1"/>
  <c r="AH498" i="1"/>
  <c r="AG497" i="1"/>
  <c r="AI497" i="1"/>
  <c r="AI465" i="1"/>
  <c r="AI466" i="1" s="1"/>
  <c r="AI477" i="1"/>
  <c r="A499" i="1"/>
  <c r="AG498" i="1"/>
  <c r="AI491" i="1"/>
  <c r="A500" i="1"/>
  <c r="AH500" i="1"/>
  <c r="D500" i="1"/>
  <c r="AH499" i="1"/>
  <c r="D499" i="1"/>
  <c r="AK498" i="1" l="1"/>
  <c r="AK499" i="1" s="1"/>
  <c r="AK500" i="1" s="1"/>
  <c r="AJ499" i="1"/>
  <c r="AJ500" i="1"/>
  <c r="A501" i="1"/>
  <c r="AG499" i="1"/>
  <c r="AG500" i="1"/>
  <c r="AI492" i="1"/>
  <c r="A502" i="1"/>
  <c r="AH501" i="1"/>
  <c r="AI498" i="1"/>
  <c r="D501" i="1"/>
  <c r="AJ502" i="1" l="1"/>
  <c r="AJ501" i="1"/>
  <c r="AK501" i="1"/>
  <c r="AK525" i="1"/>
  <c r="A503" i="1"/>
  <c r="AI493" i="1"/>
  <c r="AG501" i="1"/>
  <c r="D503" i="1"/>
  <c r="AI499" i="1"/>
  <c r="AH503" i="1"/>
  <c r="AI503" i="1" l="1"/>
  <c r="AK528" i="1"/>
  <c r="AG503" i="1"/>
  <c r="AI500" i="1"/>
  <c r="A504" i="1"/>
  <c r="D504" i="1"/>
  <c r="AH504" i="1"/>
  <c r="A505" i="1"/>
  <c r="D505" i="1"/>
  <c r="AH505" i="1"/>
  <c r="AJ505" i="1" l="1"/>
  <c r="AK504" i="1"/>
  <c r="AK505" i="1" s="1"/>
  <c r="AJ504" i="1"/>
  <c r="AK533" i="1"/>
  <c r="AK530" i="1"/>
  <c r="AG505" i="1"/>
  <c r="AI504" i="1"/>
  <c r="A506" i="1"/>
  <c r="AG504" i="1"/>
  <c r="AI501" i="1"/>
  <c r="D506" i="1"/>
  <c r="AH506" i="1"/>
  <c r="AJ506" i="1" l="1"/>
  <c r="AK506" i="1"/>
  <c r="AK535" i="1"/>
  <c r="AI505" i="1"/>
  <c r="AG506" i="1"/>
  <c r="A507" i="1"/>
  <c r="D507" i="1"/>
  <c r="A508" i="1"/>
  <c r="AH507" i="1"/>
  <c r="D508" i="1"/>
  <c r="AH508" i="1"/>
  <c r="AJ508" i="1" l="1"/>
  <c r="AJ507" i="1"/>
  <c r="AK507" i="1"/>
  <c r="AK508" i="1" s="1"/>
  <c r="AK541" i="1"/>
  <c r="AG508" i="1"/>
  <c r="AG507" i="1"/>
  <c r="A509" i="1"/>
  <c r="AI506" i="1"/>
  <c r="AH509" i="1"/>
  <c r="A510" i="1"/>
  <c r="D509" i="1"/>
  <c r="AH510" i="1"/>
  <c r="D510" i="1"/>
  <c r="AJ510" i="1" l="1"/>
  <c r="AJ509" i="1"/>
  <c r="AK509" i="1"/>
  <c r="AK510" i="1" s="1"/>
  <c r="AK547" i="1"/>
  <c r="AG510" i="1"/>
  <c r="AG509" i="1"/>
  <c r="AI507" i="1"/>
  <c r="AI508" i="1" s="1"/>
  <c r="A511" i="1"/>
  <c r="D511" i="1"/>
  <c r="A512" i="1"/>
  <c r="A513" i="1" s="1"/>
  <c r="D512" i="1"/>
  <c r="A514" i="1"/>
  <c r="A515" i="1" s="1"/>
  <c r="AH514" i="1"/>
  <c r="AH515" i="1"/>
  <c r="A516" i="1"/>
  <c r="A517" i="1" s="1"/>
  <c r="AH516" i="1"/>
  <c r="AH517" i="1"/>
  <c r="A518" i="1"/>
  <c r="A519" i="1" s="1"/>
  <c r="AH518" i="1"/>
  <c r="AH519" i="1"/>
  <c r="A520" i="1"/>
  <c r="A521" i="1" s="1"/>
  <c r="D520" i="1"/>
  <c r="D521" i="1"/>
  <c r="A522" i="1"/>
  <c r="A523" i="1" s="1"/>
  <c r="AH522" i="1"/>
  <c r="AH523" i="1"/>
  <c r="D523" i="1"/>
  <c r="D522" i="1"/>
  <c r="AH521" i="1"/>
  <c r="AH520" i="1"/>
  <c r="D519" i="1"/>
  <c r="D518" i="1"/>
  <c r="D517" i="1"/>
  <c r="D516" i="1"/>
  <c r="D515" i="1"/>
  <c r="D514" i="1"/>
  <c r="AH512" i="1"/>
  <c r="AH511" i="1"/>
  <c r="AJ521" i="1" l="1"/>
  <c r="AJ520" i="1"/>
  <c r="AJ519" i="1"/>
  <c r="AJ518" i="1"/>
  <c r="AJ517" i="1"/>
  <c r="AJ516" i="1"/>
  <c r="AK515" i="1"/>
  <c r="AK516" i="1" s="1"/>
  <c r="AK517" i="1" s="1"/>
  <c r="AK519" i="1" s="1"/>
  <c r="AK520" i="1" s="1"/>
  <c r="AK521" i="1" s="1"/>
  <c r="AK522" i="1" s="1"/>
  <c r="AK523" i="1" s="1"/>
  <c r="AJ515" i="1"/>
  <c r="AI514" i="1"/>
  <c r="AJ513" i="1"/>
  <c r="AJ512" i="1"/>
  <c r="AJ511" i="1"/>
  <c r="AK511" i="1"/>
  <c r="AK512" i="1" s="1"/>
  <c r="AK513" i="1" s="1"/>
  <c r="AJ523" i="1"/>
  <c r="AJ522" i="1"/>
  <c r="AI513" i="1"/>
  <c r="AG521" i="1"/>
  <c r="AG519" i="1"/>
  <c r="A524" i="1"/>
  <c r="AG523" i="1"/>
  <c r="AG522" i="1"/>
  <c r="AG515" i="1"/>
  <c r="A525" i="1"/>
  <c r="AG520" i="1"/>
  <c r="AG512" i="1"/>
  <c r="AI515" i="1"/>
  <c r="AG518" i="1"/>
  <c r="AG516" i="1"/>
  <c r="AG514" i="1"/>
  <c r="AI509" i="1"/>
  <c r="D525" i="1"/>
  <c r="AG517" i="1"/>
  <c r="AG511" i="1"/>
  <c r="AK518" i="1" l="1"/>
  <c r="AI525" i="1"/>
  <c r="AJ524" i="1"/>
  <c r="AK552" i="1"/>
  <c r="AI516" i="1"/>
  <c r="AI510" i="1"/>
  <c r="AG525" i="1"/>
  <c r="AH525" i="1"/>
  <c r="A526" i="1"/>
  <c r="D526" i="1"/>
  <c r="A527" i="1"/>
  <c r="AJ527" i="1" l="1"/>
  <c r="AJ526" i="1"/>
  <c r="AK555" i="1"/>
  <c r="AD513" i="1"/>
  <c r="AC513" i="1"/>
  <c r="AH526" i="1"/>
  <c r="AI511" i="1"/>
  <c r="AG526" i="1"/>
  <c r="AI517" i="1"/>
  <c r="AI518" i="1" s="1"/>
  <c r="AI519" i="1" s="1"/>
  <c r="AI520" i="1" s="1"/>
  <c r="AI521" i="1" s="1"/>
  <c r="AI526" i="1"/>
  <c r="A528" i="1"/>
  <c r="D528" i="1"/>
  <c r="A529" i="1"/>
  <c r="AK526" i="1" l="1"/>
  <c r="AJ529" i="1"/>
  <c r="AI528" i="1"/>
  <c r="AK557" i="1"/>
  <c r="AH528" i="1"/>
  <c r="A530" i="1"/>
  <c r="D530" i="1"/>
  <c r="AH530" i="1"/>
  <c r="AI512" i="1"/>
  <c r="AI522" i="1"/>
  <c r="AG528" i="1"/>
  <c r="A531" i="1"/>
  <c r="AH531" i="1"/>
  <c r="AK531" i="1" l="1"/>
  <c r="AJ531" i="1"/>
  <c r="AI530" i="1"/>
  <c r="AK559" i="1"/>
  <c r="D531" i="1"/>
  <c r="AG530" i="1"/>
  <c r="AI523" i="1"/>
  <c r="A532" i="1"/>
  <c r="A533" i="1"/>
  <c r="AH533" i="1"/>
  <c r="D533" i="1"/>
  <c r="A534" i="1"/>
  <c r="A535" i="1"/>
  <c r="D535" i="1"/>
  <c r="AH535" i="1"/>
  <c r="A536" i="1"/>
  <c r="D536" i="1"/>
  <c r="AH536" i="1"/>
  <c r="A537" i="1"/>
  <c r="AH537" i="1"/>
  <c r="D537" i="1"/>
  <c r="A538" i="1"/>
  <c r="D538" i="1"/>
  <c r="AH538" i="1"/>
  <c r="A539" i="1"/>
  <c r="D539" i="1"/>
  <c r="AH539" i="1"/>
  <c r="A540" i="1"/>
  <c r="AJ540" i="1" l="1"/>
  <c r="AJ539" i="1"/>
  <c r="AJ538" i="1"/>
  <c r="AJ537" i="1"/>
  <c r="AK536" i="1"/>
  <c r="AK537" i="1" s="1"/>
  <c r="AK538" i="1" s="1"/>
  <c r="AK539" i="1" s="1"/>
  <c r="AJ536" i="1"/>
  <c r="AI535" i="1"/>
  <c r="AJ534" i="1"/>
  <c r="AI533" i="1"/>
  <c r="AJ532" i="1"/>
  <c r="AI531" i="1"/>
  <c r="A541" i="1"/>
  <c r="AG539" i="1"/>
  <c r="AG537" i="1"/>
  <c r="D541" i="1"/>
  <c r="AG533" i="1"/>
  <c r="A542" i="1"/>
  <c r="AG531" i="1"/>
  <c r="AH541" i="1"/>
  <c r="AG536" i="1"/>
  <c r="AG535" i="1"/>
  <c r="AG538" i="1"/>
  <c r="AI536" i="1"/>
  <c r="D542" i="1"/>
  <c r="AJ542" i="1" l="1"/>
  <c r="AI541" i="1"/>
  <c r="AK565" i="1"/>
  <c r="AH542" i="1"/>
  <c r="AG541" i="1"/>
  <c r="AG542" i="1"/>
  <c r="AI537" i="1"/>
  <c r="A543" i="1"/>
  <c r="AI542" i="1"/>
  <c r="D543" i="1"/>
  <c r="A544" i="1"/>
  <c r="AH543" i="1"/>
  <c r="D544" i="1"/>
  <c r="AK542" i="1" l="1"/>
  <c r="AK543" i="1" s="1"/>
  <c r="AJ544" i="1"/>
  <c r="AJ543" i="1"/>
  <c r="AH544" i="1"/>
  <c r="AI538" i="1"/>
  <c r="A545" i="1"/>
  <c r="AI543" i="1"/>
  <c r="AH545" i="1"/>
  <c r="AG544" i="1"/>
  <c r="A546" i="1"/>
  <c r="AG543" i="1"/>
  <c r="D545" i="1"/>
  <c r="AK544" i="1" l="1"/>
  <c r="AK545" i="1" s="1"/>
  <c r="AJ546" i="1"/>
  <c r="AJ545" i="1"/>
  <c r="AI539" i="1"/>
  <c r="AI544" i="1"/>
  <c r="A547" i="1"/>
  <c r="AH547" i="1"/>
  <c r="AG545" i="1"/>
  <c r="A548" i="1"/>
  <c r="D547" i="1"/>
  <c r="AH548" i="1"/>
  <c r="D548" i="1"/>
  <c r="A549" i="1"/>
  <c r="AH549" i="1"/>
  <c r="D549" i="1"/>
  <c r="A550" i="1"/>
  <c r="D550" i="1"/>
  <c r="AH550" i="1"/>
  <c r="A551" i="1"/>
  <c r="A552" i="1"/>
  <c r="D552" i="1"/>
  <c r="AH552" i="1"/>
  <c r="A553" i="1"/>
  <c r="AH553" i="1"/>
  <c r="D553" i="1"/>
  <c r="A554" i="1"/>
  <c r="A555" i="1"/>
  <c r="AH555" i="1"/>
  <c r="D555" i="1"/>
  <c r="A556" i="1"/>
  <c r="A557" i="1"/>
  <c r="AH557" i="1"/>
  <c r="D557" i="1"/>
  <c r="A558" i="1"/>
  <c r="A559" i="1"/>
  <c r="D559" i="1"/>
  <c r="AH559" i="1"/>
  <c r="A560" i="1"/>
  <c r="AH560" i="1"/>
  <c r="D560" i="1"/>
  <c r="A561" i="1"/>
  <c r="D561" i="1"/>
  <c r="AH561" i="1"/>
  <c r="A562" i="1"/>
  <c r="AH562" i="1"/>
  <c r="D562" i="1"/>
  <c r="A563" i="1"/>
  <c r="AH563" i="1"/>
  <c r="D563" i="1"/>
  <c r="A564" i="1"/>
  <c r="A565" i="1"/>
  <c r="AH565" i="1"/>
  <c r="D565" i="1"/>
  <c r="A566" i="1"/>
  <c r="AH566" i="1"/>
  <c r="D566" i="1"/>
  <c r="A567" i="1"/>
  <c r="D567" i="1"/>
  <c r="AH567" i="1"/>
  <c r="A568" i="1"/>
  <c r="AH568" i="1"/>
  <c r="D568" i="1"/>
  <c r="A569" i="1"/>
  <c r="D569" i="1"/>
  <c r="AH569" i="1"/>
  <c r="A570" i="1"/>
  <c r="AH570" i="1"/>
  <c r="A571" i="1"/>
  <c r="AJ569" i="1" l="1"/>
  <c r="AJ568" i="1"/>
  <c r="AJ567" i="1"/>
  <c r="AK566" i="1"/>
  <c r="AK567" i="1" s="1"/>
  <c r="AK568" i="1" s="1"/>
  <c r="AK569" i="1" s="1"/>
  <c r="AK570" i="1" s="1"/>
  <c r="AJ566" i="1"/>
  <c r="AI565" i="1"/>
  <c r="AJ564" i="1"/>
  <c r="AJ563" i="1"/>
  <c r="AJ562" i="1"/>
  <c r="AJ561" i="1"/>
  <c r="AK560" i="1"/>
  <c r="AK561" i="1" s="1"/>
  <c r="AK562" i="1" s="1"/>
  <c r="AK563" i="1" s="1"/>
  <c r="AJ560" i="1"/>
  <c r="AI559" i="1"/>
  <c r="AJ558" i="1"/>
  <c r="AI557" i="1"/>
  <c r="AJ556" i="1"/>
  <c r="AI555" i="1"/>
  <c r="AJ554" i="1"/>
  <c r="AK553" i="1"/>
  <c r="AJ553" i="1"/>
  <c r="AI552" i="1"/>
  <c r="AJ551" i="1"/>
  <c r="AJ550" i="1"/>
  <c r="AJ549" i="1"/>
  <c r="AK548" i="1"/>
  <c r="AK549" i="1" s="1"/>
  <c r="AK550" i="1" s="1"/>
  <c r="AJ548" i="1"/>
  <c r="AI547" i="1"/>
  <c r="AJ571" i="1"/>
  <c r="AJ570" i="1"/>
  <c r="AG569" i="1"/>
  <c r="AG563" i="1"/>
  <c r="AG567" i="1"/>
  <c r="A572" i="1"/>
  <c r="AG557" i="1"/>
  <c r="AG553" i="1"/>
  <c r="AI545" i="1"/>
  <c r="AI566" i="1"/>
  <c r="AI548" i="1"/>
  <c r="AG559" i="1"/>
  <c r="AG568" i="1"/>
  <c r="AG560" i="1"/>
  <c r="AG549" i="1"/>
  <c r="AH571" i="1"/>
  <c r="AG565" i="1"/>
  <c r="AG555" i="1"/>
  <c r="AG548" i="1"/>
  <c r="A573" i="1"/>
  <c r="AG552" i="1"/>
  <c r="AG561" i="1"/>
  <c r="D570" i="1"/>
  <c r="AG562" i="1"/>
  <c r="AG566" i="1"/>
  <c r="AI549" i="1"/>
  <c r="AI553" i="1"/>
  <c r="AG547" i="1"/>
  <c r="AI560" i="1"/>
  <c r="AG550" i="1"/>
  <c r="D571" i="1"/>
  <c r="AK571" i="1" l="1"/>
  <c r="AJ573" i="1"/>
  <c r="AJ572" i="1"/>
  <c r="D572" i="1"/>
  <c r="AI561" i="1"/>
  <c r="D573" i="1"/>
  <c r="AG570" i="1"/>
  <c r="AI550" i="1"/>
  <c r="A574" i="1"/>
  <c r="AI567" i="1"/>
  <c r="AH573" i="1"/>
  <c r="AG571" i="1"/>
  <c r="AH572" i="1"/>
  <c r="A575" i="1"/>
  <c r="D575" i="1" s="1"/>
  <c r="D574" i="1"/>
  <c r="AH574" i="1"/>
  <c r="AK572" i="1" l="1"/>
  <c r="AK573" i="1" s="1"/>
  <c r="AK574" i="1" s="1"/>
  <c r="AJ575" i="1"/>
  <c r="AJ574" i="1"/>
  <c r="AI568" i="1"/>
  <c r="AI569" i="1" s="1"/>
  <c r="AH575" i="1"/>
  <c r="AG573" i="1"/>
  <c r="A576" i="1"/>
  <c r="AI570" i="1"/>
  <c r="A577" i="1"/>
  <c r="AG572" i="1"/>
  <c r="AI562" i="1"/>
  <c r="AG575" i="1"/>
  <c r="AG574" i="1"/>
  <c r="AH576" i="1"/>
  <c r="D576" i="1"/>
  <c r="A578" i="1"/>
  <c r="AH578" i="1"/>
  <c r="A579" i="1"/>
  <c r="D578" i="1"/>
  <c r="AK575" i="1" l="1"/>
  <c r="AK576" i="1" s="1"/>
  <c r="AJ577" i="1"/>
  <c r="AJ576" i="1"/>
  <c r="AI578" i="1"/>
  <c r="AK578" i="1"/>
  <c r="AJ579" i="1"/>
  <c r="AI571" i="1"/>
  <c r="AG576" i="1"/>
  <c r="AI572" i="1"/>
  <c r="AI573" i="1" s="1"/>
  <c r="A580" i="1"/>
  <c r="AI563" i="1"/>
  <c r="AG578" i="1"/>
  <c r="AH580" i="1"/>
  <c r="D580" i="1"/>
  <c r="A581" i="1"/>
  <c r="D581" i="1"/>
  <c r="AH581" i="1"/>
  <c r="A582" i="1"/>
  <c r="AK580" i="1" l="1"/>
  <c r="AK581" i="1" s="1"/>
  <c r="AI580" i="1"/>
  <c r="AJ582" i="1"/>
  <c r="AJ581" i="1"/>
  <c r="D582" i="1"/>
  <c r="AG581" i="1"/>
  <c r="A583" i="1"/>
  <c r="A584" i="1"/>
  <c r="D584" i="1"/>
  <c r="AH582" i="1"/>
  <c r="AG580" i="1"/>
  <c r="AI574" i="1"/>
  <c r="AI581" i="1"/>
  <c r="AK582" i="1" l="1"/>
  <c r="AK586" i="1"/>
  <c r="AI584" i="1"/>
  <c r="AK584" i="1"/>
  <c r="AJ583" i="1"/>
  <c r="AI575" i="1"/>
  <c r="AG584" i="1"/>
  <c r="AH584" i="1"/>
  <c r="AG582" i="1"/>
  <c r="A585" i="1"/>
  <c r="AI582" i="1"/>
  <c r="AJ585" i="1" l="1"/>
  <c r="AI576" i="1"/>
  <c r="A586" i="1"/>
  <c r="D586" i="1"/>
  <c r="AH586" i="1"/>
  <c r="A587" i="1"/>
  <c r="AH587" i="1"/>
  <c r="D587" i="1"/>
  <c r="A588" i="1"/>
  <c r="D588" i="1"/>
  <c r="AH588" i="1"/>
  <c r="A589" i="1"/>
  <c r="D589" i="1"/>
  <c r="AH589" i="1"/>
  <c r="AJ588" i="1" l="1"/>
  <c r="AK587" i="1"/>
  <c r="AK588" i="1" s="1"/>
  <c r="AK589" i="1" s="1"/>
  <c r="AJ587" i="1"/>
  <c r="AI586" i="1"/>
  <c r="AJ589" i="1"/>
  <c r="AG586" i="1"/>
  <c r="AG587" i="1"/>
  <c r="AG589" i="1"/>
  <c r="AI587" i="1"/>
  <c r="A590" i="1"/>
  <c r="AG588" i="1"/>
  <c r="AH590" i="1"/>
  <c r="A591" i="1"/>
  <c r="A592" i="1" s="1"/>
  <c r="A593" i="1" s="1"/>
  <c r="AH591" i="1"/>
  <c r="AH592" i="1"/>
  <c r="D592" i="1"/>
  <c r="D591" i="1"/>
  <c r="D590" i="1"/>
  <c r="AJ590" i="1" l="1"/>
  <c r="AK590" i="1"/>
  <c r="AK591" i="1" s="1"/>
  <c r="AK592" i="1" s="1"/>
  <c r="AJ593" i="1"/>
  <c r="AJ592" i="1"/>
  <c r="AJ591" i="1"/>
  <c r="AK598" i="1"/>
  <c r="AH593" i="1"/>
  <c r="D593" i="1"/>
  <c r="AG590" i="1"/>
  <c r="AG592" i="1"/>
  <c r="A594" i="1"/>
  <c r="AI588" i="1"/>
  <c r="AH594" i="1"/>
  <c r="AG591" i="1"/>
  <c r="D594" i="1"/>
  <c r="A595" i="1"/>
  <c r="AH595" i="1"/>
  <c r="D595" i="1"/>
  <c r="A596" i="1"/>
  <c r="D596" i="1"/>
  <c r="AH596" i="1"/>
  <c r="A597" i="1"/>
  <c r="AK593" i="1" l="1"/>
  <c r="AK594" i="1" s="1"/>
  <c r="AK595" i="1" s="1"/>
  <c r="AK596" i="1" s="1"/>
  <c r="AJ597" i="1"/>
  <c r="AJ596" i="1"/>
  <c r="AJ595" i="1"/>
  <c r="AJ594" i="1"/>
  <c r="AG595" i="1"/>
  <c r="AG593" i="1"/>
  <c r="A598" i="1"/>
  <c r="A599" i="1"/>
  <c r="A600" i="1"/>
  <c r="D598" i="1"/>
  <c r="AH599" i="1"/>
  <c r="AH598" i="1"/>
  <c r="AI589" i="1"/>
  <c r="AG596" i="1"/>
  <c r="AG594" i="1"/>
  <c r="D599" i="1"/>
  <c r="AJ600" i="1" l="1"/>
  <c r="AK599" i="1"/>
  <c r="AJ599" i="1"/>
  <c r="AI598" i="1"/>
  <c r="AH600" i="1"/>
  <c r="AI599" i="1"/>
  <c r="AI590" i="1"/>
  <c r="AG598" i="1"/>
  <c r="AG599" i="1"/>
  <c r="D600" i="1"/>
  <c r="A601" i="1"/>
  <c r="D601" i="1"/>
  <c r="AK600" i="1" l="1"/>
  <c r="AJ601" i="1"/>
  <c r="AH601" i="1"/>
  <c r="AG600" i="1"/>
  <c r="AI600" i="1"/>
  <c r="AG601" i="1"/>
  <c r="AI591" i="1"/>
  <c r="A602" i="1"/>
  <c r="AH602" i="1"/>
  <c r="D602" i="1"/>
  <c r="A603" i="1"/>
  <c r="D603" i="1"/>
  <c r="AH603" i="1"/>
  <c r="AK601" i="1" l="1"/>
  <c r="AK602" i="1" s="1"/>
  <c r="AK603" i="1" s="1"/>
  <c r="AJ603" i="1"/>
  <c r="AJ602" i="1"/>
  <c r="AI601" i="1"/>
  <c r="A604" i="1"/>
  <c r="AI592" i="1"/>
  <c r="AI602" i="1"/>
  <c r="A605" i="1"/>
  <c r="D605" i="1"/>
  <c r="A606" i="1"/>
  <c r="D606" i="1" s="1"/>
  <c r="AG603" i="1"/>
  <c r="D604" i="1"/>
  <c r="AG602" i="1"/>
  <c r="AH604" i="1"/>
  <c r="AH605" i="1"/>
  <c r="AJ606" i="1" l="1"/>
  <c r="AJ605" i="1"/>
  <c r="AJ604" i="1"/>
  <c r="AK604" i="1"/>
  <c r="AK605" i="1" s="1"/>
  <c r="AI593" i="1"/>
  <c r="AG606" i="1"/>
  <c r="AH606" i="1"/>
  <c r="AG604" i="1"/>
  <c r="A607" i="1"/>
  <c r="A608" i="1"/>
  <c r="AH608" i="1"/>
  <c r="D607" i="1"/>
  <c r="AI603" i="1"/>
  <c r="AI594" i="1"/>
  <c r="AG605" i="1"/>
  <c r="AI604" i="1"/>
  <c r="AH607" i="1"/>
  <c r="D608" i="1"/>
  <c r="AK606" i="1" l="1"/>
  <c r="AK607" i="1" s="1"/>
  <c r="AK608" i="1" s="1"/>
  <c r="AJ608" i="1"/>
  <c r="AJ607" i="1"/>
  <c r="AK610" i="1"/>
  <c r="AI605" i="1"/>
  <c r="A609" i="1"/>
  <c r="AG608" i="1"/>
  <c r="AI606" i="1"/>
  <c r="AI595" i="1"/>
  <c r="AI596" i="1" s="1"/>
  <c r="AG607" i="1"/>
  <c r="AJ609" i="1" l="1"/>
  <c r="A610" i="1"/>
  <c r="AI607" i="1"/>
  <c r="A611" i="1"/>
  <c r="D611" i="1"/>
  <c r="AH611" i="1"/>
  <c r="D610" i="1"/>
  <c r="AH610" i="1"/>
  <c r="A612" i="1"/>
  <c r="AH612" i="1"/>
  <c r="D612" i="1"/>
  <c r="A613" i="1"/>
  <c r="D613" i="1"/>
  <c r="AH613" i="1"/>
  <c r="A614" i="1"/>
  <c r="D614" i="1"/>
  <c r="AH614" i="1"/>
  <c r="A615" i="1"/>
  <c r="AH615" i="1"/>
  <c r="A616" i="1"/>
  <c r="AH616" i="1"/>
  <c r="D616" i="1"/>
  <c r="A617" i="1"/>
  <c r="AI610" i="1" l="1"/>
  <c r="AJ612" i="1"/>
  <c r="AK611" i="1"/>
  <c r="AK612" i="1" s="1"/>
  <c r="AK613" i="1" s="1"/>
  <c r="AK614" i="1" s="1"/>
  <c r="AK615" i="1" s="1"/>
  <c r="AK616" i="1" s="1"/>
  <c r="AJ611" i="1"/>
  <c r="AJ615" i="1"/>
  <c r="AJ614" i="1"/>
  <c r="AJ613" i="1"/>
  <c r="AJ616" i="1"/>
  <c r="AJ617" i="1"/>
  <c r="AG610" i="1"/>
  <c r="D617" i="1"/>
  <c r="AG612" i="1"/>
  <c r="AG616" i="1"/>
  <c r="A618" i="1"/>
  <c r="AH618" i="1"/>
  <c r="AI611" i="1"/>
  <c r="A619" i="1"/>
  <c r="AG611" i="1"/>
  <c r="AG614" i="1"/>
  <c r="AG613" i="1"/>
  <c r="AI608" i="1"/>
  <c r="D615" i="1"/>
  <c r="AH617" i="1"/>
  <c r="AK617" i="1" l="1"/>
  <c r="AK618" i="1" s="1"/>
  <c r="AJ618" i="1"/>
  <c r="AJ619" i="1"/>
  <c r="D618" i="1"/>
  <c r="AI612" i="1"/>
  <c r="D619" i="1"/>
  <c r="AH619" i="1"/>
  <c r="AG617" i="1"/>
  <c r="AG615" i="1"/>
  <c r="A620" i="1"/>
  <c r="D620" i="1"/>
  <c r="A621" i="1"/>
  <c r="AK619" i="1" l="1"/>
  <c r="AJ621" i="1"/>
  <c r="AJ620" i="1"/>
  <c r="AH620" i="1"/>
  <c r="AG618" i="1"/>
  <c r="AG619" i="1"/>
  <c r="AI613" i="1"/>
  <c r="AI614" i="1" s="1"/>
  <c r="AI615" i="1" s="1"/>
  <c r="AI616" i="1" s="1"/>
  <c r="A622" i="1"/>
  <c r="AG620" i="1"/>
  <c r="AK620" i="1" l="1"/>
  <c r="AK622" i="1"/>
  <c r="AH622" i="1"/>
  <c r="D622" i="1"/>
  <c r="A623" i="1"/>
  <c r="AI617" i="1"/>
  <c r="A624" i="1"/>
  <c r="AI622" i="1" l="1"/>
  <c r="AK624" i="1"/>
  <c r="AJ623" i="1"/>
  <c r="A625" i="1"/>
  <c r="AH625" i="1"/>
  <c r="AH624" i="1"/>
  <c r="AI618" i="1"/>
  <c r="A626" i="1"/>
  <c r="AG622" i="1"/>
  <c r="D624" i="1"/>
  <c r="D625" i="1"/>
  <c r="AI624" i="1" l="1"/>
  <c r="AK627" i="1"/>
  <c r="AK625" i="1"/>
  <c r="AJ626" i="1"/>
  <c r="AJ625" i="1"/>
  <c r="AI625" i="1"/>
  <c r="AG624" i="1"/>
  <c r="A627" i="1"/>
  <c r="AG625" i="1"/>
  <c r="AI619" i="1"/>
  <c r="AI620" i="1"/>
  <c r="A628" i="1"/>
  <c r="AH627" i="1"/>
  <c r="AJ628" i="1" l="1"/>
  <c r="D627" i="1"/>
  <c r="A629" i="1"/>
  <c r="A630" i="1"/>
  <c r="A631" i="1" s="1"/>
  <c r="AH630" i="1"/>
  <c r="D631" i="1"/>
  <c r="AH631" i="1"/>
  <c r="D630" i="1"/>
  <c r="AI627" i="1" l="1"/>
  <c r="AJ629" i="1"/>
  <c r="AI630" i="1"/>
  <c r="AK631" i="1"/>
  <c r="AJ631" i="1"/>
  <c r="AG630" i="1"/>
  <c r="AG631" i="1"/>
  <c r="AI631" i="1"/>
  <c r="AG627" i="1"/>
  <c r="A632" i="1"/>
  <c r="AH632" i="1"/>
  <c r="AJ632" i="1" l="1"/>
  <c r="AK632" i="1"/>
  <c r="D632" i="1"/>
  <c r="A633" i="1"/>
  <c r="A634" i="1"/>
  <c r="AJ633" i="1" l="1"/>
  <c r="AG632" i="1"/>
  <c r="A635" i="1"/>
  <c r="AH635" i="1"/>
  <c r="AI632" i="1"/>
  <c r="AH634" i="1"/>
  <c r="D634" i="1"/>
  <c r="AI634" i="1" l="1"/>
  <c r="AK635" i="1"/>
  <c r="AJ635" i="1"/>
  <c r="D635" i="1"/>
  <c r="A636" i="1"/>
  <c r="AG634" i="1"/>
  <c r="D636" i="1"/>
  <c r="AJ636" i="1" l="1"/>
  <c r="AG635" i="1"/>
  <c r="AH636" i="1"/>
  <c r="A637" i="1"/>
  <c r="AI635" i="1"/>
  <c r="AI636" i="1" s="1"/>
  <c r="AG636" i="1"/>
  <c r="AK636" i="1" l="1"/>
  <c r="AK693" i="1"/>
  <c r="AK691" i="1"/>
  <c r="AK679" i="1"/>
  <c r="AK668" i="1"/>
  <c r="AK666" i="1"/>
  <c r="AK664" i="1"/>
  <c r="AK654" i="1"/>
  <c r="AK652" i="1"/>
  <c r="AK645" i="1"/>
  <c r="AJ637" i="1"/>
  <c r="A638" i="1"/>
  <c r="D638" i="1"/>
  <c r="A639" i="1"/>
  <c r="A640" i="1"/>
  <c r="D640" i="1" s="1"/>
  <c r="AH638" i="1"/>
  <c r="AI638" i="1" l="1"/>
  <c r="AI640" i="1"/>
  <c r="AJ639" i="1"/>
  <c r="AG638" i="1"/>
  <c r="A641" i="1"/>
  <c r="A642" i="1"/>
  <c r="D642" i="1"/>
  <c r="AH642" i="1"/>
  <c r="AH640" i="1"/>
  <c r="AG640" i="1"/>
  <c r="D641" i="1"/>
  <c r="AH641" i="1"/>
  <c r="AJ642" i="1" l="1"/>
  <c r="AK641" i="1"/>
  <c r="AK642" i="1" s="1"/>
  <c r="AJ641" i="1"/>
  <c r="AG641" i="1"/>
  <c r="A643" i="1"/>
  <c r="D643" i="1"/>
  <c r="AI641" i="1"/>
  <c r="AG642" i="1"/>
  <c r="A644" i="1"/>
  <c r="AJ644" i="1" l="1"/>
  <c r="AJ643" i="1"/>
  <c r="AH643" i="1"/>
  <c r="A645" i="1"/>
  <c r="AI642" i="1"/>
  <c r="AH645" i="1"/>
  <c r="D645" i="1"/>
  <c r="AG643" i="1"/>
  <c r="A646" i="1"/>
  <c r="D646" i="1"/>
  <c r="AK643" i="1" l="1"/>
  <c r="AJ646" i="1"/>
  <c r="AI645" i="1"/>
  <c r="AG646" i="1"/>
  <c r="A647" i="1"/>
  <c r="AG645" i="1"/>
  <c r="D647" i="1"/>
  <c r="AI643" i="1"/>
  <c r="AH646" i="1"/>
  <c r="AH647" i="1"/>
  <c r="AI646" i="1"/>
  <c r="A648" i="1"/>
  <c r="D648" i="1"/>
  <c r="AK646" i="1" l="1"/>
  <c r="AK647" i="1" s="1"/>
  <c r="AJ648" i="1"/>
  <c r="AJ647" i="1"/>
  <c r="AK696" i="1"/>
  <c r="AH648" i="1"/>
  <c r="AI647" i="1"/>
  <c r="A649" i="1"/>
  <c r="D649" i="1"/>
  <c r="AG647" i="1"/>
  <c r="AG648" i="1"/>
  <c r="A650" i="1"/>
  <c r="AH649" i="1"/>
  <c r="D650" i="1"/>
  <c r="AH650" i="1"/>
  <c r="AK648" i="1" l="1"/>
  <c r="AK649" i="1" s="1"/>
  <c r="AK650" i="1" s="1"/>
  <c r="AJ650" i="1"/>
  <c r="AJ649" i="1"/>
  <c r="AK698" i="1"/>
  <c r="AG650" i="1"/>
  <c r="A651" i="1"/>
  <c r="A652" i="1"/>
  <c r="AI648" i="1"/>
  <c r="AI649" i="1" s="1"/>
  <c r="AG649" i="1"/>
  <c r="AJ651" i="1" l="1"/>
  <c r="AI650" i="1"/>
  <c r="D652" i="1"/>
  <c r="AH652" i="1"/>
  <c r="A653" i="1"/>
  <c r="AI652" i="1" l="1"/>
  <c r="AJ653" i="1"/>
  <c r="AK700" i="1"/>
  <c r="A654" i="1"/>
  <c r="AH654" i="1"/>
  <c r="D654" i="1"/>
  <c r="AG652" i="1"/>
  <c r="A655" i="1"/>
  <c r="D655" i="1"/>
  <c r="AH655" i="1"/>
  <c r="AI654" i="1" l="1"/>
  <c r="AK655" i="1"/>
  <c r="AJ655" i="1"/>
  <c r="A656" i="1"/>
  <c r="AG655" i="1"/>
  <c r="A657" i="1"/>
  <c r="D657" i="1"/>
  <c r="AI655" i="1"/>
  <c r="AH657" i="1"/>
  <c r="D656" i="1"/>
  <c r="AG654" i="1"/>
  <c r="AH656" i="1"/>
  <c r="AJ656" i="1" l="1"/>
  <c r="AK656" i="1"/>
  <c r="AK657" i="1" s="1"/>
  <c r="AJ657" i="1"/>
  <c r="A658" i="1"/>
  <c r="D658" i="1"/>
  <c r="AG657" i="1"/>
  <c r="A659" i="1"/>
  <c r="AH659" i="1"/>
  <c r="AG656" i="1"/>
  <c r="AI656" i="1"/>
  <c r="AI657" i="1" s="1"/>
  <c r="A660" i="1"/>
  <c r="D660" i="1" s="1"/>
  <c r="AH658" i="1"/>
  <c r="D659" i="1"/>
  <c r="AH660" i="1"/>
  <c r="AJ658" i="1" l="1"/>
  <c r="AK658" i="1"/>
  <c r="AK659" i="1" s="1"/>
  <c r="AK660" i="1" s="1"/>
  <c r="AJ660" i="1"/>
  <c r="AJ659" i="1"/>
  <c r="AG658" i="1"/>
  <c r="AI658" i="1"/>
  <c r="AI659" i="1"/>
  <c r="AG659" i="1"/>
  <c r="A661" i="1"/>
  <c r="AG660" i="1"/>
  <c r="AH661" i="1"/>
  <c r="D661" i="1"/>
  <c r="A662" i="1"/>
  <c r="D662" i="1"/>
  <c r="AH662" i="1"/>
  <c r="AJ662" i="1" l="1"/>
  <c r="AJ661" i="1"/>
  <c r="AK661" i="1"/>
  <c r="AK662" i="1" s="1"/>
  <c r="A663" i="1"/>
  <c r="AI660" i="1"/>
  <c r="AG661" i="1"/>
  <c r="AG662" i="1"/>
  <c r="A664" i="1"/>
  <c r="AH664" i="1"/>
  <c r="D664" i="1"/>
  <c r="AI664" i="1" l="1"/>
  <c r="AJ663" i="1"/>
  <c r="AI661" i="1"/>
  <c r="A665" i="1"/>
  <c r="A666" i="1"/>
  <c r="AG664" i="1"/>
  <c r="AI662" i="1"/>
  <c r="AJ665" i="1" l="1"/>
  <c r="D666" i="1"/>
  <c r="AH666" i="1"/>
  <c r="A667" i="1"/>
  <c r="A668" i="1"/>
  <c r="AH668" i="1"/>
  <c r="AI666" i="1" l="1"/>
  <c r="AJ667" i="1"/>
  <c r="AG666" i="1"/>
  <c r="A669" i="1"/>
  <c r="D669" i="1"/>
  <c r="D668" i="1"/>
  <c r="AH669" i="1"/>
  <c r="A670" i="1"/>
  <c r="D670" i="1"/>
  <c r="AI668" i="1" l="1"/>
  <c r="AJ670" i="1"/>
  <c r="AK669" i="1"/>
  <c r="AJ669" i="1"/>
  <c r="AH670" i="1"/>
  <c r="AG669" i="1"/>
  <c r="AG670" i="1"/>
  <c r="AI669" i="1"/>
  <c r="AG668" i="1"/>
  <c r="A671" i="1"/>
  <c r="D671" i="1"/>
  <c r="A672" i="1"/>
  <c r="AH671" i="1"/>
  <c r="AK670" i="1" l="1"/>
  <c r="AK671" i="1" s="1"/>
  <c r="AJ672" i="1"/>
  <c r="AJ671" i="1"/>
  <c r="AH672" i="1"/>
  <c r="D672" i="1"/>
  <c r="AI670" i="1"/>
  <c r="AI671" i="1" s="1"/>
  <c r="A673" i="1"/>
  <c r="AG671" i="1"/>
  <c r="AH673" i="1"/>
  <c r="D673" i="1"/>
  <c r="A674" i="1"/>
  <c r="D674" i="1"/>
  <c r="AH674" i="1"/>
  <c r="AK672" i="1" l="1"/>
  <c r="AK673" i="1" s="1"/>
  <c r="AK674" i="1" s="1"/>
  <c r="AJ674" i="1"/>
  <c r="AJ673" i="1"/>
  <c r="A675" i="1"/>
  <c r="AG674" i="1"/>
  <c r="AH675" i="1"/>
  <c r="AI672" i="1"/>
  <c r="AG672" i="1"/>
  <c r="A676" i="1"/>
  <c r="AI673" i="1"/>
  <c r="AG673" i="1"/>
  <c r="D675" i="1"/>
  <c r="D676" i="1"/>
  <c r="AJ676" i="1" l="1"/>
  <c r="AJ675" i="1"/>
  <c r="AK675" i="1"/>
  <c r="A677" i="1"/>
  <c r="AG676" i="1"/>
  <c r="D677" i="1"/>
  <c r="AH677" i="1"/>
  <c r="AH676" i="1"/>
  <c r="AG675" i="1"/>
  <c r="AI674" i="1"/>
  <c r="AI675" i="1" s="1"/>
  <c r="A678" i="1"/>
  <c r="AK676" i="1" l="1"/>
  <c r="AK677" i="1" s="1"/>
  <c r="AJ678" i="1"/>
  <c r="AJ677" i="1"/>
  <c r="A679" i="1"/>
  <c r="AG677" i="1"/>
  <c r="A680" i="1"/>
  <c r="D680" i="1"/>
  <c r="AI676" i="1"/>
  <c r="AI677" i="1"/>
  <c r="D679" i="1"/>
  <c r="AH679" i="1"/>
  <c r="AJ680" i="1" l="1"/>
  <c r="AI679" i="1"/>
  <c r="AH680" i="1"/>
  <c r="A681" i="1"/>
  <c r="AI680" i="1"/>
  <c r="D681" i="1"/>
  <c r="AG679" i="1"/>
  <c r="AG680" i="1"/>
  <c r="AH681" i="1"/>
  <c r="A682" i="1"/>
  <c r="AK680" i="1" l="1"/>
  <c r="AK681" i="1" s="1"/>
  <c r="AJ682" i="1"/>
  <c r="AJ681" i="1"/>
  <c r="AI681" i="1"/>
  <c r="A683" i="1"/>
  <c r="D683" i="1"/>
  <c r="A684" i="1"/>
  <c r="AH684" i="1"/>
  <c r="A685" i="1"/>
  <c r="AH685" i="1" s="1"/>
  <c r="D685" i="1"/>
  <c r="D682" i="1"/>
  <c r="AG681" i="1"/>
  <c r="AH682" i="1"/>
  <c r="AH683" i="1"/>
  <c r="D684" i="1"/>
  <c r="AK682" i="1" l="1"/>
  <c r="AK683" i="1" s="1"/>
  <c r="AK684" i="1" s="1"/>
  <c r="AK685" i="1" s="1"/>
  <c r="AK707" i="1"/>
  <c r="AJ685" i="1"/>
  <c r="AJ684" i="1"/>
  <c r="AJ683" i="1"/>
  <c r="AG683" i="1"/>
  <c r="AG685" i="1"/>
  <c r="AG684" i="1"/>
  <c r="AG682" i="1"/>
  <c r="AI682" i="1"/>
  <c r="A686" i="1"/>
  <c r="AI683" i="1"/>
  <c r="D686" i="1"/>
  <c r="AJ686" i="1" l="1"/>
  <c r="AH686" i="1"/>
  <c r="A687" i="1"/>
  <c r="A688" i="1"/>
  <c r="AI684" i="1"/>
  <c r="D688" i="1"/>
  <c r="AH688" i="1"/>
  <c r="AG686" i="1"/>
  <c r="D687" i="1"/>
  <c r="AH687" i="1"/>
  <c r="AK686" i="1" l="1"/>
  <c r="AK687" i="1" s="1"/>
  <c r="AK688" i="1" s="1"/>
  <c r="AJ688" i="1"/>
  <c r="AJ687" i="1"/>
  <c r="AK717" i="1"/>
  <c r="A689" i="1"/>
  <c r="AI685" i="1"/>
  <c r="D689" i="1"/>
  <c r="AH689" i="1"/>
  <c r="A690" i="1"/>
  <c r="AG688" i="1"/>
  <c r="AG687" i="1"/>
  <c r="AJ690" i="1" l="1"/>
  <c r="AJ689" i="1"/>
  <c r="AK689" i="1"/>
  <c r="AI686" i="1"/>
  <c r="A691" i="1"/>
  <c r="A692" i="1"/>
  <c r="AG689" i="1"/>
  <c r="D691" i="1"/>
  <c r="AH691" i="1"/>
  <c r="AI691" i="1" l="1"/>
  <c r="AJ692" i="1"/>
  <c r="A693" i="1"/>
  <c r="AH693" i="1"/>
  <c r="D693" i="1"/>
  <c r="AG691" i="1"/>
  <c r="AI687" i="1"/>
  <c r="A694" i="1"/>
  <c r="AH694" i="1"/>
  <c r="AK694" i="1" l="1"/>
  <c r="AI693" i="1"/>
  <c r="AJ694" i="1"/>
  <c r="D694" i="1"/>
  <c r="AG693" i="1"/>
  <c r="A695" i="1"/>
  <c r="AI688" i="1"/>
  <c r="A696" i="1"/>
  <c r="D696" i="1" s="1"/>
  <c r="AH696" i="1"/>
  <c r="AI696" i="1" l="1"/>
  <c r="AJ695" i="1"/>
  <c r="AK721" i="1"/>
  <c r="AI694" i="1"/>
  <c r="A697" i="1"/>
  <c r="A698" i="1"/>
  <c r="D698" i="1"/>
  <c r="AI689" i="1"/>
  <c r="AG694" i="1"/>
  <c r="AG696" i="1"/>
  <c r="AH698" i="1"/>
  <c r="AI698" i="1" l="1"/>
  <c r="AJ697" i="1"/>
  <c r="AG698" i="1"/>
  <c r="A699" i="1"/>
  <c r="A700" i="1"/>
  <c r="D700" i="1"/>
  <c r="AH700" i="1"/>
  <c r="AI700" i="1" l="1"/>
  <c r="AJ699" i="1"/>
  <c r="A701" i="1"/>
  <c r="A702" i="1"/>
  <c r="AG700" i="1"/>
  <c r="D702" i="1"/>
  <c r="D701" i="1"/>
  <c r="AH702" i="1"/>
  <c r="AH701" i="1"/>
  <c r="A703" i="1"/>
  <c r="A704" i="1"/>
  <c r="A705" i="1" s="1"/>
  <c r="A706" i="1" s="1"/>
  <c r="AH704" i="1"/>
  <c r="D704" i="1"/>
  <c r="AH705" i="1"/>
  <c r="A707" i="1"/>
  <c r="A708" i="1" s="1"/>
  <c r="D707" i="1"/>
  <c r="AH708" i="1"/>
  <c r="D708" i="1"/>
  <c r="AH707" i="1"/>
  <c r="D705" i="1"/>
  <c r="AH703" i="1"/>
  <c r="D703" i="1"/>
  <c r="AK708" i="1" l="1"/>
  <c r="AI707" i="1"/>
  <c r="AJ706" i="1"/>
  <c r="AJ705" i="1"/>
  <c r="AJ704" i="1"/>
  <c r="AJ703" i="1"/>
  <c r="AJ702" i="1"/>
  <c r="AK701" i="1"/>
  <c r="AK702" i="1" s="1"/>
  <c r="AK703" i="1" s="1"/>
  <c r="AK704" i="1" s="1"/>
  <c r="AK705" i="1" s="1"/>
  <c r="AJ701" i="1"/>
  <c r="AJ708" i="1"/>
  <c r="AI708" i="1"/>
  <c r="AI701" i="1"/>
  <c r="AG701" i="1"/>
  <c r="AG703" i="1"/>
  <c r="AG702" i="1"/>
  <c r="AG705" i="1"/>
  <c r="AG704" i="1"/>
  <c r="AG707" i="1"/>
  <c r="AG708" i="1"/>
  <c r="A709" i="1"/>
  <c r="D709" i="1"/>
  <c r="A710" i="1"/>
  <c r="AH709" i="1"/>
  <c r="D710" i="1"/>
  <c r="AH710" i="1"/>
  <c r="AK709" i="1" l="1"/>
  <c r="AK710" i="1" s="1"/>
  <c r="AJ710" i="1"/>
  <c r="AJ709" i="1"/>
  <c r="AK725" i="1"/>
  <c r="AG710" i="1"/>
  <c r="A711" i="1"/>
  <c r="AI709" i="1"/>
  <c r="A712" i="1"/>
  <c r="D711" i="1"/>
  <c r="AG709" i="1"/>
  <c r="AH711" i="1"/>
  <c r="AI702" i="1"/>
  <c r="AH712" i="1"/>
  <c r="AK711" i="1" l="1"/>
  <c r="AK712" i="1" s="1"/>
  <c r="AJ712" i="1"/>
  <c r="AJ711" i="1"/>
  <c r="D712" i="1"/>
  <c r="AI703" i="1"/>
  <c r="AG711" i="1"/>
  <c r="A713" i="1"/>
  <c r="AH713" i="1"/>
  <c r="A714" i="1"/>
  <c r="AI710" i="1"/>
  <c r="AI711" i="1"/>
  <c r="D713" i="1"/>
  <c r="D714" i="1"/>
  <c r="AK713" i="1" l="1"/>
  <c r="AJ714" i="1"/>
  <c r="AJ713" i="1"/>
  <c r="AI712" i="1"/>
  <c r="AG712" i="1"/>
  <c r="AI704" i="1"/>
  <c r="AI713" i="1"/>
  <c r="A715" i="1"/>
  <c r="D715" i="1"/>
  <c r="AH714" i="1"/>
  <c r="AG714" i="1"/>
  <c r="AG713" i="1"/>
  <c r="AH715" i="1"/>
  <c r="A716" i="1"/>
  <c r="A717" i="1"/>
  <c r="AH717" i="1"/>
  <c r="A718" i="1"/>
  <c r="D717" i="1"/>
  <c r="D718" i="1"/>
  <c r="AH718" i="1"/>
  <c r="A719" i="1"/>
  <c r="D719" i="1"/>
  <c r="AH719" i="1"/>
  <c r="A720" i="1"/>
  <c r="A721" i="1"/>
  <c r="D721" i="1"/>
  <c r="A722" i="1"/>
  <c r="D722" i="1"/>
  <c r="A723" i="1"/>
  <c r="D723" i="1"/>
  <c r="AH723" i="1"/>
  <c r="A724" i="1"/>
  <c r="A725" i="1"/>
  <c r="AH725" i="1"/>
  <c r="A726" i="1"/>
  <c r="D726" i="1"/>
  <c r="A727" i="1"/>
  <c r="D727" i="1"/>
  <c r="AH727" i="1"/>
  <c r="A728" i="1"/>
  <c r="D728" i="1"/>
  <c r="AH728" i="1"/>
  <c r="AK714" i="1" l="1"/>
  <c r="AK715" i="1" s="1"/>
  <c r="AJ727" i="1"/>
  <c r="AJ726" i="1"/>
  <c r="AJ724" i="1"/>
  <c r="AJ723" i="1"/>
  <c r="AJ722" i="1"/>
  <c r="AI721" i="1"/>
  <c r="AJ720" i="1"/>
  <c r="AJ719" i="1"/>
  <c r="AK718" i="1"/>
  <c r="AK719" i="1" s="1"/>
  <c r="AJ718" i="1"/>
  <c r="AI717" i="1"/>
  <c r="AJ716" i="1"/>
  <c r="AJ715" i="1"/>
  <c r="AJ728" i="1"/>
  <c r="AI714" i="1"/>
  <c r="AI722" i="1"/>
  <c r="AG727" i="1"/>
  <c r="AG721" i="1"/>
  <c r="AG726" i="1"/>
  <c r="AG715" i="1"/>
  <c r="AI705" i="1"/>
  <c r="AH726" i="1"/>
  <c r="AH722" i="1"/>
  <c r="AI723" i="1"/>
  <c r="AI718" i="1"/>
  <c r="A729" i="1"/>
  <c r="D725" i="1"/>
  <c r="AG722" i="1"/>
  <c r="AG728" i="1"/>
  <c r="AG719" i="1"/>
  <c r="AG723" i="1"/>
  <c r="AG718" i="1"/>
  <c r="AG717" i="1"/>
  <c r="AH721" i="1"/>
  <c r="AI715" i="1"/>
  <c r="AH729" i="1"/>
  <c r="AK722" i="1" l="1"/>
  <c r="AK723" i="1" s="1"/>
  <c r="AI725" i="1"/>
  <c r="AK726" i="1"/>
  <c r="AK727" i="1" s="1"/>
  <c r="AK728" i="1" s="1"/>
  <c r="AK729" i="1" s="1"/>
  <c r="AJ729" i="1"/>
  <c r="D729" i="1"/>
  <c r="AI726" i="1"/>
  <c r="AG725" i="1"/>
  <c r="AI719" i="1"/>
  <c r="A730" i="1"/>
  <c r="AH730" i="1"/>
  <c r="D730" i="1"/>
  <c r="AK730" i="1" l="1"/>
  <c r="AJ730" i="1"/>
  <c r="AG729" i="1"/>
  <c r="AG730" i="1"/>
  <c r="AI727" i="1"/>
  <c r="A731" i="1"/>
  <c r="D731" i="1"/>
  <c r="AJ731" i="1" l="1"/>
  <c r="AH731" i="1"/>
  <c r="AG731" i="1"/>
  <c r="AI728" i="1"/>
  <c r="A732" i="1"/>
  <c r="D732" i="1"/>
  <c r="AK731" i="1" l="1"/>
  <c r="AJ732" i="1"/>
  <c r="AH732" i="1"/>
  <c r="AI729" i="1"/>
  <c r="A733" i="1"/>
  <c r="AG732" i="1"/>
  <c r="AK732" i="1" l="1"/>
  <c r="AJ733" i="1"/>
  <c r="D733" i="1"/>
  <c r="AH733" i="1"/>
  <c r="AI730" i="1"/>
  <c r="A734" i="1"/>
  <c r="AK733" i="1" l="1"/>
  <c r="AJ734" i="1"/>
  <c r="AI731" i="1"/>
  <c r="AI732" i="1" s="1"/>
  <c r="AI733" i="1"/>
  <c r="AG733" i="1"/>
  <c r="A735" i="1"/>
  <c r="D735" i="1"/>
  <c r="AK735" i="1" l="1"/>
  <c r="AI735" i="1"/>
  <c r="AH735" i="1"/>
  <c r="A736" i="1"/>
  <c r="AG735" i="1"/>
  <c r="AH736" i="1"/>
  <c r="AK736" i="1" l="1"/>
  <c r="AJ736" i="1"/>
  <c r="D736" i="1"/>
  <c r="A737" i="1"/>
  <c r="AH737" i="1"/>
  <c r="AK737" i="1" l="1"/>
  <c r="AJ737" i="1"/>
  <c r="D737" i="1"/>
  <c r="AG736" i="1"/>
  <c r="AI736" i="1"/>
  <c r="A738" i="1"/>
  <c r="AH738" i="1"/>
  <c r="D738" i="1"/>
  <c r="AK738" i="1" l="1"/>
  <c r="AJ738" i="1"/>
  <c r="AG737" i="1"/>
  <c r="AI737" i="1"/>
  <c r="AI738" i="1" s="1"/>
  <c r="A739" i="1"/>
  <c r="AG738" i="1"/>
  <c r="D739" i="1"/>
  <c r="AH739" i="1"/>
  <c r="AK739" i="1" l="1"/>
  <c r="AJ739" i="1"/>
  <c r="AI739" i="1"/>
  <c r="A740" i="1"/>
  <c r="AG739" i="1"/>
  <c r="AJ740" i="1" l="1"/>
  <c r="AH740" i="1"/>
  <c r="A741" i="1"/>
  <c r="D741" i="1"/>
  <c r="D740" i="1"/>
  <c r="AH741" i="1"/>
  <c r="AK740" i="1" l="1"/>
  <c r="AK741" i="1" s="1"/>
  <c r="AJ741" i="1"/>
  <c r="A742" i="1"/>
  <c r="AH742" i="1"/>
  <c r="AI740" i="1"/>
  <c r="AI741" i="1" s="1"/>
  <c r="AG740" i="1"/>
  <c r="AG741" i="1"/>
  <c r="AK742" i="1" l="1"/>
  <c r="AJ742" i="1"/>
  <c r="D742" i="1"/>
  <c r="A743" i="1"/>
  <c r="AJ743" i="1" l="1"/>
  <c r="A744" i="1"/>
  <c r="D744" i="1"/>
  <c r="AG742" i="1"/>
  <c r="AI742" i="1"/>
  <c r="AK744" i="1" l="1"/>
  <c r="AI744" i="1"/>
  <c r="AH744" i="1"/>
  <c r="AG744" i="1"/>
  <c r="A745" i="1"/>
  <c r="AJ745" i="1" l="1"/>
  <c r="A746" i="1"/>
  <c r="AH746" i="1"/>
  <c r="AK746" i="1" l="1"/>
  <c r="D746" i="1"/>
  <c r="A747" i="1"/>
  <c r="AH747" i="1"/>
  <c r="D747" i="1"/>
  <c r="AI746" i="1" l="1"/>
  <c r="AK747" i="1"/>
  <c r="AJ747" i="1"/>
  <c r="A748" i="1"/>
  <c r="AG747" i="1"/>
  <c r="AI747" i="1"/>
  <c r="AH748" i="1"/>
  <c r="AG746" i="1"/>
  <c r="AK748" i="1" l="1"/>
  <c r="AJ748" i="1"/>
  <c r="D748" i="1"/>
  <c r="A749" i="1"/>
  <c r="D749" i="1"/>
  <c r="AJ749" i="1" l="1"/>
  <c r="AH749" i="1"/>
  <c r="A750" i="1"/>
  <c r="AH750" i="1"/>
  <c r="AI748" i="1"/>
  <c r="AI749" i="1" s="1"/>
  <c r="AG748" i="1"/>
  <c r="AG749" i="1"/>
  <c r="AK749" i="1" l="1"/>
  <c r="AK750" i="1" s="1"/>
  <c r="AJ750" i="1"/>
  <c r="A751" i="1"/>
  <c r="AH751" i="1"/>
  <c r="D750" i="1"/>
  <c r="AK751" i="1" l="1"/>
  <c r="AJ751" i="1"/>
  <c r="D751" i="1"/>
  <c r="A752" i="1"/>
  <c r="AI750" i="1"/>
  <c r="AG750" i="1"/>
  <c r="AJ752" i="1" l="1"/>
  <c r="AG751" i="1"/>
  <c r="AI751" i="1"/>
  <c r="A753" i="1"/>
  <c r="AK753" i="1" l="1"/>
  <c r="A754" i="1"/>
  <c r="AJ754" i="1" l="1"/>
  <c r="AH754" i="1"/>
  <c r="A755" i="1"/>
  <c r="D754" i="1"/>
  <c r="AK754" i="1" l="1"/>
  <c r="AJ755" i="1"/>
  <c r="D755" i="1"/>
  <c r="A756" i="1"/>
  <c r="AH755" i="1"/>
  <c r="AH756" i="1"/>
  <c r="AG754" i="1"/>
  <c r="AK755" i="1" l="1"/>
  <c r="AK756" i="1" s="1"/>
  <c r="AJ756" i="1"/>
  <c r="AG755" i="1"/>
  <c r="A757" i="1"/>
  <c r="D757" i="1"/>
  <c r="D756" i="1"/>
  <c r="AJ757" i="1" l="1"/>
  <c r="A758" i="1"/>
  <c r="AH757" i="1"/>
  <c r="AG756" i="1"/>
  <c r="AG757" i="1"/>
  <c r="AH758" i="1"/>
  <c r="AK757" i="1" l="1"/>
  <c r="AK758" i="1" s="1"/>
  <c r="AJ758" i="1"/>
  <c r="D758" i="1"/>
  <c r="A759" i="1"/>
  <c r="AJ759" i="1" l="1"/>
  <c r="D759" i="1"/>
  <c r="AG758" i="1"/>
  <c r="A760" i="1"/>
  <c r="AH759" i="1"/>
  <c r="AH760" i="1"/>
  <c r="AK759" i="1" l="1"/>
  <c r="AK760" i="1" s="1"/>
  <c r="AJ760" i="1"/>
  <c r="AG759" i="1"/>
  <c r="A761" i="1"/>
  <c r="D760" i="1"/>
  <c r="AJ761" i="1" l="1"/>
  <c r="D761" i="1"/>
  <c r="AH761" i="1"/>
  <c r="A762" i="1"/>
  <c r="AG760" i="1"/>
  <c r="AH762" i="1"/>
  <c r="AK761" i="1" l="1"/>
  <c r="AK762" i="1" s="1"/>
  <c r="AJ762" i="1"/>
  <c r="AG761" i="1"/>
  <c r="A763" i="1"/>
  <c r="D762" i="1"/>
  <c r="AJ763" i="1" l="1"/>
  <c r="D763" i="1"/>
  <c r="AG762" i="1"/>
  <c r="A764" i="1"/>
  <c r="AH763" i="1"/>
  <c r="AK763" i="1" l="1"/>
  <c r="AJ764" i="1"/>
  <c r="AH764" i="1"/>
  <c r="D764" i="1"/>
  <c r="AG763" i="1"/>
  <c r="A765" i="1"/>
  <c r="D765" i="1"/>
  <c r="AK764" i="1" l="1"/>
  <c r="AJ765" i="1"/>
  <c r="AG765" i="1"/>
  <c r="AG764" i="1"/>
  <c r="A766" i="1"/>
  <c r="AH765" i="1"/>
  <c r="AH766" i="1"/>
  <c r="AK765" i="1" l="1"/>
  <c r="AK766" i="1" s="1"/>
  <c r="AJ766" i="1"/>
  <c r="A767" i="1"/>
  <c r="D767" i="1"/>
  <c r="D766" i="1"/>
  <c r="AJ767" i="1" l="1"/>
  <c r="D768" i="1"/>
  <c r="AH768" i="1"/>
  <c r="AG767" i="1"/>
  <c r="AG766" i="1"/>
  <c r="AH767" i="1"/>
  <c r="A768" i="1"/>
  <c r="AK767" i="1" l="1"/>
  <c r="AK768" i="1"/>
  <c r="AJ768" i="1"/>
  <c r="AG768" i="1"/>
  <c r="AC768" i="1"/>
  <c r="AI768" i="1"/>
  <c r="AD768" i="1"/>
  <c r="A769" i="1"/>
  <c r="D769" i="1"/>
  <c r="A770" i="1"/>
  <c r="AH769" i="1"/>
  <c r="AI769" i="1" l="1"/>
  <c r="AK769" i="1"/>
  <c r="AJ770" i="1"/>
  <c r="D770" i="1"/>
  <c r="AG769" i="1"/>
  <c r="A771" i="1"/>
  <c r="AH770" i="1"/>
  <c r="D771" i="1"/>
  <c r="AK770" i="1" l="1"/>
  <c r="AJ771" i="1"/>
  <c r="AH771" i="1"/>
  <c r="AI770" i="1"/>
  <c r="AI771" i="1"/>
  <c r="AG770" i="1"/>
  <c r="A772" i="1"/>
  <c r="D772" i="1"/>
  <c r="AG771" i="1"/>
  <c r="AH772" i="1"/>
  <c r="AK771" i="1" l="1"/>
  <c r="AK772" i="1" s="1"/>
  <c r="AJ772" i="1"/>
  <c r="AG772" i="1"/>
  <c r="AI772" i="1"/>
  <c r="A773" i="1"/>
  <c r="D773" i="1"/>
  <c r="AJ773" i="1" l="1"/>
  <c r="AH773" i="1"/>
  <c r="AG773" i="1"/>
  <c r="AI773" i="1"/>
  <c r="A774" i="1"/>
  <c r="AH774" i="1"/>
  <c r="AK773" i="1" l="1"/>
  <c r="AK774" i="1" s="1"/>
  <c r="AJ774" i="1"/>
  <c r="D774" i="1"/>
  <c r="A775" i="1"/>
  <c r="D775" i="1"/>
  <c r="AJ775" i="1" l="1"/>
  <c r="AH775" i="1"/>
  <c r="AG774" i="1"/>
  <c r="AI774" i="1"/>
  <c r="AI775" i="1" s="1"/>
  <c r="AG775" i="1"/>
  <c r="A776" i="1"/>
  <c r="AH776" i="1"/>
  <c r="AK775" i="1" l="1"/>
  <c r="AK776" i="1" s="1"/>
  <c r="AJ776" i="1"/>
  <c r="D776" i="1"/>
  <c r="A777" i="1"/>
  <c r="D777" i="1"/>
  <c r="AJ777" i="1" l="1"/>
  <c r="AH777" i="1"/>
  <c r="AG776" i="1"/>
  <c r="AG777" i="1"/>
  <c r="A778" i="1"/>
  <c r="AI776" i="1"/>
  <c r="AI777" i="1" s="1"/>
  <c r="AH778" i="1"/>
  <c r="AK777" i="1" l="1"/>
  <c r="AK778" i="1" s="1"/>
  <c r="AJ778" i="1"/>
  <c r="D778" i="1"/>
  <c r="A779" i="1"/>
  <c r="D779" i="1"/>
  <c r="AJ779" i="1" l="1"/>
  <c r="AH779" i="1"/>
  <c r="AG778" i="1"/>
  <c r="A780" i="1"/>
  <c r="AG779" i="1"/>
  <c r="AH780" i="1"/>
  <c r="AI778" i="1"/>
  <c r="AI779" i="1"/>
  <c r="D780" i="1"/>
  <c r="AK779" i="1" l="1"/>
  <c r="AK780" i="1" s="1"/>
  <c r="AJ780" i="1"/>
  <c r="A781" i="1"/>
  <c r="D781" i="1"/>
  <c r="AG780" i="1"/>
  <c r="AI780" i="1"/>
  <c r="AH781" i="1"/>
  <c r="AK781" i="1" l="1"/>
  <c r="AJ781" i="1"/>
  <c r="AI781" i="1"/>
  <c r="AG781" i="1"/>
  <c r="A782" i="1"/>
  <c r="AH782" i="1"/>
  <c r="D782" i="1"/>
  <c r="AK782" i="1" l="1"/>
  <c r="AJ782" i="1"/>
  <c r="D783" i="1"/>
  <c r="AH783" i="1"/>
  <c r="AI782" i="1"/>
  <c r="AG782" i="1"/>
  <c r="A783" i="1"/>
  <c r="AK783" i="1" l="1"/>
  <c r="AJ783" i="1"/>
  <c r="AI783" i="1"/>
  <c r="AG783" i="1"/>
  <c r="A784" i="1"/>
  <c r="A785" i="1"/>
  <c r="AH784" i="1"/>
  <c r="D784" i="1"/>
  <c r="AI784" i="1" l="1"/>
  <c r="AK784" i="1"/>
  <c r="AJ785" i="1"/>
  <c r="D785" i="1"/>
  <c r="AH785" i="1"/>
  <c r="AG784" i="1"/>
  <c r="A786" i="1"/>
  <c r="AH786" i="1"/>
  <c r="D786" i="1"/>
  <c r="AK785" i="1" l="1"/>
  <c r="AK786" i="1" s="1"/>
  <c r="AJ786" i="1"/>
  <c r="AI785" i="1"/>
  <c r="A787" i="1"/>
  <c r="AI786" i="1"/>
  <c r="AH787" i="1"/>
  <c r="AG786" i="1"/>
  <c r="AG785" i="1"/>
  <c r="D787" i="1"/>
  <c r="AK787" i="1" l="1"/>
  <c r="AJ787" i="1"/>
  <c r="AG787" i="1"/>
  <c r="A788" i="1"/>
  <c r="D788" i="1"/>
  <c r="AI787" i="1"/>
  <c r="AJ788" i="1" l="1"/>
  <c r="AH788" i="1"/>
  <c r="AI788" i="1"/>
  <c r="AG788" i="1"/>
  <c r="A789" i="1"/>
  <c r="AH789" i="1"/>
  <c r="AK788" i="1" l="1"/>
  <c r="AK789" i="1" s="1"/>
  <c r="AJ789" i="1"/>
  <c r="D789" i="1"/>
  <c r="A790" i="1"/>
  <c r="D790" i="1"/>
  <c r="AJ790" i="1" l="1"/>
  <c r="AH790" i="1"/>
  <c r="AI789" i="1"/>
  <c r="AG790" i="1"/>
  <c r="AG789" i="1"/>
  <c r="AI790" i="1"/>
  <c r="A791" i="1"/>
  <c r="AK790" i="1" l="1"/>
  <c r="AJ791" i="1"/>
  <c r="A792" i="1"/>
  <c r="D792" i="1"/>
  <c r="AH792" i="1"/>
  <c r="A793" i="1"/>
  <c r="D793" i="1" s="1"/>
  <c r="AH793" i="1"/>
  <c r="AK792" i="1" l="1"/>
  <c r="AK793" i="1" s="1"/>
  <c r="AI792" i="1"/>
  <c r="AJ793" i="1"/>
  <c r="AI793" i="1"/>
  <c r="A794" i="1"/>
  <c r="D794" i="1"/>
  <c r="AH794" i="1"/>
  <c r="AG793" i="1"/>
  <c r="AG792" i="1"/>
  <c r="AK794" i="1" l="1"/>
  <c r="AJ794" i="1"/>
  <c r="A795" i="1"/>
  <c r="AG794" i="1"/>
  <c r="AI794" i="1"/>
  <c r="AH795" i="1"/>
  <c r="D795" i="1"/>
  <c r="AK795" i="1" l="1"/>
  <c r="AJ795" i="1"/>
  <c r="A796" i="1"/>
  <c r="AH796" i="1"/>
  <c r="D796" i="1"/>
  <c r="AI795" i="1"/>
  <c r="AG795" i="1"/>
  <c r="AK796" i="1" l="1"/>
  <c r="AJ796" i="1"/>
  <c r="AI796" i="1"/>
  <c r="A797" i="1"/>
  <c r="AG796" i="1"/>
  <c r="D797" i="1"/>
  <c r="AJ797" i="1" l="1"/>
  <c r="AH797" i="1"/>
  <c r="AI797" i="1"/>
  <c r="AG797" i="1"/>
  <c r="A798" i="1"/>
  <c r="AH798" i="1"/>
  <c r="AK797" i="1" l="1"/>
  <c r="AK798" i="1" s="1"/>
  <c r="AJ798" i="1"/>
  <c r="D798" i="1"/>
  <c r="A799" i="1"/>
  <c r="D799" i="1"/>
  <c r="AJ799" i="1" l="1"/>
  <c r="AH799" i="1"/>
  <c r="AG798" i="1"/>
  <c r="AI798" i="1"/>
  <c r="AG799" i="1"/>
  <c r="A800" i="1"/>
  <c r="AI799" i="1"/>
  <c r="D800" i="1"/>
  <c r="AK799" i="1" l="1"/>
  <c r="AJ800" i="1"/>
  <c r="AH800" i="1"/>
  <c r="AI800" i="1"/>
  <c r="A801" i="1"/>
  <c r="AH801" i="1"/>
  <c r="AG800" i="1"/>
  <c r="AK800" i="1" l="1"/>
  <c r="AK801" i="1" s="1"/>
  <c r="AJ801" i="1"/>
  <c r="D801" i="1"/>
  <c r="A802" i="1"/>
  <c r="AH802" i="1"/>
  <c r="D802" i="1"/>
  <c r="AK802" i="1" l="1"/>
  <c r="AJ802" i="1"/>
  <c r="AG801" i="1"/>
  <c r="AI801" i="1"/>
  <c r="AI802" i="1"/>
  <c r="AG802" i="1"/>
  <c r="A803" i="1"/>
  <c r="D803" i="1"/>
  <c r="AJ803" i="1" l="1"/>
  <c r="AH803" i="1"/>
  <c r="AI803" i="1"/>
  <c r="A804" i="1"/>
  <c r="AG803" i="1"/>
  <c r="AH804" i="1"/>
  <c r="AK803" i="1" l="1"/>
  <c r="AK804" i="1" s="1"/>
  <c r="AJ804" i="1"/>
  <c r="D804" i="1"/>
  <c r="A805" i="1"/>
  <c r="D805" i="1"/>
  <c r="AJ805" i="1" l="1"/>
  <c r="AH805" i="1"/>
  <c r="AG804" i="1"/>
  <c r="A806" i="1"/>
  <c r="AI804" i="1"/>
  <c r="AI805" i="1"/>
  <c r="AG805" i="1"/>
  <c r="AK805" i="1" l="1"/>
  <c r="AJ806" i="1"/>
  <c r="A807" i="1"/>
  <c r="D807" i="1"/>
  <c r="AH807" i="1"/>
  <c r="A808" i="1"/>
  <c r="D808" i="1" s="1"/>
  <c r="AH808" i="1"/>
  <c r="AK807" i="1" l="1"/>
  <c r="AK808" i="1" s="1"/>
  <c r="AI807" i="1"/>
  <c r="AJ808" i="1"/>
  <c r="AG807" i="1"/>
  <c r="AI808" i="1"/>
  <c r="A809" i="1"/>
  <c r="AG808" i="1"/>
  <c r="AH809" i="1"/>
  <c r="AK809" i="1" l="1"/>
  <c r="AJ809" i="1"/>
  <c r="D809" i="1"/>
  <c r="A810" i="1"/>
  <c r="D810" i="1"/>
  <c r="AJ810" i="1" l="1"/>
  <c r="AH810" i="1"/>
  <c r="AG809" i="1"/>
  <c r="AI809" i="1"/>
  <c r="AI810" i="1" s="1"/>
  <c r="AG810" i="1"/>
  <c r="A811" i="1"/>
  <c r="D811" i="1"/>
  <c r="AK810" i="1" l="1"/>
  <c r="AJ811" i="1"/>
  <c r="AH811" i="1"/>
  <c r="AG811" i="1"/>
  <c r="A812" i="1"/>
  <c r="AI811" i="1"/>
  <c r="AK811" i="1" l="1"/>
  <c r="AJ812" i="1"/>
  <c r="AH812" i="1"/>
  <c r="D812" i="1"/>
  <c r="A813" i="1"/>
  <c r="AK812" i="1" l="1"/>
  <c r="AJ813" i="1"/>
  <c r="D813" i="1"/>
  <c r="AH813" i="1"/>
  <c r="AI812" i="1"/>
  <c r="AG812" i="1"/>
  <c r="A814" i="1"/>
  <c r="D814" i="1"/>
  <c r="AK813" i="1" l="1"/>
  <c r="AJ814" i="1"/>
  <c r="AH814" i="1"/>
  <c r="AG813" i="1"/>
  <c r="AI813" i="1"/>
  <c r="AI814" i="1" s="1"/>
  <c r="A815" i="1"/>
  <c r="D815" i="1"/>
  <c r="AG814" i="1"/>
  <c r="AH815" i="1"/>
  <c r="AK814" i="1" l="1"/>
  <c r="AK815" i="1" s="1"/>
  <c r="AJ815" i="1"/>
  <c r="AG815" i="1"/>
  <c r="AI815" i="1"/>
  <c r="A816" i="1"/>
  <c r="D816" i="1"/>
  <c r="AJ816" i="1" l="1"/>
  <c r="AH816" i="1"/>
  <c r="AG816" i="1"/>
  <c r="AI816" i="1"/>
  <c r="A817" i="1"/>
  <c r="D817" i="1"/>
  <c r="AK816" i="1" l="1"/>
  <c r="AJ817" i="1"/>
  <c r="AH817" i="1"/>
  <c r="AG817" i="1"/>
  <c r="A818" i="1"/>
  <c r="D818" i="1"/>
  <c r="AI817" i="1"/>
  <c r="AK817" i="1" l="1"/>
  <c r="AJ818" i="1"/>
  <c r="AH818" i="1"/>
  <c r="AI818" i="1"/>
  <c r="A819" i="1"/>
  <c r="D819" i="1"/>
  <c r="AG818" i="1"/>
  <c r="AK818" i="1" l="1"/>
  <c r="AJ819" i="1"/>
  <c r="AH819" i="1"/>
  <c r="AI819" i="1"/>
  <c r="A820" i="1"/>
  <c r="D820" i="1"/>
  <c r="AG819" i="1"/>
  <c r="AK819" i="1" l="1"/>
  <c r="AJ820" i="1"/>
  <c r="AH820" i="1"/>
  <c r="A821" i="1"/>
  <c r="AH821" i="1"/>
  <c r="D821" i="1"/>
  <c r="AI820" i="1"/>
  <c r="AG820" i="1"/>
  <c r="AK820" i="1" l="1"/>
  <c r="AK821" i="1" s="1"/>
  <c r="AJ821" i="1"/>
  <c r="AI821" i="1"/>
  <c r="AG821" i="1"/>
  <c r="A822" i="1"/>
  <c r="D822" i="1"/>
  <c r="AJ822" i="1" l="1"/>
  <c r="AH822" i="1"/>
  <c r="A823" i="1"/>
  <c r="AI822" i="1"/>
  <c r="AG822" i="1"/>
  <c r="AK822" i="1" l="1"/>
  <c r="AJ823" i="1"/>
  <c r="A824" i="1"/>
  <c r="D824" i="1"/>
  <c r="AH824" i="1"/>
  <c r="A825" i="1"/>
  <c r="D825" i="1"/>
  <c r="AK824" i="1" l="1"/>
  <c r="AI824" i="1"/>
  <c r="AJ825" i="1"/>
  <c r="AI825" i="1"/>
  <c r="A826" i="1"/>
  <c r="AG824" i="1"/>
  <c r="AG825" i="1"/>
  <c r="AH825" i="1"/>
  <c r="AK825" i="1" l="1"/>
  <c r="AJ826" i="1"/>
  <c r="D826" i="1"/>
  <c r="A827" i="1"/>
  <c r="AH826" i="1"/>
  <c r="D827" i="1"/>
  <c r="AK826" i="1" l="1"/>
  <c r="AJ827" i="1"/>
  <c r="AH827" i="1"/>
  <c r="AG826" i="1"/>
  <c r="AG827" i="1"/>
  <c r="AI826" i="1"/>
  <c r="A828" i="1"/>
  <c r="D828" i="1"/>
  <c r="AI827" i="1"/>
  <c r="AH828" i="1"/>
  <c r="AK827" i="1" l="1"/>
  <c r="AK828" i="1" s="1"/>
  <c r="AJ828" i="1"/>
  <c r="A829" i="1"/>
  <c r="AI828" i="1"/>
  <c r="AG828" i="1"/>
  <c r="AJ829" i="1" l="1"/>
  <c r="A830" i="1"/>
  <c r="AH830" i="1"/>
  <c r="D830" i="1"/>
  <c r="A831" i="1"/>
  <c r="AI830" i="1" l="1"/>
  <c r="AK830" i="1"/>
  <c r="AJ831" i="1"/>
  <c r="AG830" i="1"/>
  <c r="A832" i="1"/>
  <c r="A833" i="1"/>
  <c r="D832" i="1"/>
  <c r="D833" i="1"/>
  <c r="AH832" i="1"/>
  <c r="AK832" i="1" l="1"/>
  <c r="AI832" i="1"/>
  <c r="AJ833" i="1"/>
  <c r="AG833" i="1"/>
  <c r="AG832" i="1"/>
  <c r="A834" i="1"/>
  <c r="AH833" i="1"/>
  <c r="AI833" i="1"/>
  <c r="AK833" i="1" l="1"/>
  <c r="AJ834" i="1"/>
  <c r="A835" i="1"/>
  <c r="D835" i="1"/>
  <c r="AH835" i="1"/>
  <c r="A836" i="1"/>
  <c r="AK835" i="1" l="1"/>
  <c r="AI835" i="1"/>
  <c r="AJ836" i="1"/>
  <c r="A837" i="1"/>
  <c r="AH837" i="1"/>
  <c r="A838" i="1"/>
  <c r="D838" i="1" s="1"/>
  <c r="AH838" i="1"/>
  <c r="AG835" i="1"/>
  <c r="D837" i="1"/>
  <c r="AI837" i="1" l="1"/>
  <c r="AK837" i="1"/>
  <c r="AK838" i="1" s="1"/>
  <c r="AJ838" i="1"/>
  <c r="AG838" i="1"/>
  <c r="A839" i="1"/>
  <c r="AI838" i="1"/>
  <c r="AG837" i="1"/>
  <c r="AH839" i="1"/>
  <c r="AK839" i="1" l="1"/>
  <c r="AJ839" i="1"/>
  <c r="D839" i="1"/>
  <c r="A840" i="1"/>
  <c r="AJ840" i="1" l="1"/>
  <c r="AI839" i="1"/>
  <c r="AG839" i="1"/>
  <c r="A841" i="1"/>
  <c r="D841" i="1"/>
  <c r="AH841" i="1"/>
  <c r="A842" i="1"/>
  <c r="AH842" i="1"/>
  <c r="D842" i="1"/>
  <c r="AK841" i="1" l="1"/>
  <c r="AK842" i="1" s="1"/>
  <c r="AI841" i="1"/>
  <c r="AJ842" i="1"/>
  <c r="AG842" i="1"/>
  <c r="AI842" i="1"/>
  <c r="A843" i="1"/>
  <c r="D843" i="1"/>
  <c r="AG841" i="1"/>
  <c r="AJ843" i="1" l="1"/>
  <c r="A844" i="1"/>
  <c r="AH844" i="1"/>
  <c r="AI843" i="1"/>
  <c r="D844" i="1"/>
  <c r="AH843" i="1"/>
  <c r="AG843" i="1"/>
  <c r="AK843" i="1" l="1"/>
  <c r="AK844" i="1" s="1"/>
  <c r="AJ844" i="1"/>
  <c r="A845" i="1"/>
  <c r="AG844" i="1"/>
  <c r="D845" i="1"/>
  <c r="AI844" i="1"/>
  <c r="AH845" i="1"/>
  <c r="AK845" i="1" l="1"/>
  <c r="AJ845" i="1"/>
  <c r="AG845" i="1"/>
  <c r="A846" i="1"/>
  <c r="D846" i="1"/>
  <c r="AI845" i="1"/>
  <c r="AJ846" i="1" l="1"/>
  <c r="AH846" i="1"/>
  <c r="AI846" i="1"/>
  <c r="AG846" i="1"/>
  <c r="A847" i="1"/>
  <c r="AH847" i="1"/>
  <c r="AK846" i="1" l="1"/>
  <c r="AK847" i="1" s="1"/>
  <c r="AJ847" i="1"/>
  <c r="D847" i="1"/>
  <c r="A848" i="1"/>
  <c r="D848" i="1"/>
  <c r="A849" i="1"/>
  <c r="D849" i="1" s="1"/>
  <c r="AH848" i="1"/>
  <c r="AJ849" i="1" l="1"/>
  <c r="AK848" i="1"/>
  <c r="AJ848" i="1"/>
  <c r="AG847" i="1"/>
  <c r="AG849" i="1"/>
  <c r="A850" i="1"/>
  <c r="AI847" i="1"/>
  <c r="AI848" i="1" s="1"/>
  <c r="AG848" i="1"/>
  <c r="AH849" i="1"/>
  <c r="AK849" i="1" l="1"/>
  <c r="AJ850" i="1"/>
  <c r="D850" i="1"/>
  <c r="A851" i="1"/>
  <c r="AH851" i="1"/>
  <c r="AH850" i="1"/>
  <c r="AI849" i="1"/>
  <c r="AK850" i="1" l="1"/>
  <c r="AK851" i="1" s="1"/>
  <c r="AJ851" i="1"/>
  <c r="AI850" i="1"/>
  <c r="D851" i="1"/>
  <c r="AG850" i="1"/>
  <c r="A852" i="1"/>
  <c r="AH852" i="1"/>
  <c r="D852" i="1"/>
  <c r="AK852" i="1" l="1"/>
  <c r="AJ852" i="1"/>
  <c r="AG851" i="1"/>
  <c r="A853" i="1"/>
  <c r="AG852" i="1"/>
  <c r="AI851" i="1"/>
  <c r="AI852" i="1" s="1"/>
  <c r="D853" i="1"/>
  <c r="AJ853" i="1" l="1"/>
  <c r="AH853" i="1"/>
  <c r="A854" i="1"/>
  <c r="AI853" i="1"/>
  <c r="AG853" i="1"/>
  <c r="AK853" i="1" l="1"/>
  <c r="AJ854" i="1"/>
  <c r="A855" i="1"/>
  <c r="D855" i="1"/>
  <c r="AH855" i="1"/>
  <c r="A856" i="1"/>
  <c r="AH856" i="1" s="1"/>
  <c r="D856" i="1"/>
  <c r="AK855" i="1" l="1"/>
  <c r="AK856" i="1" s="1"/>
  <c r="AI855" i="1"/>
  <c r="AJ856" i="1"/>
  <c r="AI856" i="1"/>
  <c r="AG856" i="1"/>
  <c r="A857" i="1"/>
  <c r="AG855" i="1"/>
  <c r="D857" i="1"/>
  <c r="AJ857" i="1" l="1"/>
  <c r="AI857" i="1"/>
  <c r="AH857" i="1"/>
  <c r="A858" i="1"/>
  <c r="D858" i="1"/>
  <c r="AG857" i="1"/>
  <c r="AH858" i="1"/>
  <c r="AK857" i="1" l="1"/>
  <c r="AK858" i="1" s="1"/>
  <c r="AJ858" i="1"/>
  <c r="A859" i="1"/>
  <c r="AH859" i="1"/>
  <c r="AG858" i="1"/>
  <c r="D859" i="1"/>
  <c r="AI858" i="1"/>
  <c r="AK859" i="1" l="1"/>
  <c r="AJ859" i="1"/>
  <c r="AG859" i="1"/>
  <c r="A860" i="1"/>
  <c r="AI859" i="1"/>
  <c r="AJ860" i="1" l="1"/>
  <c r="A861" i="1"/>
  <c r="AH861" i="1"/>
  <c r="AK861" i="1" l="1"/>
  <c r="D861" i="1"/>
  <c r="A862" i="1"/>
  <c r="A863" i="1"/>
  <c r="A864" i="1"/>
  <c r="D863" i="1"/>
  <c r="AH863" i="1"/>
  <c r="AI861" i="1" l="1"/>
  <c r="AJ862" i="1"/>
  <c r="AK863" i="1"/>
  <c r="AI863" i="1"/>
  <c r="AJ864" i="1"/>
  <c r="AH864" i="1"/>
  <c r="AG863" i="1"/>
  <c r="A865" i="1"/>
  <c r="AG861" i="1"/>
  <c r="D864" i="1"/>
  <c r="AK864" i="1" l="1"/>
  <c r="AJ865" i="1"/>
  <c r="AG864" i="1"/>
  <c r="A866" i="1"/>
  <c r="D866" i="1"/>
  <c r="AI864" i="1"/>
  <c r="A867" i="1"/>
  <c r="AK866" i="1" l="1"/>
  <c r="AI866" i="1"/>
  <c r="AJ867" i="1"/>
  <c r="AH866" i="1"/>
  <c r="AG866" i="1"/>
  <c r="A868" i="1"/>
  <c r="AH868" i="1"/>
  <c r="A869" i="1"/>
  <c r="D868" i="1"/>
  <c r="D869" i="1"/>
  <c r="AH869" i="1"/>
  <c r="AI868" i="1" l="1"/>
  <c r="AK868" i="1"/>
  <c r="AK869" i="1" s="1"/>
  <c r="AJ869" i="1"/>
  <c r="AG869" i="1"/>
  <c r="AG868" i="1"/>
  <c r="A870" i="1"/>
  <c r="AI869" i="1"/>
  <c r="AH870" i="1"/>
  <c r="AK870" i="1" l="1"/>
  <c r="AJ870" i="1"/>
  <c r="D870" i="1"/>
  <c r="A871" i="1"/>
  <c r="AJ871" i="1" l="1"/>
  <c r="AI870" i="1"/>
  <c r="AG870" i="1"/>
  <c r="A872" i="1"/>
  <c r="AH872" i="1"/>
  <c r="D872" i="1"/>
  <c r="A873" i="1"/>
  <c r="AH873" i="1"/>
  <c r="D873" i="1"/>
  <c r="AI872" i="1" l="1"/>
  <c r="AK872" i="1"/>
  <c r="AK873" i="1" s="1"/>
  <c r="AJ873" i="1"/>
  <c r="AI873" i="1"/>
  <c r="AG873" i="1"/>
  <c r="AG872" i="1"/>
  <c r="A874" i="1"/>
  <c r="A875" i="1"/>
  <c r="D875" i="1"/>
  <c r="AH875" i="1"/>
  <c r="AI875" i="1" l="1"/>
  <c r="AJ874" i="1"/>
  <c r="A876" i="1"/>
  <c r="AG875" i="1"/>
  <c r="A877" i="1"/>
  <c r="D876" i="1"/>
  <c r="AH876" i="1"/>
  <c r="AK876" i="1" l="1"/>
  <c r="AJ876" i="1"/>
  <c r="AJ877" i="1"/>
  <c r="AI876" i="1"/>
  <c r="AG876" i="1"/>
  <c r="A878" i="1"/>
  <c r="D878" i="1"/>
  <c r="AK878" i="1" l="1"/>
  <c r="AI878" i="1"/>
  <c r="AH878" i="1"/>
  <c r="AG878" i="1"/>
  <c r="A879" i="1"/>
  <c r="A880" i="1"/>
  <c r="D880" i="1" s="1"/>
  <c r="A881" i="1"/>
  <c r="AH880" i="1"/>
  <c r="D881" i="1"/>
  <c r="AJ879" i="1" l="1"/>
  <c r="AI880" i="1"/>
  <c r="AK880" i="1"/>
  <c r="AJ881" i="1"/>
  <c r="AH881" i="1"/>
  <c r="AI881" i="1"/>
  <c r="AG881" i="1"/>
  <c r="A882" i="1"/>
  <c r="AG880" i="1"/>
  <c r="AH882" i="1"/>
  <c r="AK881" i="1" l="1"/>
  <c r="AK882" i="1" s="1"/>
  <c r="AJ882" i="1"/>
  <c r="D882" i="1"/>
  <c r="A883" i="1"/>
  <c r="D883" i="1"/>
  <c r="AJ883" i="1" l="1"/>
  <c r="AH883" i="1"/>
  <c r="AG883" i="1"/>
  <c r="AI882" i="1"/>
  <c r="A884" i="1"/>
  <c r="AI883" i="1"/>
  <c r="D884" i="1"/>
  <c r="AG882" i="1"/>
  <c r="AH884" i="1"/>
  <c r="AK883" i="1" l="1"/>
  <c r="AK884" i="1" s="1"/>
  <c r="AJ884" i="1"/>
  <c r="AI884" i="1"/>
  <c r="AG884" i="1"/>
  <c r="A885" i="1"/>
  <c r="AH885" i="1"/>
  <c r="AK885" i="1" l="1"/>
  <c r="AJ885" i="1"/>
  <c r="D885" i="1"/>
  <c r="A886" i="1"/>
  <c r="AH886" i="1"/>
  <c r="AK886" i="1" l="1"/>
  <c r="AJ886" i="1"/>
  <c r="D886" i="1"/>
  <c r="AG885" i="1"/>
  <c r="AI885" i="1"/>
  <c r="A887" i="1"/>
  <c r="AJ887" i="1" l="1"/>
  <c r="AG886" i="1"/>
  <c r="AI886" i="1"/>
  <c r="AK1035" i="1" l="1"/>
  <c r="AK1025" i="1"/>
  <c r="AK1014" i="1"/>
  <c r="AK1011" i="1"/>
  <c r="AK1009" i="1"/>
  <c r="AK999" i="1"/>
  <c r="AK989" i="1"/>
  <c r="AK981" i="1"/>
  <c r="AK969" i="1"/>
  <c r="AK963" i="1"/>
  <c r="AK950" i="1"/>
  <c r="AK938" i="1"/>
  <c r="AK928" i="1"/>
  <c r="AK916" i="1"/>
  <c r="AK907" i="1"/>
  <c r="AK896" i="1"/>
  <c r="AK894" i="1"/>
  <c r="AK888" i="1"/>
  <c r="A888" i="1"/>
  <c r="D888" i="1"/>
  <c r="AH888" i="1"/>
  <c r="A889" i="1"/>
  <c r="AH889" i="1" s="1"/>
  <c r="AK889" i="1" l="1"/>
  <c r="AJ889" i="1"/>
  <c r="AI888" i="1"/>
  <c r="AG888" i="1"/>
  <c r="D889" i="1"/>
  <c r="A890" i="1"/>
  <c r="D890" i="1"/>
  <c r="AJ890" i="1" l="1"/>
  <c r="AH890" i="1"/>
  <c r="AG890" i="1"/>
  <c r="A891" i="1"/>
  <c r="AH891" i="1"/>
  <c r="D891" i="1"/>
  <c r="AI889" i="1"/>
  <c r="AG889" i="1"/>
  <c r="AI890" i="1"/>
  <c r="AK890" i="1" l="1"/>
  <c r="AK891" i="1" s="1"/>
  <c r="AJ891" i="1"/>
  <c r="A892" i="1"/>
  <c r="D892" i="1"/>
  <c r="AI891" i="1"/>
  <c r="AH892" i="1"/>
  <c r="AG891" i="1"/>
  <c r="AJ892" i="1" l="1"/>
  <c r="AK892" i="1"/>
  <c r="AG892" i="1"/>
  <c r="A893" i="1"/>
  <c r="AI892" i="1"/>
  <c r="AJ893" i="1" l="1"/>
  <c r="A894" i="1"/>
  <c r="AH894" i="1"/>
  <c r="A92" i="2" l="1"/>
  <c r="D894" i="1"/>
  <c r="A895" i="1"/>
  <c r="A896" i="1"/>
  <c r="AH896" i="1"/>
  <c r="D896" i="1"/>
  <c r="A897" i="1"/>
  <c r="AH897" i="1"/>
  <c r="A898" i="1"/>
  <c r="D898" i="1"/>
  <c r="D897" i="1"/>
  <c r="AH898" i="1"/>
  <c r="A899" i="1"/>
  <c r="A900" i="1"/>
  <c r="D900" i="1"/>
  <c r="AH899" i="1"/>
  <c r="AH900" i="1"/>
  <c r="D899" i="1"/>
  <c r="A901" i="1"/>
  <c r="D901" i="1"/>
  <c r="A902" i="1"/>
  <c r="AH901" i="1"/>
  <c r="D902" i="1"/>
  <c r="AH902" i="1"/>
  <c r="A903" i="1"/>
  <c r="D903" i="1"/>
  <c r="AH903" i="1"/>
  <c r="A904" i="1"/>
  <c r="D904" i="1"/>
  <c r="AH904" i="1"/>
  <c r="A905" i="1"/>
  <c r="D905" i="1"/>
  <c r="AH905" i="1"/>
  <c r="A906" i="1"/>
  <c r="A907" i="1"/>
  <c r="AH907" i="1"/>
  <c r="D907" i="1"/>
  <c r="A908" i="1"/>
  <c r="D908" i="1"/>
  <c r="AH908" i="1"/>
  <c r="A909" i="1"/>
  <c r="AH909" i="1"/>
  <c r="D909" i="1"/>
  <c r="A910" i="1"/>
  <c r="D910" i="1"/>
  <c r="AH910" i="1"/>
  <c r="A911" i="1"/>
  <c r="AH911" i="1"/>
  <c r="D911" i="1"/>
  <c r="A912" i="1"/>
  <c r="D912" i="1"/>
  <c r="AH912" i="1"/>
  <c r="A913" i="1"/>
  <c r="AH913" i="1"/>
  <c r="D913" i="1"/>
  <c r="A914" i="1"/>
  <c r="D914" i="1"/>
  <c r="AH914" i="1"/>
  <c r="A915" i="1"/>
  <c r="A916" i="1"/>
  <c r="D916" i="1"/>
  <c r="AH916" i="1"/>
  <c r="A917" i="1"/>
  <c r="D917" i="1"/>
  <c r="AH917" i="1"/>
  <c r="A918" i="1"/>
  <c r="D918" i="1"/>
  <c r="AH918" i="1"/>
  <c r="A919" i="1"/>
  <c r="D919" i="1"/>
  <c r="AH919" i="1"/>
  <c r="A920" i="1"/>
  <c r="D920" i="1"/>
  <c r="AH920" i="1"/>
  <c r="A921" i="1"/>
  <c r="D921" i="1"/>
  <c r="AH921" i="1"/>
  <c r="A922" i="1"/>
  <c r="D922" i="1"/>
  <c r="AH922" i="1"/>
  <c r="A923" i="1"/>
  <c r="AH923" i="1"/>
  <c r="D923" i="1"/>
  <c r="A924" i="1"/>
  <c r="D924" i="1"/>
  <c r="AH924" i="1"/>
  <c r="A925" i="1"/>
  <c r="D925" i="1"/>
  <c r="AH925" i="1"/>
  <c r="A926" i="1"/>
  <c r="D926" i="1"/>
  <c r="AH926" i="1"/>
  <c r="A927" i="1"/>
  <c r="A928" i="1"/>
  <c r="AH928" i="1"/>
  <c r="D928" i="1"/>
  <c r="A929" i="1"/>
  <c r="D929" i="1"/>
  <c r="AH929" i="1"/>
  <c r="A930" i="1"/>
  <c r="AH930" i="1"/>
  <c r="D930" i="1"/>
  <c r="A931" i="1"/>
  <c r="D931" i="1"/>
  <c r="AH931" i="1"/>
  <c r="A932" i="1"/>
  <c r="AH932" i="1"/>
  <c r="D932" i="1"/>
  <c r="A933" i="1"/>
  <c r="D933" i="1"/>
  <c r="AH933" i="1"/>
  <c r="A934" i="1"/>
  <c r="D934" i="1"/>
  <c r="AH934" i="1"/>
  <c r="A935" i="1"/>
  <c r="D935" i="1"/>
  <c r="AH935" i="1"/>
  <c r="A936" i="1"/>
  <c r="D936" i="1"/>
  <c r="AH936" i="1"/>
  <c r="A937" i="1"/>
  <c r="A938" i="1"/>
  <c r="D938" i="1"/>
  <c r="AH938" i="1"/>
  <c r="A939" i="1"/>
  <c r="D939" i="1"/>
  <c r="AH939" i="1"/>
  <c r="A940" i="1"/>
  <c r="AH940" i="1"/>
  <c r="D940" i="1"/>
  <c r="A941" i="1"/>
  <c r="D941" i="1"/>
  <c r="AH941" i="1"/>
  <c r="A942" i="1"/>
  <c r="AH942" i="1"/>
  <c r="D942" i="1"/>
  <c r="A943" i="1"/>
  <c r="AH943" i="1"/>
  <c r="D943" i="1"/>
  <c r="A944" i="1"/>
  <c r="AH944" i="1"/>
  <c r="D944" i="1"/>
  <c r="A945" i="1"/>
  <c r="AH945" i="1"/>
  <c r="D945" i="1"/>
  <c r="A946" i="1"/>
  <c r="AH946" i="1"/>
  <c r="D946" i="1"/>
  <c r="A947" i="1"/>
  <c r="AH947" i="1"/>
  <c r="D947" i="1"/>
  <c r="A948" i="1"/>
  <c r="AH948" i="1"/>
  <c r="D948" i="1"/>
  <c r="A949" i="1"/>
  <c r="A950" i="1"/>
  <c r="AH950" i="1"/>
  <c r="D950" i="1"/>
  <c r="A951" i="1"/>
  <c r="D951" i="1"/>
  <c r="AH951" i="1"/>
  <c r="A952" i="1"/>
  <c r="AH952" i="1"/>
  <c r="D952" i="1"/>
  <c r="A953" i="1"/>
  <c r="AH953" i="1"/>
  <c r="D953" i="1"/>
  <c r="A954" i="1"/>
  <c r="D954" i="1"/>
  <c r="AH954" i="1"/>
  <c r="A955" i="1"/>
  <c r="D955" i="1"/>
  <c r="AH955" i="1"/>
  <c r="A956" i="1"/>
  <c r="AH956" i="1"/>
  <c r="D956" i="1"/>
  <c r="A957" i="1"/>
  <c r="D957" i="1"/>
  <c r="AH957" i="1"/>
  <c r="A958" i="1"/>
  <c r="AH958" i="1"/>
  <c r="D958" i="1"/>
  <c r="A959" i="1"/>
  <c r="D959" i="1"/>
  <c r="AH959" i="1"/>
  <c r="A960" i="1"/>
  <c r="D960" i="1"/>
  <c r="AH960" i="1"/>
  <c r="A961" i="1"/>
  <c r="D961" i="1"/>
  <c r="AH961" i="1"/>
  <c r="A962" i="1"/>
  <c r="A963" i="1"/>
  <c r="D963" i="1"/>
  <c r="AH963" i="1"/>
  <c r="A964" i="1"/>
  <c r="AH964" i="1"/>
  <c r="D964" i="1"/>
  <c r="A965" i="1"/>
  <c r="D965" i="1"/>
  <c r="AH965" i="1"/>
  <c r="A966" i="1"/>
  <c r="AH966" i="1"/>
  <c r="D966" i="1"/>
  <c r="A967" i="1"/>
  <c r="D967" i="1"/>
  <c r="AH967" i="1"/>
  <c r="A968" i="1"/>
  <c r="A969" i="1"/>
  <c r="D969" i="1"/>
  <c r="AH969" i="1"/>
  <c r="A970" i="1"/>
  <c r="D970" i="1"/>
  <c r="AH970" i="1"/>
  <c r="A971" i="1"/>
  <c r="AH971" i="1"/>
  <c r="D971" i="1"/>
  <c r="A972" i="1"/>
  <c r="D972" i="1"/>
  <c r="AH972" i="1"/>
  <c r="A973" i="1"/>
  <c r="AH973" i="1"/>
  <c r="D973" i="1"/>
  <c r="A974" i="1"/>
  <c r="D974" i="1"/>
  <c r="AH974" i="1"/>
  <c r="A975" i="1"/>
  <c r="D975" i="1"/>
  <c r="AH975" i="1"/>
  <c r="A976" i="1"/>
  <c r="D976" i="1"/>
  <c r="AH976" i="1"/>
  <c r="A977" i="1"/>
  <c r="D977" i="1"/>
  <c r="AH977" i="1"/>
  <c r="A978" i="1"/>
  <c r="D978" i="1"/>
  <c r="AH978" i="1"/>
  <c r="A979" i="1"/>
  <c r="D979" i="1"/>
  <c r="AH979" i="1"/>
  <c r="A980" i="1"/>
  <c r="A981" i="1"/>
  <c r="D981" i="1"/>
  <c r="AH981" i="1"/>
  <c r="A982" i="1"/>
  <c r="AH982" i="1"/>
  <c r="D982" i="1"/>
  <c r="A983" i="1"/>
  <c r="D983" i="1"/>
  <c r="AH983" i="1"/>
  <c r="A984" i="1"/>
  <c r="AH984" i="1"/>
  <c r="D984" i="1"/>
  <c r="A985" i="1"/>
  <c r="AH985" i="1"/>
  <c r="D985" i="1"/>
  <c r="A986" i="1"/>
  <c r="AH986" i="1"/>
  <c r="D986" i="1"/>
  <c r="A987" i="1"/>
  <c r="AH987" i="1"/>
  <c r="D987" i="1"/>
  <c r="A988" i="1"/>
  <c r="A989" i="1"/>
  <c r="AH989" i="1"/>
  <c r="D989" i="1"/>
  <c r="A990" i="1"/>
  <c r="AH990" i="1"/>
  <c r="D990" i="1"/>
  <c r="A991" i="1"/>
  <c r="D991" i="1"/>
  <c r="AH991" i="1"/>
  <c r="A992" i="1"/>
  <c r="AH992" i="1"/>
  <c r="D992" i="1"/>
  <c r="A993" i="1"/>
  <c r="AH993" i="1"/>
  <c r="D993" i="1"/>
  <c r="A994" i="1"/>
  <c r="D994" i="1"/>
  <c r="AH994" i="1"/>
  <c r="A995" i="1"/>
  <c r="AH995" i="1"/>
  <c r="D995" i="1"/>
  <c r="A996" i="1"/>
  <c r="D996" i="1"/>
  <c r="AH996" i="1"/>
  <c r="A997" i="1"/>
  <c r="AH997" i="1"/>
  <c r="D997" i="1"/>
  <c r="A998" i="1"/>
  <c r="A999" i="1"/>
  <c r="D999" i="1"/>
  <c r="AH999" i="1"/>
  <c r="A1000" i="1"/>
  <c r="D1000" i="1"/>
  <c r="AH1000" i="1"/>
  <c r="AK1000" i="1" l="1"/>
  <c r="AJ1000" i="1"/>
  <c r="AI999" i="1"/>
  <c r="AJ998" i="1"/>
  <c r="AJ997" i="1"/>
  <c r="AJ996" i="1"/>
  <c r="AJ995" i="1"/>
  <c r="AJ994" i="1"/>
  <c r="AJ993" i="1"/>
  <c r="AJ992" i="1"/>
  <c r="AJ991" i="1"/>
  <c r="AK990" i="1"/>
  <c r="AK991" i="1" s="1"/>
  <c r="AK992" i="1" s="1"/>
  <c r="AK993" i="1" s="1"/>
  <c r="AK994" i="1" s="1"/>
  <c r="AK995" i="1" s="1"/>
  <c r="AK996" i="1" s="1"/>
  <c r="AK997" i="1" s="1"/>
  <c r="AJ990" i="1"/>
  <c r="AI989" i="1"/>
  <c r="AJ988" i="1"/>
  <c r="AJ987" i="1"/>
  <c r="AJ986" i="1"/>
  <c r="AJ985" i="1"/>
  <c r="AJ984" i="1"/>
  <c r="AJ983" i="1"/>
  <c r="AK982" i="1"/>
  <c r="AK983" i="1" s="1"/>
  <c r="AK984" i="1" s="1"/>
  <c r="AK985" i="1" s="1"/>
  <c r="AK986" i="1" s="1"/>
  <c r="AK987" i="1" s="1"/>
  <c r="AJ982" i="1"/>
  <c r="AI981" i="1"/>
  <c r="AJ980" i="1"/>
  <c r="AJ979" i="1"/>
  <c r="AJ978" i="1"/>
  <c r="AJ977" i="1"/>
  <c r="AJ976" i="1"/>
  <c r="AJ975" i="1"/>
  <c r="AJ974" i="1"/>
  <c r="AJ973" i="1"/>
  <c r="AJ972" i="1"/>
  <c r="AJ971" i="1"/>
  <c r="AK970" i="1"/>
  <c r="AK971" i="1" s="1"/>
  <c r="AK972" i="1" s="1"/>
  <c r="AK973" i="1" s="1"/>
  <c r="AK974" i="1" s="1"/>
  <c r="AK975" i="1" s="1"/>
  <c r="AK976" i="1" s="1"/>
  <c r="AK977" i="1" s="1"/>
  <c r="AK978" i="1" s="1"/>
  <c r="AK979" i="1" s="1"/>
  <c r="AJ970" i="1"/>
  <c r="AI969" i="1"/>
  <c r="AJ968" i="1"/>
  <c r="AJ967" i="1"/>
  <c r="AJ966" i="1"/>
  <c r="AJ965" i="1"/>
  <c r="AK964" i="1"/>
  <c r="AK965" i="1" s="1"/>
  <c r="AK966" i="1" s="1"/>
  <c r="AK967" i="1" s="1"/>
  <c r="AJ964" i="1"/>
  <c r="AI963" i="1"/>
  <c r="AJ962" i="1"/>
  <c r="AJ961" i="1"/>
  <c r="AJ960" i="1"/>
  <c r="AJ959" i="1"/>
  <c r="AJ958" i="1"/>
  <c r="AJ957" i="1"/>
  <c r="AJ956" i="1"/>
  <c r="AJ955" i="1"/>
  <c r="AJ954" i="1"/>
  <c r="AJ953" i="1"/>
  <c r="AJ952" i="1"/>
  <c r="AK951" i="1"/>
  <c r="AK952" i="1" s="1"/>
  <c r="AK953" i="1" s="1"/>
  <c r="AK954" i="1" s="1"/>
  <c r="AK955" i="1" s="1"/>
  <c r="AK956" i="1" s="1"/>
  <c r="AK957" i="1" s="1"/>
  <c r="AK958" i="1" s="1"/>
  <c r="AK959" i="1" s="1"/>
  <c r="AK960" i="1" s="1"/>
  <c r="AK961" i="1" s="1"/>
  <c r="AJ951" i="1"/>
  <c r="AI950" i="1"/>
  <c r="AJ949" i="1"/>
  <c r="AJ948" i="1"/>
  <c r="AJ947" i="1"/>
  <c r="AJ946" i="1"/>
  <c r="AJ945" i="1"/>
  <c r="AJ944" i="1"/>
  <c r="AJ943" i="1"/>
  <c r="AJ942" i="1"/>
  <c r="AJ941" i="1"/>
  <c r="AJ940" i="1"/>
  <c r="AK939" i="1"/>
  <c r="AK940" i="1" s="1"/>
  <c r="AK941" i="1" s="1"/>
  <c r="AK942" i="1" s="1"/>
  <c r="AK943" i="1" s="1"/>
  <c r="AK944" i="1" s="1"/>
  <c r="AK945" i="1" s="1"/>
  <c r="AK946" i="1" s="1"/>
  <c r="AK947" i="1" s="1"/>
  <c r="AK948" i="1" s="1"/>
  <c r="AJ939" i="1"/>
  <c r="AI938" i="1"/>
  <c r="AJ937" i="1"/>
  <c r="AJ936" i="1"/>
  <c r="AJ935" i="1"/>
  <c r="AJ934" i="1"/>
  <c r="AJ933" i="1"/>
  <c r="AJ932" i="1"/>
  <c r="AJ931" i="1"/>
  <c r="AJ930" i="1"/>
  <c r="AK929" i="1"/>
  <c r="AK930" i="1" s="1"/>
  <c r="AK931" i="1" s="1"/>
  <c r="AK932" i="1" s="1"/>
  <c r="AK933" i="1" s="1"/>
  <c r="AK934" i="1" s="1"/>
  <c r="AK935" i="1" s="1"/>
  <c r="AK936" i="1" s="1"/>
  <c r="AJ929" i="1"/>
  <c r="AI928" i="1"/>
  <c r="AJ927" i="1"/>
  <c r="AJ926" i="1"/>
  <c r="AJ925" i="1"/>
  <c r="AJ924" i="1"/>
  <c r="AJ923" i="1"/>
  <c r="AJ922" i="1"/>
  <c r="AJ921" i="1"/>
  <c r="AJ920" i="1"/>
  <c r="AJ919" i="1"/>
  <c r="AJ918" i="1"/>
  <c r="AK917" i="1"/>
  <c r="AK918" i="1" s="1"/>
  <c r="AK919" i="1" s="1"/>
  <c r="AK920" i="1" s="1"/>
  <c r="AK921" i="1" s="1"/>
  <c r="AK922" i="1" s="1"/>
  <c r="AK924" i="1" s="1"/>
  <c r="AK925" i="1" s="1"/>
  <c r="AK926" i="1" s="1"/>
  <c r="AJ917" i="1"/>
  <c r="AI916" i="1"/>
  <c r="AJ915" i="1"/>
  <c r="AJ914" i="1"/>
  <c r="AJ913" i="1"/>
  <c r="AJ912" i="1"/>
  <c r="AJ911" i="1"/>
  <c r="AJ910" i="1"/>
  <c r="AJ909" i="1"/>
  <c r="AK908" i="1"/>
  <c r="AK909" i="1" s="1"/>
  <c r="AK910" i="1" s="1"/>
  <c r="AK911" i="1" s="1"/>
  <c r="AK912" i="1" s="1"/>
  <c r="AK913" i="1" s="1"/>
  <c r="AK914" i="1" s="1"/>
  <c r="AJ908" i="1"/>
  <c r="AI907" i="1"/>
  <c r="AJ906" i="1"/>
  <c r="AJ905" i="1"/>
  <c r="AJ904" i="1"/>
  <c r="AJ903" i="1"/>
  <c r="AJ902" i="1"/>
  <c r="AJ901" i="1"/>
  <c r="AJ900" i="1"/>
  <c r="AJ899" i="1"/>
  <c r="AJ898" i="1"/>
  <c r="AK897" i="1"/>
  <c r="AK898" i="1" s="1"/>
  <c r="AK899" i="1" s="1"/>
  <c r="AJ897" i="1"/>
  <c r="AI896" i="1"/>
  <c r="AJ895" i="1"/>
  <c r="AI894" i="1"/>
  <c r="AK1050" i="1"/>
  <c r="AK1047" i="1"/>
  <c r="AK1043" i="1"/>
  <c r="R92" i="2"/>
  <c r="G92" i="2"/>
  <c r="A93" i="2"/>
  <c r="H92" i="2"/>
  <c r="I92" i="2"/>
  <c r="B92" i="2"/>
  <c r="F92" i="2"/>
  <c r="AG922" i="1"/>
  <c r="AG921" i="1"/>
  <c r="AG920" i="1"/>
  <c r="AG919" i="1"/>
  <c r="AG918" i="1"/>
  <c r="AG917" i="1"/>
  <c r="AI908" i="1"/>
  <c r="AG907" i="1"/>
  <c r="AG905" i="1"/>
  <c r="AG904" i="1"/>
  <c r="AG903" i="1"/>
  <c r="AG902" i="1"/>
  <c r="AG900" i="1"/>
  <c r="AG897" i="1"/>
  <c r="AG898" i="1"/>
  <c r="AG894" i="1"/>
  <c r="AG992" i="1"/>
  <c r="AG977" i="1"/>
  <c r="AG961" i="1"/>
  <c r="AG950" i="1"/>
  <c r="AG941" i="1"/>
  <c r="AI990" i="1"/>
  <c r="AG971" i="1"/>
  <c r="AG955" i="1"/>
  <c r="AG931" i="1"/>
  <c r="AG926" i="1"/>
  <c r="AG991" i="1"/>
  <c r="AG976" i="1"/>
  <c r="AG960" i="1"/>
  <c r="AG948" i="1"/>
  <c r="AG940" i="1"/>
  <c r="AG987" i="1"/>
  <c r="AI970" i="1"/>
  <c r="AG954" i="1"/>
  <c r="AG932" i="1"/>
  <c r="AG929" i="1"/>
  <c r="AI991" i="1"/>
  <c r="AG990" i="1"/>
  <c r="AG959" i="1"/>
  <c r="AG928" i="1"/>
  <c r="AG969" i="1"/>
  <c r="AI929" i="1"/>
  <c r="AG993" i="1"/>
  <c r="AG963" i="1"/>
  <c r="AG942" i="1"/>
  <c r="AG972" i="1"/>
  <c r="AG934" i="1"/>
  <c r="AG979" i="1"/>
  <c r="AG952" i="1"/>
  <c r="A1001" i="1"/>
  <c r="AG964" i="1"/>
  <c r="AG938" i="1"/>
  <c r="AG989" i="1"/>
  <c r="AG958" i="1"/>
  <c r="AG924" i="1"/>
  <c r="AG967" i="1"/>
  <c r="AG930" i="1"/>
  <c r="AI971" i="1"/>
  <c r="AI992" i="1"/>
  <c r="J92" i="2"/>
  <c r="A1002" i="1"/>
  <c r="AH1002" i="1"/>
  <c r="AH1001" i="1"/>
  <c r="AI917" i="1"/>
  <c r="AG916" i="1"/>
  <c r="AG914" i="1"/>
  <c r="AG913" i="1"/>
  <c r="AG912" i="1"/>
  <c r="AG911" i="1"/>
  <c r="AG910" i="1"/>
  <c r="AG909" i="1"/>
  <c r="AG908" i="1"/>
  <c r="AG901" i="1"/>
  <c r="AG899" i="1"/>
  <c r="AI897" i="1"/>
  <c r="AI898" i="1"/>
  <c r="AG896" i="1"/>
  <c r="AG996" i="1"/>
  <c r="AI982" i="1"/>
  <c r="AG973" i="1"/>
  <c r="AG957" i="1"/>
  <c r="AG945" i="1"/>
  <c r="AI918" i="1"/>
  <c r="AI919" i="1" s="1"/>
  <c r="AG984" i="1"/>
  <c r="AG966" i="1"/>
  <c r="AG935" i="1"/>
  <c r="AI909" i="1"/>
  <c r="AG995" i="1"/>
  <c r="AG981" i="1"/>
  <c r="AG970" i="1"/>
  <c r="AG953" i="1"/>
  <c r="AG944" i="1"/>
  <c r="AI1000" i="1"/>
  <c r="AG983" i="1"/>
  <c r="AG965" i="1"/>
  <c r="AG936" i="1"/>
  <c r="AG923" i="1"/>
  <c r="AI910" i="1"/>
  <c r="AG1000" i="1"/>
  <c r="AG975" i="1"/>
  <c r="AG947" i="1"/>
  <c r="AG986" i="1"/>
  <c r="AI939" i="1"/>
  <c r="AI940" i="1" s="1"/>
  <c r="AI941" i="1" s="1"/>
  <c r="AI899" i="1"/>
  <c r="AG978" i="1"/>
  <c r="AI951" i="1"/>
  <c r="AG999" i="1"/>
  <c r="AG956" i="1"/>
  <c r="AG939" i="1"/>
  <c r="AG994" i="1"/>
  <c r="AI964" i="1"/>
  <c r="AG943" i="1"/>
  <c r="AG982" i="1"/>
  <c r="AG933" i="1"/>
  <c r="AG997" i="1"/>
  <c r="AG974" i="1"/>
  <c r="AG946" i="1"/>
  <c r="AG985" i="1"/>
  <c r="AG951" i="1"/>
  <c r="AG925" i="1"/>
  <c r="AI983" i="1"/>
  <c r="AI984" i="1" s="1"/>
  <c r="AI920" i="1"/>
  <c r="AI900" i="1"/>
  <c r="AI911" i="1"/>
  <c r="D1002" i="1"/>
  <c r="D1001" i="1"/>
  <c r="A1003" i="1"/>
  <c r="D1003" i="1"/>
  <c r="A1004" i="1"/>
  <c r="AH1003" i="1"/>
  <c r="AH1004" i="1"/>
  <c r="A1005" i="1"/>
  <c r="D1004" i="1"/>
  <c r="D1005" i="1"/>
  <c r="AH1005" i="1"/>
  <c r="A1006" i="1"/>
  <c r="D1006" i="1"/>
  <c r="AH1006" i="1"/>
  <c r="A1007" i="1"/>
  <c r="AH1007" i="1"/>
  <c r="D1007" i="1"/>
  <c r="A1008" i="1"/>
  <c r="A1009" i="1"/>
  <c r="AH1009" i="1"/>
  <c r="D1009" i="1"/>
  <c r="A1010" i="1"/>
  <c r="A1011" i="1"/>
  <c r="AH1011" i="1"/>
  <c r="D1011" i="1"/>
  <c r="A1012" i="1"/>
  <c r="D1012" i="1"/>
  <c r="AH1012" i="1"/>
  <c r="A1013" i="1"/>
  <c r="A1014" i="1"/>
  <c r="D1014" i="1"/>
  <c r="AH1014" i="1"/>
  <c r="A1015" i="1"/>
  <c r="D1015" i="1"/>
  <c r="AH1015" i="1"/>
  <c r="A1016" i="1"/>
  <c r="D1016" i="1"/>
  <c r="AH1016" i="1"/>
  <c r="A1017" i="1"/>
  <c r="D1017" i="1"/>
  <c r="AH1017" i="1"/>
  <c r="A1018" i="1"/>
  <c r="D1018" i="1"/>
  <c r="AH1018" i="1"/>
  <c r="A1019" i="1"/>
  <c r="D1019" i="1"/>
  <c r="AH1019" i="1"/>
  <c r="A1020" i="1"/>
  <c r="D1020" i="1"/>
  <c r="AH1020" i="1"/>
  <c r="A1021" i="1"/>
  <c r="D1021" i="1"/>
  <c r="AH1021" i="1"/>
  <c r="A1022" i="1"/>
  <c r="D1022" i="1"/>
  <c r="AH1022" i="1"/>
  <c r="A1023" i="1"/>
  <c r="D1023" i="1"/>
  <c r="AH1023" i="1"/>
  <c r="A1024" i="1"/>
  <c r="A1025" i="1"/>
  <c r="AH1025" i="1"/>
  <c r="D1025" i="1"/>
  <c r="A1026" i="1"/>
  <c r="D1026" i="1"/>
  <c r="AH1026" i="1"/>
  <c r="A1027" i="1"/>
  <c r="AH1027" i="1"/>
  <c r="D1027" i="1"/>
  <c r="A1028" i="1"/>
  <c r="D1028" i="1"/>
  <c r="AH1028" i="1"/>
  <c r="A1029" i="1"/>
  <c r="AH1029" i="1"/>
  <c r="D1029" i="1"/>
  <c r="A1030" i="1"/>
  <c r="D1030" i="1"/>
  <c r="AH1030" i="1"/>
  <c r="A1031" i="1"/>
  <c r="AH1031" i="1"/>
  <c r="D1031" i="1"/>
  <c r="A1032" i="1"/>
  <c r="D1032" i="1"/>
  <c r="AH1032" i="1"/>
  <c r="A1033" i="1"/>
  <c r="AH1033" i="1"/>
  <c r="D1033" i="1"/>
  <c r="A1034" i="1"/>
  <c r="A1035" i="1"/>
  <c r="D1035" i="1"/>
  <c r="AH1035" i="1"/>
  <c r="A1036" i="1"/>
  <c r="D1036" i="1"/>
  <c r="AH1036" i="1"/>
  <c r="A1037" i="1"/>
  <c r="D1037" i="1"/>
  <c r="AH1037" i="1"/>
  <c r="A1038" i="1"/>
  <c r="D1038" i="1"/>
  <c r="AH1038" i="1"/>
  <c r="A1039" i="1"/>
  <c r="D1039" i="1"/>
  <c r="AH1039" i="1"/>
  <c r="A1040" i="1"/>
  <c r="D1040" i="1"/>
  <c r="AH1040" i="1"/>
  <c r="A1041" i="1"/>
  <c r="D1041" i="1"/>
  <c r="AH1041" i="1"/>
  <c r="A1042" i="1"/>
  <c r="A1043" i="1"/>
  <c r="D1043" i="1"/>
  <c r="AH1043" i="1"/>
  <c r="A1044" i="1"/>
  <c r="AH1044" i="1"/>
  <c r="D1044" i="1"/>
  <c r="A1045" i="1"/>
  <c r="D1045" i="1"/>
  <c r="AH1045" i="1"/>
  <c r="A1046" i="1"/>
  <c r="A1047" i="1"/>
  <c r="AH1047" i="1"/>
  <c r="D1047" i="1"/>
  <c r="A1048" i="1"/>
  <c r="AH1048" i="1"/>
  <c r="D1048" i="1"/>
  <c r="A1049" i="1"/>
  <c r="A1050" i="1"/>
  <c r="D1050" i="1"/>
  <c r="AH1050" i="1"/>
  <c r="A1051" i="1"/>
  <c r="AH1051" i="1"/>
  <c r="D1051" i="1"/>
  <c r="A1052" i="1"/>
  <c r="D1052" i="1"/>
  <c r="AH1052" i="1"/>
  <c r="A1053" i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D1054" i="1"/>
  <c r="AH1054" i="1"/>
  <c r="D1055" i="1"/>
  <c r="AH1055" i="1"/>
  <c r="AH1056" i="1"/>
  <c r="D1056" i="1"/>
  <c r="AH1057" i="1"/>
  <c r="D1057" i="1"/>
  <c r="AH1058" i="1"/>
  <c r="D1058" i="1"/>
  <c r="AH1059" i="1"/>
  <c r="D1059" i="1"/>
  <c r="AH1060" i="1"/>
  <c r="D1060" i="1"/>
  <c r="AH1061" i="1"/>
  <c r="D1061" i="1"/>
  <c r="AH1062" i="1"/>
  <c r="D1062" i="1"/>
  <c r="AH1063" i="1"/>
  <c r="D1063" i="1"/>
  <c r="AH1065" i="1"/>
  <c r="D1065" i="1"/>
  <c r="AH1066" i="1"/>
  <c r="D1066" i="1"/>
  <c r="AH1067" i="1"/>
  <c r="D1067" i="1"/>
  <c r="AH1068" i="1"/>
  <c r="D1068" i="1"/>
  <c r="AH1069" i="1"/>
  <c r="D1069" i="1"/>
  <c r="AH1070" i="1"/>
  <c r="D1070" i="1"/>
  <c r="AH1071" i="1"/>
  <c r="D1071" i="1"/>
  <c r="AH1072" i="1"/>
  <c r="D1072" i="1"/>
  <c r="D1074" i="1"/>
  <c r="AH1074" i="1"/>
  <c r="AH1075" i="1"/>
  <c r="D1075" i="1"/>
  <c r="AH1077" i="1"/>
  <c r="D1077" i="1"/>
  <c r="AH1079" i="1"/>
  <c r="D1079" i="1"/>
  <c r="D1080" i="1"/>
  <c r="AH1080" i="1"/>
  <c r="AH1081" i="1"/>
  <c r="D1081" i="1"/>
  <c r="D1082" i="1"/>
  <c r="AH1082" i="1"/>
  <c r="AH1084" i="1"/>
  <c r="D1084" i="1"/>
  <c r="AH1085" i="1"/>
  <c r="D1085" i="1"/>
  <c r="AH1086" i="1"/>
  <c r="D1086" i="1"/>
  <c r="AH1087" i="1"/>
  <c r="D1087" i="1"/>
  <c r="AH1089" i="1"/>
  <c r="D1089" i="1"/>
  <c r="D1090" i="1"/>
  <c r="AH1090" i="1"/>
  <c r="D1091" i="1"/>
  <c r="AH1091" i="1"/>
  <c r="D1092" i="1"/>
  <c r="AH1092" i="1"/>
  <c r="AH1093" i="1"/>
  <c r="D1093" i="1"/>
  <c r="D1094" i="1"/>
  <c r="AH1094" i="1"/>
  <c r="AH1096" i="1"/>
  <c r="D1096" i="1"/>
  <c r="AH1097" i="1"/>
  <c r="D1097" i="1"/>
  <c r="AH1098" i="1"/>
  <c r="D1098" i="1"/>
  <c r="AH1099" i="1"/>
  <c r="D1099" i="1"/>
  <c r="AH1100" i="1"/>
  <c r="D1100" i="1"/>
  <c r="AH1101" i="1"/>
  <c r="D1101" i="1"/>
  <c r="D1102" i="1"/>
  <c r="AH1102" i="1"/>
  <c r="AH1104" i="1"/>
  <c r="D1104" i="1"/>
  <c r="AH1105" i="1"/>
  <c r="D1105" i="1"/>
  <c r="AH1106" i="1"/>
  <c r="D1106" i="1"/>
  <c r="AH1107" i="1"/>
  <c r="D1107" i="1"/>
  <c r="AH1108" i="1"/>
  <c r="D1108" i="1"/>
  <c r="AH1109" i="1"/>
  <c r="D1109" i="1"/>
  <c r="AH1110" i="1"/>
  <c r="D1110" i="1"/>
  <c r="AH1111" i="1"/>
  <c r="D1111" i="1"/>
  <c r="D1112" i="1"/>
  <c r="AH1112" i="1"/>
  <c r="AH1113" i="1"/>
  <c r="D1113" i="1"/>
  <c r="AH1114" i="1"/>
  <c r="D1114" i="1"/>
  <c r="AH1116" i="1"/>
  <c r="D1116" i="1"/>
  <c r="AH1117" i="1"/>
  <c r="D1117" i="1"/>
  <c r="AH1118" i="1"/>
  <c r="D1118" i="1"/>
  <c r="AH1119" i="1"/>
  <c r="D1119" i="1"/>
  <c r="D1120" i="1"/>
  <c r="AH1120" i="1"/>
  <c r="AH1121" i="1"/>
  <c r="D1121" i="1"/>
  <c r="AH1122" i="1"/>
  <c r="D1122" i="1"/>
  <c r="A1124" i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H1124" i="1"/>
  <c r="D1124" i="1"/>
  <c r="AH1126" i="1"/>
  <c r="D1126" i="1"/>
  <c r="AH1128" i="1"/>
  <c r="D1128" i="1"/>
  <c r="AH1131" i="1"/>
  <c r="AH1129" i="1"/>
  <c r="D1130" i="1"/>
  <c r="AH1130" i="1"/>
  <c r="D1131" i="1"/>
  <c r="D1129" i="1"/>
  <c r="AH1132" i="1"/>
  <c r="D1132" i="1"/>
  <c r="AH1134" i="1"/>
  <c r="D1135" i="1"/>
  <c r="D1133" i="1"/>
  <c r="AH1135" i="1"/>
  <c r="AH1133" i="1"/>
  <c r="D1134" i="1"/>
  <c r="AH1137" i="1"/>
  <c r="D1137" i="1"/>
  <c r="AH1139" i="1"/>
  <c r="D1139" i="1"/>
  <c r="AH1146" i="1"/>
  <c r="AH1144" i="1"/>
  <c r="AH1142" i="1"/>
  <c r="AH1140" i="1"/>
  <c r="D1145" i="1"/>
  <c r="D1143" i="1"/>
  <c r="D1141" i="1"/>
  <c r="AH1145" i="1"/>
  <c r="AH1143" i="1"/>
  <c r="AH1141" i="1"/>
  <c r="D1146" i="1"/>
  <c r="D1144" i="1"/>
  <c r="D1142" i="1"/>
  <c r="D1140" i="1"/>
  <c r="AH1148" i="1"/>
  <c r="D1148" i="1"/>
  <c r="AH1149" i="1"/>
  <c r="D1149" i="1"/>
  <c r="AH1150" i="1"/>
  <c r="D1150" i="1"/>
  <c r="AH1155" i="1"/>
  <c r="AH1153" i="1"/>
  <c r="AH1151" i="1"/>
  <c r="D1156" i="1"/>
  <c r="D1154" i="1"/>
  <c r="D1152" i="1"/>
  <c r="AH1156" i="1"/>
  <c r="AH1154" i="1"/>
  <c r="AH1152" i="1"/>
  <c r="D1155" i="1"/>
  <c r="D1153" i="1"/>
  <c r="D1151" i="1"/>
  <c r="AH1158" i="1"/>
  <c r="D1158" i="1"/>
  <c r="AH1159" i="1"/>
  <c r="D1159" i="1"/>
  <c r="AH1161" i="1"/>
  <c r="D1161" i="1"/>
  <c r="AI1161" i="1" l="1"/>
  <c r="AK1161" i="1"/>
  <c r="AI1158" i="1"/>
  <c r="AK1158" i="1"/>
  <c r="AK1159" i="1" s="1"/>
  <c r="AI1148" i="1"/>
  <c r="AK1148" i="1"/>
  <c r="AK1149" i="1" s="1"/>
  <c r="AK1150" i="1" s="1"/>
  <c r="AK1151" i="1" s="1"/>
  <c r="AK1152" i="1" s="1"/>
  <c r="AK1153" i="1" s="1"/>
  <c r="AK1154" i="1" s="1"/>
  <c r="AK1155" i="1" s="1"/>
  <c r="AK1156" i="1" s="1"/>
  <c r="AI1139" i="1"/>
  <c r="AK1139" i="1"/>
  <c r="AK1140" i="1" s="1"/>
  <c r="AK1141" i="1" s="1"/>
  <c r="AK1142" i="1" s="1"/>
  <c r="AK1143" i="1" s="1"/>
  <c r="AK1144" i="1" s="1"/>
  <c r="AK1145" i="1" s="1"/>
  <c r="AK1146" i="1" s="1"/>
  <c r="AI1137" i="1"/>
  <c r="AK1137" i="1"/>
  <c r="AK1128" i="1"/>
  <c r="AK1129" i="1" s="1"/>
  <c r="AK1130" i="1" s="1"/>
  <c r="AK1131" i="1" s="1"/>
  <c r="AK1132" i="1" s="1"/>
  <c r="AK1133" i="1" s="1"/>
  <c r="AK1134" i="1" s="1"/>
  <c r="AK1135" i="1" s="1"/>
  <c r="AI1128" i="1"/>
  <c r="AI1126" i="1"/>
  <c r="AK1126" i="1"/>
  <c r="AK1124" i="1"/>
  <c r="AI1124" i="1"/>
  <c r="AK1116" i="1"/>
  <c r="AK1117" i="1" s="1"/>
  <c r="AK1118" i="1" s="1"/>
  <c r="AK1119" i="1" s="1"/>
  <c r="AK1120" i="1" s="1"/>
  <c r="AK1121" i="1" s="1"/>
  <c r="AK1122" i="1" s="1"/>
  <c r="AI1116" i="1"/>
  <c r="AI1104" i="1"/>
  <c r="AK1104" i="1"/>
  <c r="AK1105" i="1" s="1"/>
  <c r="AK1106" i="1" s="1"/>
  <c r="AK1107" i="1" s="1"/>
  <c r="AK1108" i="1" s="1"/>
  <c r="AK1109" i="1" s="1"/>
  <c r="AK1110" i="1" s="1"/>
  <c r="AK1111" i="1" s="1"/>
  <c r="AK1112" i="1" s="1"/>
  <c r="AK1113" i="1" s="1"/>
  <c r="AK1114" i="1" s="1"/>
  <c r="AI1096" i="1"/>
  <c r="AK1096" i="1"/>
  <c r="AK1097" i="1" s="1"/>
  <c r="AK1098" i="1" s="1"/>
  <c r="AK1099" i="1" s="1"/>
  <c r="AK1100" i="1" s="1"/>
  <c r="AK1101" i="1" s="1"/>
  <c r="AK1102" i="1" s="1"/>
  <c r="AI1089" i="1"/>
  <c r="AK1089" i="1"/>
  <c r="AK1090" i="1" s="1"/>
  <c r="AK1091" i="1" s="1"/>
  <c r="AK1092" i="1" s="1"/>
  <c r="AK1093" i="1" s="1"/>
  <c r="AK1094" i="1" s="1"/>
  <c r="AI1084" i="1"/>
  <c r="AK1084" i="1"/>
  <c r="AK1085" i="1" s="1"/>
  <c r="AK1086" i="1" s="1"/>
  <c r="AK1087" i="1" s="1"/>
  <c r="AI1079" i="1"/>
  <c r="AK1079" i="1"/>
  <c r="AK1080" i="1" s="1"/>
  <c r="AK1081" i="1" s="1"/>
  <c r="AK1082" i="1" s="1"/>
  <c r="AI1077" i="1"/>
  <c r="AK1077" i="1"/>
  <c r="AK1074" i="1"/>
  <c r="AK1075" i="1" s="1"/>
  <c r="AI1074" i="1"/>
  <c r="AI1065" i="1"/>
  <c r="AK1065" i="1"/>
  <c r="AK1066" i="1" s="1"/>
  <c r="AK1067" i="1" s="1"/>
  <c r="AK1068" i="1" s="1"/>
  <c r="AK1069" i="1" s="1"/>
  <c r="AK1070" i="1" s="1"/>
  <c r="AK1071" i="1" s="1"/>
  <c r="AK1072" i="1" s="1"/>
  <c r="AK1054" i="1"/>
  <c r="AK1055" i="1" s="1"/>
  <c r="AK1056" i="1" s="1"/>
  <c r="AK1057" i="1" s="1"/>
  <c r="AK1058" i="1" s="1"/>
  <c r="AK1059" i="1" s="1"/>
  <c r="AK1060" i="1" s="1"/>
  <c r="AK1061" i="1" s="1"/>
  <c r="AK1062" i="1" s="1"/>
  <c r="AK1063" i="1" s="1"/>
  <c r="AI1054" i="1"/>
  <c r="AK900" i="1"/>
  <c r="AK901" i="1"/>
  <c r="AK902" i="1" s="1"/>
  <c r="AK903" i="1" s="1"/>
  <c r="AK904" i="1" s="1"/>
  <c r="AK905" i="1" s="1"/>
  <c r="AK923" i="1"/>
  <c r="AJ1193" i="1"/>
  <c r="AJ1192" i="1"/>
  <c r="AJ1191" i="1"/>
  <c r="AJ1190" i="1"/>
  <c r="AJ1189" i="1"/>
  <c r="AJ1188" i="1"/>
  <c r="AJ1187" i="1"/>
  <c r="AJ1186" i="1"/>
  <c r="AJ1185" i="1"/>
  <c r="AJ1184" i="1"/>
  <c r="AJ1183" i="1"/>
  <c r="AJ1182" i="1"/>
  <c r="AJ1181" i="1"/>
  <c r="AJ1180" i="1"/>
  <c r="AJ1179" i="1"/>
  <c r="AJ1178" i="1"/>
  <c r="AJ1177" i="1"/>
  <c r="AJ1176" i="1"/>
  <c r="AJ1175" i="1"/>
  <c r="AJ1174" i="1"/>
  <c r="AJ1173" i="1"/>
  <c r="AJ1172" i="1"/>
  <c r="AJ1171" i="1"/>
  <c r="AJ1170" i="1"/>
  <c r="AJ1169" i="1"/>
  <c r="AJ1168" i="1"/>
  <c r="AJ1167" i="1"/>
  <c r="AJ1166" i="1"/>
  <c r="AJ1165" i="1"/>
  <c r="AJ1164" i="1"/>
  <c r="AJ1163" i="1"/>
  <c r="AJ1162" i="1"/>
  <c r="AJ1160" i="1"/>
  <c r="AJ1159" i="1"/>
  <c r="AJ1157" i="1"/>
  <c r="AJ1156" i="1"/>
  <c r="AJ1155" i="1"/>
  <c r="AJ1154" i="1"/>
  <c r="AJ1153" i="1"/>
  <c r="AJ1152" i="1"/>
  <c r="AJ1151" i="1"/>
  <c r="AJ1150" i="1"/>
  <c r="AJ1149" i="1"/>
  <c r="AJ1147" i="1"/>
  <c r="AJ1146" i="1"/>
  <c r="AJ1145" i="1"/>
  <c r="AJ1144" i="1"/>
  <c r="AJ1143" i="1"/>
  <c r="AJ1142" i="1"/>
  <c r="AJ1141" i="1"/>
  <c r="AJ1140" i="1"/>
  <c r="AJ1138" i="1"/>
  <c r="AJ1136" i="1"/>
  <c r="AJ1135" i="1"/>
  <c r="AJ1134" i="1"/>
  <c r="AJ1133" i="1"/>
  <c r="AJ1132" i="1"/>
  <c r="AJ1131" i="1"/>
  <c r="AJ1130" i="1"/>
  <c r="AJ1129" i="1"/>
  <c r="AJ1127" i="1"/>
  <c r="AJ1125" i="1"/>
  <c r="AJ1123" i="1"/>
  <c r="AJ1122" i="1"/>
  <c r="AJ1121" i="1"/>
  <c r="AJ1120" i="1"/>
  <c r="AJ1119" i="1"/>
  <c r="AJ1118" i="1"/>
  <c r="AJ1117" i="1"/>
  <c r="AJ1115" i="1"/>
  <c r="AJ1114" i="1"/>
  <c r="AJ1113" i="1"/>
  <c r="AJ1112" i="1"/>
  <c r="AJ1111" i="1"/>
  <c r="AJ1110" i="1"/>
  <c r="AJ1109" i="1"/>
  <c r="AJ1108" i="1"/>
  <c r="AJ1107" i="1"/>
  <c r="AJ1106" i="1"/>
  <c r="AJ1105" i="1"/>
  <c r="AJ1103" i="1"/>
  <c r="AJ1102" i="1"/>
  <c r="AJ1101" i="1"/>
  <c r="AJ1100" i="1"/>
  <c r="AJ1099" i="1"/>
  <c r="AJ1098" i="1"/>
  <c r="AJ1095" i="1"/>
  <c r="AJ1094" i="1"/>
  <c r="AJ1093" i="1"/>
  <c r="AJ1092" i="1"/>
  <c r="AJ1091" i="1"/>
  <c r="AJ1090" i="1"/>
  <c r="AJ1088" i="1"/>
  <c r="AJ1087" i="1"/>
  <c r="AJ1086" i="1"/>
  <c r="AJ1085" i="1"/>
  <c r="AJ1083" i="1"/>
  <c r="AJ1082" i="1"/>
  <c r="AJ1081" i="1"/>
  <c r="AJ1080" i="1"/>
  <c r="AJ1078" i="1"/>
  <c r="AJ1076" i="1"/>
  <c r="AJ1075" i="1"/>
  <c r="AJ1073" i="1"/>
  <c r="AJ1072" i="1"/>
  <c r="AJ1071" i="1"/>
  <c r="AJ1070" i="1"/>
  <c r="AJ1069" i="1"/>
  <c r="AJ1068" i="1"/>
  <c r="AJ1067" i="1"/>
  <c r="AJ1066" i="1"/>
  <c r="AJ1064" i="1"/>
  <c r="AJ1063" i="1"/>
  <c r="AJ1062" i="1"/>
  <c r="AJ1061" i="1"/>
  <c r="AJ1060" i="1"/>
  <c r="AJ1059" i="1"/>
  <c r="AJ1058" i="1"/>
  <c r="AJ1057" i="1"/>
  <c r="AJ1056" i="1"/>
  <c r="AJ1055" i="1"/>
  <c r="AJ1053" i="1"/>
  <c r="AJ1052" i="1"/>
  <c r="AK1051" i="1"/>
  <c r="AK1052" i="1" s="1"/>
  <c r="AJ1051" i="1"/>
  <c r="AI1050" i="1"/>
  <c r="AJ1049" i="1"/>
  <c r="AK1048" i="1"/>
  <c r="AJ1048" i="1"/>
  <c r="AI1047" i="1"/>
  <c r="AJ1046" i="1"/>
  <c r="AJ1045" i="1"/>
  <c r="AK1044" i="1"/>
  <c r="AK1045" i="1" s="1"/>
  <c r="AJ1044" i="1"/>
  <c r="AI1043" i="1"/>
  <c r="AJ1042" i="1"/>
  <c r="AJ1041" i="1"/>
  <c r="AJ1040" i="1"/>
  <c r="AJ1039" i="1"/>
  <c r="AJ1038" i="1"/>
  <c r="AJ1037" i="1"/>
  <c r="AK1036" i="1"/>
  <c r="AK1037" i="1" s="1"/>
  <c r="AK1038" i="1" s="1"/>
  <c r="AK1039" i="1" s="1"/>
  <c r="AK1040" i="1" s="1"/>
  <c r="AK1041" i="1" s="1"/>
  <c r="AJ1036" i="1"/>
  <c r="AI1035" i="1"/>
  <c r="AJ1034" i="1"/>
  <c r="AJ1033" i="1"/>
  <c r="AJ1032" i="1"/>
  <c r="AJ1031" i="1"/>
  <c r="AJ1030" i="1"/>
  <c r="AJ1029" i="1"/>
  <c r="AJ1028" i="1"/>
  <c r="AJ1027" i="1"/>
  <c r="AK1026" i="1"/>
  <c r="AK1027" i="1" s="1"/>
  <c r="AK1028" i="1" s="1"/>
  <c r="AK1029" i="1" s="1"/>
  <c r="AK1030" i="1" s="1"/>
  <c r="AK1031" i="1" s="1"/>
  <c r="AK1032" i="1" s="1"/>
  <c r="AK1033" i="1" s="1"/>
  <c r="AJ1026" i="1"/>
  <c r="AI1025" i="1"/>
  <c r="AJ1024" i="1"/>
  <c r="AJ1023" i="1"/>
  <c r="AJ1022" i="1"/>
  <c r="AJ1021" i="1"/>
  <c r="AJ1020" i="1"/>
  <c r="AJ1019" i="1"/>
  <c r="AJ1018" i="1"/>
  <c r="AJ1017" i="1"/>
  <c r="AJ1016" i="1"/>
  <c r="AK1015" i="1"/>
  <c r="AK1016" i="1" s="1"/>
  <c r="AK1017" i="1" s="1"/>
  <c r="AK1018" i="1" s="1"/>
  <c r="AK1019" i="1" s="1"/>
  <c r="AK1020" i="1" s="1"/>
  <c r="AK1021" i="1" s="1"/>
  <c r="AK1022" i="1" s="1"/>
  <c r="AK1023" i="1" s="1"/>
  <c r="AJ1015" i="1"/>
  <c r="AI1014" i="1"/>
  <c r="AJ1013" i="1"/>
  <c r="AK1012" i="1"/>
  <c r="AJ1012" i="1"/>
  <c r="AI1011" i="1"/>
  <c r="AJ1010" i="1"/>
  <c r="AI1009" i="1"/>
  <c r="AJ1008" i="1"/>
  <c r="AJ1007" i="1"/>
  <c r="AJ1006" i="1"/>
  <c r="AJ1005" i="1"/>
  <c r="AJ1004" i="1"/>
  <c r="AJ1003" i="1"/>
  <c r="AK1001" i="1"/>
  <c r="AK1002" i="1"/>
  <c r="AK1003" i="1" s="1"/>
  <c r="AK1004" i="1" s="1"/>
  <c r="AK1005" i="1" s="1"/>
  <c r="AK1006" i="1" s="1"/>
  <c r="AK1007" i="1" s="1"/>
  <c r="AJ1002" i="1"/>
  <c r="AJ1001" i="1"/>
  <c r="B1" i="3"/>
  <c r="B2" i="3" s="1"/>
  <c r="G93" i="2"/>
  <c r="R93" i="2"/>
  <c r="F93" i="2"/>
  <c r="H93" i="2"/>
  <c r="B93" i="2"/>
  <c r="I93" i="2"/>
  <c r="AG1161" i="1"/>
  <c r="AI1159" i="1"/>
  <c r="AG1159" i="1"/>
  <c r="AG1158" i="1"/>
  <c r="AG1154" i="1"/>
  <c r="AG1156" i="1"/>
  <c r="AG1150" i="1"/>
  <c r="AG1151" i="1"/>
  <c r="AG1153" i="1"/>
  <c r="AG1155" i="1"/>
  <c r="AG1152" i="1"/>
  <c r="AG1149" i="1"/>
  <c r="AI1149" i="1"/>
  <c r="AI1150" i="1" s="1"/>
  <c r="AI1151" i="1" s="1"/>
  <c r="AI1152" i="1" s="1"/>
  <c r="AI1153" i="1" s="1"/>
  <c r="AI1154" i="1" s="1"/>
  <c r="AI1155" i="1" s="1"/>
  <c r="AI1156" i="1" s="1"/>
  <c r="AG1148" i="1"/>
  <c r="AG1142" i="1"/>
  <c r="AG1144" i="1"/>
  <c r="AG1141" i="1"/>
  <c r="AG1143" i="1"/>
  <c r="AG1145" i="1"/>
  <c r="AI1140" i="1"/>
  <c r="AI1141" i="1" s="1"/>
  <c r="AI1142" i="1" s="1"/>
  <c r="AI1143" i="1" s="1"/>
  <c r="AI1144" i="1" s="1"/>
  <c r="AI1145" i="1" s="1"/>
  <c r="AI1146" i="1" s="1"/>
  <c r="AG1140" i="1"/>
  <c r="AG1146" i="1"/>
  <c r="AG1139" i="1"/>
  <c r="AG1137" i="1"/>
  <c r="AG1134" i="1"/>
  <c r="AG1133" i="1"/>
  <c r="AG1135" i="1"/>
  <c r="AG1132" i="1"/>
  <c r="AG1130" i="1"/>
  <c r="AI1129" i="1"/>
  <c r="AG1129" i="1"/>
  <c r="AG1131" i="1"/>
  <c r="AI1130" i="1"/>
  <c r="AI1131" i="1" s="1"/>
  <c r="AI1132" i="1" s="1"/>
  <c r="AI1133" i="1" s="1"/>
  <c r="AI1134" i="1" s="1"/>
  <c r="AI1135" i="1" s="1"/>
  <c r="AG1128" i="1"/>
  <c r="AG1126" i="1"/>
  <c r="AG1124" i="1"/>
  <c r="AG1122" i="1"/>
  <c r="AG1121" i="1"/>
  <c r="AG1120" i="1"/>
  <c r="AG1119" i="1"/>
  <c r="AG1118" i="1"/>
  <c r="AG1117" i="1"/>
  <c r="AI1117" i="1"/>
  <c r="AI1118" i="1" s="1"/>
  <c r="AI1119" i="1" s="1"/>
  <c r="AI1120" i="1" s="1"/>
  <c r="AI1121" i="1" s="1"/>
  <c r="AI1122" i="1" s="1"/>
  <c r="AG1116" i="1"/>
  <c r="AG1114" i="1"/>
  <c r="AG1113" i="1"/>
  <c r="AG1112" i="1"/>
  <c r="AG1111" i="1"/>
  <c r="AG1110" i="1"/>
  <c r="AG1109" i="1"/>
  <c r="AG1108" i="1"/>
  <c r="AG1107" i="1"/>
  <c r="AG1106" i="1"/>
  <c r="AI1105" i="1"/>
  <c r="AI1106" i="1" s="1"/>
  <c r="AI1107" i="1" s="1"/>
  <c r="AI1108" i="1" s="1"/>
  <c r="AI1109" i="1" s="1"/>
  <c r="AI1110" i="1" s="1"/>
  <c r="AI1111" i="1" s="1"/>
  <c r="AI1112" i="1" s="1"/>
  <c r="AI1113" i="1" s="1"/>
  <c r="AI1114" i="1" s="1"/>
  <c r="AG1105" i="1"/>
  <c r="AG1104" i="1"/>
  <c r="AG1102" i="1"/>
  <c r="AG1101" i="1"/>
  <c r="AG1100" i="1"/>
  <c r="AG1099" i="1"/>
  <c r="AG1098" i="1"/>
  <c r="AI1097" i="1"/>
  <c r="AI1098" i="1" s="1"/>
  <c r="AI1099" i="1" s="1"/>
  <c r="AI1100" i="1" s="1"/>
  <c r="AI1101" i="1" s="1"/>
  <c r="AI1102" i="1" s="1"/>
  <c r="AG1097" i="1"/>
  <c r="AG1096" i="1"/>
  <c r="AG1094" i="1"/>
  <c r="AG1093" i="1"/>
  <c r="AG1092" i="1"/>
  <c r="AG1091" i="1"/>
  <c r="AI1090" i="1"/>
  <c r="AI1091" i="1" s="1"/>
  <c r="AI1092" i="1" s="1"/>
  <c r="AI1093" i="1" s="1"/>
  <c r="AI1094" i="1" s="1"/>
  <c r="AG1090" i="1"/>
  <c r="AG1089" i="1"/>
  <c r="AG1087" i="1"/>
  <c r="AG1086" i="1"/>
  <c r="AI1085" i="1"/>
  <c r="AI1086" i="1" s="1"/>
  <c r="AI1087" i="1" s="1"/>
  <c r="AG1085" i="1"/>
  <c r="AG1084" i="1"/>
  <c r="AG1082" i="1"/>
  <c r="AG1081" i="1"/>
  <c r="AG1080" i="1"/>
  <c r="AI1080" i="1"/>
  <c r="AI1081" i="1" s="1"/>
  <c r="AI1082" i="1" s="1"/>
  <c r="AG1079" i="1"/>
  <c r="AG1077" i="1"/>
  <c r="AG1075" i="1"/>
  <c r="AI1075" i="1"/>
  <c r="AG1074" i="1"/>
  <c r="AG1072" i="1"/>
  <c r="AG1071" i="1"/>
  <c r="AG1070" i="1"/>
  <c r="AG1069" i="1"/>
  <c r="AG1068" i="1"/>
  <c r="AG1067" i="1"/>
  <c r="AI1066" i="1"/>
  <c r="AI1067" i="1" s="1"/>
  <c r="AI1068" i="1" s="1"/>
  <c r="AI1069" i="1" s="1"/>
  <c r="AI1070" i="1" s="1"/>
  <c r="AI1071" i="1" s="1"/>
  <c r="AI1072" i="1" s="1"/>
  <c r="AG1066" i="1"/>
  <c r="AG1065" i="1"/>
  <c r="AG1063" i="1"/>
  <c r="AG1062" i="1"/>
  <c r="AG1061" i="1"/>
  <c r="AG1060" i="1"/>
  <c r="AG1059" i="1"/>
  <c r="AG1058" i="1"/>
  <c r="AG1057" i="1"/>
  <c r="AG1056" i="1"/>
  <c r="AG1055" i="1"/>
  <c r="AI1055" i="1"/>
  <c r="AI1056" i="1" s="1"/>
  <c r="AI1057" i="1" s="1"/>
  <c r="AI1058" i="1" s="1"/>
  <c r="AI1059" i="1" s="1"/>
  <c r="AI1060" i="1" s="1"/>
  <c r="AI1061" i="1" s="1"/>
  <c r="AI1062" i="1" s="1"/>
  <c r="AI1063" i="1" s="1"/>
  <c r="AG1054" i="1"/>
  <c r="AI965" i="1"/>
  <c r="AI966" i="1" s="1"/>
  <c r="AI930" i="1"/>
  <c r="AI931" i="1" s="1"/>
  <c r="AG1052" i="1"/>
  <c r="AI1048" i="1"/>
  <c r="AG1044" i="1"/>
  <c r="AI1036" i="1"/>
  <c r="AG1025" i="1"/>
  <c r="AG1014" i="1"/>
  <c r="AG1009" i="1"/>
  <c r="AG1006" i="1"/>
  <c r="AG1004" i="1"/>
  <c r="AG1001" i="1"/>
  <c r="AI972" i="1"/>
  <c r="AI901" i="1"/>
  <c r="AI993" i="1"/>
  <c r="AG1051" i="1"/>
  <c r="AG1048" i="1"/>
  <c r="AI1044" i="1"/>
  <c r="AG1041" i="1"/>
  <c r="AG1039" i="1"/>
  <c r="AI1037" i="1"/>
  <c r="AG1035" i="1"/>
  <c r="AG1032" i="1"/>
  <c r="AG1030" i="1"/>
  <c r="AG1028" i="1"/>
  <c r="AG1026" i="1"/>
  <c r="AG1022" i="1"/>
  <c r="AG1020" i="1"/>
  <c r="AG1018" i="1"/>
  <c r="AG1016" i="1"/>
  <c r="AI1012" i="1"/>
  <c r="AI1001" i="1"/>
  <c r="AI1002" i="1"/>
  <c r="AI973" i="1"/>
  <c r="J93" i="2"/>
  <c r="AI942" i="1"/>
  <c r="AI1051" i="1"/>
  <c r="AG1045" i="1"/>
  <c r="AG1037" i="1"/>
  <c r="AI1026" i="1"/>
  <c r="AI1015" i="1"/>
  <c r="AG1012" i="1"/>
  <c r="AG1007" i="1"/>
  <c r="AG1005" i="1"/>
  <c r="AG1003" i="1"/>
  <c r="AG1002" i="1"/>
  <c r="A3" i="2"/>
  <c r="AI967" i="1"/>
  <c r="AI912" i="1"/>
  <c r="AI932" i="1"/>
  <c r="AG1050" i="1"/>
  <c r="AG1047" i="1"/>
  <c r="AG1043" i="1"/>
  <c r="AG1040" i="1"/>
  <c r="AG1038" i="1"/>
  <c r="AG1036" i="1"/>
  <c r="AG1033" i="1"/>
  <c r="AG1031" i="1"/>
  <c r="AG1029" i="1"/>
  <c r="AG1027" i="1"/>
  <c r="AG1023" i="1"/>
  <c r="AG1021" i="1"/>
  <c r="AG1019" i="1"/>
  <c r="AG1017" i="1"/>
  <c r="AG1015" i="1"/>
  <c r="AG1011" i="1"/>
  <c r="AI952" i="1"/>
  <c r="AI1038" i="1"/>
  <c r="AI985" i="1"/>
  <c r="AI921" i="1"/>
  <c r="A4" i="2"/>
  <c r="A5" i="2" s="1"/>
  <c r="A6" i="2"/>
  <c r="A7" i="2" s="1"/>
  <c r="A8" i="2"/>
  <c r="A9" i="2" s="1"/>
  <c r="A10" i="2"/>
  <c r="A11" i="2" s="1"/>
  <c r="A12" i="2"/>
  <c r="A13" i="2" s="1"/>
  <c r="A14" i="2"/>
  <c r="A15" i="2" s="1"/>
  <c r="A16" i="2"/>
  <c r="A17" i="2" s="1"/>
  <c r="A18" i="2"/>
  <c r="A19" i="2" s="1"/>
  <c r="A20" i="2"/>
  <c r="G20" i="2" l="1"/>
  <c r="R20" i="2"/>
  <c r="R19" i="2"/>
  <c r="G19" i="2"/>
  <c r="R18" i="2"/>
  <c r="G18" i="2"/>
  <c r="G17" i="2"/>
  <c r="R17" i="2"/>
  <c r="R16" i="2"/>
  <c r="G16" i="2"/>
  <c r="G15" i="2"/>
  <c r="R15" i="2"/>
  <c r="G14" i="2"/>
  <c r="R14" i="2"/>
  <c r="G13" i="2"/>
  <c r="R13" i="2"/>
  <c r="R12" i="2"/>
  <c r="G12" i="2"/>
  <c r="G11" i="2"/>
  <c r="R11" i="2"/>
  <c r="R10" i="2"/>
  <c r="G10" i="2"/>
  <c r="R9" i="2"/>
  <c r="G9" i="2"/>
  <c r="G8" i="2"/>
  <c r="R8" i="2"/>
  <c r="R7" i="2"/>
  <c r="G7" i="2"/>
  <c r="R6" i="2"/>
  <c r="G6" i="2"/>
  <c r="G5" i="2"/>
  <c r="R5" i="2"/>
  <c r="R4" i="2"/>
  <c r="G4" i="2"/>
  <c r="G3" i="2"/>
  <c r="R3" i="2"/>
  <c r="AI953" i="1"/>
  <c r="B20" i="2"/>
  <c r="H20" i="2"/>
  <c r="I19" i="2"/>
  <c r="F18" i="2"/>
  <c r="B18" i="2"/>
  <c r="B17" i="2"/>
  <c r="H16" i="2"/>
  <c r="I15" i="2"/>
  <c r="H14" i="2"/>
  <c r="B14" i="2"/>
  <c r="H13" i="2"/>
  <c r="B12" i="2"/>
  <c r="I12" i="2"/>
  <c r="I11" i="2"/>
  <c r="B10" i="2"/>
  <c r="H9" i="2"/>
  <c r="F8" i="2"/>
  <c r="H7" i="2"/>
  <c r="B6" i="2"/>
  <c r="I5" i="2"/>
  <c r="B4" i="2"/>
  <c r="AI1003" i="1"/>
  <c r="I3" i="2"/>
  <c r="B3" i="2"/>
  <c r="AI933" i="1"/>
  <c r="AI913" i="1"/>
  <c r="AI1039" i="1"/>
  <c r="I20" i="2"/>
  <c r="F19" i="2"/>
  <c r="H18" i="2"/>
  <c r="F16" i="2"/>
  <c r="F15" i="2"/>
  <c r="B15" i="2"/>
  <c r="F12" i="2"/>
  <c r="I10" i="2"/>
  <c r="F9" i="2"/>
  <c r="I7" i="2"/>
  <c r="I6" i="2"/>
  <c r="B5" i="2"/>
  <c r="AI974" i="1"/>
  <c r="J3" i="2"/>
  <c r="AI943" i="1"/>
  <c r="AI1027" i="1"/>
  <c r="AI1028" i="1" s="1"/>
  <c r="AI1029" i="1" s="1"/>
  <c r="F20" i="2"/>
  <c r="H19" i="2"/>
  <c r="B19" i="2"/>
  <c r="J18" i="2"/>
  <c r="I17" i="2"/>
  <c r="H17" i="2"/>
  <c r="B16" i="2"/>
  <c r="J15" i="2"/>
  <c r="J14" i="2"/>
  <c r="B13" i="2"/>
  <c r="F13" i="2"/>
  <c r="J12" i="2"/>
  <c r="F11" i="2"/>
  <c r="H11" i="2"/>
  <c r="H10" i="2"/>
  <c r="J9" i="2"/>
  <c r="H8" i="2"/>
  <c r="J7" i="2"/>
  <c r="H6" i="2"/>
  <c r="J5" i="2"/>
  <c r="I4" i="2"/>
  <c r="AI1045" i="1"/>
  <c r="F3" i="2"/>
  <c r="AI1052" i="1"/>
  <c r="AI994" i="1"/>
  <c r="AI922" i="1"/>
  <c r="J20" i="2"/>
  <c r="J19" i="2"/>
  <c r="I18" i="2"/>
  <c r="J17" i="2"/>
  <c r="J16" i="2"/>
  <c r="I16" i="2"/>
  <c r="H15" i="2"/>
  <c r="F14" i="2"/>
  <c r="J13" i="2"/>
  <c r="H12" i="2"/>
  <c r="J11" i="2"/>
  <c r="F10" i="2"/>
  <c r="J10" i="2"/>
  <c r="B9" i="2"/>
  <c r="J8" i="2"/>
  <c r="I8" i="2"/>
  <c r="B7" i="2"/>
  <c r="J6" i="2"/>
  <c r="F6" i="2"/>
  <c r="F5" i="2"/>
  <c r="H4" i="2"/>
  <c r="J4" i="2"/>
  <c r="H3" i="2"/>
  <c r="AI1016" i="1"/>
  <c r="B4" i="4"/>
  <c r="F17" i="2"/>
  <c r="I14" i="2"/>
  <c r="I13" i="2"/>
  <c r="B11" i="2"/>
  <c r="I9" i="2"/>
  <c r="B8" i="2"/>
  <c r="F7" i="2"/>
  <c r="H5" i="2"/>
  <c r="F4" i="2"/>
  <c r="AI902" i="1"/>
  <c r="AI986" i="1"/>
  <c r="B3" i="7"/>
  <c r="B4" i="7" s="1"/>
  <c r="B3" i="5"/>
  <c r="B4" i="5" s="1"/>
  <c r="B5" i="4"/>
  <c r="B6" i="4" s="1"/>
  <c r="AI1017" i="1"/>
  <c r="AI1004" i="1"/>
  <c r="AI1005" i="1" s="1"/>
  <c r="F6" i="4"/>
  <c r="C4" i="5"/>
  <c r="D3" i="7"/>
  <c r="AI944" i="1"/>
  <c r="E4" i="5"/>
  <c r="C4" i="7"/>
  <c r="C3" i="5"/>
  <c r="G4" i="4"/>
  <c r="AI934" i="1"/>
  <c r="AI975" i="1"/>
  <c r="AI976" i="1" s="1"/>
  <c r="AI954" i="1"/>
  <c r="AI955" i="1" s="1"/>
  <c r="B7" i="4"/>
  <c r="C6" i="4"/>
  <c r="H4" i="5"/>
  <c r="D4" i="5"/>
  <c r="G4" i="7"/>
  <c r="H5" i="4"/>
  <c r="G5" i="4"/>
  <c r="H3" i="5"/>
  <c r="C3" i="7"/>
  <c r="H3" i="7"/>
  <c r="F4" i="4"/>
  <c r="AI903" i="1"/>
  <c r="AI1040" i="1"/>
  <c r="AI945" i="1"/>
  <c r="H6" i="4"/>
  <c r="G6" i="4"/>
  <c r="G4" i="5"/>
  <c r="F4" i="5"/>
  <c r="F4" i="7"/>
  <c r="F5" i="4"/>
  <c r="E5" i="4"/>
  <c r="G3" i="5"/>
  <c r="G3" i="7"/>
  <c r="F3" i="7"/>
  <c r="C4" i="4"/>
  <c r="AI1030" i="1"/>
  <c r="AI1006" i="1"/>
  <c r="AI1007" i="1" s="1"/>
  <c r="AI987" i="1"/>
  <c r="AI914" i="1"/>
  <c r="AI1041" i="1"/>
  <c r="D6" i="4"/>
  <c r="H4" i="7"/>
  <c r="E4" i="7"/>
  <c r="D5" i="4"/>
  <c r="D3" i="5"/>
  <c r="F3" i="5"/>
  <c r="E4" i="4"/>
  <c r="H4" i="4"/>
  <c r="AI923" i="1"/>
  <c r="AI977" i="1"/>
  <c r="AI978" i="1" s="1"/>
  <c r="E6" i="4"/>
  <c r="B5" i="5"/>
  <c r="D4" i="7"/>
  <c r="C5" i="4"/>
  <c r="E3" i="5"/>
  <c r="E3" i="7"/>
  <c r="D4" i="4"/>
  <c r="AI935" i="1"/>
  <c r="AI995" i="1"/>
  <c r="AI996" i="1"/>
  <c r="A4" i="4" l="1"/>
  <c r="A3" i="5"/>
  <c r="A5" i="4"/>
  <c r="A4" i="7"/>
  <c r="A3" i="7"/>
  <c r="A4" i="5"/>
  <c r="A6" i="4"/>
  <c r="AI1031" i="1"/>
  <c r="AI956" i="1"/>
  <c r="G5" i="5"/>
  <c r="C5" i="5"/>
  <c r="F7" i="4"/>
  <c r="AI1032" i="1"/>
  <c r="AI904" i="1"/>
  <c r="AI1018" i="1"/>
  <c r="AI1019" i="1" s="1"/>
  <c r="B6" i="5"/>
  <c r="F5" i="5"/>
  <c r="G7" i="4"/>
  <c r="H7" i="4"/>
  <c r="AI946" i="1"/>
  <c r="E5" i="5"/>
  <c r="AI1020" i="1"/>
  <c r="D7" i="4"/>
  <c r="C7" i="4"/>
  <c r="AI936" i="1"/>
  <c r="AI997" i="1"/>
  <c r="H5" i="5"/>
  <c r="E7" i="4"/>
  <c r="AI924" i="1"/>
  <c r="D5" i="5"/>
  <c r="B8" i="4"/>
  <c r="AI979" i="1"/>
  <c r="A7" i="4" l="1"/>
  <c r="A5" i="5"/>
  <c r="AI1021" i="1"/>
  <c r="AI957" i="1"/>
  <c r="D8" i="4"/>
  <c r="C6" i="5"/>
  <c r="G8" i="4"/>
  <c r="D6" i="5"/>
  <c r="AI905" i="1"/>
  <c r="H8" i="4"/>
  <c r="B7" i="5"/>
  <c r="E6" i="5"/>
  <c r="AI947" i="1"/>
  <c r="AI1022" i="1"/>
  <c r="B9" i="4"/>
  <c r="F8" i="4"/>
  <c r="AI925" i="1"/>
  <c r="G6" i="5"/>
  <c r="AI1033" i="1"/>
  <c r="AI948" i="1"/>
  <c r="C8" i="4"/>
  <c r="F6" i="5"/>
  <c r="AI1023" i="1"/>
  <c r="E8" i="4"/>
  <c r="H6" i="5"/>
  <c r="A6" i="5" l="1"/>
  <c r="A8" i="4"/>
  <c r="AI958" i="1"/>
  <c r="AI959" i="1" s="1"/>
  <c r="AI960" i="1" s="1"/>
  <c r="AI961" i="1" s="1"/>
  <c r="G9" i="4"/>
  <c r="D9" i="4"/>
  <c r="D7" i="5"/>
  <c r="C7" i="5"/>
  <c r="E9" i="4"/>
  <c r="G7" i="5"/>
  <c r="F7" i="5"/>
  <c r="AI926" i="1"/>
  <c r="F9" i="4"/>
  <c r="B8" i="5"/>
  <c r="E7" i="5"/>
  <c r="C9" i="4"/>
  <c r="H9" i="4"/>
  <c r="H7" i="5"/>
  <c r="A9" i="4" l="1"/>
  <c r="A7" i="5"/>
  <c r="H8" i="5"/>
  <c r="B9" i="5"/>
  <c r="G8" i="5"/>
  <c r="E8" i="5"/>
  <c r="F8" i="5"/>
  <c r="D8" i="5"/>
  <c r="C8" i="5"/>
  <c r="A8" i="5" l="1"/>
  <c r="E9" i="5"/>
  <c r="D9" i="5"/>
  <c r="H9" i="5"/>
  <c r="F9" i="5"/>
  <c r="C9" i="5"/>
  <c r="G9" i="5"/>
  <c r="B10" i="5"/>
  <c r="A9" i="5" l="1"/>
  <c r="AE753" i="1"/>
  <c r="AL753" i="1"/>
  <c r="AO753" i="1" s="1"/>
  <c r="AP753" i="1" s="1"/>
  <c r="A85" i="2"/>
  <c r="F10" i="5"/>
  <c r="D10" i="5"/>
  <c r="C10" i="5"/>
  <c r="G10" i="5"/>
  <c r="B11" i="5"/>
  <c r="E10" i="5"/>
  <c r="H10" i="5"/>
  <c r="AH753" i="1"/>
  <c r="A10" i="5" l="1"/>
  <c r="R85" i="2"/>
  <c r="G85" i="2"/>
  <c r="I85" i="2"/>
  <c r="B85" i="2"/>
  <c r="F85" i="2"/>
  <c r="H85" i="2"/>
  <c r="H11" i="5"/>
  <c r="C11" i="5"/>
  <c r="D11" i="5"/>
  <c r="E11" i="5"/>
  <c r="B12" i="5"/>
  <c r="G11" i="5"/>
  <c r="J85" i="2"/>
  <c r="F11" i="5"/>
  <c r="D753" i="1"/>
  <c r="AJ1161" i="1" l="1"/>
  <c r="B1161" i="1" s="1"/>
  <c r="C1161" i="1" s="1"/>
  <c r="AJ1158" i="1"/>
  <c r="B1158" i="1" s="1"/>
  <c r="C1158" i="1" s="1"/>
  <c r="AJ1148" i="1"/>
  <c r="B1148" i="1" s="1"/>
  <c r="C1148" i="1" s="1"/>
  <c r="AJ1139" i="1"/>
  <c r="B1139" i="1" s="1"/>
  <c r="C1139" i="1" s="1"/>
  <c r="AJ1137" i="1"/>
  <c r="B1137" i="1" s="1"/>
  <c r="C1137" i="1" s="1"/>
  <c r="AJ1128" i="1"/>
  <c r="B1128" i="1" s="1"/>
  <c r="C1128" i="1" s="1"/>
  <c r="AJ1126" i="1"/>
  <c r="B1126" i="1" s="1"/>
  <c r="C1126" i="1" s="1"/>
  <c r="AJ1124" i="1"/>
  <c r="B1124" i="1" s="1"/>
  <c r="C1124" i="1" s="1"/>
  <c r="AJ1116" i="1"/>
  <c r="B1116" i="1" s="1"/>
  <c r="C1116" i="1" s="1"/>
  <c r="AJ1104" i="1"/>
  <c r="B1104" i="1" s="1"/>
  <c r="C1104" i="1" s="1"/>
  <c r="AJ1097" i="1"/>
  <c r="B1097" i="1" s="1"/>
  <c r="C1097" i="1" s="1"/>
  <c r="AJ1096" i="1"/>
  <c r="B1096" i="1" s="1"/>
  <c r="C1096" i="1" s="1"/>
  <c r="AJ1089" i="1"/>
  <c r="B1089" i="1" s="1"/>
  <c r="C1089" i="1" s="1"/>
  <c r="AJ1084" i="1"/>
  <c r="B1084" i="1" s="1"/>
  <c r="C1084" i="1" s="1"/>
  <c r="AJ1079" i="1"/>
  <c r="B1079" i="1" s="1"/>
  <c r="C1079" i="1" s="1"/>
  <c r="AJ1077" i="1"/>
  <c r="B1077" i="1" s="1"/>
  <c r="C1077" i="1" s="1"/>
  <c r="AJ1074" i="1"/>
  <c r="B1074" i="1" s="1"/>
  <c r="C1074" i="1" s="1"/>
  <c r="AJ1065" i="1"/>
  <c r="B1065" i="1" s="1"/>
  <c r="C1065" i="1" s="1"/>
  <c r="AJ1054" i="1"/>
  <c r="B1054" i="1" s="1"/>
  <c r="C1054" i="1" s="1"/>
  <c r="A11" i="5"/>
  <c r="AJ1050" i="1"/>
  <c r="B1050" i="1" s="1"/>
  <c r="C1050" i="1" s="1"/>
  <c r="AJ1047" i="1"/>
  <c r="B1047" i="1" s="1"/>
  <c r="C1047" i="1" s="1"/>
  <c r="AJ1043" i="1"/>
  <c r="B1043" i="1" s="1"/>
  <c r="C1043" i="1" s="1"/>
  <c r="E2" i="2"/>
  <c r="L2" i="2"/>
  <c r="K2" i="2"/>
  <c r="L3" i="2"/>
  <c r="K4" i="2"/>
  <c r="L7" i="2"/>
  <c r="K8" i="2"/>
  <c r="K10" i="2"/>
  <c r="K12" i="2"/>
  <c r="K13" i="2"/>
  <c r="L14" i="2"/>
  <c r="L15" i="2"/>
  <c r="L5" i="2"/>
  <c r="K6" i="2"/>
  <c r="K9" i="2"/>
  <c r="L11" i="2"/>
  <c r="L16" i="2"/>
  <c r="K17" i="2"/>
  <c r="E3" i="2"/>
  <c r="K3" i="2"/>
  <c r="M3" i="2" s="1"/>
  <c r="E4" i="2"/>
  <c r="L4" i="2"/>
  <c r="E7" i="2"/>
  <c r="K7" i="2"/>
  <c r="M7" i="2" s="1"/>
  <c r="E8" i="2"/>
  <c r="L8" i="2"/>
  <c r="E10" i="2"/>
  <c r="L10" i="2"/>
  <c r="E12" i="2"/>
  <c r="L12" i="2"/>
  <c r="E13" i="2"/>
  <c r="L13" i="2"/>
  <c r="K14" i="2"/>
  <c r="M14" i="2" s="1"/>
  <c r="E15" i="2"/>
  <c r="E5" i="2"/>
  <c r="E6" i="2"/>
  <c r="E9" i="2"/>
  <c r="E11" i="2"/>
  <c r="E16" i="2"/>
  <c r="E17" i="2"/>
  <c r="E14" i="2"/>
  <c r="K15" i="2"/>
  <c r="M15" i="2" s="1"/>
  <c r="K5" i="2"/>
  <c r="M5" i="2" s="1"/>
  <c r="L6" i="2"/>
  <c r="L9" i="2"/>
  <c r="K11" i="2"/>
  <c r="M11" i="2" s="1"/>
  <c r="K16" i="2"/>
  <c r="M16" i="2" s="1"/>
  <c r="L17" i="2"/>
  <c r="E18" i="2"/>
  <c r="L18" i="2"/>
  <c r="L19" i="2"/>
  <c r="E20" i="2"/>
  <c r="K20" i="2"/>
  <c r="K18" i="2"/>
  <c r="M18" i="2" s="1"/>
  <c r="E19" i="2"/>
  <c r="K19" i="2"/>
  <c r="L20" i="2"/>
  <c r="AJ1035" i="1"/>
  <c r="B1035" i="1" s="1"/>
  <c r="AJ1025" i="1"/>
  <c r="B1025" i="1" s="1"/>
  <c r="AJ1014" i="1"/>
  <c r="B1014" i="1" s="1"/>
  <c r="AJ1011" i="1"/>
  <c r="B1011" i="1" s="1"/>
  <c r="AJ1009" i="1"/>
  <c r="B1009" i="1" s="1"/>
  <c r="AJ999" i="1"/>
  <c r="B999" i="1" s="1"/>
  <c r="AJ989" i="1"/>
  <c r="B989" i="1" s="1"/>
  <c r="AJ981" i="1"/>
  <c r="B981" i="1" s="1"/>
  <c r="AJ969" i="1"/>
  <c r="B969" i="1" s="1"/>
  <c r="AJ963" i="1"/>
  <c r="B963" i="1" s="1"/>
  <c r="AJ950" i="1"/>
  <c r="B950" i="1" s="1"/>
  <c r="AJ938" i="1"/>
  <c r="B938" i="1" s="1"/>
  <c r="AJ928" i="1"/>
  <c r="B928" i="1" s="1"/>
  <c r="L85" i="2"/>
  <c r="E85" i="2"/>
  <c r="K85" i="2"/>
  <c r="M85" i="2" s="1"/>
  <c r="AJ916" i="1"/>
  <c r="B916" i="1" s="1"/>
  <c r="AJ907" i="1"/>
  <c r="B907" i="1" s="1"/>
  <c r="AJ896" i="1"/>
  <c r="B896" i="1" s="1"/>
  <c r="AJ894" i="1"/>
  <c r="B894" i="1" s="1"/>
  <c r="AJ888" i="1"/>
  <c r="B888" i="1" s="1"/>
  <c r="C888" i="1" s="1"/>
  <c r="AJ880" i="1"/>
  <c r="B880" i="1" s="1"/>
  <c r="C880" i="1" s="1"/>
  <c r="AJ878" i="1"/>
  <c r="B878" i="1" s="1"/>
  <c r="C878" i="1" s="1"/>
  <c r="AJ875" i="1"/>
  <c r="B875" i="1" s="1"/>
  <c r="C875" i="1" s="1"/>
  <c r="AJ872" i="1"/>
  <c r="B872" i="1" s="1"/>
  <c r="C872" i="1" s="1"/>
  <c r="AJ868" i="1"/>
  <c r="B868" i="1" s="1"/>
  <c r="C868" i="1" s="1"/>
  <c r="AJ866" i="1"/>
  <c r="B866" i="1" s="1"/>
  <c r="C866" i="1" s="1"/>
  <c r="AJ863" i="1"/>
  <c r="B863" i="1" s="1"/>
  <c r="C863" i="1" s="1"/>
  <c r="AJ861" i="1"/>
  <c r="B861" i="1" s="1"/>
  <c r="C861" i="1" s="1"/>
  <c r="AJ855" i="1"/>
  <c r="B855" i="1" s="1"/>
  <c r="C855" i="1" s="1"/>
  <c r="AJ841" i="1"/>
  <c r="B841" i="1" s="1"/>
  <c r="C841" i="1" s="1"/>
  <c r="AJ837" i="1"/>
  <c r="B837" i="1" s="1"/>
  <c r="C837" i="1" s="1"/>
  <c r="AJ835" i="1"/>
  <c r="B835" i="1" s="1"/>
  <c r="AJ832" i="1"/>
  <c r="B832" i="1" s="1"/>
  <c r="C832" i="1" s="1"/>
  <c r="AJ830" i="1"/>
  <c r="B830" i="1" s="1"/>
  <c r="C830" i="1" s="1"/>
  <c r="AJ824" i="1"/>
  <c r="B824" i="1" s="1"/>
  <c r="C824" i="1" s="1"/>
  <c r="AJ807" i="1"/>
  <c r="B807" i="1" s="1"/>
  <c r="C807" i="1" s="1"/>
  <c r="AJ792" i="1"/>
  <c r="B792" i="1" s="1"/>
  <c r="C792" i="1" s="1"/>
  <c r="AJ784" i="1"/>
  <c r="B784" i="1" s="1"/>
  <c r="C784" i="1" s="1"/>
  <c r="AJ769" i="1"/>
  <c r="B769" i="1" s="1"/>
  <c r="C769" i="1" s="1"/>
  <c r="AJ753" i="1"/>
  <c r="AJ353" i="1"/>
  <c r="B353" i="1" s="1"/>
  <c r="C353" i="1" s="1"/>
  <c r="AJ547" i="1"/>
  <c r="B547" i="1" s="1"/>
  <c r="C547" i="1" s="1"/>
  <c r="AJ103" i="1"/>
  <c r="B103" i="1" s="1"/>
  <c r="C103" i="1" s="1"/>
  <c r="AJ700" i="1"/>
  <c r="B700" i="1" s="1"/>
  <c r="C700" i="1" s="1"/>
  <c r="AJ415" i="1"/>
  <c r="B415" i="1" s="1"/>
  <c r="C415" i="1" s="1"/>
  <c r="AJ207" i="1"/>
  <c r="B207" i="1" s="1"/>
  <c r="C207" i="1" s="1"/>
  <c r="AJ24" i="1"/>
  <c r="B24" i="1" s="1"/>
  <c r="C24" i="1" s="1"/>
  <c r="AJ634" i="1"/>
  <c r="B634" i="1" s="1"/>
  <c r="C634" i="1" s="1"/>
  <c r="AJ664" i="1"/>
  <c r="B664" i="1" s="1"/>
  <c r="C664" i="1" s="1"/>
  <c r="AJ42" i="1"/>
  <c r="B42" i="1" s="1"/>
  <c r="C42" i="1" s="1"/>
  <c r="AJ275" i="1"/>
  <c r="B275" i="1" s="1"/>
  <c r="C275" i="1" s="1"/>
  <c r="AJ323" i="1"/>
  <c r="B323" i="1" s="1"/>
  <c r="C323" i="1" s="1"/>
  <c r="AJ216" i="1"/>
  <c r="B216" i="1" s="1"/>
  <c r="C216" i="1" s="1"/>
  <c r="AJ55" i="1"/>
  <c r="B55" i="1" s="1"/>
  <c r="C55" i="1" s="1"/>
  <c r="AJ525" i="1"/>
  <c r="B525" i="1" s="1"/>
  <c r="C525" i="1" s="1"/>
  <c r="AJ355" i="1"/>
  <c r="B355" i="1" s="1"/>
  <c r="C355" i="1" s="1"/>
  <c r="AJ185" i="1"/>
  <c r="B185" i="1" s="1"/>
  <c r="C185" i="1" s="1"/>
  <c r="AJ638" i="1"/>
  <c r="B638" i="1" s="1"/>
  <c r="C638" i="1" s="1"/>
  <c r="AJ622" i="1"/>
  <c r="B622" i="1" s="1"/>
  <c r="C622" i="1" s="1"/>
  <c r="AJ236" i="1"/>
  <c r="B236" i="1" s="1"/>
  <c r="C236" i="1" s="1"/>
  <c r="AJ698" i="1"/>
  <c r="B698" i="1" s="1"/>
  <c r="C698" i="1" s="1"/>
  <c r="L93" i="2"/>
  <c r="L92" i="2"/>
  <c r="AJ224" i="1"/>
  <c r="B224" i="1" s="1"/>
  <c r="C224" i="1" s="1"/>
  <c r="AJ379" i="1"/>
  <c r="B379" i="1" s="1"/>
  <c r="C379" i="1" s="1"/>
  <c r="AJ735" i="1"/>
  <c r="B735" i="1" s="1"/>
  <c r="C735" i="1" s="1"/>
  <c r="AJ195" i="1"/>
  <c r="B195" i="1" s="1"/>
  <c r="C195" i="1" s="1"/>
  <c r="AJ528" i="1"/>
  <c r="B528" i="1" s="1"/>
  <c r="C528" i="1" s="1"/>
  <c r="AJ299" i="1"/>
  <c r="B299" i="1" s="1"/>
  <c r="C299" i="1" s="1"/>
  <c r="AJ333" i="1"/>
  <c r="B333" i="1" s="1"/>
  <c r="C333" i="1" s="1"/>
  <c r="AJ76" i="1"/>
  <c r="B76" i="1" s="1"/>
  <c r="C76" i="1" s="1"/>
  <c r="AJ744" i="1"/>
  <c r="B744" i="1" s="1"/>
  <c r="C744" i="1" s="1"/>
  <c r="AJ203" i="1"/>
  <c r="B203" i="1" s="1"/>
  <c r="C203" i="1" s="1"/>
  <c r="AJ580" i="1"/>
  <c r="B580" i="1" s="1"/>
  <c r="C580" i="1" s="1"/>
  <c r="AJ116" i="1"/>
  <c r="B116" i="1" s="1"/>
  <c r="C116" i="1" s="1"/>
  <c r="AJ555" i="1"/>
  <c r="B555" i="1" s="1"/>
  <c r="C555" i="1" s="1"/>
  <c r="AJ541" i="1"/>
  <c r="B541" i="1" s="1"/>
  <c r="C541" i="1" s="1"/>
  <c r="AJ304" i="1"/>
  <c r="B304" i="1" s="1"/>
  <c r="C304" i="1" s="1"/>
  <c r="AJ364" i="1"/>
  <c r="B364" i="1" s="1"/>
  <c r="C364" i="1" s="1"/>
  <c r="AJ359" i="1"/>
  <c r="B359" i="1" s="1"/>
  <c r="C359" i="1" s="1"/>
  <c r="AJ45" i="1"/>
  <c r="B45" i="1" s="1"/>
  <c r="C45" i="1" s="1"/>
  <c r="AJ373" i="1"/>
  <c r="B373" i="1" s="1"/>
  <c r="C373" i="1" s="1"/>
  <c r="AJ746" i="1"/>
  <c r="B746" i="1" s="1"/>
  <c r="C746" i="1" s="1"/>
  <c r="AJ535" i="1"/>
  <c r="B535" i="1" s="1"/>
  <c r="C535" i="1" s="1"/>
  <c r="AJ361" i="1"/>
  <c r="B361" i="1" s="1"/>
  <c r="C361" i="1" s="1"/>
  <c r="AJ552" i="1"/>
  <c r="B552" i="1" s="1"/>
  <c r="C552" i="1" s="1"/>
  <c r="AJ269" i="1"/>
  <c r="B269" i="1" s="1"/>
  <c r="C269" i="1" s="1"/>
  <c r="AJ344" i="1"/>
  <c r="B344" i="1" s="1"/>
  <c r="C344" i="1" s="1"/>
  <c r="AJ666" i="1"/>
  <c r="B666" i="1" s="1"/>
  <c r="C666" i="1" s="1"/>
  <c r="AJ293" i="1"/>
  <c r="B293" i="1" s="1"/>
  <c r="C293" i="1" s="1"/>
  <c r="AJ584" i="1"/>
  <c r="B584" i="1" s="1"/>
  <c r="C584" i="1" s="1"/>
  <c r="AJ40" i="1"/>
  <c r="B40" i="1" s="1"/>
  <c r="C40" i="1" s="1"/>
  <c r="AJ31" i="1"/>
  <c r="B31" i="1" s="1"/>
  <c r="C31" i="1" s="1"/>
  <c r="AJ14" i="1"/>
  <c r="B14" i="1" s="1"/>
  <c r="C14" i="1" s="1"/>
  <c r="AJ624" i="1"/>
  <c r="B624" i="1" s="1"/>
  <c r="C624" i="1" s="1"/>
  <c r="AJ278" i="1"/>
  <c r="B278" i="1" s="1"/>
  <c r="C278" i="1" s="1"/>
  <c r="AJ112" i="1"/>
  <c r="B112" i="1" s="1"/>
  <c r="C112" i="1" s="1"/>
  <c r="AJ50" i="1"/>
  <c r="B50" i="1" s="1"/>
  <c r="C50" i="1" s="1"/>
  <c r="AJ375" i="1"/>
  <c r="B375" i="1" s="1"/>
  <c r="C375" i="1" s="1"/>
  <c r="AJ377" i="1"/>
  <c r="B377" i="1" s="1"/>
  <c r="C377" i="1" s="1"/>
  <c r="AJ175" i="1"/>
  <c r="B175" i="1" s="1"/>
  <c r="C175" i="1" s="1"/>
  <c r="AJ37" i="1"/>
  <c r="B37" i="1" s="1"/>
  <c r="C37" i="1" s="1"/>
  <c r="AJ630" i="1"/>
  <c r="B630" i="1" s="1"/>
  <c r="C630" i="1" s="1"/>
  <c r="AJ110" i="1"/>
  <c r="B110" i="1" s="1"/>
  <c r="C110" i="1" s="1"/>
  <c r="AJ199" i="1"/>
  <c r="B199" i="1" s="1"/>
  <c r="C199" i="1" s="1"/>
  <c r="AJ691" i="1"/>
  <c r="B691" i="1" s="1"/>
  <c r="C691" i="1" s="1"/>
  <c r="AJ87" i="1"/>
  <c r="B87" i="1" s="1"/>
  <c r="C87" i="1" s="1"/>
  <c r="AJ725" i="1"/>
  <c r="B725" i="1" s="1"/>
  <c r="C725" i="1" s="1"/>
  <c r="AJ238" i="1"/>
  <c r="B238" i="1" s="1"/>
  <c r="C238" i="1" s="1"/>
  <c r="AJ707" i="1"/>
  <c r="B707" i="1" s="1"/>
  <c r="C707" i="1" s="1"/>
  <c r="AJ417" i="1"/>
  <c r="B417" i="1" s="1"/>
  <c r="C417" i="1" s="1"/>
  <c r="AJ301" i="1"/>
  <c r="B301" i="1" s="1"/>
  <c r="C301" i="1" s="1"/>
  <c r="AJ627" i="1"/>
  <c r="B627" i="1" s="1"/>
  <c r="C627" i="1" s="1"/>
  <c r="AJ201" i="1"/>
  <c r="B201" i="1" s="1"/>
  <c r="C201" i="1" s="1"/>
  <c r="AJ126" i="1"/>
  <c r="B126" i="1" s="1"/>
  <c r="C126" i="1" s="1"/>
  <c r="AJ267" i="1"/>
  <c r="B267" i="1" s="1"/>
  <c r="C267" i="1" s="1"/>
  <c r="AJ122" i="1"/>
  <c r="B122" i="1" s="1"/>
  <c r="C122" i="1" s="1"/>
  <c r="AJ211" i="1"/>
  <c r="B211" i="1" s="1"/>
  <c r="C211" i="1" s="1"/>
  <c r="AJ370" i="1"/>
  <c r="B370" i="1" s="1"/>
  <c r="C370" i="1" s="1"/>
  <c r="AJ214" i="1"/>
  <c r="B214" i="1" s="1"/>
  <c r="C214" i="1" s="1"/>
  <c r="AJ696" i="1"/>
  <c r="B696" i="1" s="1"/>
  <c r="C696" i="1" s="1"/>
  <c r="AJ530" i="1"/>
  <c r="B530" i="1" s="1"/>
  <c r="C530" i="1" s="1"/>
  <c r="AJ220" i="1"/>
  <c r="B220" i="1" s="1"/>
  <c r="C220" i="1" s="1"/>
  <c r="AJ533" i="1"/>
  <c r="B533" i="1" s="1"/>
  <c r="C533" i="1" s="1"/>
  <c r="AJ349" i="1"/>
  <c r="B349" i="1" s="1"/>
  <c r="C349" i="1" s="1"/>
  <c r="AJ61" i="1"/>
  <c r="B61" i="1" s="1"/>
  <c r="C61" i="1" s="1"/>
  <c r="AJ287" i="1"/>
  <c r="B287" i="1" s="1"/>
  <c r="C287" i="1" s="1"/>
  <c r="AI753" i="1"/>
  <c r="AJ3" i="1"/>
  <c r="B3" i="1" s="1"/>
  <c r="AJ128" i="1"/>
  <c r="B128" i="1" s="1"/>
  <c r="AJ130" i="1"/>
  <c r="B130" i="1" s="1"/>
  <c r="AJ89" i="1"/>
  <c r="B89" i="1" s="1"/>
  <c r="AJ133" i="1"/>
  <c r="B133" i="1" s="1"/>
  <c r="AJ140" i="1"/>
  <c r="B140" i="1" s="1"/>
  <c r="AJ98" i="1"/>
  <c r="B98" i="1" s="1"/>
  <c r="AJ150" i="1"/>
  <c r="B150" i="1" s="1"/>
  <c r="AJ160" i="1"/>
  <c r="B160" i="1" s="1"/>
  <c r="AJ254" i="1"/>
  <c r="B254" i="1" s="1"/>
  <c r="AJ252" i="1"/>
  <c r="B252" i="1" s="1"/>
  <c r="E92" i="2"/>
  <c r="AJ168" i="1"/>
  <c r="B168" i="1" s="1"/>
  <c r="AJ172" i="1"/>
  <c r="B172" i="1" s="1"/>
  <c r="E93" i="2"/>
  <c r="AJ307" i="1"/>
  <c r="B307" i="1" s="1"/>
  <c r="AJ317" i="1"/>
  <c r="B317" i="1" s="1"/>
  <c r="AJ259" i="1"/>
  <c r="B259" i="1" s="1"/>
  <c r="K92" i="2"/>
  <c r="AJ382" i="1"/>
  <c r="B382" i="1" s="1"/>
  <c r="AJ320" i="1"/>
  <c r="B320" i="1" s="1"/>
  <c r="AJ262" i="1"/>
  <c r="B262" i="1" s="1"/>
  <c r="AJ390" i="1"/>
  <c r="B390" i="1" s="1"/>
  <c r="K93" i="2"/>
  <c r="AJ394" i="1"/>
  <c r="B394" i="1" s="1"/>
  <c r="AJ406" i="1"/>
  <c r="B406" i="1" s="1"/>
  <c r="AJ431" i="1"/>
  <c r="B431" i="1" s="1"/>
  <c r="AJ439" i="1"/>
  <c r="B439" i="1" s="1"/>
  <c r="AJ420" i="1"/>
  <c r="B420" i="1" s="1"/>
  <c r="AJ446" i="1"/>
  <c r="B446" i="1" s="1"/>
  <c r="AJ457" i="1"/>
  <c r="B457" i="1" s="1"/>
  <c r="AJ479" i="1"/>
  <c r="B479" i="1" s="1"/>
  <c r="AJ468" i="1"/>
  <c r="B468" i="1" s="1"/>
  <c r="AJ565" i="1"/>
  <c r="B565" i="1" s="1"/>
  <c r="AJ557" i="1"/>
  <c r="B557" i="1" s="1"/>
  <c r="AJ484" i="1"/>
  <c r="B484" i="1" s="1"/>
  <c r="AJ586" i="1"/>
  <c r="B586" i="1" s="1"/>
  <c r="AJ578" i="1"/>
  <c r="B578" i="1" s="1"/>
  <c r="AJ495" i="1"/>
  <c r="B495" i="1" s="1"/>
  <c r="AJ610" i="1"/>
  <c r="B610" i="1" s="1"/>
  <c r="AJ598" i="1"/>
  <c r="B598" i="1" s="1"/>
  <c r="AJ503" i="1"/>
  <c r="B503" i="1" s="1"/>
  <c r="AJ514" i="1"/>
  <c r="B514" i="1" s="1"/>
  <c r="AJ559" i="1"/>
  <c r="B559" i="1" s="1"/>
  <c r="AJ640" i="1"/>
  <c r="B640" i="1" s="1"/>
  <c r="AJ679" i="1"/>
  <c r="B679" i="1" s="1"/>
  <c r="AJ668" i="1"/>
  <c r="B668" i="1" s="1"/>
  <c r="AJ645" i="1"/>
  <c r="B645" i="1" s="1"/>
  <c r="AJ652" i="1"/>
  <c r="B652" i="1" s="1"/>
  <c r="AJ654" i="1"/>
  <c r="B654" i="1" s="1"/>
  <c r="AJ693" i="1"/>
  <c r="B693" i="1" s="1"/>
  <c r="AJ717" i="1"/>
  <c r="B717" i="1" s="1"/>
  <c r="AJ721" i="1"/>
  <c r="B721" i="1" s="1"/>
  <c r="AC783" i="1"/>
  <c r="AD783" i="1"/>
  <c r="C93" i="2"/>
  <c r="C92" i="2"/>
  <c r="N93" i="2"/>
  <c r="C85" i="2"/>
  <c r="N85" i="2"/>
  <c r="N92" i="2"/>
  <c r="AC1161" i="1"/>
  <c r="AD1161" i="1"/>
  <c r="AC1159" i="1"/>
  <c r="AD1159" i="1"/>
  <c r="AD1158" i="1"/>
  <c r="AC1158" i="1"/>
  <c r="AC1151" i="1"/>
  <c r="AC1155" i="1"/>
  <c r="AC1152" i="1"/>
  <c r="AD1150" i="1"/>
  <c r="AC1153" i="1"/>
  <c r="AD1154" i="1"/>
  <c r="AD1156" i="1"/>
  <c r="AD1153" i="1"/>
  <c r="AD1155" i="1"/>
  <c r="AC1154" i="1"/>
  <c r="AD1151" i="1"/>
  <c r="AD1152" i="1"/>
  <c r="AC1156" i="1"/>
  <c r="AC1150" i="1"/>
  <c r="AC1149" i="1"/>
  <c r="AD1149" i="1"/>
  <c r="AC1148" i="1"/>
  <c r="AD1148" i="1"/>
  <c r="AC1140" i="1"/>
  <c r="AD1146" i="1"/>
  <c r="AC1142" i="1"/>
  <c r="AC1144" i="1"/>
  <c r="AC1141" i="1"/>
  <c r="AC1143" i="1"/>
  <c r="AC1145" i="1"/>
  <c r="AD1140" i="1"/>
  <c r="AD1142" i="1"/>
  <c r="AD1144" i="1"/>
  <c r="AC1146" i="1"/>
  <c r="AD1141" i="1"/>
  <c r="AD1143" i="1"/>
  <c r="AD1145" i="1"/>
  <c r="AC1139" i="1"/>
  <c r="AD1139" i="1"/>
  <c r="AD1137" i="1"/>
  <c r="AC1137" i="1"/>
  <c r="AC1134" i="1"/>
  <c r="AD1133" i="1"/>
  <c r="AD1134" i="1"/>
  <c r="AC1133" i="1"/>
  <c r="AC1135" i="1"/>
  <c r="AD1135" i="1"/>
  <c r="AD1132" i="1"/>
  <c r="AC1132" i="1"/>
  <c r="AC1129" i="1"/>
  <c r="AC1131" i="1"/>
  <c r="AC1130" i="1"/>
  <c r="AD1129" i="1"/>
  <c r="AD1131" i="1"/>
  <c r="AD1130" i="1"/>
  <c r="AC1128" i="1"/>
  <c r="AD1128" i="1"/>
  <c r="AD1126" i="1"/>
  <c r="AC1126" i="1"/>
  <c r="AC1124" i="1"/>
  <c r="AD1124" i="1"/>
  <c r="AC1122" i="1"/>
  <c r="AC1121" i="1"/>
  <c r="AD1122" i="1"/>
  <c r="AD1121" i="1"/>
  <c r="AD1120" i="1"/>
  <c r="AC1120" i="1"/>
  <c r="AD1119" i="1"/>
  <c r="AC1119" i="1"/>
  <c r="AD1118" i="1"/>
  <c r="AC1118" i="1"/>
  <c r="AC1117" i="1"/>
  <c r="AD1117" i="1"/>
  <c r="AD1116" i="1"/>
  <c r="AC1116" i="1"/>
  <c r="AC1114" i="1"/>
  <c r="AD1114" i="1"/>
  <c r="AD1113" i="1"/>
  <c r="AC1113" i="1"/>
  <c r="AD1112" i="1"/>
  <c r="AC1112" i="1"/>
  <c r="AD1111" i="1"/>
  <c r="AC1111" i="1"/>
  <c r="AC1110" i="1"/>
  <c r="AD1110" i="1"/>
  <c r="AC1109" i="1"/>
  <c r="AD1109" i="1"/>
  <c r="AC1108" i="1"/>
  <c r="AD1108" i="1"/>
  <c r="AD1107" i="1"/>
  <c r="AC1107" i="1"/>
  <c r="AC1106" i="1"/>
  <c r="AD1106" i="1"/>
  <c r="AD1105" i="1"/>
  <c r="AC1105" i="1"/>
  <c r="AD1104" i="1"/>
  <c r="AC1104" i="1"/>
  <c r="AC1102" i="1"/>
  <c r="AD1102" i="1"/>
  <c r="AD1101" i="1"/>
  <c r="AC1101" i="1"/>
  <c r="AC1100" i="1"/>
  <c r="AD1100" i="1"/>
  <c r="AD1099" i="1"/>
  <c r="AC1098" i="1"/>
  <c r="AC1099" i="1"/>
  <c r="AD1098" i="1"/>
  <c r="AC1097" i="1"/>
  <c r="AD1097" i="1"/>
  <c r="AC1096" i="1"/>
  <c r="AD1096" i="1"/>
  <c r="AC1094" i="1"/>
  <c r="AD1094" i="1"/>
  <c r="AD1093" i="1"/>
  <c r="AC1093" i="1"/>
  <c r="AD1092" i="1"/>
  <c r="AC1092" i="1"/>
  <c r="AC1091" i="1"/>
  <c r="AD1091" i="1"/>
  <c r="AC1090" i="1"/>
  <c r="AD1090" i="1"/>
  <c r="AC1089" i="1"/>
  <c r="AD1089" i="1"/>
  <c r="AC1087" i="1"/>
  <c r="AD1087" i="1"/>
  <c r="AC1086" i="1"/>
  <c r="AD1086" i="1"/>
  <c r="AC1085" i="1"/>
  <c r="AD1085" i="1"/>
  <c r="AC1084" i="1"/>
  <c r="AD1084" i="1"/>
  <c r="AC1082" i="1"/>
  <c r="AD1082" i="1"/>
  <c r="AD1081" i="1"/>
  <c r="AC1081" i="1"/>
  <c r="AD1080" i="1"/>
  <c r="AC1080" i="1"/>
  <c r="AD1079" i="1"/>
  <c r="AC1079" i="1"/>
  <c r="AD1077" i="1"/>
  <c r="AC1077" i="1"/>
  <c r="AD1075" i="1"/>
  <c r="AC1075" i="1"/>
  <c r="AD1074" i="1"/>
  <c r="AC1074" i="1"/>
  <c r="AC1072" i="1"/>
  <c r="AD1072" i="1"/>
  <c r="AD1071" i="1"/>
  <c r="AC1071" i="1"/>
  <c r="AC1070" i="1"/>
  <c r="AD1070" i="1"/>
  <c r="AC1069" i="1"/>
  <c r="AD1069" i="1"/>
  <c r="AC1068" i="1"/>
  <c r="AD1068" i="1"/>
  <c r="AD1067" i="1"/>
  <c r="AC1067" i="1"/>
  <c r="AC1066" i="1"/>
  <c r="AD1066" i="1"/>
  <c r="AD1065" i="1"/>
  <c r="AC1065" i="1"/>
  <c r="AD1062" i="1"/>
  <c r="AC1062" i="1"/>
  <c r="AC1061" i="1"/>
  <c r="AD1061" i="1"/>
  <c r="AC1060" i="1"/>
  <c r="AD1060" i="1"/>
  <c r="AC1059" i="1"/>
  <c r="AD1059" i="1"/>
  <c r="AD1058" i="1"/>
  <c r="AC1058" i="1"/>
  <c r="AC1057" i="1"/>
  <c r="AD1057" i="1"/>
  <c r="AD1056" i="1"/>
  <c r="AC1056" i="1"/>
  <c r="AC1055" i="1"/>
  <c r="AD1055" i="1"/>
  <c r="AC1054" i="1"/>
  <c r="AD1054" i="1"/>
  <c r="M19" i="2" l="1"/>
  <c r="M2" i="2"/>
  <c r="M17" i="2"/>
  <c r="M6" i="2"/>
  <c r="M13" i="2"/>
  <c r="M10" i="2"/>
  <c r="M20" i="2"/>
  <c r="M9" i="2"/>
  <c r="M12" i="2"/>
  <c r="M8" i="2"/>
  <c r="M4" i="2"/>
  <c r="C1035" i="1"/>
  <c r="C1025" i="1"/>
  <c r="C1014" i="1"/>
  <c r="C1011" i="1"/>
  <c r="C1009" i="1"/>
  <c r="C999" i="1"/>
  <c r="C989" i="1"/>
  <c r="C981" i="1"/>
  <c r="C969" i="1"/>
  <c r="C963" i="1"/>
  <c r="C950" i="1"/>
  <c r="C938" i="1"/>
  <c r="D85" i="2"/>
  <c r="O85" i="2"/>
  <c r="P85" i="2" s="1"/>
  <c r="Q85" i="2" s="1"/>
  <c r="C928" i="1"/>
  <c r="M93" i="2"/>
  <c r="O93" i="2" s="1"/>
  <c r="M92" i="2"/>
  <c r="C916" i="1"/>
  <c r="C907" i="1"/>
  <c r="C896" i="1"/>
  <c r="C894" i="1"/>
  <c r="D93" i="2"/>
  <c r="D92" i="2"/>
  <c r="C835" i="1"/>
  <c r="C668" i="1"/>
  <c r="C640" i="1"/>
  <c r="C503" i="1"/>
  <c r="C598" i="1"/>
  <c r="C484" i="1"/>
  <c r="C557" i="1"/>
  <c r="C468" i="1"/>
  <c r="C479" i="1"/>
  <c r="C446" i="1"/>
  <c r="C439" i="1"/>
  <c r="C406" i="1"/>
  <c r="C394" i="1"/>
  <c r="C262" i="1"/>
  <c r="C382" i="1"/>
  <c r="C317" i="1"/>
  <c r="C307" i="1"/>
  <c r="I5" i="5"/>
  <c r="C168" i="1"/>
  <c r="C252" i="1"/>
  <c r="C160" i="1"/>
  <c r="C150" i="1"/>
  <c r="C140" i="1"/>
  <c r="C89" i="1"/>
  <c r="C128" i="1"/>
  <c r="C3" i="1"/>
  <c r="C721" i="1"/>
  <c r="C717" i="1"/>
  <c r="C693" i="1"/>
  <c r="C654" i="1"/>
  <c r="C652" i="1"/>
  <c r="C645" i="1"/>
  <c r="C679" i="1"/>
  <c r="C559" i="1"/>
  <c r="C514" i="1"/>
  <c r="C610" i="1"/>
  <c r="C495" i="1"/>
  <c r="C578" i="1"/>
  <c r="C586" i="1"/>
  <c r="C565" i="1"/>
  <c r="C457" i="1"/>
  <c r="C420" i="1"/>
  <c r="C431" i="1"/>
  <c r="C390" i="1"/>
  <c r="C320" i="1"/>
  <c r="C259" i="1"/>
  <c r="C172" i="1"/>
  <c r="C254" i="1"/>
  <c r="C98" i="1"/>
  <c r="C133" i="1"/>
  <c r="C130" i="1"/>
  <c r="A84" i="2"/>
  <c r="I9" i="5" l="1"/>
  <c r="I6" i="5"/>
  <c r="I8" i="5"/>
  <c r="I7" i="5"/>
  <c r="I3" i="7"/>
  <c r="I12" i="5"/>
  <c r="O92" i="2"/>
  <c r="P92" i="2" s="1"/>
  <c r="Q92" i="2" s="1"/>
  <c r="I11" i="5"/>
  <c r="G84" i="2"/>
  <c r="R84" i="2"/>
  <c r="I4" i="7"/>
  <c r="I3" i="5"/>
  <c r="P93" i="2"/>
  <c r="Q93" i="2" s="1"/>
  <c r="AM753" i="1"/>
  <c r="AN753" i="1"/>
  <c r="A88" i="2"/>
  <c r="B84" i="2"/>
  <c r="H84" i="2"/>
  <c r="F84" i="2"/>
  <c r="I84" i="2"/>
  <c r="C84" i="2"/>
  <c r="E12" i="5"/>
  <c r="C12" i="5"/>
  <c r="AD1051" i="1"/>
  <c r="AC1048" i="1"/>
  <c r="AD1045" i="1"/>
  <c r="AD1043" i="1"/>
  <c r="N12" i="2"/>
  <c r="C6" i="2"/>
  <c r="N6" i="2"/>
  <c r="C9" i="2"/>
  <c r="AC767" i="1"/>
  <c r="AC619" i="1"/>
  <c r="AC295" i="1"/>
  <c r="AD493" i="1"/>
  <c r="AC535" i="1"/>
  <c r="AD355" i="1"/>
  <c r="AD635" i="1"/>
  <c r="AC620" i="1"/>
  <c r="AD754" i="1"/>
  <c r="AC283" i="1"/>
  <c r="AD296" i="1"/>
  <c r="AC509" i="1"/>
  <c r="AD78" i="1"/>
  <c r="AD278" i="1"/>
  <c r="AD475" i="1"/>
  <c r="AD366" i="1"/>
  <c r="AC702" i="1"/>
  <c r="AC329" i="1"/>
  <c r="AD272" i="1"/>
  <c r="AC245" i="1"/>
  <c r="AC645" i="1"/>
  <c r="AC555" i="1"/>
  <c r="AC721" i="1"/>
  <c r="AD16" i="1"/>
  <c r="AC679" i="1"/>
  <c r="AC327" i="1"/>
  <c r="AD351" i="1"/>
  <c r="AC700" i="1"/>
  <c r="AC596" i="1"/>
  <c r="AD347" i="1"/>
  <c r="AD468" i="1"/>
  <c r="AD568" i="1"/>
  <c r="G12" i="5"/>
  <c r="AC1052" i="1"/>
  <c r="AD1050" i="1"/>
  <c r="AC1047" i="1"/>
  <c r="AC1044" i="1"/>
  <c r="N2" i="2"/>
  <c r="N5" i="2"/>
  <c r="C4" i="2"/>
  <c r="N17" i="2"/>
  <c r="C13" i="2"/>
  <c r="AC757" i="1"/>
  <c r="AD328" i="1"/>
  <c r="AC222" i="1"/>
  <c r="AD329" i="1"/>
  <c r="AC519" i="1"/>
  <c r="AD684" i="1"/>
  <c r="AD84" i="1"/>
  <c r="AD762" i="1"/>
  <c r="AD34" i="1"/>
  <c r="AC557" i="1"/>
  <c r="AD573" i="1"/>
  <c r="AD56" i="1"/>
  <c r="AD670" i="1"/>
  <c r="AC516" i="1"/>
  <c r="AD228" i="1"/>
  <c r="AC187" i="1"/>
  <c r="AC78" i="1"/>
  <c r="AD496" i="1"/>
  <c r="AD451" i="1"/>
  <c r="AC712" i="1"/>
  <c r="AD740" i="1"/>
  <c r="AC471" i="1"/>
  <c r="AC391" i="1"/>
  <c r="AC118" i="1"/>
  <c r="AD287" i="1"/>
  <c r="AC371" i="1"/>
  <c r="AD222" i="1"/>
  <c r="AC236" i="1"/>
  <c r="AC484" i="1"/>
  <c r="AD284" i="1"/>
  <c r="AC314" i="1"/>
  <c r="AD76" i="1"/>
  <c r="AC100" i="1"/>
  <c r="AD254" i="1"/>
  <c r="AC608" i="1"/>
  <c r="AC287" i="1"/>
  <c r="AD5" i="1"/>
  <c r="AC406" i="1"/>
  <c r="AD269" i="1"/>
  <c r="AC347" i="1"/>
  <c r="AC613" i="1"/>
  <c r="AC112" i="1"/>
  <c r="AC260" i="1"/>
  <c r="AC726" i="1"/>
  <c r="AC361" i="1"/>
  <c r="AC681" i="1"/>
  <c r="AD727" i="1"/>
  <c r="AD305" i="1"/>
  <c r="N10" i="2"/>
  <c r="N19" i="2"/>
  <c r="N15" i="2"/>
  <c r="C8" i="2"/>
  <c r="C16" i="2"/>
  <c r="AD631" i="1"/>
  <c r="AC325" i="1"/>
  <c r="AD320" i="1"/>
  <c r="AD395" i="1"/>
  <c r="AD714" i="1"/>
  <c r="AD627" i="1"/>
  <c r="AC500" i="1"/>
  <c r="AC364" i="1"/>
  <c r="N13" i="2"/>
  <c r="N11" i="2"/>
  <c r="AC761" i="1"/>
  <c r="AD630" i="1"/>
  <c r="AD616" i="1"/>
  <c r="AC160" i="1"/>
  <c r="AD247" i="1"/>
  <c r="AD674" i="1"/>
  <c r="AD406" i="1"/>
  <c r="AC764" i="1"/>
  <c r="AC299" i="1"/>
  <c r="AC304" i="1"/>
  <c r="AC227" i="1"/>
  <c r="AC279" i="1"/>
  <c r="AC221" i="1"/>
  <c r="AC65" i="1"/>
  <c r="AD736" i="1"/>
  <c r="AC113" i="1"/>
  <c r="AD183" i="1"/>
  <c r="AD641" i="1"/>
  <c r="AD294" i="1"/>
  <c r="AC172" i="1"/>
  <c r="AD72" i="1"/>
  <c r="AC481" i="1"/>
  <c r="AC151" i="1"/>
  <c r="AD315" i="1"/>
  <c r="AD698" i="1"/>
  <c r="AD185" i="1"/>
  <c r="AD3" i="1"/>
  <c r="AD681" i="1"/>
  <c r="AC74" i="1"/>
  <c r="AC542" i="1"/>
  <c r="AC390" i="1"/>
  <c r="AC523" i="1"/>
  <c r="AC79" i="1"/>
  <c r="AD400" i="1"/>
  <c r="AD350" i="1"/>
  <c r="AD645" i="1"/>
  <c r="AC682" i="1"/>
  <c r="AD248" i="1"/>
  <c r="AD675" i="1"/>
  <c r="AD186" i="1"/>
  <c r="AD314" i="1"/>
  <c r="AD81" i="1"/>
  <c r="AD460" i="1"/>
  <c r="AD712" i="1"/>
  <c r="AC740" i="1"/>
  <c r="AC575" i="1"/>
  <c r="AC252" i="1"/>
  <c r="AC362" i="1"/>
  <c r="AC666" i="1"/>
  <c r="AC747" i="1"/>
  <c r="AC169" i="1"/>
  <c r="AC345" i="1"/>
  <c r="AD197" i="1"/>
  <c r="AD592" i="1"/>
  <c r="AC443" i="1"/>
  <c r="AD318" i="1"/>
  <c r="AC552" i="1"/>
  <c r="AC636" i="1"/>
  <c r="AD470" i="1"/>
  <c r="AC543" i="1"/>
  <c r="AD190" i="1"/>
  <c r="AD252" i="1"/>
  <c r="AC395" i="1"/>
  <c r="AD528" i="1"/>
  <c r="AD22" i="1"/>
  <c r="AC296" i="1"/>
  <c r="AD661" i="1"/>
  <c r="AD279" i="1"/>
  <c r="AC312" i="1"/>
  <c r="AD333" i="1"/>
  <c r="AC45" i="1"/>
  <c r="AD195" i="1"/>
  <c r="AC604" i="1"/>
  <c r="AD646" i="1"/>
  <c r="AD559" i="1"/>
  <c r="AD622" i="1"/>
  <c r="AD531" i="1"/>
  <c r="AC685" i="1"/>
  <c r="AC133" i="1"/>
  <c r="AC713" i="1"/>
  <c r="AC739" i="1"/>
  <c r="AC460" i="1"/>
  <c r="AC180" i="1"/>
  <c r="AC615" i="1"/>
  <c r="AC152" i="1"/>
  <c r="AD1037" i="1"/>
  <c r="AD1028" i="1"/>
  <c r="AD1018" i="1"/>
  <c r="AD1009" i="1"/>
  <c r="AD1000" i="1"/>
  <c r="AD991" i="1"/>
  <c r="AC982" i="1"/>
  <c r="AC970" i="1"/>
  <c r="AD964" i="1"/>
  <c r="AC954" i="1"/>
  <c r="AD947" i="1"/>
  <c r="AD939" i="1"/>
  <c r="AC154" i="1"/>
  <c r="AC610" i="1"/>
  <c r="AC703" i="1"/>
  <c r="AC247" i="1"/>
  <c r="AD656" i="1"/>
  <c r="AC470" i="1"/>
  <c r="AD561" i="1"/>
  <c r="AD632" i="1"/>
  <c r="D12" i="5"/>
  <c r="AD1052" i="1"/>
  <c r="AC1050" i="1"/>
  <c r="AD1047" i="1"/>
  <c r="AD1044" i="1"/>
  <c r="N4" i="2"/>
  <c r="N16" i="2"/>
  <c r="C12" i="2"/>
  <c r="C2" i="2"/>
  <c r="C17" i="2"/>
  <c r="AC766" i="1"/>
  <c r="AD625" i="1"/>
  <c r="AD404" i="1"/>
  <c r="AD473" i="1"/>
  <c r="AD220" i="1"/>
  <c r="AC634" i="1"/>
  <c r="AD574" i="1"/>
  <c r="AC753" i="1"/>
  <c r="AC278" i="1"/>
  <c r="AC262" i="1"/>
  <c r="AC435" i="1"/>
  <c r="AD9" i="1"/>
  <c r="AC718" i="1"/>
  <c r="AC128" i="1"/>
  <c r="AC73" i="1"/>
  <c r="AC458" i="1"/>
  <c r="AD154" i="1"/>
  <c r="AC670" i="1"/>
  <c r="AD191" i="1"/>
  <c r="AC143" i="1"/>
  <c r="AC480" i="1"/>
  <c r="AC415" i="1"/>
  <c r="AD234" i="1"/>
  <c r="AC451" i="1"/>
  <c r="AC545" i="1"/>
  <c r="AD204" i="1"/>
  <c r="AC190" i="1"/>
  <c r="AD598" i="1"/>
  <c r="AD263" i="1"/>
  <c r="AD729" i="1"/>
  <c r="AC482" i="1"/>
  <c r="H12" i="5"/>
  <c r="F12" i="5"/>
  <c r="AC1051" i="1"/>
  <c r="AD1048" i="1"/>
  <c r="AC1045" i="1"/>
  <c r="AC1043" i="1"/>
  <c r="N8" i="2"/>
  <c r="N18" i="2"/>
  <c r="C19" i="2"/>
  <c r="C3" i="2"/>
  <c r="C20" i="2"/>
  <c r="AC756" i="1"/>
  <c r="AC725" i="1"/>
  <c r="AD17" i="1"/>
  <c r="AD423" i="1"/>
  <c r="AD170" i="1"/>
  <c r="AD31" i="1"/>
  <c r="AD83" i="1"/>
  <c r="AD761" i="1"/>
  <c r="AC51" i="1"/>
  <c r="AC748" i="1"/>
  <c r="AC265" i="1"/>
  <c r="AD497" i="1"/>
  <c r="AC318" i="1"/>
  <c r="AD217" i="1"/>
  <c r="AC683" i="1"/>
  <c r="AD555" i="1"/>
  <c r="AD370" i="1"/>
  <c r="AC176" i="1"/>
  <c r="AD657" i="1"/>
  <c r="AC249" i="1"/>
  <c r="AC648" i="1"/>
  <c r="AD599" i="1"/>
  <c r="AD575" i="1"/>
  <c r="AD38" i="1"/>
  <c r="AD47" i="1"/>
  <c r="AD71" i="1"/>
  <c r="AC571" i="1"/>
  <c r="AD401" i="1"/>
  <c r="AD749" i="1"/>
  <c r="AD331" i="1"/>
  <c r="AD151" i="1"/>
  <c r="AC21" i="1"/>
  <c r="AC544" i="1"/>
  <c r="AD346" i="1"/>
  <c r="AD746" i="1"/>
  <c r="AD232" i="1"/>
  <c r="AC71" i="1"/>
  <c r="AC455" i="1"/>
  <c r="AC689" i="1"/>
  <c r="AC282" i="1"/>
  <c r="AC123" i="1"/>
  <c r="AD267" i="1"/>
  <c r="AC232" i="1"/>
  <c r="AD463" i="1"/>
  <c r="AD465" i="1"/>
  <c r="AC496" i="1"/>
  <c r="AD650" i="1"/>
  <c r="N3" i="2"/>
  <c r="N9" i="2"/>
  <c r="C14" i="2"/>
  <c r="N20" i="2"/>
  <c r="C11" i="2"/>
  <c r="AD696" i="1"/>
  <c r="AC276" i="1"/>
  <c r="AD379" i="1"/>
  <c r="AC356" i="1"/>
  <c r="AC308" i="1"/>
  <c r="AD737" i="1"/>
  <c r="AC47" i="1"/>
  <c r="AD522" i="1"/>
  <c r="AD150" i="1"/>
  <c r="C7" i="2"/>
  <c r="C10" i="2"/>
  <c r="AD760" i="1"/>
  <c r="AD312" i="1"/>
  <c r="AD742" i="1"/>
  <c r="AD325" i="1"/>
  <c r="AD503" i="1"/>
  <c r="AD539" i="1"/>
  <c r="AD87" i="1"/>
  <c r="AD767" i="1"/>
  <c r="AD640" i="1"/>
  <c r="AC399" i="1"/>
  <c r="AC736" i="1"/>
  <c r="AC27" i="1"/>
  <c r="AD345" i="1"/>
  <c r="AC514" i="1"/>
  <c r="AC466" i="1"/>
  <c r="AD207" i="1"/>
  <c r="AC603" i="1"/>
  <c r="AC504" i="1"/>
  <c r="AC367" i="1"/>
  <c r="AD499" i="1"/>
  <c r="AD509" i="1"/>
  <c r="AC655" i="1"/>
  <c r="AD654" i="1"/>
  <c r="AC93" i="1"/>
  <c r="AD280" i="1"/>
  <c r="AC83" i="1"/>
  <c r="AC436" i="1"/>
  <c r="AD525" i="1"/>
  <c r="AC751" i="1"/>
  <c r="AD250" i="1"/>
  <c r="AC439" i="1"/>
  <c r="AC705" i="1"/>
  <c r="AC239" i="1"/>
  <c r="AC12" i="1"/>
  <c r="AC563" i="1"/>
  <c r="AD613" i="1"/>
  <c r="AC537" i="1"/>
  <c r="AC479" i="1"/>
  <c r="AC630" i="1"/>
  <c r="AC339" i="1"/>
  <c r="AD730" i="1"/>
  <c r="AD293" i="1"/>
  <c r="AC472" i="1"/>
  <c r="AD128" i="1"/>
  <c r="AD85" i="1"/>
  <c r="AD580" i="1"/>
  <c r="AC214" i="1"/>
  <c r="AC342" i="1"/>
  <c r="AC140" i="1"/>
  <c r="AD291" i="1"/>
  <c r="AC177" i="1"/>
  <c r="AC657" i="1"/>
  <c r="AD669" i="1"/>
  <c r="AD658" i="1"/>
  <c r="AC600" i="1"/>
  <c r="AD457" i="1"/>
  <c r="AD69" i="1"/>
  <c r="AD437" i="1"/>
  <c r="AC742" i="1"/>
  <c r="AD487" i="1"/>
  <c r="AD725" i="1"/>
  <c r="AD689" i="1"/>
  <c r="AD239" i="1"/>
  <c r="AD176" i="1"/>
  <c r="AD464" i="1"/>
  <c r="AD181" i="1"/>
  <c r="AC449" i="1"/>
  <c r="AC510" i="1"/>
  <c r="AC387" i="1"/>
  <c r="AD581" i="1"/>
  <c r="AD542" i="1"/>
  <c r="AD230" i="1"/>
  <c r="AC521" i="1"/>
  <c r="AD694" i="1"/>
  <c r="AD133" i="1"/>
  <c r="AC411" i="1"/>
  <c r="AD600" i="1"/>
  <c r="AD229" i="1"/>
  <c r="AD187" i="1"/>
  <c r="AD242" i="1"/>
  <c r="AD211" i="1"/>
  <c r="AC6" i="1"/>
  <c r="AD620" i="1"/>
  <c r="AC474" i="1"/>
  <c r="AD1041" i="1"/>
  <c r="AC1032" i="1"/>
  <c r="AC1023" i="1"/>
  <c r="AC1015" i="1"/>
  <c r="AC1004" i="1"/>
  <c r="AD995" i="1"/>
  <c r="AD986" i="1"/>
  <c r="AC979" i="1"/>
  <c r="AC969" i="1"/>
  <c r="AD960" i="1"/>
  <c r="AC956" i="1"/>
  <c r="AC943" i="1"/>
  <c r="AD933" i="1"/>
  <c r="AD521" i="1"/>
  <c r="AC349" i="1"/>
  <c r="AC26" i="1"/>
  <c r="AC320" i="1"/>
  <c r="AD265" i="1"/>
  <c r="AD409" i="1"/>
  <c r="AC225" i="1"/>
  <c r="AC518" i="1"/>
  <c r="N14" i="2"/>
  <c r="C5" i="2"/>
  <c r="AD753" i="1"/>
  <c r="AD46" i="1"/>
  <c r="AD4" i="1"/>
  <c r="AD584" i="1"/>
  <c r="AD289" i="1"/>
  <c r="AD491" i="1"/>
  <c r="AD526" i="1"/>
  <c r="AD758" i="1"/>
  <c r="AD452" i="1"/>
  <c r="AC254" i="1"/>
  <c r="AD601" i="1"/>
  <c r="AC487" i="1"/>
  <c r="AD688" i="1"/>
  <c r="AD238" i="1"/>
  <c r="AD14" i="1"/>
  <c r="AD469" i="1"/>
  <c r="AC301" i="1"/>
  <c r="AD119" i="1"/>
  <c r="AD136" i="1"/>
  <c r="AD726" i="1"/>
  <c r="AC220" i="1"/>
  <c r="AD607" i="1"/>
  <c r="AD262" i="1"/>
  <c r="AC168" i="1"/>
  <c r="AC119" i="1"/>
  <c r="AD425" i="1"/>
  <c r="AD302" i="1"/>
  <c r="AD512" i="1"/>
  <c r="AD408" i="1"/>
  <c r="AC228" i="1"/>
  <c r="AC24" i="1"/>
  <c r="AC288" i="1"/>
  <c r="AD549" i="1"/>
  <c r="N7" i="2"/>
  <c r="C18" i="2"/>
  <c r="AD603" i="1"/>
  <c r="AC750" i="1"/>
  <c r="AD310" i="1"/>
  <c r="AD757" i="1"/>
  <c r="AC601" i="1"/>
  <c r="AD138" i="1"/>
  <c r="AC16" i="1"/>
  <c r="AC578" i="1"/>
  <c r="AD349" i="1"/>
  <c r="AC108" i="1"/>
  <c r="AD710" i="1"/>
  <c r="AC11" i="1"/>
  <c r="AC166" i="1"/>
  <c r="AD412" i="1"/>
  <c r="AD205" i="1"/>
  <c r="AD10" i="1"/>
  <c r="AC659" i="1"/>
  <c r="AC618" i="1"/>
  <c r="AD588" i="1"/>
  <c r="AC196" i="1"/>
  <c r="AC409" i="1"/>
  <c r="AD179" i="1"/>
  <c r="AD421" i="1"/>
  <c r="AD415" i="1"/>
  <c r="AD26" i="1"/>
  <c r="AC526" i="1"/>
  <c r="AD120" i="1"/>
  <c r="AD64" i="1"/>
  <c r="AD703" i="1"/>
  <c r="AC120" i="1"/>
  <c r="AD70" i="1"/>
  <c r="AC477" i="1"/>
  <c r="AC37" i="1"/>
  <c r="AD173" i="1"/>
  <c r="AD441" i="1"/>
  <c r="AD212" i="1"/>
  <c r="AC59" i="1"/>
  <c r="AD398" i="1"/>
  <c r="AD326" i="1"/>
  <c r="AC492" i="1"/>
  <c r="AD682" i="1"/>
  <c r="AC70" i="1"/>
  <c r="AC693" i="1"/>
  <c r="AC459" i="1"/>
  <c r="AC570" i="1"/>
  <c r="AC191" i="1"/>
  <c r="AD543" i="1"/>
  <c r="AD647" i="1"/>
  <c r="AC505" i="1"/>
  <c r="AD103" i="1"/>
  <c r="AC229" i="1"/>
  <c r="AC255" i="1"/>
  <c r="AC398" i="1"/>
  <c r="AD545" i="1"/>
  <c r="AD709" i="1"/>
  <c r="AC101" i="1"/>
  <c r="AD356" i="1"/>
  <c r="AD313" i="1"/>
  <c r="AC331" i="1"/>
  <c r="AD506" i="1"/>
  <c r="AD67" i="1"/>
  <c r="AC379" i="1"/>
  <c r="AD122" i="1"/>
  <c r="AD535" i="1"/>
  <c r="AC453" i="1"/>
  <c r="AD454" i="1"/>
  <c r="AD297" i="1"/>
  <c r="AD214" i="1"/>
  <c r="AC1035" i="1"/>
  <c r="AC1026" i="1"/>
  <c r="AD1016" i="1"/>
  <c r="AD1002" i="1"/>
  <c r="AC995" i="1"/>
  <c r="AC989" i="1"/>
  <c r="AD977" i="1"/>
  <c r="AC972" i="1"/>
  <c r="AD961" i="1"/>
  <c r="AD950" i="1"/>
  <c r="AD945" i="1"/>
  <c r="AD935" i="1"/>
  <c r="AD928" i="1"/>
  <c r="AD919" i="1"/>
  <c r="AC910" i="1"/>
  <c r="AC901" i="1"/>
  <c r="AC891" i="1"/>
  <c r="AC882" i="1"/>
  <c r="AC870" i="1"/>
  <c r="AD858" i="1"/>
  <c r="AC850" i="1"/>
  <c r="AD841" i="1"/>
  <c r="AC828" i="1"/>
  <c r="AD819" i="1"/>
  <c r="AD811" i="1"/>
  <c r="AC802" i="1"/>
  <c r="AC794" i="1"/>
  <c r="AD785" i="1"/>
  <c r="AC782" i="1"/>
  <c r="AD769" i="1"/>
  <c r="AC830" i="1"/>
  <c r="AD766" i="1"/>
  <c r="AD930" i="1"/>
  <c r="AD912" i="1"/>
  <c r="AD894" i="1"/>
  <c r="AD873" i="1"/>
  <c r="AC853" i="1"/>
  <c r="AD832" i="1"/>
  <c r="AC813" i="1"/>
  <c r="AC796" i="1"/>
  <c r="AC778" i="1"/>
  <c r="AD835" i="1"/>
  <c r="AC754" i="1"/>
  <c r="AD488" i="1"/>
  <c r="AC270" i="1"/>
  <c r="AD246" i="1"/>
  <c r="AC533" i="1"/>
  <c r="AC457" i="1"/>
  <c r="AC402" i="1"/>
  <c r="AC576" i="1"/>
  <c r="AC580" i="1"/>
  <c r="AD617" i="1"/>
  <c r="AC3" i="1"/>
  <c r="AC81" i="1"/>
  <c r="AD676" i="1"/>
  <c r="AD308" i="1"/>
  <c r="AD48" i="1"/>
  <c r="AC257" i="1"/>
  <c r="AD576" i="1"/>
  <c r="AD562" i="1"/>
  <c r="AC719" i="1"/>
  <c r="AC732" i="1"/>
  <c r="AD152" i="1"/>
  <c r="AD361" i="1"/>
  <c r="AC606" i="1"/>
  <c r="AD52" i="1"/>
  <c r="AC561" i="1"/>
  <c r="AC491" i="1"/>
  <c r="AC346" i="1"/>
  <c r="AD594" i="1"/>
  <c r="AD114" i="1"/>
  <c r="AC541" i="1"/>
  <c r="AD606" i="1"/>
  <c r="AC1039" i="1"/>
  <c r="AC1031" i="1"/>
  <c r="AC1022" i="1"/>
  <c r="AC1014" i="1"/>
  <c r="AC1002" i="1"/>
  <c r="AC997" i="1"/>
  <c r="AC985" i="1"/>
  <c r="AC977" i="1"/>
  <c r="AD966" i="1"/>
  <c r="AC960" i="1"/>
  <c r="AC955" i="1"/>
  <c r="AC942" i="1"/>
  <c r="AC932" i="1"/>
  <c r="AC925" i="1"/>
  <c r="AC913" i="1"/>
  <c r="AC900" i="1"/>
  <c r="AC897" i="1"/>
  <c r="AC885" i="1"/>
  <c r="AC875" i="1"/>
  <c r="AD863" i="1"/>
  <c r="AD853" i="1"/>
  <c r="AD844" i="1"/>
  <c r="AC833" i="1"/>
  <c r="AC822" i="1"/>
  <c r="AC814" i="1"/>
  <c r="AD805" i="1"/>
  <c r="AC797" i="1"/>
  <c r="AC788" i="1"/>
  <c r="AD776" i="1"/>
  <c r="AD778" i="1"/>
  <c r="J9" i="4"/>
  <c r="AD833" i="1"/>
  <c r="AD764" i="1"/>
  <c r="AD476" i="1"/>
  <c r="AC136" i="1"/>
  <c r="AD188" i="1"/>
  <c r="AD553" i="1"/>
  <c r="AG753" i="1"/>
  <c r="AD137" i="1"/>
  <c r="AC426" i="1"/>
  <c r="AD615" i="1"/>
  <c r="AC17" i="1"/>
  <c r="AD566" i="1"/>
  <c r="AC649" i="1"/>
  <c r="AC165" i="1"/>
  <c r="AC130" i="1"/>
  <c r="AC680" i="1"/>
  <c r="AD471" i="1"/>
  <c r="AD317" i="1"/>
  <c r="AC412" i="1"/>
  <c r="AC530" i="1"/>
  <c r="AD124" i="1"/>
  <c r="AC730" i="1"/>
  <c r="AD344" i="1"/>
  <c r="AC686" i="1"/>
  <c r="AC722" i="1"/>
  <c r="AC658" i="1"/>
  <c r="AD687" i="1"/>
  <c r="AC293" i="1"/>
  <c r="AC234" i="1"/>
  <c r="AD516" i="1"/>
  <c r="AD290" i="1"/>
  <c r="AD157" i="1"/>
  <c r="AC422" i="1"/>
  <c r="AC403" i="1"/>
  <c r="AC373" i="1"/>
  <c r="AC691" i="1"/>
  <c r="AD444" i="1"/>
  <c r="AD666" i="1"/>
  <c r="AC46" i="1"/>
  <c r="AD28" i="1"/>
  <c r="AD431" i="1"/>
  <c r="AD391" i="1"/>
  <c r="AC708" i="1"/>
  <c r="AC611" i="1"/>
  <c r="AC114" i="1"/>
  <c r="AC192" i="1"/>
  <c r="AC211" i="1"/>
  <c r="AD7" i="1"/>
  <c r="AC50" i="1"/>
  <c r="AD240" i="1"/>
  <c r="AC137" i="1"/>
  <c r="AC146" i="1"/>
  <c r="AD29" i="1"/>
  <c r="AD501" i="1"/>
  <c r="AD143" i="1"/>
  <c r="AD37" i="1"/>
  <c r="AD74" i="1"/>
  <c r="AD153" i="1"/>
  <c r="AC226" i="1"/>
  <c r="AC32" i="1"/>
  <c r="AD679" i="1"/>
  <c r="AD373" i="1"/>
  <c r="AD715" i="1"/>
  <c r="AD735" i="1"/>
  <c r="AC241" i="1"/>
  <c r="AC501" i="1"/>
  <c r="AD448" i="1"/>
  <c r="AD273" i="1"/>
  <c r="AC669" i="1"/>
  <c r="AC687" i="1"/>
  <c r="AC560" i="1"/>
  <c r="AD433" i="1"/>
  <c r="AC28" i="1"/>
  <c r="AC147" i="1"/>
  <c r="AC567" i="1"/>
  <c r="AC715" i="1"/>
  <c r="AC735" i="1"/>
  <c r="AC131" i="1"/>
  <c r="AD1040" i="1"/>
  <c r="AD1031" i="1"/>
  <c r="AD1022" i="1"/>
  <c r="C15" i="2"/>
  <c r="AD611" i="1"/>
  <c r="AD649" i="1"/>
  <c r="AC450" i="1"/>
  <c r="AD342" i="1"/>
  <c r="AC64" i="1"/>
  <c r="AC522" i="1"/>
  <c r="AC476" i="1"/>
  <c r="AC624" i="1"/>
  <c r="AD693" i="1"/>
  <c r="AC124" i="1"/>
  <c r="AD523" i="1"/>
  <c r="AC465" i="1"/>
  <c r="AC493" i="1"/>
  <c r="AD341" i="1"/>
  <c r="AD377" i="1"/>
  <c r="AC375" i="1"/>
  <c r="AC594" i="1"/>
  <c r="AD517" i="1"/>
  <c r="AC421" i="1"/>
  <c r="AD168" i="1"/>
  <c r="AC18" i="1"/>
  <c r="AD382" i="1"/>
  <c r="AD199" i="1"/>
  <c r="AD450" i="1"/>
  <c r="AC385" i="1"/>
  <c r="AC495" i="1"/>
  <c r="AC259" i="1"/>
  <c r="AD257" i="1"/>
  <c r="AC103" i="1"/>
  <c r="AD495" i="1"/>
  <c r="AC490" i="1"/>
  <c r="AD394" i="1"/>
  <c r="AD453" i="1"/>
  <c r="AD747" i="1"/>
  <c r="AD466" i="1"/>
  <c r="AC161" i="1"/>
  <c r="AD117" i="1"/>
  <c r="AD193" i="1"/>
  <c r="AD514" i="1"/>
  <c r="AD161" i="1"/>
  <c r="AC22" i="1"/>
  <c r="AD335" i="1"/>
  <c r="AD446" i="1"/>
  <c r="AC209" i="1"/>
  <c r="AC562" i="1"/>
  <c r="AC539" i="1"/>
  <c r="AD359" i="1"/>
  <c r="AC698" i="1"/>
  <c r="AD504" i="1"/>
  <c r="AC335" i="1"/>
  <c r="AC61" i="1"/>
  <c r="AD492" i="1"/>
  <c r="AD723" i="1"/>
  <c r="AD96" i="1"/>
  <c r="AD339" i="1"/>
  <c r="AD596" i="1"/>
  <c r="AD507" i="1"/>
  <c r="AD301" i="1"/>
  <c r="AD192" i="1"/>
  <c r="AC164" i="1"/>
  <c r="AC31" i="1"/>
  <c r="AC602" i="1"/>
  <c r="AC640" i="1"/>
  <c r="AD196" i="1"/>
  <c r="AD634" i="1"/>
  <c r="AC723" i="1"/>
  <c r="AC531" i="1"/>
  <c r="AD677" i="1"/>
  <c r="AC1037" i="1"/>
  <c r="AC1030" i="1"/>
  <c r="AD1021" i="1"/>
  <c r="AD1012" i="1"/>
  <c r="AC1005" i="1"/>
  <c r="AC993" i="1"/>
  <c r="AD984" i="1"/>
  <c r="AD975" i="1"/>
  <c r="AC966" i="1"/>
  <c r="AD957" i="1"/>
  <c r="AC950" i="1"/>
  <c r="AC940" i="1"/>
  <c r="AD931" i="1"/>
  <c r="AD924" i="1"/>
  <c r="AD914" i="1"/>
  <c r="AD905" i="1"/>
  <c r="AC896" i="1"/>
  <c r="AC886" i="1"/>
  <c r="AC876" i="1"/>
  <c r="AC864" i="1"/>
  <c r="AD849" i="1"/>
  <c r="AC845" i="1"/>
  <c r="AC835" i="1"/>
  <c r="AC824" i="1"/>
  <c r="AC815" i="1"/>
  <c r="AD807" i="1"/>
  <c r="AC798" i="1"/>
  <c r="AD789" i="1"/>
  <c r="AC774" i="1"/>
  <c r="AC776" i="1"/>
  <c r="J8" i="4"/>
  <c r="AC820" i="1"/>
  <c r="AC762" i="1"/>
  <c r="AC920" i="1"/>
  <c r="AC903" i="1"/>
  <c r="AD884" i="1"/>
  <c r="AC861" i="1"/>
  <c r="AD843" i="1"/>
  <c r="AD821" i="1"/>
  <c r="AC805" i="1"/>
  <c r="AC787" i="1"/>
  <c r="AC780" i="1"/>
  <c r="AC816" i="1"/>
  <c r="AD565" i="1"/>
  <c r="AD589" i="1"/>
  <c r="AC9" i="1"/>
  <c r="AC738" i="1"/>
  <c r="AC677" i="1"/>
  <c r="AD79" i="1"/>
  <c r="AD435" i="1"/>
  <c r="AD417" i="1"/>
  <c r="AC727" i="1"/>
  <c r="AD164" i="1"/>
  <c r="AC351" i="1"/>
  <c r="AC384" i="1"/>
  <c r="AC528" i="1"/>
  <c r="AD411" i="1"/>
  <c r="AC263" i="1"/>
  <c r="AD80" i="1"/>
  <c r="AD93" i="1"/>
  <c r="AC661" i="1"/>
  <c r="AC272" i="1"/>
  <c r="AC317" i="1"/>
  <c r="AC15" i="1"/>
  <c r="AD605" i="1"/>
  <c r="AD144" i="1"/>
  <c r="AC53" i="1"/>
  <c r="AD130" i="1"/>
  <c r="AC138" i="1"/>
  <c r="AC98" i="1"/>
  <c r="AC584" i="1"/>
  <c r="AC573" i="1"/>
  <c r="AC468" i="1"/>
  <c r="AC581" i="1"/>
  <c r="AD1036" i="1"/>
  <c r="AD1027" i="1"/>
  <c r="AC1018" i="1"/>
  <c r="AC1001" i="1"/>
  <c r="AC999" i="1"/>
  <c r="AD990" i="1"/>
  <c r="AD979" i="1"/>
  <c r="AC971" i="1"/>
  <c r="AC963" i="1"/>
  <c r="AD953" i="1"/>
  <c r="AD946" i="1"/>
  <c r="AC936" i="1"/>
  <c r="AC928" i="1"/>
  <c r="AC921" i="1"/>
  <c r="AC909" i="1"/>
  <c r="AD902" i="1"/>
  <c r="AC890" i="1"/>
  <c r="AC881" i="1"/>
  <c r="AD869" i="1"/>
  <c r="AC858" i="1"/>
  <c r="AD848" i="1"/>
  <c r="AD839" i="1"/>
  <c r="AC827" i="1"/>
  <c r="AD818" i="1"/>
  <c r="AC810" i="1"/>
  <c r="AC801" i="1"/>
  <c r="AC792" i="1"/>
  <c r="AD784" i="1"/>
  <c r="AD770" i="1"/>
  <c r="J4" i="4"/>
  <c r="I8" i="4"/>
  <c r="AD822" i="1"/>
  <c r="AD765" i="1"/>
  <c r="AC336" i="1"/>
  <c r="AD158" i="1"/>
  <c r="AC183" i="1"/>
  <c r="AC434" i="1"/>
  <c r="AC765" i="1"/>
  <c r="AD51" i="1"/>
  <c r="AC323" i="1"/>
  <c r="AD182" i="1"/>
  <c r="AC440" i="1"/>
  <c r="AD442" i="1"/>
  <c r="AC89" i="1"/>
  <c r="AC35" i="1"/>
  <c r="AC442" i="1"/>
  <c r="AC106" i="1"/>
  <c r="AD718" i="1"/>
  <c r="AD505" i="1"/>
  <c r="AC126" i="1"/>
  <c r="AD90" i="1"/>
  <c r="AC324" i="1"/>
  <c r="AD163" i="1"/>
  <c r="AD449" i="1"/>
  <c r="AD55" i="1"/>
  <c r="AC341" i="1"/>
  <c r="AD281" i="1"/>
  <c r="AD244" i="1"/>
  <c r="AC499" i="1"/>
  <c r="AD112" i="1"/>
  <c r="AC617" i="1"/>
  <c r="AD685" i="1"/>
  <c r="AC656" i="1"/>
  <c r="AD24" i="1"/>
  <c r="AC302" i="1"/>
  <c r="AC10" i="1"/>
  <c r="AD443" i="1"/>
  <c r="AC267" i="1"/>
  <c r="AC52" i="1"/>
  <c r="AD569" i="1"/>
  <c r="AD721" i="1"/>
  <c r="AC638" i="1"/>
  <c r="AD655" i="1"/>
  <c r="AD418" i="1"/>
  <c r="AC431" i="1"/>
  <c r="AC512" i="1"/>
  <c r="AC559" i="1"/>
  <c r="AC473" i="1"/>
  <c r="AD357" i="1"/>
  <c r="AD387" i="1"/>
  <c r="AC394" i="1"/>
  <c r="AD307" i="1"/>
  <c r="AC84" i="1"/>
  <c r="AC444" i="1"/>
  <c r="AC173" i="1"/>
  <c r="AD595" i="1"/>
  <c r="AD270" i="1"/>
  <c r="AC250" i="1"/>
  <c r="AC461" i="1"/>
  <c r="AD364" i="1"/>
  <c r="AC189" i="1"/>
  <c r="AC357" i="1"/>
  <c r="AC157" i="1"/>
  <c r="AD6" i="1"/>
  <c r="AC338" i="1"/>
  <c r="AD459" i="1"/>
  <c r="AC605" i="1"/>
  <c r="AC368" i="1"/>
  <c r="AC1036" i="1"/>
  <c r="AC1019" i="1"/>
  <c r="AD1001" i="1"/>
  <c r="AD999" i="1"/>
  <c r="AD989" i="1"/>
  <c r="AC983" i="1"/>
  <c r="AD971" i="1"/>
  <c r="AD963" i="1"/>
  <c r="AD955" i="1"/>
  <c r="AD944" i="1"/>
  <c r="AD936" i="1"/>
  <c r="AC926" i="1"/>
  <c r="AD917" i="1"/>
  <c r="AD909" i="1"/>
  <c r="AC902" i="1"/>
  <c r="AD890" i="1"/>
  <c r="AD881" i="1"/>
  <c r="AC869" i="1"/>
  <c r="AC857" i="1"/>
  <c r="AC848" i="1"/>
  <c r="AC839" i="1"/>
  <c r="AC817" i="1"/>
  <c r="AD800" i="1"/>
  <c r="AD771" i="1"/>
  <c r="I7" i="4"/>
  <c r="AD810" i="1"/>
  <c r="AD777" i="1"/>
  <c r="AD380" i="1"/>
  <c r="AD178" i="1"/>
  <c r="AD155" i="1"/>
  <c r="AD755" i="1"/>
  <c r="AC729" i="1"/>
  <c r="AD511" i="1"/>
  <c r="AC432" i="1"/>
  <c r="AD180" i="1"/>
  <c r="AD536" i="1"/>
  <c r="AD481" i="1"/>
  <c r="AD618" i="1"/>
  <c r="AD65" i="1"/>
  <c r="AC48" i="1"/>
  <c r="AD209" i="1"/>
  <c r="AC290" i="1"/>
  <c r="AD99" i="1"/>
  <c r="AD593" i="1"/>
  <c r="AC714" i="1"/>
  <c r="AC737" i="1"/>
  <c r="AC462" i="1"/>
  <c r="AC662" i="1"/>
  <c r="AC43" i="1"/>
  <c r="AD671" i="1"/>
  <c r="AD741" i="1"/>
  <c r="AC538" i="1"/>
  <c r="AD586" i="1"/>
  <c r="AC553" i="1"/>
  <c r="AD25" i="1"/>
  <c r="AD126" i="1"/>
  <c r="AD203" i="1"/>
  <c r="AD371" i="1"/>
  <c r="AC668" i="1"/>
  <c r="AD106" i="1"/>
  <c r="AC417" i="1"/>
  <c r="AC144" i="1"/>
  <c r="AC291" i="1"/>
  <c r="AD33" i="1"/>
  <c r="AC156" i="1"/>
  <c r="AC582" i="1"/>
  <c r="AD201" i="1"/>
  <c r="AC305" i="1"/>
  <c r="AD570" i="1"/>
  <c r="AC99" i="1"/>
  <c r="AC334" i="1"/>
  <c r="AD926" i="1"/>
  <c r="AD908" i="1"/>
  <c r="AD889" i="1"/>
  <c r="AC868" i="1"/>
  <c r="AD847" i="1"/>
  <c r="AC826" i="1"/>
  <c r="AC809" i="1"/>
  <c r="AD793" i="1"/>
  <c r="AC772" i="1"/>
  <c r="AD825" i="1"/>
  <c r="AD275" i="1"/>
  <c r="AD410" i="1"/>
  <c r="AC150" i="1"/>
  <c r="AD424" i="1"/>
  <c r="AC122" i="1"/>
  <c r="AD480" i="1"/>
  <c r="AC14" i="1"/>
  <c r="AC77" i="1"/>
  <c r="AC568" i="1"/>
  <c r="AD602" i="1"/>
  <c r="AC67" i="1"/>
  <c r="AD330" i="1"/>
  <c r="AC218" i="1"/>
  <c r="AC696" i="1"/>
  <c r="AC92" i="1"/>
  <c r="AD711" i="1"/>
  <c r="AD642" i="1"/>
  <c r="AD77" i="1"/>
  <c r="AD227" i="1"/>
  <c r="AD541" i="1"/>
  <c r="AD367" i="1"/>
  <c r="AC688" i="1"/>
  <c r="AC672" i="1"/>
  <c r="AC641" i="1"/>
  <c r="AC4" i="1"/>
  <c r="AC62" i="1"/>
  <c r="AC163" i="1"/>
  <c r="AD429" i="1"/>
  <c r="AC711" i="1"/>
  <c r="AC548" i="1"/>
  <c r="AC208" i="1"/>
  <c r="AD1039" i="1"/>
  <c r="AD1029" i="1"/>
  <c r="AD1020" i="1"/>
  <c r="AC1011" i="1"/>
  <c r="AD1004" i="1"/>
  <c r="AC992" i="1"/>
  <c r="AD982" i="1"/>
  <c r="AD970" i="1"/>
  <c r="AC965" i="1"/>
  <c r="AD951" i="1"/>
  <c r="AC948" i="1"/>
  <c r="AD940" i="1"/>
  <c r="AC929" i="1"/>
  <c r="AD922" i="1"/>
  <c r="AC911" i="1"/>
  <c r="AD904" i="1"/>
  <c r="AC892" i="1"/>
  <c r="AC883" i="1"/>
  <c r="AD872" i="1"/>
  <c r="AC859" i="1"/>
  <c r="AD851" i="1"/>
  <c r="AD842" i="1"/>
  <c r="AD830" i="1"/>
  <c r="AD820" i="1"/>
  <c r="AC812" i="1"/>
  <c r="AC803" i="1"/>
  <c r="AD795" i="1"/>
  <c r="AD786" i="1"/>
  <c r="AD780" i="1"/>
  <c r="AD782" i="1"/>
  <c r="J3" i="4"/>
  <c r="AD827" i="1"/>
  <c r="AC759" i="1"/>
  <c r="AC370" i="1"/>
  <c r="AC87" i="1"/>
  <c r="AD490" i="1"/>
  <c r="AC203" i="1"/>
  <c r="AC760" i="1"/>
  <c r="AD27" i="1"/>
  <c r="AD94" i="1"/>
  <c r="AC392" i="1"/>
  <c r="AD368" i="1"/>
  <c r="AD701" i="1"/>
  <c r="AD537" i="1"/>
  <c r="AD123" i="1"/>
  <c r="AC273" i="1"/>
  <c r="AD402" i="1"/>
  <c r="AD399" i="1"/>
  <c r="AC309" i="1"/>
  <c r="AC717" i="1"/>
  <c r="AD733" i="1"/>
  <c r="AD148" i="1"/>
  <c r="AD327" i="1"/>
  <c r="AD249" i="1"/>
  <c r="AC429" i="1"/>
  <c r="AD68" i="1"/>
  <c r="AC182" i="1"/>
  <c r="AD375" i="1"/>
  <c r="AC355" i="1"/>
  <c r="AC565" i="1"/>
  <c r="AD482" i="1"/>
  <c r="AC179" i="1"/>
  <c r="AD722" i="1"/>
  <c r="AC107" i="1"/>
  <c r="AD738" i="1"/>
  <c r="AD241" i="1"/>
  <c r="AD21" i="1"/>
  <c r="AD591" i="1"/>
  <c r="AC635" i="1"/>
  <c r="AC243" i="1"/>
  <c r="AC29" i="1"/>
  <c r="AC400" i="1"/>
  <c r="AD311" i="1"/>
  <c r="AC135" i="1"/>
  <c r="AD550" i="1"/>
  <c r="AD691" i="1"/>
  <c r="AC224" i="1"/>
  <c r="AD323" i="1"/>
  <c r="AD683" i="1"/>
  <c r="AD225" i="1"/>
  <c r="AC572" i="1"/>
  <c r="AC410" i="1"/>
  <c r="AD73" i="1"/>
  <c r="AC193" i="1"/>
  <c r="AC42" i="1"/>
  <c r="AD340" i="1"/>
  <c r="AD384" i="1"/>
  <c r="AD686" i="1"/>
  <c r="AC359" i="1"/>
  <c r="AD462" i="1"/>
  <c r="AD40" i="1"/>
  <c r="AC469" i="1"/>
  <c r="AD388" i="1"/>
  <c r="AC20" i="1"/>
  <c r="AC350" i="1"/>
  <c r="AD45" i="1"/>
  <c r="AC446" i="1"/>
  <c r="AC397" i="1"/>
  <c r="AD407" i="1"/>
  <c r="AC188" i="1"/>
  <c r="AC63" i="1"/>
  <c r="AC674" i="1"/>
  <c r="AC216" i="1"/>
  <c r="AC709" i="1"/>
  <c r="AC294" i="1"/>
  <c r="AC310" i="1"/>
  <c r="AC141" i="1"/>
  <c r="AC388" i="1"/>
  <c r="AD140" i="1"/>
  <c r="AC1040" i="1"/>
  <c r="AC1029" i="1"/>
  <c r="AC1020" i="1"/>
  <c r="AD1011" i="1"/>
  <c r="AC1007" i="1"/>
  <c r="AD992" i="1"/>
  <c r="AD983" i="1"/>
  <c r="AD976" i="1"/>
  <c r="AD965" i="1"/>
  <c r="AC952" i="1"/>
  <c r="AC946" i="1"/>
  <c r="AC938" i="1"/>
  <c r="AC931" i="1"/>
  <c r="AD920" i="1"/>
  <c r="AD911" i="1"/>
  <c r="AC904" i="1"/>
  <c r="AD892" i="1"/>
  <c r="AD883" i="1"/>
  <c r="AC872" i="1"/>
  <c r="AD859" i="1"/>
  <c r="AC851" i="1"/>
  <c r="AC842" i="1"/>
  <c r="AC821" i="1"/>
  <c r="AC804" i="1"/>
  <c r="AD787" i="1"/>
  <c r="AC769" i="1"/>
  <c r="AD814" i="1"/>
  <c r="AD788" i="1"/>
  <c r="AD50" i="1"/>
  <c r="AC407" i="1"/>
  <c r="AD166" i="1"/>
  <c r="AD763" i="1"/>
  <c r="AC233" i="1"/>
  <c r="AC96" i="1"/>
  <c r="AD413" i="1"/>
  <c r="AC660" i="1"/>
  <c r="AC8" i="1"/>
  <c r="AD748" i="1"/>
  <c r="AD704" i="1"/>
  <c r="AD432" i="1"/>
  <c r="AC549" i="1"/>
  <c r="AD324" i="1"/>
  <c r="AD224" i="1"/>
  <c r="AC217" i="1"/>
  <c r="AC85" i="1"/>
  <c r="AC569" i="1"/>
  <c r="AC631" i="1"/>
  <c r="AD498" i="1"/>
  <c r="AC94" i="1"/>
  <c r="AC454" i="1"/>
  <c r="AC95" i="1"/>
  <c r="AC264" i="1"/>
  <c r="AD455" i="1"/>
  <c r="AD422" i="1"/>
  <c r="AD547" i="1"/>
  <c r="AC55" i="1"/>
  <c r="AD62" i="1"/>
  <c r="AC652" i="1"/>
  <c r="AD520" i="1"/>
  <c r="AC186" i="1"/>
  <c r="AD486" i="1"/>
  <c r="AD98" i="1"/>
  <c r="AD256" i="1"/>
  <c r="AC104" i="1"/>
  <c r="AC110" i="1"/>
  <c r="AC377" i="1"/>
  <c r="AC425" i="1"/>
  <c r="AC34" i="1"/>
  <c r="AC284" i="1"/>
  <c r="AD236" i="1"/>
  <c r="AC616" i="1"/>
  <c r="AC654" i="1"/>
  <c r="AC744" i="1"/>
  <c r="AD42" i="1"/>
  <c r="AD110" i="1"/>
  <c r="AD662" i="1"/>
  <c r="AD702" i="1"/>
  <c r="AD53" i="1"/>
  <c r="AC746" i="1"/>
  <c r="AC340" i="1"/>
  <c r="AC632" i="1"/>
  <c r="AD660" i="1"/>
  <c r="AC486" i="1"/>
  <c r="AD700" i="1"/>
  <c r="AD538" i="1"/>
  <c r="AD309" i="1"/>
  <c r="AC643" i="1"/>
  <c r="AC365" i="1"/>
  <c r="AC40" i="1"/>
  <c r="AD713" i="1"/>
  <c r="AD739" i="1"/>
  <c r="AC525" i="1"/>
  <c r="AD648" i="1"/>
  <c r="AD578" i="1"/>
  <c r="AD107" i="1"/>
  <c r="AC175" i="1"/>
  <c r="AC66" i="1"/>
  <c r="AD337" i="1"/>
  <c r="AD567" i="1"/>
  <c r="AD59" i="1"/>
  <c r="AD282" i="1"/>
  <c r="AC76" i="1"/>
  <c r="AD587" i="1"/>
  <c r="AD1035" i="1"/>
  <c r="AD1026" i="1"/>
  <c r="AC1017" i="1"/>
  <c r="AC57" i="1"/>
  <c r="AC536" i="1"/>
  <c r="AD427" i="1"/>
  <c r="AC498" i="1"/>
  <c r="AC587" i="1"/>
  <c r="AD390" i="1"/>
  <c r="AD334" i="1"/>
  <c r="AD216" i="1"/>
  <c r="AC269" i="1"/>
  <c r="AD673" i="1"/>
  <c r="AC5" i="1"/>
  <c r="AC420" i="1"/>
  <c r="AC427" i="1"/>
  <c r="AC707" i="1"/>
  <c r="AC622" i="1"/>
  <c r="AD1032" i="1"/>
  <c r="AD1015" i="1"/>
  <c r="AD1005" i="1"/>
  <c r="AC994" i="1"/>
  <c r="AC987" i="1"/>
  <c r="AC976" i="1"/>
  <c r="AC973" i="1"/>
  <c r="AD959" i="1"/>
  <c r="AD954" i="1"/>
  <c r="AD941" i="1"/>
  <c r="AC933" i="1"/>
  <c r="AD925" i="1"/>
  <c r="AD916" i="1"/>
  <c r="AC908" i="1"/>
  <c r="AD898" i="1"/>
  <c r="AC889" i="1"/>
  <c r="AC880" i="1"/>
  <c r="AD868" i="1"/>
  <c r="AC856" i="1"/>
  <c r="AC847" i="1"/>
  <c r="AD838" i="1"/>
  <c r="AD815" i="1"/>
  <c r="AD798" i="1"/>
  <c r="AD775" i="1"/>
  <c r="AD808" i="1"/>
  <c r="AC790" i="1"/>
  <c r="AC775" i="1"/>
  <c r="AD794" i="1"/>
  <c r="J6" i="4"/>
  <c r="AC786" i="1"/>
  <c r="AD801" i="1"/>
  <c r="AI754" i="1"/>
  <c r="AD226" i="1"/>
  <c r="AC142" i="1"/>
  <c r="AC231" i="1"/>
  <c r="AC396" i="1"/>
  <c r="AD63" i="1"/>
  <c r="AD485" i="1"/>
  <c r="AD283" i="1"/>
  <c r="AD113" i="1"/>
  <c r="AC593" i="1"/>
  <c r="AC25" i="1"/>
  <c r="AD403" i="1"/>
  <c r="AC550" i="1"/>
  <c r="AD732" i="1"/>
  <c r="AD91" i="1"/>
  <c r="AC105" i="1"/>
  <c r="AC1028" i="1"/>
  <c r="AC1012" i="1"/>
  <c r="AC1006" i="1"/>
  <c r="AD993" i="1"/>
  <c r="AC984" i="1"/>
  <c r="AC978" i="1"/>
  <c r="AD967" i="1"/>
  <c r="AC957" i="1"/>
  <c r="AC947" i="1"/>
  <c r="AC939" i="1"/>
  <c r="AC930" i="1"/>
  <c r="AC914" i="1"/>
  <c r="AD896" i="1"/>
  <c r="AD875" i="1"/>
  <c r="AC849" i="1"/>
  <c r="AD828" i="1"/>
  <c r="AC793" i="1"/>
  <c r="AC795" i="1"/>
  <c r="AI755" i="1"/>
  <c r="AC508" i="1"/>
  <c r="AC56" i="1"/>
  <c r="AD43" i="1"/>
  <c r="AC452" i="1"/>
  <c r="AD590" i="1"/>
  <c r="AD134" i="1"/>
  <c r="AC599" i="1"/>
  <c r="AC90" i="1"/>
  <c r="AC199" i="1"/>
  <c r="AC195" i="1"/>
  <c r="AD420" i="1"/>
  <c r="AC1027" i="1"/>
  <c r="AD1014" i="1"/>
  <c r="AD1007" i="1"/>
  <c r="AD996" i="1"/>
  <c r="AD985" i="1"/>
  <c r="AC974" i="1"/>
  <c r="AC967" i="1"/>
  <c r="AD958" i="1"/>
  <c r="AD948" i="1"/>
  <c r="AC941" i="1"/>
  <c r="AD932" i="1"/>
  <c r="AD921" i="1"/>
  <c r="AD913" i="1"/>
  <c r="AD900" i="1"/>
  <c r="AD897" i="1"/>
  <c r="AD885" i="1"/>
  <c r="AD876" i="1"/>
  <c r="AC863" i="1"/>
  <c r="AC852" i="1"/>
  <c r="AC844" i="1"/>
  <c r="AD826" i="1"/>
  <c r="AD809" i="1"/>
  <c r="AD792" i="1"/>
  <c r="AC777" i="1"/>
  <c r="I9" i="4"/>
  <c r="AD797" i="1"/>
  <c r="AC749" i="1"/>
  <c r="AC520" i="1"/>
  <c r="AC566" i="1"/>
  <c r="AD756" i="1"/>
  <c r="AD664" i="1"/>
  <c r="AC330" i="1"/>
  <c r="AD32" i="1"/>
  <c r="AD175" i="1"/>
  <c r="AD680" i="1"/>
  <c r="AC271" i="1"/>
  <c r="AD439" i="1"/>
  <c r="AD11" i="1"/>
  <c r="AD652" i="1"/>
  <c r="AD472" i="1"/>
  <c r="AD8" i="1"/>
  <c r="AC574" i="1"/>
  <c r="AD82" i="1"/>
  <c r="AC588" i="1"/>
  <c r="AD362" i="1"/>
  <c r="AD108" i="1"/>
  <c r="AD61" i="1"/>
  <c r="AC489" i="1"/>
  <c r="AD385" i="1"/>
  <c r="AD104" i="1"/>
  <c r="AC185" i="1"/>
  <c r="AC642" i="1"/>
  <c r="AC497" i="1"/>
  <c r="AC673" i="1"/>
  <c r="AD338" i="1"/>
  <c r="AD750" i="1"/>
  <c r="AD304" i="1"/>
  <c r="AC586" i="1"/>
  <c r="AC230" i="1"/>
  <c r="AC591" i="1"/>
  <c r="AD552" i="1"/>
  <c r="AD636" i="1"/>
  <c r="AC710" i="1"/>
  <c r="AC437" i="1"/>
  <c r="AC448" i="1"/>
  <c r="AD477" i="1"/>
  <c r="AC333" i="1"/>
  <c r="AD668" i="1"/>
  <c r="AD255" i="1"/>
  <c r="AD624" i="1"/>
  <c r="AC614" i="1"/>
  <c r="AC917" i="1"/>
  <c r="AC898" i="1"/>
  <c r="AD880" i="1"/>
  <c r="AD856" i="1"/>
  <c r="AC838" i="1"/>
  <c r="AD817" i="1"/>
  <c r="AC800" i="1"/>
  <c r="AC770" i="1"/>
  <c r="I6" i="4"/>
  <c r="AC755" i="1"/>
  <c r="AC337" i="1"/>
  <c r="AC38" i="1"/>
  <c r="AC7" i="1"/>
  <c r="AD288" i="1"/>
  <c r="AD243" i="1"/>
  <c r="AC19" i="1"/>
  <c r="AD744" i="1"/>
  <c r="AD131" i="1"/>
  <c r="AD614" i="1"/>
  <c r="AC475" i="1"/>
  <c r="AD500" i="1"/>
  <c r="AC170" i="1"/>
  <c r="AD426" i="1"/>
  <c r="AD295" i="1"/>
  <c r="AC181" i="1"/>
  <c r="AC612" i="1"/>
  <c r="AD643" i="1"/>
  <c r="AD397" i="1"/>
  <c r="AD208" i="1"/>
  <c r="AC423" i="1"/>
  <c r="AC366" i="1"/>
  <c r="AC511" i="1"/>
  <c r="AC313" i="1"/>
  <c r="AD428" i="1"/>
  <c r="AC595" i="1"/>
  <c r="AC728" i="1"/>
  <c r="AC134" i="1"/>
  <c r="AD619" i="1"/>
  <c r="AC91" i="1"/>
  <c r="AC242" i="1"/>
  <c r="AC401" i="1"/>
  <c r="AC1033" i="1"/>
  <c r="AC1025" i="1"/>
  <c r="AC1016" i="1"/>
  <c r="AC1003" i="1"/>
  <c r="AC996" i="1"/>
  <c r="AC986" i="1"/>
  <c r="AC975" i="1"/>
  <c r="AD969" i="1"/>
  <c r="AC959" i="1"/>
  <c r="AC953" i="1"/>
  <c r="AC944" i="1"/>
  <c r="AD934" i="1"/>
  <c r="AC923" i="1"/>
  <c r="AC918" i="1"/>
  <c r="AD907" i="1"/>
  <c r="AD899" i="1"/>
  <c r="AD888" i="1"/>
  <c r="AC878" i="1"/>
  <c r="AC866" i="1"/>
  <c r="AD855" i="1"/>
  <c r="AC846" i="1"/>
  <c r="AC837" i="1"/>
  <c r="AC825" i="1"/>
  <c r="AD816" i="1"/>
  <c r="AC808" i="1"/>
  <c r="AD799" i="1"/>
  <c r="AD790" i="1"/>
  <c r="AD772" i="1"/>
  <c r="AD774" i="1"/>
  <c r="J7" i="4"/>
  <c r="AD837" i="1"/>
  <c r="AC818" i="1"/>
  <c r="AC758" i="1"/>
  <c r="AC280" i="1"/>
  <c r="AC418" i="1"/>
  <c r="AC694" i="1"/>
  <c r="AD165" i="1"/>
  <c r="AD759" i="1"/>
  <c r="AD160" i="1"/>
  <c r="AC68" i="1"/>
  <c r="AC592" i="1"/>
  <c r="AC116" i="1"/>
  <c r="AC256" i="1"/>
  <c r="AC647" i="1"/>
  <c r="AC311" i="1"/>
  <c r="AD299" i="1"/>
  <c r="AC433" i="1"/>
  <c r="AC158" i="1"/>
  <c r="AD276" i="1"/>
  <c r="AC441" i="1"/>
  <c r="AD141" i="1"/>
  <c r="AD705" i="1"/>
  <c r="AC607" i="1"/>
  <c r="AD156" i="1"/>
  <c r="AC627" i="1"/>
  <c r="AC517" i="1"/>
  <c r="AC162" i="1"/>
  <c r="AC741" i="1"/>
  <c r="AC463" i="1"/>
  <c r="AD218" i="1"/>
  <c r="AD484" i="1"/>
  <c r="AC386" i="1"/>
  <c r="AD172" i="1"/>
  <c r="AD245" i="1"/>
  <c r="AC297" i="1"/>
  <c r="AD264" i="1"/>
  <c r="AD15" i="1"/>
  <c r="AD659" i="1"/>
  <c r="AC326" i="1"/>
  <c r="AD145" i="1"/>
  <c r="AD116" i="1"/>
  <c r="AC244" i="1"/>
  <c r="AD392" i="1"/>
  <c r="AD142" i="1"/>
  <c r="AC148" i="1"/>
  <c r="AC428" i="1"/>
  <c r="AD189" i="1"/>
  <c r="AD608" i="1"/>
  <c r="AC248" i="1"/>
  <c r="AD751" i="1"/>
  <c r="AC281" i="1"/>
  <c r="AD271" i="1"/>
  <c r="AC676" i="1"/>
  <c r="AC240" i="1"/>
  <c r="AC289" i="1"/>
  <c r="AC212" i="1"/>
  <c r="AD489" i="1"/>
  <c r="AC344" i="1"/>
  <c r="AC353" i="1"/>
  <c r="AC33" i="1"/>
  <c r="AD510" i="1"/>
  <c r="AC82" i="1"/>
  <c r="AD66" i="1"/>
  <c r="AC178" i="1"/>
  <c r="AC153" i="1"/>
  <c r="AD728" i="1"/>
  <c r="AD89" i="1"/>
  <c r="AC684" i="1"/>
  <c r="AC204" i="1"/>
  <c r="AC589" i="1"/>
  <c r="AC246" i="1"/>
  <c r="AC238" i="1"/>
  <c r="AC285" i="1"/>
  <c r="AC646" i="1"/>
  <c r="AD436" i="1"/>
  <c r="AD571" i="1"/>
  <c r="AD58" i="1"/>
  <c r="AD383" i="1"/>
  <c r="AD1033" i="1"/>
  <c r="AD1025" i="1"/>
  <c r="AD1017" i="1"/>
  <c r="AD1006" i="1"/>
  <c r="AD994" i="1"/>
  <c r="AD987" i="1"/>
  <c r="AD978" i="1"/>
  <c r="AD973" i="1"/>
  <c r="AC958" i="1"/>
  <c r="AC951" i="1"/>
  <c r="AD942" i="1"/>
  <c r="AC934" i="1"/>
  <c r="AC924" i="1"/>
  <c r="AC916" i="1"/>
  <c r="AC907" i="1"/>
  <c r="AC899" i="1"/>
  <c r="AC888" i="1"/>
  <c r="AD878" i="1"/>
  <c r="AD866" i="1"/>
  <c r="AC855" i="1"/>
  <c r="AD846" i="1"/>
  <c r="AC832" i="1"/>
  <c r="AD813" i="1"/>
  <c r="AD796" i="1"/>
  <c r="AC779" i="1"/>
  <c r="J5" i="4"/>
  <c r="AD804" i="1"/>
  <c r="AD779" i="1"/>
  <c r="AD259" i="1"/>
  <c r="AC197" i="1"/>
  <c r="AC763" i="1"/>
  <c r="AC485" i="1"/>
  <c r="AD548" i="1"/>
  <c r="AD221" i="1"/>
  <c r="AD519" i="1"/>
  <c r="AC590" i="1"/>
  <c r="AC205" i="1"/>
  <c r="AD365" i="1"/>
  <c r="AC321" i="1"/>
  <c r="AC307" i="1"/>
  <c r="AD105" i="1"/>
  <c r="AC506" i="1"/>
  <c r="AD708" i="1"/>
  <c r="AC72" i="1"/>
  <c r="AD396" i="1"/>
  <c r="AC503" i="1"/>
  <c r="AD610" i="1"/>
  <c r="AC671" i="1"/>
  <c r="AD92" i="1"/>
  <c r="AC380" i="1"/>
  <c r="AD135" i="1"/>
  <c r="AC382" i="1"/>
  <c r="AC201" i="1"/>
  <c r="AD638" i="1"/>
  <c r="AC598" i="1"/>
  <c r="AD530" i="1"/>
  <c r="AC515" i="1"/>
  <c r="AC328" i="1"/>
  <c r="AD458" i="1"/>
  <c r="AC675" i="1"/>
  <c r="AD518" i="1"/>
  <c r="AC383" i="1"/>
  <c r="AD557" i="1"/>
  <c r="AC488" i="1"/>
  <c r="AD146" i="1"/>
  <c r="AC117" i="1"/>
  <c r="AD717" i="1"/>
  <c r="AC733" i="1"/>
  <c r="AD353" i="1"/>
  <c r="AD533" i="1"/>
  <c r="AC424" i="1"/>
  <c r="AC704" i="1"/>
  <c r="AD321" i="1"/>
  <c r="AC80" i="1"/>
  <c r="AC413" i="1"/>
  <c r="AC547" i="1"/>
  <c r="AD169" i="1"/>
  <c r="AD177" i="1"/>
  <c r="AD336" i="1"/>
  <c r="AD100" i="1"/>
  <c r="AD672" i="1"/>
  <c r="AC275" i="1"/>
  <c r="AD612" i="1"/>
  <c r="AD285" i="1"/>
  <c r="AD479" i="1"/>
  <c r="AD118" i="1"/>
  <c r="AC731" i="1"/>
  <c r="AD57" i="1"/>
  <c r="AD162" i="1"/>
  <c r="AC447" i="1"/>
  <c r="AD12" i="1"/>
  <c r="AD260" i="1"/>
  <c r="AD508" i="1"/>
  <c r="AC58" i="1"/>
  <c r="AD101" i="1"/>
  <c r="AD515" i="1"/>
  <c r="AC145" i="1"/>
  <c r="AD447" i="1"/>
  <c r="AC155" i="1"/>
  <c r="AD731" i="1"/>
  <c r="AD604" i="1"/>
  <c r="AC701" i="1"/>
  <c r="AD1038" i="1"/>
  <c r="AD1030" i="1"/>
  <c r="AC1021" i="1"/>
  <c r="AD440" i="1"/>
  <c r="AD147" i="1"/>
  <c r="AC315" i="1"/>
  <c r="AC464" i="1"/>
  <c r="AD35" i="1"/>
  <c r="AD231" i="1"/>
  <c r="AC207" i="1"/>
  <c r="AD707" i="1"/>
  <c r="AD572" i="1"/>
  <c r="AD474" i="1"/>
  <c r="AD582" i="1"/>
  <c r="AD434" i="1"/>
  <c r="AD233" i="1"/>
  <c r="AD560" i="1"/>
  <c r="AD20" i="1"/>
  <c r="AC1041" i="1"/>
  <c r="AD1023" i="1"/>
  <c r="AC1009" i="1"/>
  <c r="AC1000" i="1"/>
  <c r="AC991" i="1"/>
  <c r="AD981" i="1"/>
  <c r="AD974" i="1"/>
  <c r="AC964" i="1"/>
  <c r="AD956" i="1"/>
  <c r="AC945" i="1"/>
  <c r="AD938" i="1"/>
  <c r="AD929" i="1"/>
  <c r="AC919" i="1"/>
  <c r="AC912" i="1"/>
  <c r="AD903" i="1"/>
  <c r="AC894" i="1"/>
  <c r="AC884" i="1"/>
  <c r="AC873" i="1"/>
  <c r="AD861" i="1"/>
  <c r="AD852" i="1"/>
  <c r="AC843" i="1"/>
  <c r="AD824" i="1"/>
  <c r="AC807" i="1"/>
  <c r="AC789" i="1"/>
  <c r="AD781" i="1"/>
  <c r="AC799" i="1"/>
  <c r="AC773" i="1"/>
  <c r="I5" i="4"/>
  <c r="AC771" i="1"/>
  <c r="AD803" i="1"/>
  <c r="I3" i="4"/>
  <c r="I4" i="4"/>
  <c r="AD95" i="1"/>
  <c r="AC625" i="1"/>
  <c r="AC69" i="1"/>
  <c r="AD19" i="1"/>
  <c r="AD461" i="1"/>
  <c r="AD544" i="1"/>
  <c r="AC650" i="1"/>
  <c r="AC507" i="1"/>
  <c r="AC404" i="1"/>
  <c r="AD18" i="1"/>
  <c r="AC408" i="1"/>
  <c r="AD563" i="1"/>
  <c r="AD719" i="1"/>
  <c r="AC664" i="1"/>
  <c r="AD386" i="1"/>
  <c r="AC1038" i="1"/>
  <c r="AD1019" i="1"/>
  <c r="AD1003" i="1"/>
  <c r="AD997" i="1"/>
  <c r="AC990" i="1"/>
  <c r="AC981" i="1"/>
  <c r="AD972" i="1"/>
  <c r="AC961" i="1"/>
  <c r="AD952" i="1"/>
  <c r="AD943" i="1"/>
  <c r="AC935" i="1"/>
  <c r="AD923" i="1"/>
  <c r="AD918" i="1"/>
  <c r="AD910" i="1"/>
  <c r="AD901" i="1"/>
  <c r="AD891" i="1"/>
  <c r="AD882" i="1"/>
  <c r="AD870" i="1"/>
  <c r="AD857" i="1"/>
  <c r="AD850" i="1"/>
  <c r="AC841" i="1"/>
  <c r="AC819" i="1"/>
  <c r="AD802" i="1"/>
  <c r="AC785" i="1"/>
  <c r="AD812" i="1"/>
  <c r="AC781" i="1"/>
  <c r="AC922" i="1"/>
  <c r="AC905" i="1"/>
  <c r="AD886" i="1"/>
  <c r="AD864" i="1"/>
  <c r="AD845" i="1"/>
  <c r="AC811" i="1"/>
  <c r="AD773" i="1"/>
  <c r="AC784" i="1"/>
  <c r="AI756" i="1"/>
  <c r="J84" i="2"/>
  <c r="D2" i="2" l="1"/>
  <c r="D15" i="2"/>
  <c r="D3" i="2"/>
  <c r="D11" i="2"/>
  <c r="D4" i="2"/>
  <c r="D16" i="2"/>
  <c r="D12" i="2"/>
  <c r="K4" i="4"/>
  <c r="L4" i="4" s="1"/>
  <c r="M4" i="4" s="1"/>
  <c r="K3" i="4"/>
  <c r="L3" i="4" s="1"/>
  <c r="M3" i="4" s="1"/>
  <c r="K5" i="4"/>
  <c r="L5" i="4" s="1"/>
  <c r="M5" i="4" s="1"/>
  <c r="K6" i="4"/>
  <c r="L6" i="4" s="1"/>
  <c r="M6" i="4" s="1"/>
  <c r="K9" i="4"/>
  <c r="L9" i="4" s="1"/>
  <c r="M9" i="4" s="1"/>
  <c r="K7" i="4"/>
  <c r="L7" i="4" s="1"/>
  <c r="M7" i="4" s="1"/>
  <c r="K8" i="4"/>
  <c r="L8" i="4" s="1"/>
  <c r="M8" i="4" s="1"/>
  <c r="N8" i="4"/>
  <c r="B753" i="1"/>
  <c r="C753" i="1" s="1"/>
  <c r="O7" i="2"/>
  <c r="P7" i="2" s="1"/>
  <c r="Q7" i="2" s="1"/>
  <c r="J5" i="5"/>
  <c r="K5" i="5" s="1"/>
  <c r="L5" i="5" s="1"/>
  <c r="M5" i="5" s="1"/>
  <c r="J4" i="7"/>
  <c r="K4" i="7" s="1"/>
  <c r="L4" i="7" s="1"/>
  <c r="M4" i="7" s="1"/>
  <c r="O14" i="2"/>
  <c r="P14" i="2" s="1"/>
  <c r="Q14" i="2" s="1"/>
  <c r="N6" i="4"/>
  <c r="J12" i="5"/>
  <c r="O20" i="2"/>
  <c r="P20" i="2" s="1"/>
  <c r="Q20" i="2" s="1"/>
  <c r="J7" i="5"/>
  <c r="K7" i="5" s="1"/>
  <c r="L7" i="5" s="1"/>
  <c r="M7" i="5" s="1"/>
  <c r="O9" i="2"/>
  <c r="P9" i="2" s="1"/>
  <c r="Q9" i="2" s="1"/>
  <c r="O3" i="2"/>
  <c r="P3" i="2" s="1"/>
  <c r="Q3" i="2" s="1"/>
  <c r="N4" i="4"/>
  <c r="J10" i="5"/>
  <c r="O18" i="2"/>
  <c r="P18" i="2" s="1"/>
  <c r="Q18" i="2" s="1"/>
  <c r="O8" i="2"/>
  <c r="P8" i="2" s="1"/>
  <c r="Q8" i="2" s="1"/>
  <c r="J6" i="5"/>
  <c r="N3" i="4"/>
  <c r="N7" i="4"/>
  <c r="O16" i="2"/>
  <c r="P16" i="2" s="1"/>
  <c r="Q16" i="2" s="1"/>
  <c r="O4" i="2"/>
  <c r="P4" i="2" s="1"/>
  <c r="Q4" i="2" s="1"/>
  <c r="O11" i="2"/>
  <c r="P11" i="2" s="1"/>
  <c r="Q11" i="2" s="1"/>
  <c r="J8" i="5"/>
  <c r="O13" i="2"/>
  <c r="P13" i="2" s="1"/>
  <c r="Q13" i="2" s="1"/>
  <c r="N9" i="4"/>
  <c r="O15" i="2"/>
  <c r="P15" i="2" s="1"/>
  <c r="Q15" i="2" s="1"/>
  <c r="J11" i="5"/>
  <c r="O19" i="2"/>
  <c r="P19" i="2" s="1"/>
  <c r="Q19" i="2" s="1"/>
  <c r="J3" i="7"/>
  <c r="K3" i="7" s="1"/>
  <c r="L3" i="7" s="1"/>
  <c r="M3" i="7" s="1"/>
  <c r="O10" i="2"/>
  <c r="P10" i="2" s="1"/>
  <c r="Q10" i="2" s="1"/>
  <c r="O17" i="2"/>
  <c r="P17" i="2" s="1"/>
  <c r="Q17" i="2" s="1"/>
  <c r="J9" i="5"/>
  <c r="N5" i="4"/>
  <c r="J3" i="5"/>
  <c r="K3" i="5" s="1"/>
  <c r="L3" i="5" s="1"/>
  <c r="M3" i="5" s="1"/>
  <c r="O5" i="2"/>
  <c r="P5" i="2" s="1"/>
  <c r="Q5" i="2" s="1"/>
  <c r="O2" i="2"/>
  <c r="P2" i="2" s="1"/>
  <c r="Q2" i="2" s="1"/>
  <c r="O6" i="2"/>
  <c r="P6" i="2" s="1"/>
  <c r="Q6" i="2" s="1"/>
  <c r="J4" i="5"/>
  <c r="O12" i="2"/>
  <c r="P12" i="2" s="1"/>
  <c r="Q12" i="2" s="1"/>
  <c r="A12" i="5"/>
  <c r="K8" i="5"/>
  <c r="L8" i="5" s="1"/>
  <c r="M8" i="5" s="1"/>
  <c r="K9" i="5"/>
  <c r="L9" i="5" s="1"/>
  <c r="M9" i="5" s="1"/>
  <c r="K11" i="5"/>
  <c r="L11" i="5" s="1"/>
  <c r="M11" i="5" s="1"/>
  <c r="K12" i="5"/>
  <c r="L12" i="5" s="1"/>
  <c r="M12" i="5" s="1"/>
  <c r="K6" i="5"/>
  <c r="L6" i="5" s="1"/>
  <c r="M6" i="5" s="1"/>
  <c r="E84" i="2"/>
  <c r="D84" i="2"/>
  <c r="L84" i="2"/>
  <c r="K84" i="2"/>
  <c r="R88" i="2"/>
  <c r="G88" i="2"/>
  <c r="I88" i="2"/>
  <c r="H88" i="2"/>
  <c r="F88" i="2"/>
  <c r="A86" i="2"/>
  <c r="B88" i="2"/>
  <c r="N84" i="2"/>
  <c r="C88" i="2"/>
  <c r="AI757" i="1"/>
  <c r="J88" i="2"/>
  <c r="E88" i="2" l="1"/>
  <c r="D88" i="2"/>
  <c r="K88" i="2"/>
  <c r="L88" i="2"/>
  <c r="R86" i="2"/>
  <c r="G86" i="2"/>
  <c r="M84" i="2"/>
  <c r="N88" i="2"/>
  <c r="A89" i="2"/>
  <c r="H86" i="2"/>
  <c r="F86" i="2"/>
  <c r="B86" i="2"/>
  <c r="I86" i="2"/>
  <c r="C86" i="2"/>
  <c r="AI758" i="1"/>
  <c r="J86" i="2"/>
  <c r="M88" i="2" l="1"/>
  <c r="O88" i="2" s="1"/>
  <c r="P88" i="2" s="1"/>
  <c r="Q88" i="2" s="1"/>
  <c r="E86" i="2"/>
  <c r="D86" i="2"/>
  <c r="K86" i="2"/>
  <c r="L86" i="2"/>
  <c r="G89" i="2"/>
  <c r="R89" i="2"/>
  <c r="O84" i="2"/>
  <c r="P84" i="2" s="1"/>
  <c r="Q84" i="2" s="1"/>
  <c r="H89" i="2"/>
  <c r="I89" i="2"/>
  <c r="C89" i="2"/>
  <c r="B89" i="2"/>
  <c r="N86" i="2"/>
  <c r="A87" i="2"/>
  <c r="F89" i="2"/>
  <c r="AI759" i="1"/>
  <c r="J89" i="2"/>
  <c r="M86" i="2" l="1"/>
  <c r="O86" i="2" s="1"/>
  <c r="P86" i="2" s="1"/>
  <c r="Q86" i="2" s="1"/>
  <c r="G87" i="2"/>
  <c r="R87" i="2"/>
  <c r="E89" i="2"/>
  <c r="D89" i="2"/>
  <c r="K89" i="2"/>
  <c r="L89" i="2"/>
  <c r="B87" i="2"/>
  <c r="H87" i="2"/>
  <c r="C87" i="2"/>
  <c r="A90" i="2"/>
  <c r="F87" i="2"/>
  <c r="I87" i="2"/>
  <c r="N89" i="2"/>
  <c r="J87" i="2"/>
  <c r="AI760" i="1"/>
  <c r="G90" i="2" l="1"/>
  <c r="R90" i="2"/>
  <c r="E87" i="2"/>
  <c r="D87" i="2"/>
  <c r="K87" i="2"/>
  <c r="L87" i="2"/>
  <c r="M89" i="2"/>
  <c r="I90" i="2"/>
  <c r="F90" i="2"/>
  <c r="C90" i="2"/>
  <c r="A91" i="2"/>
  <c r="B90" i="2"/>
  <c r="H90" i="2"/>
  <c r="N87" i="2"/>
  <c r="J90" i="2"/>
  <c r="AI761" i="1"/>
  <c r="M87" i="2" l="1"/>
  <c r="O87" i="2" s="1"/>
  <c r="P87" i="2" s="1"/>
  <c r="Q87" i="2" s="1"/>
  <c r="D90" i="2"/>
  <c r="E90" i="2"/>
  <c r="L90" i="2"/>
  <c r="K90" i="2"/>
  <c r="G91" i="2"/>
  <c r="R91" i="2"/>
  <c r="O89" i="2"/>
  <c r="P89" i="2" s="1"/>
  <c r="Q89" i="2" s="1"/>
  <c r="H91" i="2"/>
  <c r="F91" i="2"/>
  <c r="B91" i="2"/>
  <c r="I91" i="2"/>
  <c r="C91" i="2"/>
  <c r="N90" i="2"/>
  <c r="AI762" i="1"/>
  <c r="J91" i="2"/>
  <c r="M90" i="2" l="1"/>
  <c r="O90" i="2" s="1"/>
  <c r="P90" i="2" s="1"/>
  <c r="Q90" i="2" s="1"/>
  <c r="D91" i="2"/>
  <c r="E91" i="2"/>
  <c r="L91" i="2"/>
  <c r="K91" i="2"/>
  <c r="N91" i="2"/>
  <c r="AI763" i="1"/>
  <c r="M91" i="2" l="1"/>
  <c r="AI764" i="1"/>
  <c r="O91" i="2" l="1"/>
  <c r="P91" i="2" s="1"/>
  <c r="Q91" i="2" s="1"/>
  <c r="AI765" i="1"/>
  <c r="AI766" i="1"/>
  <c r="AI767" i="1"/>
  <c r="A21" i="2"/>
  <c r="A22" i="2"/>
  <c r="A23" i="2"/>
  <c r="B22" i="2"/>
  <c r="B21" i="2"/>
  <c r="C21" i="2"/>
  <c r="C22" i="2"/>
  <c r="F22" i="2"/>
  <c r="F21" i="2"/>
  <c r="A24" i="2"/>
  <c r="E22" i="2" l="1"/>
  <c r="E21" i="2"/>
  <c r="A25" i="2"/>
  <c r="C24" i="2"/>
  <c r="C23" i="2"/>
  <c r="F23" i="2"/>
  <c r="B24" i="2"/>
  <c r="F24" i="2"/>
  <c r="B23" i="2"/>
  <c r="A26" i="2"/>
  <c r="E23" i="2" l="1"/>
  <c r="E24" i="2"/>
  <c r="A27" i="2"/>
  <c r="C26" i="2"/>
  <c r="B25" i="2"/>
  <c r="C25" i="2"/>
  <c r="F25" i="2"/>
  <c r="B26" i="2"/>
  <c r="F26" i="2"/>
  <c r="A28" i="2"/>
  <c r="E26" i="2" l="1"/>
  <c r="E25" i="2"/>
  <c r="A29" i="2"/>
  <c r="F28" i="2"/>
  <c r="F27" i="2"/>
  <c r="B27" i="2"/>
  <c r="C27" i="2"/>
  <c r="B28" i="2"/>
  <c r="C28" i="2"/>
  <c r="A30" i="2"/>
  <c r="B10" i="4"/>
  <c r="E28" i="2" l="1"/>
  <c r="E27" i="2"/>
  <c r="A31" i="2"/>
  <c r="B30" i="2"/>
  <c r="B29" i="2"/>
  <c r="C29" i="2"/>
  <c r="F29" i="2"/>
  <c r="C30" i="2"/>
  <c r="F30" i="2"/>
  <c r="A32" i="2"/>
  <c r="B11" i="4"/>
  <c r="B12" i="4" s="1"/>
  <c r="E29" i="2" l="1"/>
  <c r="E30" i="2"/>
  <c r="A33" i="2"/>
  <c r="F32" i="2"/>
  <c r="F31" i="2"/>
  <c r="C31" i="2"/>
  <c r="B31" i="2"/>
  <c r="B32" i="2"/>
  <c r="C32" i="2"/>
  <c r="A34" i="2"/>
  <c r="B13" i="4"/>
  <c r="B14" i="4" s="1"/>
  <c r="E32" i="2" l="1"/>
  <c r="E31" i="2"/>
  <c r="A35" i="2"/>
  <c r="F34" i="2"/>
  <c r="B33" i="2"/>
  <c r="C33" i="2"/>
  <c r="F33" i="2"/>
  <c r="C34" i="2"/>
  <c r="B34" i="2"/>
  <c r="A36" i="2"/>
  <c r="B15" i="4"/>
  <c r="B16" i="4" s="1"/>
  <c r="E34" i="2" l="1"/>
  <c r="E33" i="2"/>
  <c r="A37" i="2"/>
  <c r="F36" i="2"/>
  <c r="C35" i="2"/>
  <c r="B36" i="2"/>
  <c r="C36" i="2"/>
  <c r="F35" i="2"/>
  <c r="B35" i="2"/>
  <c r="A38" i="2"/>
  <c r="B17" i="4"/>
  <c r="E35" i="2" l="1"/>
  <c r="E36" i="2"/>
  <c r="A39" i="2"/>
  <c r="B38" i="2"/>
  <c r="C37" i="2"/>
  <c r="B37" i="2"/>
  <c r="F37" i="2"/>
  <c r="C38" i="2"/>
  <c r="F38" i="2"/>
  <c r="A40" i="2"/>
  <c r="E37" i="2" l="1"/>
  <c r="E38" i="2"/>
  <c r="A41" i="2"/>
  <c r="F40" i="2"/>
  <c r="C39" i="2"/>
  <c r="B39" i="2"/>
  <c r="F39" i="2"/>
  <c r="B40" i="2"/>
  <c r="C40" i="2"/>
  <c r="A42" i="2"/>
  <c r="E40" i="2" l="1"/>
  <c r="E39" i="2"/>
  <c r="A43" i="2"/>
  <c r="B42" i="2"/>
  <c r="C41" i="2"/>
  <c r="F41" i="2"/>
  <c r="B41" i="2"/>
  <c r="C42" i="2"/>
  <c r="F42" i="2"/>
  <c r="A44" i="2"/>
  <c r="B18" i="4"/>
  <c r="E41" i="2" l="1"/>
  <c r="E42" i="2"/>
  <c r="A45" i="2"/>
  <c r="F44" i="2"/>
  <c r="C43" i="2"/>
  <c r="F43" i="2"/>
  <c r="B43" i="2"/>
  <c r="B44" i="2"/>
  <c r="C44" i="2"/>
  <c r="A46" i="2"/>
  <c r="B19" i="4"/>
  <c r="B20" i="4" s="1"/>
  <c r="E44" i="2" l="1"/>
  <c r="E43" i="2"/>
  <c r="A47" i="2"/>
  <c r="B46" i="2"/>
  <c r="F45" i="2"/>
  <c r="C45" i="2"/>
  <c r="B45" i="2"/>
  <c r="B13" i="5"/>
  <c r="C46" i="2"/>
  <c r="F46" i="2"/>
  <c r="A48" i="2"/>
  <c r="B21" i="4"/>
  <c r="E45" i="2" l="1"/>
  <c r="E46" i="2"/>
  <c r="A49" i="2"/>
  <c r="F48" i="2"/>
  <c r="B48" i="2"/>
  <c r="C48" i="2"/>
  <c r="F47" i="2"/>
  <c r="C47" i="2"/>
  <c r="B47" i="2"/>
  <c r="B14" i="5"/>
  <c r="A50" i="2"/>
  <c r="B22" i="4"/>
  <c r="R50" i="2" l="1"/>
  <c r="E47" i="2"/>
  <c r="E48" i="2"/>
  <c r="R49" i="2"/>
  <c r="G50" i="2"/>
  <c r="A51" i="2"/>
  <c r="B50" i="2"/>
  <c r="B15" i="5"/>
  <c r="C49" i="2"/>
  <c r="F49" i="2"/>
  <c r="H50" i="2"/>
  <c r="I50" i="2"/>
  <c r="B49" i="2"/>
  <c r="B16" i="5"/>
  <c r="J50" i="2"/>
  <c r="C50" i="2"/>
  <c r="F50" i="2"/>
  <c r="A52" i="2"/>
  <c r="B23" i="4"/>
  <c r="E49" i="2" l="1"/>
  <c r="K49" i="2"/>
  <c r="L49" i="2"/>
  <c r="E50" i="2"/>
  <c r="L50" i="2"/>
  <c r="K50" i="2"/>
  <c r="R51" i="2"/>
  <c r="G51" i="2"/>
  <c r="A53" i="2"/>
  <c r="F52" i="2"/>
  <c r="B17" i="5"/>
  <c r="N50" i="2"/>
  <c r="F51" i="2"/>
  <c r="C51" i="2"/>
  <c r="J51" i="2"/>
  <c r="H51" i="2"/>
  <c r="B18" i="5"/>
  <c r="B52" i="2"/>
  <c r="C52" i="2"/>
  <c r="N49" i="2"/>
  <c r="B24" i="4"/>
  <c r="B51" i="2"/>
  <c r="I51" i="2"/>
  <c r="A54" i="2"/>
  <c r="E51" i="2" l="1"/>
  <c r="K51" i="2"/>
  <c r="L51" i="2"/>
  <c r="M50" i="2"/>
  <c r="O50" i="2" s="1"/>
  <c r="P50" i="2" s="1"/>
  <c r="Q50" i="2" s="1"/>
  <c r="M49" i="2"/>
  <c r="O49" i="2" s="1"/>
  <c r="P49" i="2" s="1"/>
  <c r="Q49" i="2" s="1"/>
  <c r="A55" i="2"/>
  <c r="B54" i="2"/>
  <c r="N51" i="2"/>
  <c r="C54" i="2"/>
  <c r="F54" i="2"/>
  <c r="C53" i="2"/>
  <c r="F53" i="2"/>
  <c r="B19" i="5"/>
  <c r="B20" i="5" s="1"/>
  <c r="B53" i="2"/>
  <c r="A56" i="2"/>
  <c r="M51" i="2" l="1"/>
  <c r="O51" i="2" s="1"/>
  <c r="P51" i="2" s="1"/>
  <c r="Q51" i="2" s="1"/>
  <c r="A57" i="2"/>
  <c r="F56" i="2"/>
  <c r="B21" i="5"/>
  <c r="F55" i="2"/>
  <c r="B22" i="5"/>
  <c r="B56" i="2"/>
  <c r="C56" i="2"/>
  <c r="C55" i="2"/>
  <c r="B55" i="2"/>
  <c r="A58" i="2"/>
  <c r="G49" i="2" l="1"/>
  <c r="A59" i="2"/>
  <c r="F58" i="2"/>
  <c r="B23" i="5"/>
  <c r="F57" i="2"/>
  <c r="C58" i="2"/>
  <c r="B58" i="2"/>
  <c r="C57" i="2"/>
  <c r="B57" i="2"/>
  <c r="B24" i="5"/>
  <c r="J49" i="2"/>
  <c r="I49" i="2"/>
  <c r="H49" i="2"/>
  <c r="A60" i="2"/>
  <c r="E52" i="2" l="1"/>
  <c r="A61" i="2"/>
  <c r="F60" i="2"/>
  <c r="B60" i="2"/>
  <c r="C60" i="2"/>
  <c r="F59" i="2"/>
  <c r="B59" i="2"/>
  <c r="B25" i="5"/>
  <c r="B26" i="5" s="1"/>
  <c r="C59" i="2"/>
  <c r="A62" i="2"/>
  <c r="G62" i="2" l="1"/>
  <c r="A63" i="2"/>
  <c r="B62" i="2"/>
  <c r="B27" i="5"/>
  <c r="B28" i="5" s="1"/>
  <c r="B61" i="2"/>
  <c r="C62" i="2"/>
  <c r="F62" i="2"/>
  <c r="C61" i="2"/>
  <c r="F61" i="2"/>
  <c r="J62" i="2"/>
  <c r="H62" i="2"/>
  <c r="I62" i="2"/>
  <c r="A64" i="2"/>
  <c r="G64" i="2" l="1"/>
  <c r="E61" i="2"/>
  <c r="K61" i="2"/>
  <c r="L61" i="2"/>
  <c r="K62" i="2"/>
  <c r="E62" i="2"/>
  <c r="L62" i="2"/>
  <c r="G63" i="2"/>
  <c r="A65" i="2"/>
  <c r="F64" i="2"/>
  <c r="I64" i="2"/>
  <c r="J64" i="2"/>
  <c r="B29" i="5"/>
  <c r="B30" i="5" s="1"/>
  <c r="N62" i="2"/>
  <c r="C63" i="2"/>
  <c r="B63" i="2"/>
  <c r="I63" i="2"/>
  <c r="F63" i="2"/>
  <c r="J63" i="2"/>
  <c r="H63" i="2"/>
  <c r="B64" i="2"/>
  <c r="C64" i="2"/>
  <c r="H64" i="2"/>
  <c r="N61" i="2"/>
  <c r="A66" i="2"/>
  <c r="M61" i="2" l="1"/>
  <c r="G66" i="2"/>
  <c r="E64" i="2"/>
  <c r="K64" i="2"/>
  <c r="L64" i="2"/>
  <c r="E63" i="2"/>
  <c r="K63" i="2"/>
  <c r="L63" i="2"/>
  <c r="G65" i="2"/>
  <c r="M62" i="2"/>
  <c r="G61" i="2"/>
  <c r="A67" i="2"/>
  <c r="B66" i="2"/>
  <c r="I66" i="2"/>
  <c r="H66" i="2"/>
  <c r="N64" i="2"/>
  <c r="C66" i="2"/>
  <c r="F66" i="2"/>
  <c r="J66" i="2"/>
  <c r="N63" i="2"/>
  <c r="C65" i="2"/>
  <c r="F65" i="2"/>
  <c r="I65" i="2"/>
  <c r="H61" i="2"/>
  <c r="I61" i="2"/>
  <c r="B31" i="5"/>
  <c r="B32" i="5" s="1"/>
  <c r="B65" i="2"/>
  <c r="J65" i="2"/>
  <c r="H65" i="2"/>
  <c r="J61" i="2"/>
  <c r="A68" i="2"/>
  <c r="A69" i="2"/>
  <c r="A70" i="2" s="1"/>
  <c r="A71" i="2" s="1"/>
  <c r="A72" i="2" s="1"/>
  <c r="A73" i="2" s="1"/>
  <c r="A74" i="2" s="1"/>
  <c r="J70" i="2"/>
  <c r="J71" i="2"/>
  <c r="J72" i="2"/>
  <c r="J74" i="2"/>
  <c r="B25" i="4"/>
  <c r="R74" i="2" l="1"/>
  <c r="G74" i="2"/>
  <c r="G72" i="2"/>
  <c r="R72" i="2"/>
  <c r="R71" i="2"/>
  <c r="G71" i="2"/>
  <c r="G70" i="2"/>
  <c r="R70" i="2"/>
  <c r="M63" i="2"/>
  <c r="G69" i="2"/>
  <c r="R69" i="2"/>
  <c r="G68" i="2"/>
  <c r="E65" i="2"/>
  <c r="K65" i="2"/>
  <c r="L65" i="2"/>
  <c r="L66" i="2"/>
  <c r="K66" i="2"/>
  <c r="G67" i="2"/>
  <c r="M64" i="2"/>
  <c r="K60" i="2"/>
  <c r="L60" i="2"/>
  <c r="E60" i="2"/>
  <c r="A75" i="2"/>
  <c r="A76" i="2" s="1"/>
  <c r="A77" i="2" s="1"/>
  <c r="A78" i="2" s="1"/>
  <c r="A79" i="2" s="1"/>
  <c r="A80" i="2" s="1"/>
  <c r="A81" i="2" s="1"/>
  <c r="A82" i="2" s="1"/>
  <c r="A83" i="2" s="1"/>
  <c r="H74" i="2"/>
  <c r="C74" i="2"/>
  <c r="F74" i="2"/>
  <c r="B74" i="2"/>
  <c r="I74" i="2"/>
  <c r="C73" i="2"/>
  <c r="F73" i="2"/>
  <c r="F72" i="2"/>
  <c r="I72" i="2"/>
  <c r="B72" i="2"/>
  <c r="C72" i="2"/>
  <c r="H72" i="2"/>
  <c r="I71" i="2"/>
  <c r="B71" i="2"/>
  <c r="H71" i="2"/>
  <c r="F71" i="2"/>
  <c r="C71" i="2"/>
  <c r="H70" i="2"/>
  <c r="B70" i="2"/>
  <c r="C70" i="2"/>
  <c r="F70" i="2"/>
  <c r="I70" i="2"/>
  <c r="J69" i="2"/>
  <c r="H69" i="2"/>
  <c r="F68" i="2"/>
  <c r="I68" i="2"/>
  <c r="N65" i="2"/>
  <c r="J25" i="4"/>
  <c r="C25" i="4"/>
  <c r="F25" i="4"/>
  <c r="G25" i="4"/>
  <c r="F67" i="2"/>
  <c r="B67" i="2"/>
  <c r="J67" i="2"/>
  <c r="I67" i="2"/>
  <c r="B69" i="2"/>
  <c r="I69" i="2"/>
  <c r="C69" i="2"/>
  <c r="F69" i="2"/>
  <c r="B68" i="2"/>
  <c r="C68" i="2"/>
  <c r="J68" i="2"/>
  <c r="H68" i="2"/>
  <c r="B33" i="5"/>
  <c r="B34" i="5" s="1"/>
  <c r="I25" i="4"/>
  <c r="D25" i="4"/>
  <c r="E25" i="4"/>
  <c r="H25" i="4"/>
  <c r="C67" i="2"/>
  <c r="H67" i="2"/>
  <c r="N60" i="2"/>
  <c r="J75" i="2"/>
  <c r="B26" i="4"/>
  <c r="B27" i="4" s="1"/>
  <c r="B28" i="4" s="1"/>
  <c r="B29" i="4" s="1"/>
  <c r="B30" i="4" s="1"/>
  <c r="B31" i="4" s="1"/>
  <c r="B32" i="4" s="1"/>
  <c r="B33" i="4" s="1"/>
  <c r="J76" i="2"/>
  <c r="J77" i="2"/>
  <c r="J79" i="2"/>
  <c r="J80" i="2"/>
  <c r="J81" i="2"/>
  <c r="J82" i="2"/>
  <c r="J83" i="2"/>
  <c r="R83" i="2" l="1"/>
  <c r="G83" i="2"/>
  <c r="R82" i="2"/>
  <c r="G82" i="2"/>
  <c r="R81" i="2"/>
  <c r="G81" i="2"/>
  <c r="R80" i="2"/>
  <c r="G80" i="2"/>
  <c r="G79" i="2"/>
  <c r="R79" i="2"/>
  <c r="G77" i="2"/>
  <c r="R77" i="2"/>
  <c r="G76" i="2"/>
  <c r="R76" i="2"/>
  <c r="E74" i="2"/>
  <c r="L74" i="2"/>
  <c r="K74" i="2"/>
  <c r="K72" i="2"/>
  <c r="L72" i="2"/>
  <c r="E72" i="2"/>
  <c r="R75" i="2"/>
  <c r="G75" i="2"/>
  <c r="L71" i="2"/>
  <c r="K71" i="2"/>
  <c r="E71" i="2"/>
  <c r="E70" i="2"/>
  <c r="K25" i="4"/>
  <c r="L25" i="4" s="1"/>
  <c r="M25" i="4" s="1"/>
  <c r="K68" i="2"/>
  <c r="L68" i="2"/>
  <c r="E69" i="2"/>
  <c r="L69" i="2"/>
  <c r="K69" i="2"/>
  <c r="K67" i="2"/>
  <c r="L67" i="2"/>
  <c r="N25" i="4"/>
  <c r="A25" i="4"/>
  <c r="M65" i="2"/>
  <c r="M60" i="2"/>
  <c r="I34" i="5" s="1"/>
  <c r="J34" i="5"/>
  <c r="I83" i="2"/>
  <c r="H83" i="2"/>
  <c r="C83" i="2"/>
  <c r="F83" i="2"/>
  <c r="B83" i="2"/>
  <c r="H82" i="2"/>
  <c r="C82" i="2"/>
  <c r="F82" i="2"/>
  <c r="I82" i="2"/>
  <c r="B82" i="2"/>
  <c r="F81" i="2"/>
  <c r="C81" i="2"/>
  <c r="I81" i="2"/>
  <c r="B81" i="2"/>
  <c r="H81" i="2"/>
  <c r="B80" i="2"/>
  <c r="F80" i="2"/>
  <c r="C80" i="2"/>
  <c r="H80" i="2"/>
  <c r="I80" i="2"/>
  <c r="I79" i="2"/>
  <c r="F79" i="2"/>
  <c r="H79" i="2"/>
  <c r="B79" i="2"/>
  <c r="C79" i="2"/>
  <c r="C78" i="2"/>
  <c r="F78" i="2"/>
  <c r="B77" i="2"/>
  <c r="I77" i="2"/>
  <c r="H77" i="2"/>
  <c r="F77" i="2"/>
  <c r="C77" i="2"/>
  <c r="B76" i="2"/>
  <c r="H76" i="2"/>
  <c r="F76" i="2"/>
  <c r="I76" i="2"/>
  <c r="C76" i="2"/>
  <c r="B75" i="2"/>
  <c r="H75" i="2"/>
  <c r="I75" i="2"/>
  <c r="F75" i="2"/>
  <c r="B3" i="6" s="1"/>
  <c r="B4" i="6" s="1"/>
  <c r="C75" i="2"/>
  <c r="F33" i="4"/>
  <c r="E33" i="4"/>
  <c r="D33" i="4"/>
  <c r="J33" i="4"/>
  <c r="N74" i="2"/>
  <c r="H33" i="4"/>
  <c r="G33" i="4"/>
  <c r="C33" i="4"/>
  <c r="I33" i="4"/>
  <c r="D32" i="4"/>
  <c r="G31" i="4"/>
  <c r="F31" i="4"/>
  <c r="J31" i="4"/>
  <c r="C31" i="4"/>
  <c r="N72" i="2"/>
  <c r="H31" i="4"/>
  <c r="E31" i="4"/>
  <c r="I31" i="4"/>
  <c r="D31" i="4"/>
  <c r="J30" i="4"/>
  <c r="E30" i="4"/>
  <c r="H30" i="4"/>
  <c r="I30" i="4"/>
  <c r="N71" i="2"/>
  <c r="D30" i="4"/>
  <c r="F30" i="4"/>
  <c r="G30" i="4"/>
  <c r="C30" i="4"/>
  <c r="N70" i="2"/>
  <c r="F29" i="4"/>
  <c r="G29" i="4"/>
  <c r="D29" i="4"/>
  <c r="H29" i="4"/>
  <c r="C29" i="4"/>
  <c r="E29" i="4"/>
  <c r="J28" i="4"/>
  <c r="E28" i="4"/>
  <c r="D28" i="4"/>
  <c r="I28" i="4"/>
  <c r="C27" i="4"/>
  <c r="J27" i="4"/>
  <c r="I27" i="4"/>
  <c r="F27" i="4"/>
  <c r="C34" i="5"/>
  <c r="N69" i="2"/>
  <c r="H60" i="2"/>
  <c r="H28" i="4"/>
  <c r="G28" i="4"/>
  <c r="F28" i="4"/>
  <c r="C28" i="4"/>
  <c r="G27" i="4"/>
  <c r="D27" i="4"/>
  <c r="E27" i="4"/>
  <c r="H27" i="4"/>
  <c r="B35" i="5"/>
  <c r="C26" i="4"/>
  <c r="I26" i="4"/>
  <c r="J26" i="4"/>
  <c r="D26" i="4"/>
  <c r="J60" i="2"/>
  <c r="E26" i="4"/>
  <c r="F26" i="4"/>
  <c r="H26" i="4"/>
  <c r="G26" i="4"/>
  <c r="B36" i="5"/>
  <c r="B37" i="5"/>
  <c r="B38" i="5"/>
  <c r="B39" i="5"/>
  <c r="B40" i="5" s="1"/>
  <c r="B41" i="5" s="1"/>
  <c r="B42" i="5" s="1"/>
  <c r="B43" i="5" s="1"/>
  <c r="B34" i="4"/>
  <c r="B35" i="4" s="1"/>
  <c r="B3" i="8"/>
  <c r="E83" i="2" l="1"/>
  <c r="K83" i="2"/>
  <c r="L83" i="2"/>
  <c r="E82" i="2"/>
  <c r="K82" i="2"/>
  <c r="L82" i="2"/>
  <c r="E81" i="2"/>
  <c r="K81" i="2"/>
  <c r="L81" i="2"/>
  <c r="E80" i="2"/>
  <c r="L80" i="2"/>
  <c r="K80" i="2"/>
  <c r="K79" i="2"/>
  <c r="L79" i="2"/>
  <c r="E79" i="2"/>
  <c r="L77" i="2"/>
  <c r="K77" i="2"/>
  <c r="E77" i="2"/>
  <c r="L76" i="2"/>
  <c r="K76" i="2"/>
  <c r="E76" i="2"/>
  <c r="K75" i="2"/>
  <c r="L75" i="2"/>
  <c r="K33" i="4"/>
  <c r="L33" i="4" s="1"/>
  <c r="M33" i="4" s="1"/>
  <c r="A33" i="4"/>
  <c r="M74" i="2"/>
  <c r="O74" i="2" s="1"/>
  <c r="P74" i="2" s="1"/>
  <c r="Q74" i="2" s="1"/>
  <c r="K31" i="4"/>
  <c r="L31" i="4" s="1"/>
  <c r="M31" i="4" s="1"/>
  <c r="A31" i="4"/>
  <c r="M72" i="2"/>
  <c r="O72" i="2" s="1"/>
  <c r="P72" i="2" s="1"/>
  <c r="Q72" i="2" s="1"/>
  <c r="E75" i="2"/>
  <c r="A30" i="4"/>
  <c r="K30" i="4"/>
  <c r="L30" i="4" s="1"/>
  <c r="M30" i="4" s="1"/>
  <c r="M71" i="2"/>
  <c r="O71" i="2" s="1"/>
  <c r="P71" i="2" s="1"/>
  <c r="Q71" i="2" s="1"/>
  <c r="A29" i="4"/>
  <c r="M69" i="2"/>
  <c r="J39" i="5"/>
  <c r="I39" i="5"/>
  <c r="J38" i="5"/>
  <c r="I38" i="5"/>
  <c r="J37" i="5"/>
  <c r="I37" i="5"/>
  <c r="J36" i="5"/>
  <c r="I36" i="5"/>
  <c r="K26" i="4"/>
  <c r="L26" i="4" s="1"/>
  <c r="M26" i="4" s="1"/>
  <c r="A26" i="4"/>
  <c r="N26" i="4"/>
  <c r="J35" i="5"/>
  <c r="I35" i="5"/>
  <c r="A28" i="4"/>
  <c r="A34" i="5"/>
  <c r="K27" i="4"/>
  <c r="L27" i="4" s="1"/>
  <c r="M27" i="4" s="1"/>
  <c r="N27" i="4"/>
  <c r="A27" i="4"/>
  <c r="K28" i="4"/>
  <c r="L28" i="4" s="1"/>
  <c r="M28" i="4" s="1"/>
  <c r="O69" i="2"/>
  <c r="P69" i="2" s="1"/>
  <c r="Q69" i="2" s="1"/>
  <c r="K34" i="5"/>
  <c r="L34" i="5" s="1"/>
  <c r="G60" i="2"/>
  <c r="N83" i="2"/>
  <c r="E4" i="6"/>
  <c r="G4" i="6"/>
  <c r="F4" i="6"/>
  <c r="C4" i="6"/>
  <c r="D4" i="6"/>
  <c r="H4" i="6"/>
  <c r="E3" i="6"/>
  <c r="G3" i="6"/>
  <c r="D3" i="6"/>
  <c r="C3" i="6"/>
  <c r="N82" i="2"/>
  <c r="F3" i="6"/>
  <c r="H3" i="6"/>
  <c r="N81" i="2"/>
  <c r="H35" i="4"/>
  <c r="G35" i="4"/>
  <c r="F35" i="4"/>
  <c r="C35" i="4"/>
  <c r="J35" i="4"/>
  <c r="E35" i="4"/>
  <c r="I35" i="4"/>
  <c r="D35" i="4"/>
  <c r="D34" i="4"/>
  <c r="E34" i="4"/>
  <c r="G34" i="4"/>
  <c r="C34" i="4"/>
  <c r="N80" i="2"/>
  <c r="H34" i="4"/>
  <c r="J34" i="4"/>
  <c r="F34" i="4"/>
  <c r="I34" i="4"/>
  <c r="N79" i="2"/>
  <c r="H43" i="5"/>
  <c r="E43" i="5"/>
  <c r="C43" i="5"/>
  <c r="F43" i="5"/>
  <c r="G43" i="5"/>
  <c r="D43" i="5"/>
  <c r="D42" i="5"/>
  <c r="N77" i="2"/>
  <c r="E41" i="5"/>
  <c r="D41" i="5"/>
  <c r="F41" i="5"/>
  <c r="H41" i="5"/>
  <c r="C41" i="5"/>
  <c r="G41" i="5"/>
  <c r="N76" i="2"/>
  <c r="G40" i="5"/>
  <c r="E40" i="5"/>
  <c r="D40" i="5"/>
  <c r="F40" i="5"/>
  <c r="H40" i="5"/>
  <c r="C40" i="5"/>
  <c r="G3" i="8"/>
  <c r="J3" i="8"/>
  <c r="E3" i="8"/>
  <c r="H3" i="8"/>
  <c r="N75" i="2"/>
  <c r="I3" i="8"/>
  <c r="C3" i="8"/>
  <c r="F3" i="8"/>
  <c r="D3" i="8"/>
  <c r="E39" i="5"/>
  <c r="D39" i="5"/>
  <c r="G39" i="5"/>
  <c r="H38" i="5"/>
  <c r="E38" i="5"/>
  <c r="G38" i="5"/>
  <c r="G37" i="5"/>
  <c r="C37" i="5"/>
  <c r="C36" i="5"/>
  <c r="G36" i="5"/>
  <c r="F36" i="5"/>
  <c r="E35" i="5"/>
  <c r="C35" i="5"/>
  <c r="F35" i="5"/>
  <c r="H34" i="5"/>
  <c r="D34" i="5"/>
  <c r="I60" i="2"/>
  <c r="G35" i="5"/>
  <c r="H35" i="5"/>
  <c r="D35" i="5"/>
  <c r="E34" i="5"/>
  <c r="F34" i="5"/>
  <c r="G34" i="5"/>
  <c r="C39" i="5"/>
  <c r="F39" i="5"/>
  <c r="H39" i="5"/>
  <c r="C38" i="5"/>
  <c r="D38" i="5"/>
  <c r="F38" i="5"/>
  <c r="E37" i="5"/>
  <c r="H37" i="5"/>
  <c r="D37" i="5"/>
  <c r="F37" i="5"/>
  <c r="H36" i="5"/>
  <c r="E36" i="5"/>
  <c r="D36" i="5"/>
  <c r="A4" i="6" l="1"/>
  <c r="J4" i="6"/>
  <c r="M83" i="2"/>
  <c r="M82" i="2"/>
  <c r="J3" i="6"/>
  <c r="A3" i="6"/>
  <c r="K35" i="4"/>
  <c r="L35" i="4" s="1"/>
  <c r="M35" i="4" s="1"/>
  <c r="A35" i="4"/>
  <c r="M81" i="2"/>
  <c r="O81" i="2" s="1"/>
  <c r="P81" i="2" s="1"/>
  <c r="Q81" i="2" s="1"/>
  <c r="K34" i="4"/>
  <c r="L34" i="4" s="1"/>
  <c r="M34" i="4" s="1"/>
  <c r="A34" i="4"/>
  <c r="M80" i="2"/>
  <c r="O80" i="2" s="1"/>
  <c r="P80" i="2" s="1"/>
  <c r="Q80" i="2" s="1"/>
  <c r="A43" i="5"/>
  <c r="J43" i="5"/>
  <c r="M79" i="2"/>
  <c r="A41" i="5"/>
  <c r="J41" i="5"/>
  <c r="M77" i="2"/>
  <c r="M76" i="2"/>
  <c r="I40" i="5" s="1"/>
  <c r="M75" i="2"/>
  <c r="O75" i="2" s="1"/>
  <c r="P75" i="2" s="1"/>
  <c r="Q75" i="2" s="1"/>
  <c r="A40" i="5"/>
  <c r="J40" i="5"/>
  <c r="A3" i="8"/>
  <c r="K3" i="8"/>
  <c r="L3" i="8" s="1"/>
  <c r="M3" i="8" s="1"/>
  <c r="K37" i="5"/>
  <c r="L37" i="5" s="1"/>
  <c r="M37" i="5" s="1"/>
  <c r="K38" i="5"/>
  <c r="L38" i="5" s="1"/>
  <c r="M38" i="5" s="1"/>
  <c r="K39" i="5"/>
  <c r="L39" i="5" s="1"/>
  <c r="M39" i="5" s="1"/>
  <c r="A38" i="5"/>
  <c r="A39" i="5"/>
  <c r="A35" i="5"/>
  <c r="A36" i="5"/>
  <c r="A37" i="5"/>
  <c r="K36" i="5"/>
  <c r="K35" i="5"/>
  <c r="L35" i="5" s="1"/>
  <c r="M35" i="5" s="1"/>
  <c r="M34" i="5"/>
  <c r="C33" i="5"/>
  <c r="I3" i="6" l="1"/>
  <c r="O83" i="2"/>
  <c r="P83" i="2" s="1"/>
  <c r="Q83" i="2" s="1"/>
  <c r="I4" i="6"/>
  <c r="K3" i="6"/>
  <c r="O82" i="2"/>
  <c r="P82" i="2" s="1"/>
  <c r="Q82" i="2" s="1"/>
  <c r="K40" i="5"/>
  <c r="L40" i="5" s="1"/>
  <c r="M40" i="5" s="1"/>
  <c r="O79" i="2"/>
  <c r="P79" i="2" s="1"/>
  <c r="Q79" i="2" s="1"/>
  <c r="I43" i="5"/>
  <c r="K43" i="5" s="1"/>
  <c r="L43" i="5" s="1"/>
  <c r="M43" i="5" s="1"/>
  <c r="O77" i="2"/>
  <c r="P77" i="2" s="1"/>
  <c r="Q77" i="2" s="1"/>
  <c r="I41" i="5"/>
  <c r="K41" i="5" s="1"/>
  <c r="L41" i="5" s="1"/>
  <c r="M41" i="5" s="1"/>
  <c r="O76" i="2"/>
  <c r="P76" i="2" s="1"/>
  <c r="Q76" i="2" s="1"/>
  <c r="L36" i="5"/>
  <c r="M36" i="5" s="1"/>
  <c r="A33" i="5"/>
  <c r="K30" i="2"/>
  <c r="L30" i="2"/>
  <c r="K29" i="2"/>
  <c r="L29" i="2"/>
  <c r="K28" i="2"/>
  <c r="L28" i="2"/>
  <c r="K31" i="2"/>
  <c r="L31" i="2"/>
  <c r="K32" i="2"/>
  <c r="L32" i="2"/>
  <c r="K34" i="2"/>
  <c r="L34" i="2"/>
  <c r="K33" i="2"/>
  <c r="L33" i="2"/>
  <c r="K36" i="2"/>
  <c r="L36" i="2"/>
  <c r="K45" i="2"/>
  <c r="L45" i="2"/>
  <c r="K43" i="2"/>
  <c r="L43" i="2"/>
  <c r="K44" i="2"/>
  <c r="L44" i="2"/>
  <c r="K42" i="2"/>
  <c r="L42" i="2"/>
  <c r="K48" i="2"/>
  <c r="L48" i="2"/>
  <c r="C18" i="4"/>
  <c r="I30" i="2"/>
  <c r="C12" i="4"/>
  <c r="C20" i="4"/>
  <c r="J12" i="4"/>
  <c r="I28" i="2"/>
  <c r="I13" i="4"/>
  <c r="J14" i="4"/>
  <c r="I33" i="2"/>
  <c r="I17" i="4"/>
  <c r="J21" i="4"/>
  <c r="I44" i="2"/>
  <c r="I18" i="4"/>
  <c r="J22" i="4"/>
  <c r="C11" i="4"/>
  <c r="C19" i="4"/>
  <c r="I23" i="4"/>
  <c r="C14" i="4"/>
  <c r="C22" i="4"/>
  <c r="I29" i="2"/>
  <c r="I10" i="4"/>
  <c r="J13" i="4"/>
  <c r="I34" i="2"/>
  <c r="I15" i="4"/>
  <c r="J17" i="4"/>
  <c r="I43" i="2"/>
  <c r="I20" i="4"/>
  <c r="J18" i="4"/>
  <c r="I24" i="4"/>
  <c r="C13" i="4"/>
  <c r="C21" i="4"/>
  <c r="C16" i="4"/>
  <c r="C24" i="4"/>
  <c r="I11" i="4"/>
  <c r="J10" i="4"/>
  <c r="I32" i="2"/>
  <c r="I16" i="4"/>
  <c r="J15" i="4"/>
  <c r="I45" i="2"/>
  <c r="I19" i="4"/>
  <c r="J20" i="4"/>
  <c r="I48" i="2"/>
  <c r="J23" i="4"/>
  <c r="C15" i="4"/>
  <c r="C23" i="4"/>
  <c r="C10" i="4"/>
  <c r="I12" i="4"/>
  <c r="J11" i="4"/>
  <c r="I31" i="2"/>
  <c r="I14" i="4"/>
  <c r="J16" i="4"/>
  <c r="I36" i="2"/>
  <c r="I21" i="4"/>
  <c r="J19" i="4"/>
  <c r="I42" i="2"/>
  <c r="I22" i="4"/>
  <c r="C17" i="4"/>
  <c r="J24" i="4"/>
  <c r="L3" i="6" l="1"/>
  <c r="K4" i="6"/>
  <c r="K23" i="4"/>
  <c r="K24" i="4"/>
  <c r="K22" i="4"/>
  <c r="K18" i="4"/>
  <c r="K20" i="4"/>
  <c r="K19" i="4"/>
  <c r="K21" i="4"/>
  <c r="K17" i="4"/>
  <c r="K15" i="4"/>
  <c r="K16" i="4"/>
  <c r="K14" i="4"/>
  <c r="K13" i="4"/>
  <c r="K10" i="4"/>
  <c r="K11" i="4"/>
  <c r="K12" i="4"/>
  <c r="I4" i="5"/>
  <c r="L4" i="6" l="1"/>
  <c r="M3" i="6"/>
  <c r="L12" i="4"/>
  <c r="L10" i="4"/>
  <c r="L14" i="4"/>
  <c r="L15" i="4"/>
  <c r="L21" i="4"/>
  <c r="L20" i="4"/>
  <c r="L22" i="4"/>
  <c r="L23" i="4"/>
  <c r="K4" i="5"/>
  <c r="L11" i="4"/>
  <c r="L13" i="4"/>
  <c r="L16" i="4"/>
  <c r="L17" i="4"/>
  <c r="L19" i="4"/>
  <c r="L18" i="4"/>
  <c r="L24" i="4"/>
  <c r="I10" i="5"/>
  <c r="M4" i="6" l="1"/>
  <c r="L4" i="5"/>
  <c r="M4" i="5" s="1"/>
  <c r="K10" i="5"/>
  <c r="M18" i="4"/>
  <c r="M17" i="4"/>
  <c r="M13" i="4"/>
  <c r="M22" i="4"/>
  <c r="M21" i="4"/>
  <c r="M14" i="4"/>
  <c r="M12" i="4"/>
  <c r="M24" i="4"/>
  <c r="M19" i="4"/>
  <c r="M16" i="4"/>
  <c r="M11" i="4"/>
  <c r="M23" i="4"/>
  <c r="M20" i="4"/>
  <c r="M15" i="4"/>
  <c r="M10" i="4"/>
  <c r="I21" i="2"/>
  <c r="L10" i="5" l="1"/>
  <c r="K21" i="2"/>
  <c r="L21" i="2"/>
  <c r="N21" i="2"/>
  <c r="C13" i="5"/>
  <c r="M10" i="5" l="1"/>
  <c r="M21" i="2"/>
  <c r="I13" i="5" s="1"/>
  <c r="J13" i="5"/>
  <c r="I22" i="2"/>
  <c r="K13" i="5" l="1"/>
  <c r="L13" i="5" l="1"/>
  <c r="K22" i="2"/>
  <c r="L22" i="2"/>
  <c r="N22" i="2"/>
  <c r="C14" i="5"/>
  <c r="M13" i="5" l="1"/>
  <c r="M22" i="2"/>
  <c r="I14" i="5" s="1"/>
  <c r="J14" i="5"/>
  <c r="I23" i="2"/>
  <c r="K14" i="5" l="1"/>
  <c r="L14" i="5" l="1"/>
  <c r="K23" i="2"/>
  <c r="L23" i="2"/>
  <c r="N23" i="2"/>
  <c r="C15" i="5"/>
  <c r="M14" i="5" l="1"/>
  <c r="M23" i="2"/>
  <c r="I15" i="5" s="1"/>
  <c r="J15" i="5"/>
  <c r="I24" i="2"/>
  <c r="K15" i="5" l="1"/>
  <c r="L15" i="5" l="1"/>
  <c r="K24" i="2"/>
  <c r="L24" i="2"/>
  <c r="C16" i="5"/>
  <c r="N24" i="2"/>
  <c r="M15" i="5" l="1"/>
  <c r="M24" i="2"/>
  <c r="I16" i="5" s="1"/>
  <c r="J16" i="5"/>
  <c r="I25" i="2"/>
  <c r="K16" i="5" l="1"/>
  <c r="L16" i="5" l="1"/>
  <c r="K25" i="2"/>
  <c r="L25" i="2"/>
  <c r="C17" i="5"/>
  <c r="N25" i="2"/>
  <c r="M16" i="5" l="1"/>
  <c r="M25" i="2"/>
  <c r="I17" i="5" s="1"/>
  <c r="J17" i="5"/>
  <c r="I27" i="2"/>
  <c r="K17" i="5" l="1"/>
  <c r="L17" i="5" l="1"/>
  <c r="K27" i="2"/>
  <c r="L27" i="2"/>
  <c r="C19" i="5"/>
  <c r="N27" i="2"/>
  <c r="C18" i="5"/>
  <c r="M17" i="5" l="1"/>
  <c r="M27" i="2"/>
  <c r="I19" i="5" s="1"/>
  <c r="J19" i="5"/>
  <c r="K19" i="5" l="1"/>
  <c r="I26" i="2"/>
  <c r="L19" i="5" l="1"/>
  <c r="K26" i="2"/>
  <c r="L26" i="2"/>
  <c r="N26" i="2"/>
  <c r="M19" i="5" l="1"/>
  <c r="M26" i="2"/>
  <c r="I18" i="5" s="1"/>
  <c r="J18" i="5"/>
  <c r="I38" i="2"/>
  <c r="K18" i="5" l="1"/>
  <c r="L18" i="5" l="1"/>
  <c r="K38" i="2"/>
  <c r="L38" i="2"/>
  <c r="C21" i="5"/>
  <c r="C20" i="5"/>
  <c r="N38" i="2"/>
  <c r="M18" i="5" l="1"/>
  <c r="M38" i="2"/>
  <c r="I21" i="5" s="1"/>
  <c r="J21" i="5"/>
  <c r="K21" i="5" l="1"/>
  <c r="I37" i="2"/>
  <c r="L21" i="5" l="1"/>
  <c r="M21" i="5" l="1"/>
  <c r="K37" i="2"/>
  <c r="L37" i="2"/>
  <c r="N37" i="2"/>
  <c r="M37" i="2" l="1"/>
  <c r="I20" i="5" s="1"/>
  <c r="J20" i="5"/>
  <c r="K20" i="5" l="1"/>
  <c r="I41" i="2"/>
  <c r="L20" i="5" l="1"/>
  <c r="M20" i="5" l="1"/>
  <c r="K41" i="2"/>
  <c r="L41" i="2"/>
  <c r="C22" i="5"/>
  <c r="C30" i="5"/>
  <c r="C27" i="5"/>
  <c r="C24" i="5"/>
  <c r="C32" i="5"/>
  <c r="C26" i="5"/>
  <c r="C23" i="5"/>
  <c r="C31" i="5"/>
  <c r="C28" i="5"/>
  <c r="C25" i="5"/>
  <c r="N41" i="2"/>
  <c r="C29" i="5"/>
  <c r="M41" i="2" l="1"/>
  <c r="I24" i="5" s="1"/>
  <c r="J24" i="5"/>
  <c r="K24" i="5" l="1"/>
  <c r="I39" i="2"/>
  <c r="L24" i="5" l="1"/>
  <c r="K39" i="2"/>
  <c r="L39" i="2"/>
  <c r="N39" i="2"/>
  <c r="M24" i="5" l="1"/>
  <c r="M39" i="2"/>
  <c r="I22" i="5" s="1"/>
  <c r="J22" i="5"/>
  <c r="K22" i="5" l="1"/>
  <c r="I40" i="2"/>
  <c r="L22" i="5" l="1"/>
  <c r="M22" i="5" l="1"/>
  <c r="K40" i="2"/>
  <c r="L40" i="2"/>
  <c r="N40" i="2"/>
  <c r="M40" i="2" l="1"/>
  <c r="I23" i="5" s="1"/>
  <c r="J23" i="5"/>
  <c r="K23" i="5" l="1"/>
  <c r="I47" i="2"/>
  <c r="L23" i="5" l="1"/>
  <c r="M23" i="5" l="1"/>
  <c r="K47" i="2"/>
  <c r="L47" i="2"/>
  <c r="N47" i="2"/>
  <c r="M47" i="2" l="1"/>
  <c r="I26" i="5" s="1"/>
  <c r="J26" i="5"/>
  <c r="K26" i="5" l="1"/>
  <c r="I46" i="2"/>
  <c r="L26" i="5" l="1"/>
  <c r="M26" i="5" l="1"/>
  <c r="K46" i="2"/>
  <c r="L46" i="2"/>
  <c r="N46" i="2"/>
  <c r="M46" i="2" l="1"/>
  <c r="I25" i="5" s="1"/>
  <c r="J25" i="5"/>
  <c r="K25" i="5" l="1"/>
  <c r="I55" i="2"/>
  <c r="L25" i="5" l="1"/>
  <c r="K35" i="2"/>
  <c r="L35" i="2"/>
  <c r="I53" i="2"/>
  <c r="I35" i="2"/>
  <c r="I58" i="2"/>
  <c r="I56" i="2"/>
  <c r="I59" i="2"/>
  <c r="I54" i="2"/>
  <c r="I57" i="2"/>
  <c r="I52" i="2"/>
  <c r="B3" i="9"/>
  <c r="M25" i="5" l="1"/>
  <c r="K59" i="2"/>
  <c r="L59" i="2"/>
  <c r="E59" i="2"/>
  <c r="J3" i="9"/>
  <c r="C3" i="9"/>
  <c r="I3" i="9"/>
  <c r="N59" i="2"/>
  <c r="K3" i="9" l="1"/>
  <c r="M59" i="2"/>
  <c r="I33" i="5" s="1"/>
  <c r="J33" i="5"/>
  <c r="G59" i="2"/>
  <c r="G33" i="5"/>
  <c r="E33" i="5"/>
  <c r="J59" i="2"/>
  <c r="H59" i="2"/>
  <c r="D33" i="5"/>
  <c r="L3" i="9" l="1"/>
  <c r="K33" i="5"/>
  <c r="A32" i="5"/>
  <c r="K58" i="2"/>
  <c r="L58" i="2"/>
  <c r="E58" i="2"/>
  <c r="F33" i="5"/>
  <c r="H33" i="5"/>
  <c r="N58" i="2"/>
  <c r="L33" i="5" l="1"/>
  <c r="M3" i="9"/>
  <c r="M58" i="2"/>
  <c r="I32" i="5" s="1"/>
  <c r="J32" i="5"/>
  <c r="M33" i="5" l="1"/>
  <c r="K32" i="5"/>
  <c r="E55" i="2"/>
  <c r="E57" i="2"/>
  <c r="E53" i="2"/>
  <c r="E54" i="2"/>
  <c r="E56" i="2"/>
  <c r="K55" i="2"/>
  <c r="L55" i="2"/>
  <c r="K57" i="2"/>
  <c r="L57" i="2"/>
  <c r="K53" i="2"/>
  <c r="L53" i="2"/>
  <c r="K54" i="2"/>
  <c r="L54" i="2"/>
  <c r="K56" i="2"/>
  <c r="L56" i="2"/>
  <c r="N55" i="2"/>
  <c r="N57" i="2"/>
  <c r="B3" i="12"/>
  <c r="N52" i="2"/>
  <c r="N56" i="2"/>
  <c r="N53" i="2"/>
  <c r="N54" i="2"/>
  <c r="L32" i="5" l="1"/>
  <c r="J28" i="5"/>
  <c r="J31" i="5"/>
  <c r="J3" i="12"/>
  <c r="I3" i="12" s="1"/>
  <c r="K3" i="12" s="1"/>
  <c r="J30" i="5"/>
  <c r="J27" i="5"/>
  <c r="J29" i="5"/>
  <c r="M54" i="2"/>
  <c r="I28" i="5" s="1"/>
  <c r="M53" i="2"/>
  <c r="I27" i="5" s="1"/>
  <c r="M57" i="2"/>
  <c r="I31" i="5" s="1"/>
  <c r="M55" i="2"/>
  <c r="I29" i="5" s="1"/>
  <c r="M56" i="2"/>
  <c r="I30" i="5" s="1"/>
  <c r="K52" i="2"/>
  <c r="L52" i="2"/>
  <c r="B4" i="12"/>
  <c r="C3" i="12"/>
  <c r="J4" i="12" l="1"/>
  <c r="K30" i="5"/>
  <c r="K31" i="5"/>
  <c r="K28" i="5"/>
  <c r="M32" i="5"/>
  <c r="K29" i="5"/>
  <c r="K27" i="5"/>
  <c r="M52" i="2"/>
  <c r="C4" i="12"/>
  <c r="I4" i="12" l="1"/>
  <c r="L29" i="5"/>
  <c r="L31" i="5"/>
  <c r="L27" i="5"/>
  <c r="L28" i="5"/>
  <c r="L30" i="5"/>
  <c r="L3" i="12"/>
  <c r="K4" i="12" l="1"/>
  <c r="L4" i="12" s="1"/>
  <c r="M30" i="5"/>
  <c r="M29" i="5"/>
  <c r="M3" i="12"/>
  <c r="M28" i="5"/>
  <c r="M31" i="5"/>
  <c r="M27" i="5"/>
  <c r="M4" i="12" l="1"/>
  <c r="G58" i="2"/>
  <c r="M48" i="2"/>
  <c r="R48" i="2"/>
  <c r="O41" i="2"/>
  <c r="R41" i="2"/>
  <c r="O52" i="2"/>
  <c r="R52" i="2"/>
  <c r="M33" i="2"/>
  <c r="G32" i="5"/>
  <c r="H58" i="2"/>
  <c r="N48" i="2"/>
  <c r="D32" i="5"/>
  <c r="N33" i="2"/>
  <c r="F32" i="5"/>
  <c r="E32" i="5"/>
  <c r="J58" i="2"/>
  <c r="O48" i="2" l="1"/>
  <c r="P48" i="2" s="1"/>
  <c r="Q48" i="2" s="1"/>
  <c r="P52" i="2"/>
  <c r="Q52" i="2" s="1"/>
  <c r="P41" i="2"/>
  <c r="Q41" i="2" s="1"/>
  <c r="O33" i="2"/>
  <c r="R33" i="2"/>
  <c r="H32" i="5"/>
  <c r="P33" i="2" l="1"/>
  <c r="Q33" i="2" s="1"/>
  <c r="R78" i="2"/>
  <c r="O39" i="2"/>
  <c r="R39" i="2"/>
  <c r="O37" i="2"/>
  <c r="R37" i="2"/>
  <c r="O46" i="2"/>
  <c r="R46" i="2"/>
  <c r="M43" i="2"/>
  <c r="N43" i="2"/>
  <c r="P46" i="2" l="1"/>
  <c r="Q46" i="2" s="1"/>
  <c r="P37" i="2"/>
  <c r="Q37" i="2" s="1"/>
  <c r="P39" i="2"/>
  <c r="Q39" i="2" s="1"/>
  <c r="O43" i="2"/>
  <c r="R43" i="2"/>
  <c r="M34" i="2"/>
  <c r="N34" i="2"/>
  <c r="P43" i="2" l="1"/>
  <c r="Q43" i="2" s="1"/>
  <c r="O34" i="2"/>
  <c r="R34" i="2"/>
  <c r="O62" i="2"/>
  <c r="R62" i="2"/>
  <c r="O56" i="2"/>
  <c r="R56" i="2"/>
  <c r="O59" i="2"/>
  <c r="R59" i="2"/>
  <c r="O40" i="2"/>
  <c r="R40" i="2"/>
  <c r="O65" i="2"/>
  <c r="R65" i="2"/>
  <c r="M28" i="2"/>
  <c r="N28" i="2"/>
  <c r="P65" i="2" l="1"/>
  <c r="Q65" i="2" s="1"/>
  <c r="P40" i="2"/>
  <c r="Q40" i="2" s="1"/>
  <c r="P59" i="2"/>
  <c r="Q59" i="2" s="1"/>
  <c r="P56" i="2"/>
  <c r="Q56" i="2" s="1"/>
  <c r="P62" i="2"/>
  <c r="Q62" i="2" s="1"/>
  <c r="P34" i="2"/>
  <c r="Q34" i="2" s="1"/>
  <c r="O28" i="2"/>
  <c r="R28" i="2"/>
  <c r="M35" i="2"/>
  <c r="N35" i="2"/>
  <c r="P28" i="2" l="1"/>
  <c r="Q28" i="2" s="1"/>
  <c r="O35" i="2"/>
  <c r="R35" i="2"/>
  <c r="M30" i="2"/>
  <c r="N30" i="2"/>
  <c r="P35" i="2" l="1"/>
  <c r="Q35" i="2" s="1"/>
  <c r="O30" i="2"/>
  <c r="R30" i="2"/>
  <c r="O53" i="2"/>
  <c r="R53" i="2"/>
  <c r="O47" i="2"/>
  <c r="R47" i="2"/>
  <c r="M42" i="2"/>
  <c r="N42" i="2"/>
  <c r="P53" i="2" l="1"/>
  <c r="Q53" i="2" s="1"/>
  <c r="P30" i="2"/>
  <c r="Q30" i="2" s="1"/>
  <c r="P47" i="2"/>
  <c r="Q47" i="2" s="1"/>
  <c r="O42" i="2"/>
  <c r="R42" i="2"/>
  <c r="M66" i="2"/>
  <c r="E66" i="2"/>
  <c r="N66" i="2"/>
  <c r="P42" i="2" l="1"/>
  <c r="Q42" i="2" s="1"/>
  <c r="O66" i="2"/>
  <c r="R66" i="2"/>
  <c r="O38" i="2"/>
  <c r="R38" i="2"/>
  <c r="M44" i="2"/>
  <c r="N44" i="2"/>
  <c r="P38" i="2" l="1"/>
  <c r="Q38" i="2" s="1"/>
  <c r="P66" i="2"/>
  <c r="Q66" i="2" s="1"/>
  <c r="O44" i="2"/>
  <c r="R44" i="2"/>
  <c r="P44" i="2" l="1"/>
  <c r="Q44" i="2" s="1"/>
  <c r="R73" i="2"/>
  <c r="O63" i="2"/>
  <c r="R63" i="2"/>
  <c r="M32" i="2"/>
  <c r="N32" i="2"/>
  <c r="P63" i="2" l="1"/>
  <c r="Q63" i="2" s="1"/>
  <c r="O32" i="2"/>
  <c r="R32" i="2"/>
  <c r="O57" i="2"/>
  <c r="R57" i="2"/>
  <c r="M45" i="2"/>
  <c r="N45" i="2"/>
  <c r="P57" i="2" l="1"/>
  <c r="Q57" i="2" s="1"/>
  <c r="P32" i="2"/>
  <c r="Q32" i="2" s="1"/>
  <c r="O45" i="2"/>
  <c r="R45" i="2"/>
  <c r="M36" i="2"/>
  <c r="N36" i="2"/>
  <c r="P45" i="2" l="1"/>
  <c r="Q45" i="2" s="1"/>
  <c r="O36" i="2"/>
  <c r="R36" i="2"/>
  <c r="O61" i="2"/>
  <c r="R61" i="2"/>
  <c r="O60" i="2"/>
  <c r="R60" i="2"/>
  <c r="M31" i="2"/>
  <c r="N31" i="2"/>
  <c r="P60" i="2" l="1"/>
  <c r="Q60" i="2" s="1"/>
  <c r="P61" i="2"/>
  <c r="Q61" i="2" s="1"/>
  <c r="P36" i="2"/>
  <c r="Q36" i="2" s="1"/>
  <c r="O31" i="2"/>
  <c r="R31" i="2"/>
  <c r="O27" i="2"/>
  <c r="R27" i="2"/>
  <c r="M67" i="2"/>
  <c r="E67" i="2"/>
  <c r="N67" i="2"/>
  <c r="P27" i="2" l="1"/>
  <c r="Q27" i="2" s="1"/>
  <c r="P31" i="2"/>
  <c r="Q31" i="2" s="1"/>
  <c r="O67" i="2"/>
  <c r="R67" i="2"/>
  <c r="O55" i="2"/>
  <c r="R55" i="2"/>
  <c r="M29" i="2"/>
  <c r="N29" i="2"/>
  <c r="P55" i="2" l="1"/>
  <c r="Q55" i="2" s="1"/>
  <c r="P67" i="2"/>
  <c r="Q67" i="2" s="1"/>
  <c r="O29" i="2"/>
  <c r="R29" i="2"/>
  <c r="A31" i="5"/>
  <c r="M68" i="2"/>
  <c r="E68" i="2"/>
  <c r="N68" i="2"/>
  <c r="P29" i="2" l="1"/>
  <c r="Q29" i="2" s="1"/>
  <c r="O68" i="2"/>
  <c r="R68" i="2"/>
  <c r="O58" i="2"/>
  <c r="R58" i="2"/>
  <c r="O64" i="2"/>
  <c r="R64" i="2"/>
  <c r="P64" i="2" l="1"/>
  <c r="Q64" i="2" s="1"/>
  <c r="P58" i="2"/>
  <c r="Q58" i="2" s="1"/>
  <c r="P68" i="2"/>
  <c r="Q68" i="2" s="1"/>
  <c r="G57" i="2" l="1"/>
  <c r="O54" i="2"/>
  <c r="R54" i="2"/>
  <c r="G31" i="5"/>
  <c r="H57" i="2"/>
  <c r="E31" i="5"/>
  <c r="D31" i="5"/>
  <c r="J57" i="2"/>
  <c r="P54" i="2" l="1"/>
  <c r="Q54" i="2" s="1"/>
  <c r="A30" i="5"/>
  <c r="H31" i="5"/>
  <c r="F31" i="5"/>
  <c r="H56" i="2"/>
  <c r="H55" i="2"/>
  <c r="G56" i="2" l="1"/>
  <c r="H54" i="2"/>
  <c r="H53" i="2"/>
  <c r="G55" i="2" l="1"/>
  <c r="G54" i="2" l="1"/>
  <c r="G53" i="2" l="1"/>
  <c r="G33" i="2" l="1"/>
  <c r="H28" i="2"/>
  <c r="H21" i="2"/>
  <c r="H37" i="2"/>
  <c r="H33" i="2"/>
  <c r="H34" i="2"/>
  <c r="H25" i="2"/>
  <c r="G36" i="2" l="1"/>
  <c r="G39" i="2" l="1"/>
  <c r="G44" i="2" l="1"/>
  <c r="G43" i="2" l="1"/>
  <c r="H46" i="2"/>
  <c r="H47" i="2"/>
  <c r="H44" i="2"/>
  <c r="G31" i="2" l="1"/>
  <c r="H24" i="2"/>
  <c r="G27" i="2" l="1"/>
  <c r="H30" i="2"/>
  <c r="G23" i="2" l="1"/>
  <c r="H32" i="2"/>
  <c r="H29" i="2"/>
  <c r="G34" i="2" l="1"/>
  <c r="G38" i="2" l="1"/>
  <c r="H40" i="2"/>
  <c r="G42" i="2" l="1"/>
  <c r="G45" i="2" l="1"/>
  <c r="G46" i="2" l="1"/>
  <c r="G47" i="2" l="1"/>
  <c r="G48" i="2" l="1"/>
  <c r="H52" i="2"/>
  <c r="H48" i="2"/>
  <c r="H22" i="2"/>
  <c r="G24" i="2" l="1"/>
  <c r="G26" i="2"/>
  <c r="G30" i="2"/>
  <c r="G28" i="2"/>
  <c r="G21" i="2"/>
  <c r="G22" i="2"/>
  <c r="G29" i="2"/>
  <c r="G32" i="2"/>
  <c r="G25" i="2"/>
  <c r="G35" i="2"/>
  <c r="G37" i="2"/>
  <c r="G40" i="2"/>
  <c r="G41" i="2"/>
  <c r="G52" i="2"/>
  <c r="A29" i="5"/>
  <c r="A28" i="5"/>
  <c r="A27" i="5"/>
  <c r="A4" i="12"/>
  <c r="N24" i="4"/>
  <c r="A24" i="4"/>
  <c r="A3" i="12"/>
  <c r="N23" i="4"/>
  <c r="A23" i="4"/>
  <c r="N22" i="4"/>
  <c r="A22" i="4"/>
  <c r="A26" i="5"/>
  <c r="A25" i="5"/>
  <c r="N21" i="4"/>
  <c r="A21" i="4"/>
  <c r="N20" i="4"/>
  <c r="A20" i="4"/>
  <c r="N19" i="4"/>
  <c r="A19" i="4"/>
  <c r="A24" i="5"/>
  <c r="N17" i="4"/>
  <c r="A17" i="4"/>
  <c r="A23" i="5"/>
  <c r="N18" i="4"/>
  <c r="A18" i="4"/>
  <c r="N16" i="4"/>
  <c r="A16" i="4"/>
  <c r="G78" i="2"/>
  <c r="A22" i="5"/>
  <c r="A21" i="5"/>
  <c r="N15" i="4"/>
  <c r="A15" i="4"/>
  <c r="A18" i="5"/>
  <c r="N14" i="4"/>
  <c r="A14" i="4"/>
  <c r="A20" i="5"/>
  <c r="A3" i="9"/>
  <c r="A19" i="5"/>
  <c r="A17" i="5"/>
  <c r="N13" i="4"/>
  <c r="A13" i="4"/>
  <c r="N12" i="4"/>
  <c r="A12" i="4"/>
  <c r="N10" i="4"/>
  <c r="A10" i="4"/>
  <c r="N11" i="4"/>
  <c r="A11" i="4"/>
  <c r="G73" i="2"/>
  <c r="A16" i="5"/>
  <c r="A13" i="5"/>
  <c r="A14" i="5"/>
  <c r="A15" i="5"/>
  <c r="O23" i="2"/>
  <c r="R23" i="2"/>
  <c r="O26" i="2"/>
  <c r="R26" i="2"/>
  <c r="O21" i="2"/>
  <c r="R21" i="2"/>
  <c r="O25" i="2"/>
  <c r="R25" i="2"/>
  <c r="O24" i="2"/>
  <c r="R24" i="2"/>
  <c r="O22" i="2"/>
  <c r="R22" i="2"/>
  <c r="N30" i="4"/>
  <c r="N31" i="4"/>
  <c r="N28" i="4"/>
  <c r="N29" i="4"/>
  <c r="B78" i="2"/>
  <c r="H78" i="2"/>
  <c r="E42" i="5"/>
  <c r="I78" i="2"/>
  <c r="B73" i="2"/>
  <c r="I73" i="2"/>
  <c r="E32" i="4"/>
  <c r="H73" i="2"/>
  <c r="H35" i="2"/>
  <c r="H41" i="2"/>
  <c r="E29" i="5"/>
  <c r="F28" i="5"/>
  <c r="J52" i="2"/>
  <c r="F24" i="4"/>
  <c r="H23" i="4"/>
  <c r="J47" i="2"/>
  <c r="D20" i="4"/>
  <c r="D21" i="4"/>
  <c r="F24" i="5"/>
  <c r="F16" i="4"/>
  <c r="E18" i="4"/>
  <c r="F23" i="5"/>
  <c r="E15" i="4"/>
  <c r="E3" i="9"/>
  <c r="D20" i="5"/>
  <c r="D18" i="5"/>
  <c r="F12" i="4"/>
  <c r="J73" i="2"/>
  <c r="H32" i="4" s="1"/>
  <c r="G11" i="4"/>
  <c r="H36" i="2"/>
  <c r="H26" i="2"/>
  <c r="F29" i="5"/>
  <c r="J54" i="2"/>
  <c r="F27" i="5"/>
  <c r="D24" i="4"/>
  <c r="G3" i="12"/>
  <c r="J48" i="2"/>
  <c r="G26" i="5"/>
  <c r="D25" i="5"/>
  <c r="G21" i="4"/>
  <c r="G24" i="5"/>
  <c r="D17" i="4"/>
  <c r="G18" i="4"/>
  <c r="J39" i="2"/>
  <c r="F15" i="4"/>
  <c r="E21" i="5"/>
  <c r="G3" i="9"/>
  <c r="J27" i="2"/>
  <c r="E18" i="5"/>
  <c r="J30" i="2"/>
  <c r="D11" i="4"/>
  <c r="E10" i="4"/>
  <c r="E14" i="5"/>
  <c r="F10" i="4"/>
  <c r="F14" i="5"/>
  <c r="J21" i="2"/>
  <c r="H45" i="2"/>
  <c r="D30" i="5"/>
  <c r="D28" i="5"/>
  <c r="F4" i="12"/>
  <c r="E24" i="4"/>
  <c r="F23" i="4"/>
  <c r="G22" i="4"/>
  <c r="F20" i="4"/>
  <c r="E25" i="5"/>
  <c r="J43" i="2"/>
  <c r="E24" i="5"/>
  <c r="J34" i="2"/>
  <c r="J42" i="2"/>
  <c r="J40" i="2"/>
  <c r="D21" i="5"/>
  <c r="G14" i="4"/>
  <c r="E20" i="5"/>
  <c r="G18" i="5"/>
  <c r="D12" i="4"/>
  <c r="F17" i="5"/>
  <c r="G16" i="5"/>
  <c r="H31" i="2"/>
  <c r="H23" i="2"/>
  <c r="F30" i="5"/>
  <c r="G28" i="5"/>
  <c r="J53" i="2"/>
  <c r="H4" i="12"/>
  <c r="H3" i="12"/>
  <c r="F22" i="4"/>
  <c r="H26" i="5"/>
  <c r="G20" i="4"/>
  <c r="E21" i="4"/>
  <c r="E19" i="4"/>
  <c r="D24" i="5"/>
  <c r="H18" i="4"/>
  <c r="H23" i="5"/>
  <c r="J33" i="2"/>
  <c r="J38" i="2"/>
  <c r="D14" i="4"/>
  <c r="F20" i="5"/>
  <c r="E19" i="5"/>
  <c r="F18" i="5"/>
  <c r="G12" i="4"/>
  <c r="E17" i="5"/>
  <c r="D16" i="5"/>
  <c r="D10" i="4"/>
  <c r="D15" i="5"/>
  <c r="F13" i="5"/>
  <c r="G15" i="5"/>
  <c r="G14" i="5"/>
  <c r="G13" i="5"/>
  <c r="F21" i="4"/>
  <c r="H42" i="2"/>
  <c r="D29" i="5"/>
  <c r="E27" i="5"/>
  <c r="G24" i="4"/>
  <c r="E3" i="12"/>
  <c r="E26" i="5"/>
  <c r="J46" i="2"/>
  <c r="J78" i="2"/>
  <c r="H42" i="5" s="1"/>
  <c r="D18" i="4"/>
  <c r="E14" i="4"/>
  <c r="J37" i="2"/>
  <c r="G13" i="4"/>
  <c r="G17" i="5"/>
  <c r="H27" i="2"/>
  <c r="G29" i="5"/>
  <c r="E4" i="12"/>
  <c r="G23" i="4"/>
  <c r="D26" i="5"/>
  <c r="E20" i="4"/>
  <c r="D16" i="4"/>
  <c r="G23" i="5"/>
  <c r="G22" i="5"/>
  <c r="D3" i="9"/>
  <c r="F19" i="5"/>
  <c r="D17" i="5"/>
  <c r="E15" i="5"/>
  <c r="E13" i="5"/>
  <c r="J22" i="2"/>
  <c r="G30" i="5"/>
  <c r="D27" i="5"/>
  <c r="G4" i="12"/>
  <c r="E23" i="4"/>
  <c r="G25" i="5"/>
  <c r="G19" i="4"/>
  <c r="E17" i="4"/>
  <c r="D15" i="4"/>
  <c r="F3" i="9"/>
  <c r="G19" i="5"/>
  <c r="J25" i="2"/>
  <c r="E11" i="4"/>
  <c r="E30" i="5"/>
  <c r="D4" i="12"/>
  <c r="D23" i="4"/>
  <c r="J44" i="2"/>
  <c r="E16" i="4"/>
  <c r="D23" i="5"/>
  <c r="G15" i="4"/>
  <c r="J35" i="2"/>
  <c r="J26" i="2"/>
  <c r="E12" i="4"/>
  <c r="F11" i="4"/>
  <c r="J23" i="2"/>
  <c r="G10" i="4"/>
  <c r="D13" i="5"/>
  <c r="J56" i="2"/>
  <c r="H30" i="5" s="1"/>
  <c r="E22" i="4"/>
  <c r="D19" i="4"/>
  <c r="J36" i="2"/>
  <c r="H17" i="4" s="1"/>
  <c r="D22" i="5"/>
  <c r="D19" i="5"/>
  <c r="F16" i="5"/>
  <c r="H43" i="2"/>
  <c r="G27" i="5"/>
  <c r="D3" i="12"/>
  <c r="H25" i="5"/>
  <c r="F18" i="4"/>
  <c r="G21" i="5"/>
  <c r="H20" i="5"/>
  <c r="D13" i="4"/>
  <c r="J29" i="2"/>
  <c r="J28" i="2"/>
  <c r="H38" i="2"/>
  <c r="J55" i="2"/>
  <c r="H29" i="5" s="1"/>
  <c r="F3" i="12"/>
  <c r="F26" i="5"/>
  <c r="J45" i="2"/>
  <c r="H21" i="4" s="1"/>
  <c r="G16" i="4"/>
  <c r="E23" i="5"/>
  <c r="J32" i="2"/>
  <c r="J31" i="2"/>
  <c r="J24" i="2"/>
  <c r="H39" i="2"/>
  <c r="E28" i="5"/>
  <c r="H24" i="4"/>
  <c r="D22" i="4"/>
  <c r="F25" i="5"/>
  <c r="J41" i="2"/>
  <c r="G17" i="4"/>
  <c r="E22" i="5"/>
  <c r="F14" i="4"/>
  <c r="G20" i="5"/>
  <c r="E13" i="4"/>
  <c r="E16" i="5"/>
  <c r="D14" i="5"/>
  <c r="F15" i="5"/>
  <c r="F21" i="5"/>
  <c r="F19" i="4"/>
  <c r="C32" i="4"/>
  <c r="G32" i="4"/>
  <c r="F32" i="4"/>
  <c r="C42" i="5"/>
  <c r="F42" i="5"/>
  <c r="G42" i="5"/>
  <c r="D83" i="2" l="1"/>
  <c r="D82" i="2"/>
  <c r="D81" i="2"/>
  <c r="D80" i="2"/>
  <c r="D79" i="2"/>
  <c r="D77" i="2"/>
  <c r="D76" i="2"/>
  <c r="A42" i="5"/>
  <c r="L78" i="2"/>
  <c r="K78" i="2"/>
  <c r="D78" i="2"/>
  <c r="D75" i="2"/>
  <c r="D72" i="2"/>
  <c r="D70" i="2"/>
  <c r="D71" i="2"/>
  <c r="D74" i="2"/>
  <c r="D49" i="2"/>
  <c r="D69" i="2"/>
  <c r="D50" i="2"/>
  <c r="D51" i="2"/>
  <c r="D18" i="2"/>
  <c r="D6" i="2"/>
  <c r="D10" i="2"/>
  <c r="D20" i="2"/>
  <c r="D9" i="2"/>
  <c r="D14" i="2"/>
  <c r="D17" i="2"/>
  <c r="D13" i="2"/>
  <c r="D7" i="2"/>
  <c r="D19" i="2"/>
  <c r="D5" i="2"/>
  <c r="D8" i="2"/>
  <c r="D48" i="2"/>
  <c r="D43" i="2"/>
  <c r="D46" i="2"/>
  <c r="D40" i="2"/>
  <c r="D41" i="2"/>
  <c r="D37" i="2"/>
  <c r="D36" i="2"/>
  <c r="D64" i="2"/>
  <c r="D65" i="2"/>
  <c r="D60" i="2"/>
  <c r="D55" i="2"/>
  <c r="D29" i="2"/>
  <c r="D38" i="2"/>
  <c r="D68" i="2"/>
  <c r="D61" i="2"/>
  <c r="D33" i="2"/>
  <c r="D56" i="2"/>
  <c r="D59" i="2"/>
  <c r="D27" i="2"/>
  <c r="D54" i="2"/>
  <c r="D22" i="2"/>
  <c r="D23" i="2"/>
  <c r="D26" i="2"/>
  <c r="D47" i="2"/>
  <c r="D42" i="2"/>
  <c r="D44" i="2"/>
  <c r="D45" i="2"/>
  <c r="D52" i="2"/>
  <c r="D39" i="2"/>
  <c r="D35" i="2"/>
  <c r="D67" i="2"/>
  <c r="D62" i="2"/>
  <c r="D32" i="2"/>
  <c r="D31" i="2"/>
  <c r="D58" i="2"/>
  <c r="D34" i="2"/>
  <c r="D66" i="2"/>
  <c r="D63" i="2"/>
  <c r="D30" i="2"/>
  <c r="D57" i="2"/>
  <c r="D28" i="2"/>
  <c r="D53" i="2"/>
  <c r="D25" i="2"/>
  <c r="D21" i="2"/>
  <c r="D24" i="2"/>
  <c r="A32" i="4"/>
  <c r="N32" i="4"/>
  <c r="L73" i="2"/>
  <c r="K73" i="2"/>
  <c r="N33" i="4"/>
  <c r="N34" i="4"/>
  <c r="N35" i="4"/>
  <c r="N38" i="4"/>
  <c r="N45" i="4"/>
  <c r="N41" i="4"/>
  <c r="N52" i="4"/>
  <c r="N39" i="4"/>
  <c r="N50" i="4"/>
  <c r="N51" i="4"/>
  <c r="N46" i="4"/>
  <c r="N48" i="4"/>
  <c r="N36" i="4"/>
  <c r="N49" i="4"/>
  <c r="N43" i="4"/>
  <c r="N40" i="4"/>
  <c r="N44" i="4"/>
  <c r="N47" i="4"/>
  <c r="N42" i="4"/>
  <c r="N37" i="4"/>
  <c r="D73" i="2"/>
  <c r="E78" i="2"/>
  <c r="E73" i="2"/>
  <c r="P22" i="2"/>
  <c r="Q22" i="2" s="1"/>
  <c r="P24" i="2"/>
  <c r="Q24" i="2" s="1"/>
  <c r="P25" i="2"/>
  <c r="Q25" i="2" s="1"/>
  <c r="P21" i="2"/>
  <c r="Q21" i="2" s="1"/>
  <c r="P26" i="2"/>
  <c r="Q26" i="2" s="1"/>
  <c r="P23" i="2"/>
  <c r="Q23" i="2" s="1"/>
  <c r="N78" i="2"/>
  <c r="J32" i="4"/>
  <c r="N73" i="2"/>
  <c r="I32" i="4"/>
  <c r="H16" i="5"/>
  <c r="H14" i="4"/>
  <c r="H17" i="5"/>
  <c r="H19" i="4"/>
  <c r="H21" i="5"/>
  <c r="H14" i="5"/>
  <c r="H15" i="4"/>
  <c r="H22" i="5"/>
  <c r="H13" i="4"/>
  <c r="H15" i="5"/>
  <c r="H16" i="4"/>
  <c r="H18" i="5"/>
  <c r="H24" i="5"/>
  <c r="F13" i="4"/>
  <c r="H11" i="4"/>
  <c r="H22" i="4"/>
  <c r="H3" i="9"/>
  <c r="H20" i="4"/>
  <c r="H13" i="5"/>
  <c r="H12" i="4"/>
  <c r="H28" i="5"/>
  <c r="H27" i="5"/>
  <c r="H19" i="5"/>
  <c r="F17" i="4"/>
  <c r="F22" i="5"/>
  <c r="H10" i="4"/>
  <c r="M78" i="2" l="1"/>
  <c r="I42" i="5" s="1"/>
  <c r="J42" i="5"/>
  <c r="O78" i="2"/>
  <c r="P78" i="2" s="1"/>
  <c r="Q78" i="2" s="1"/>
  <c r="K32" i="4"/>
  <c r="M73" i="2"/>
  <c r="O73" i="2" s="1"/>
  <c r="P73" i="2" s="1"/>
  <c r="Q73" i="2" s="1"/>
  <c r="K42" i="5" l="1"/>
  <c r="L32" i="4"/>
  <c r="L42" i="5" l="1"/>
  <c r="M32" i="4"/>
  <c r="M42" i="5" l="1"/>
  <c r="AQ1059" i="1" l="1"/>
  <c r="AQ1067" i="1"/>
  <c r="AQ1075" i="1"/>
  <c r="AQ1087" i="1"/>
  <c r="AQ1099" i="1"/>
  <c r="AQ1111" i="1"/>
  <c r="AQ1151" i="1"/>
  <c r="AQ1057" i="1"/>
  <c r="AQ1069" i="1"/>
  <c r="AQ1089" i="1"/>
  <c r="AQ1105" i="1"/>
  <c r="AQ1121" i="1"/>
  <c r="AQ1129" i="1"/>
  <c r="AQ1065" i="1"/>
  <c r="AQ1085" i="1"/>
  <c r="AQ1101" i="1"/>
  <c r="AQ1117" i="1"/>
  <c r="AQ1135" i="1"/>
  <c r="AQ1120" i="1"/>
  <c r="AQ1108" i="1"/>
  <c r="AQ1100" i="1"/>
  <c r="AQ1082" i="1"/>
  <c r="AQ1068" i="1"/>
  <c r="AQ1058" i="1"/>
  <c r="AQ1137" i="1"/>
  <c r="AQ1145" i="1"/>
  <c r="AQ1131" i="1"/>
  <c r="AQ1156" i="1"/>
  <c r="AQ1148" i="1"/>
  <c r="AQ1140" i="1"/>
  <c r="AQ1128" i="1"/>
  <c r="AQ1092" i="1"/>
  <c r="AQ1122" i="1"/>
  <c r="AQ1110" i="1"/>
  <c r="AQ1102" i="1"/>
  <c r="AQ1086" i="1"/>
  <c r="AQ1070" i="1"/>
  <c r="AQ1060" i="1"/>
  <c r="AQ1153" i="1"/>
  <c r="AQ1141" i="1"/>
  <c r="AQ1084" i="1"/>
  <c r="AQ1158" i="1"/>
  <c r="AQ1150" i="1"/>
  <c r="AQ1142" i="1"/>
  <c r="AQ1130" i="1"/>
  <c r="AQ1096" i="1"/>
  <c r="AQ1116" i="1"/>
  <c r="AQ907" i="1"/>
  <c r="AQ932" i="1"/>
  <c r="AQ948" i="1"/>
  <c r="AQ972" i="1"/>
  <c r="AQ992" i="1"/>
  <c r="AQ1018" i="1"/>
  <c r="AQ1038" i="1"/>
  <c r="AQ899" i="1"/>
  <c r="AQ925" i="1"/>
  <c r="AQ947" i="1"/>
  <c r="AQ977" i="1"/>
  <c r="AQ1014" i="1"/>
  <c r="AQ1044" i="1"/>
  <c r="AQ1005" i="1"/>
  <c r="AQ1002" i="1"/>
  <c r="AQ953" i="1"/>
  <c r="AQ917" i="1"/>
  <c r="AQ723" i="1"/>
  <c r="AQ645" i="1"/>
  <c r="AQ844" i="1"/>
  <c r="AQ779" i="1"/>
  <c r="AQ845" i="1"/>
  <c r="AQ766" i="1"/>
  <c r="AQ843" i="1"/>
  <c r="AQ560" i="1"/>
  <c r="AQ427" i="1"/>
  <c r="AQ890" i="1"/>
  <c r="AQ797" i="1"/>
  <c r="AQ746" i="1"/>
  <c r="AQ788" i="1"/>
  <c r="AQ708" i="1"/>
  <c r="AQ751" i="1"/>
  <c r="AQ700" i="1"/>
  <c r="AQ477" i="1"/>
  <c r="AQ595" i="1"/>
  <c r="AQ172" i="1"/>
  <c r="AQ510" i="1"/>
  <c r="AQ566" i="1"/>
  <c r="AQ689" i="1"/>
  <c r="AQ814" i="1"/>
  <c r="AQ803" i="1"/>
  <c r="AQ641" i="1"/>
  <c r="AQ661" i="1"/>
  <c r="AQ828" i="1"/>
  <c r="AQ647" i="1"/>
  <c r="AQ499" i="1"/>
  <c r="AQ611" i="1"/>
  <c r="AQ256" i="1"/>
  <c r="AQ735" i="1"/>
  <c r="AQ713" i="1"/>
  <c r="AQ763" i="1"/>
  <c r="AQ764" i="1"/>
  <c r="AQ728" i="1"/>
  <c r="AQ719" i="1"/>
  <c r="AQ636" i="1"/>
  <c r="AQ571" i="1"/>
  <c r="AQ89" i="1"/>
  <c r="AQ479" i="1"/>
  <c r="AQ476" i="1"/>
  <c r="AQ424" i="1"/>
  <c r="AQ99" i="1"/>
  <c r="AQ373" i="1"/>
  <c r="AQ33" i="1"/>
  <c r="AQ130" i="1"/>
  <c r="AQ399" i="1"/>
  <c r="AQ57" i="1"/>
  <c r="AQ362" i="1"/>
  <c r="AQ161" i="1"/>
  <c r="AQ371" i="1"/>
  <c r="AQ211" i="1"/>
  <c r="AQ285" i="1"/>
  <c r="AQ326" i="1"/>
  <c r="AQ178" i="1"/>
  <c r="AQ590" i="1"/>
  <c r="AQ10" i="1"/>
  <c r="AQ138" i="1"/>
  <c r="AQ525" i="1"/>
  <c r="AQ355" i="1"/>
  <c r="AQ19" i="1"/>
  <c r="AQ180" i="1"/>
  <c r="AQ131" i="1"/>
  <c r="AQ175" i="1"/>
  <c r="AQ375" i="1"/>
  <c r="AQ209" i="1"/>
  <c r="AQ328" i="1"/>
  <c r="AQ24" i="1"/>
  <c r="AQ134" i="1"/>
  <c r="AQ331" i="1"/>
  <c r="AQ110" i="1"/>
  <c r="AQ295" i="1"/>
  <c r="AQ315" i="1"/>
  <c r="AQ156" i="1"/>
  <c r="AQ353" i="1"/>
  <c r="AQ106" i="1"/>
  <c r="AQ119" i="1"/>
  <c r="AQ153" i="1"/>
  <c r="AQ594" i="1"/>
  <c r="AQ165" i="1"/>
  <c r="AQ439" i="1"/>
  <c r="AQ537" i="1"/>
  <c r="AQ177" i="1"/>
  <c r="AQ207" i="1"/>
  <c r="AQ220" i="1"/>
  <c r="AQ143" i="1"/>
  <c r="AQ297" i="1"/>
  <c r="AQ335" i="1"/>
  <c r="AQ182" i="1"/>
  <c r="AQ26" i="1"/>
  <c r="AQ20" i="1"/>
  <c r="AQ747" i="1"/>
  <c r="AQ672" i="1"/>
  <c r="AQ841" i="1"/>
  <c r="AQ878" i="1"/>
  <c r="AQ617" i="1"/>
  <c r="AQ492" i="1"/>
  <c r="AQ396" i="1"/>
  <c r="AQ548" i="1"/>
  <c r="AQ164" i="1"/>
  <c r="AQ25" i="1"/>
  <c r="AQ408" i="1"/>
  <c r="AQ450" i="1"/>
  <c r="AQ402" i="1"/>
  <c r="AQ218" i="1"/>
  <c r="AQ599" i="1"/>
  <c r="AQ252" i="1"/>
  <c r="AQ214" i="1"/>
  <c r="AQ34" i="1"/>
  <c r="AQ61" i="1"/>
  <c r="AQ53" i="1"/>
  <c r="AQ279" i="1"/>
  <c r="AQ425" i="1"/>
  <c r="AQ349" i="1"/>
  <c r="AQ342" i="1"/>
  <c r="AQ484" i="1"/>
  <c r="AQ87" i="1"/>
  <c r="AQ22" i="1"/>
  <c r="AQ580" i="1"/>
  <c r="AQ395" i="1"/>
  <c r="AQ398" i="1"/>
  <c r="AQ324" i="1"/>
  <c r="AQ317" i="1"/>
  <c r="AQ329" i="1"/>
  <c r="AQ336" i="1"/>
  <c r="AQ753" i="1"/>
  <c r="AQ905" i="1"/>
  <c r="AQ929" i="1"/>
  <c r="AQ946" i="1"/>
  <c r="AQ970" i="1"/>
  <c r="AQ990" i="1"/>
  <c r="AQ1016" i="1"/>
  <c r="AQ1036" i="1"/>
  <c r="AQ897" i="1"/>
  <c r="AQ922" i="1"/>
  <c r="AQ945" i="1"/>
  <c r="AQ973" i="1"/>
  <c r="AQ1012" i="1"/>
  <c r="AQ1040" i="1"/>
  <c r="AQ995" i="1"/>
  <c r="AQ1006" i="1"/>
  <c r="AQ964" i="1"/>
  <c r="AQ931" i="1"/>
  <c r="AQ670" i="1"/>
  <c r="AQ848" i="1"/>
  <c r="AQ816" i="1"/>
  <c r="AQ784" i="1"/>
  <c r="AQ870" i="1"/>
  <c r="AQ781" i="1"/>
  <c r="AQ864" i="1"/>
  <c r="AQ516" i="1"/>
  <c r="AQ625" i="1"/>
  <c r="AQ903" i="1"/>
  <c r="AQ944" i="1"/>
  <c r="AQ986" i="1"/>
  <c r="AQ1032" i="1"/>
  <c r="AQ920" i="1"/>
  <c r="AQ969" i="1"/>
  <c r="AQ1035" i="1"/>
  <c r="AQ1051" i="1"/>
  <c r="AQ951" i="1"/>
  <c r="AQ821" i="1"/>
  <c r="AQ817" i="1"/>
  <c r="AQ815" i="1"/>
  <c r="AQ504" i="1"/>
  <c r="AQ635" i="1"/>
  <c r="AQ726" i="1"/>
  <c r="AQ754" i="1"/>
  <c r="AQ711" i="1"/>
  <c r="AQ575" i="1"/>
  <c r="AQ485" i="1"/>
  <c r="AQ891" i="1"/>
  <c r="AQ744" i="1"/>
  <c r="AQ712" i="1"/>
  <c r="AQ838" i="1"/>
  <c r="AQ593" i="1"/>
  <c r="AQ707" i="1"/>
  <c r="AQ820" i="1"/>
  <c r="AQ866" i="1"/>
  <c r="AQ856" i="1"/>
  <c r="AQ422" i="1"/>
  <c r="AQ576" i="1"/>
  <c r="AQ69" i="1"/>
  <c r="AQ344" i="1"/>
  <c r="AQ420" i="1"/>
  <c r="AQ337" i="1"/>
  <c r="AQ520" i="1"/>
  <c r="AQ365" i="1"/>
  <c r="AQ73" i="1"/>
  <c r="AQ257" i="1"/>
  <c r="AQ222" i="1"/>
  <c r="AQ18" i="1"/>
  <c r="AQ84" i="1"/>
  <c r="AQ48" i="1"/>
  <c r="AQ282" i="1"/>
  <c r="AQ382" i="1"/>
  <c r="AQ227" i="1"/>
  <c r="AQ407" i="1"/>
  <c r="AQ191" i="1"/>
  <c r="AQ185" i="1"/>
  <c r="AQ561" i="1"/>
  <c r="AQ85" i="1"/>
  <c r="AQ340" i="1"/>
  <c r="AQ201" i="1"/>
  <c r="AQ418" i="1"/>
  <c r="AQ248" i="1"/>
  <c r="AQ368" i="1"/>
  <c r="AQ809" i="1"/>
  <c r="AQ696" i="1"/>
  <c r="AQ470" i="1"/>
  <c r="AQ160" i="1"/>
  <c r="AQ366" i="1"/>
  <c r="AQ82" i="1"/>
  <c r="AQ199" i="1"/>
  <c r="AQ410" i="1"/>
  <c r="AQ16" i="1"/>
  <c r="AQ535" i="1"/>
  <c r="AQ325" i="1"/>
  <c r="AQ357" i="1"/>
  <c r="AQ380" i="1"/>
  <c r="AQ301" i="1"/>
  <c r="AQ417" i="1"/>
  <c r="AQ397" i="1"/>
  <c r="AQ43" i="1"/>
  <c r="AQ901" i="1"/>
  <c r="AQ942" i="1"/>
  <c r="AQ984" i="1"/>
  <c r="AQ1030" i="1"/>
  <c r="AQ918" i="1"/>
  <c r="AQ967" i="1"/>
  <c r="AQ1033" i="1"/>
  <c r="AQ1037" i="1"/>
  <c r="AQ955" i="1"/>
  <c r="AQ810" i="1"/>
  <c r="AQ677" i="1"/>
  <c r="AQ643" i="1"/>
  <c r="AQ495" i="1"/>
  <c r="AQ6" i="1"/>
  <c r="AQ731" i="1"/>
  <c r="AQ681" i="1"/>
  <c r="AQ881" i="1"/>
  <c r="AQ765" i="1"/>
  <c r="AQ833" i="1"/>
  <c r="AQ749" i="1"/>
  <c r="AQ634" i="1"/>
  <c r="AQ567" i="1"/>
  <c r="AQ406" i="1"/>
  <c r="AQ474" i="1"/>
  <c r="AQ468" i="1"/>
  <c r="AQ624" i="1"/>
  <c r="AQ750" i="1"/>
  <c r="AQ736" i="1"/>
  <c r="AQ658" i="1"/>
  <c r="AQ698" i="1"/>
  <c r="AQ646" i="1"/>
  <c r="AQ883" i="1"/>
  <c r="AQ466" i="1"/>
  <c r="AQ602" i="1"/>
  <c r="AQ63" i="1"/>
  <c r="AQ801" i="1"/>
  <c r="AQ715" i="1"/>
  <c r="AQ780" i="1"/>
  <c r="AQ562" i="1"/>
  <c r="AQ515" i="1"/>
  <c r="AQ147" i="1"/>
  <c r="AQ68" i="1"/>
  <c r="AQ189" i="1"/>
  <c r="AQ71" i="1"/>
  <c r="AQ50" i="1"/>
  <c r="AQ58" i="1"/>
  <c r="AQ429" i="1"/>
  <c r="AQ451" i="1"/>
  <c r="AQ401" i="1"/>
  <c r="AQ434" i="1"/>
  <c r="AQ276" i="1"/>
  <c r="AQ103" i="1"/>
  <c r="AQ283" i="1"/>
  <c r="AQ55" i="1"/>
  <c r="AQ275" i="1"/>
  <c r="AQ409" i="1"/>
  <c r="AQ391" i="1"/>
  <c r="AQ487" i="1"/>
  <c r="AQ916" i="1"/>
  <c r="AQ954" i="1"/>
  <c r="AQ996" i="1"/>
  <c r="AQ1043" i="1"/>
  <c r="AQ933" i="1"/>
  <c r="AQ987" i="1"/>
  <c r="AQ975" i="1"/>
  <c r="AQ909" i="1"/>
  <c r="AQ910" i="1"/>
  <c r="AQ730" i="1"/>
  <c r="AQ714" i="1"/>
  <c r="AQ702" i="1"/>
  <c r="AQ578" i="1"/>
  <c r="AQ687" i="1"/>
  <c r="AQ805" i="1"/>
  <c r="AQ659" i="1"/>
  <c r="AQ886" i="1"/>
  <c r="AQ613" i="1"/>
  <c r="AQ563" i="1"/>
  <c r="AQ718" i="1"/>
  <c r="AQ822" i="1"/>
  <c r="AQ858" i="1"/>
  <c r="AQ852" i="1"/>
  <c r="AQ426" i="1"/>
  <c r="AQ789" i="1"/>
  <c r="AQ824" i="1"/>
  <c r="AQ790" i="1"/>
  <c r="AQ473" i="1"/>
  <c r="AQ383" i="1"/>
  <c r="AQ523" i="1"/>
  <c r="AQ78" i="1"/>
  <c r="AQ278" i="1"/>
  <c r="AQ40" i="1"/>
  <c r="AQ203" i="1"/>
  <c r="AQ432" i="1"/>
  <c r="AQ284" i="1"/>
  <c r="AQ190" i="1"/>
  <c r="AQ8" i="1"/>
  <c r="AQ379" i="1"/>
  <c r="AQ269" i="1"/>
  <c r="AQ133" i="1"/>
  <c r="AQ244" i="1"/>
  <c r="AQ204" i="1"/>
  <c r="AQ538" i="1"/>
  <c r="AQ323" i="1"/>
  <c r="AQ123" i="1"/>
  <c r="AQ367" i="1"/>
  <c r="AQ92" i="1"/>
  <c r="AQ612" i="1"/>
  <c r="AQ533" i="1"/>
  <c r="AQ14" i="1"/>
  <c r="AQ384" i="1"/>
  <c r="AQ509" i="1"/>
  <c r="AQ361" i="1"/>
  <c r="AQ230" i="1"/>
  <c r="AQ802" i="1"/>
  <c r="AQ463" i="1"/>
  <c r="AQ568" i="1"/>
  <c r="AQ77" i="1"/>
  <c r="AQ359" i="1"/>
  <c r="AQ281" i="1"/>
  <c r="AQ186" i="1"/>
  <c r="AQ448" i="1"/>
  <c r="AQ65" i="1"/>
  <c r="AQ267" i="1"/>
  <c r="AQ148" i="1"/>
  <c r="AQ95" i="1"/>
  <c r="AQ246" i="1"/>
  <c r="AQ620" i="1"/>
  <c r="AQ294" i="1"/>
  <c r="AQ446" i="1"/>
  <c r="AQ339" i="1"/>
  <c r="AQ912" i="1"/>
  <c r="AQ950" i="1"/>
  <c r="AQ994" i="1"/>
  <c r="AQ1041" i="1"/>
  <c r="AQ930" i="1"/>
  <c r="AQ983" i="1"/>
  <c r="AQ971" i="1"/>
  <c r="AQ958" i="1"/>
  <c r="AQ914" i="1"/>
  <c r="AQ703" i="1"/>
  <c r="AQ757" i="1"/>
  <c r="AQ729" i="1"/>
  <c r="AQ569" i="1"/>
  <c r="AQ767" i="1"/>
  <c r="AQ648" i="1"/>
  <c r="AQ857" i="1"/>
  <c r="AQ469" i="1"/>
  <c r="AQ3" i="1"/>
  <c r="AQ512" i="1"/>
  <c r="AQ804" i="1"/>
  <c r="AQ705" i="1"/>
  <c r="AQ683" i="1"/>
  <c r="AQ486" i="1"/>
  <c r="AQ630" i="1"/>
  <c r="AQ710" i="1"/>
  <c r="AQ600" i="1"/>
  <c r="AQ98" i="1"/>
  <c r="AQ120" i="1"/>
  <c r="AQ232" i="1"/>
  <c r="AQ4" i="1"/>
  <c r="AQ17" i="1"/>
  <c r="AQ124" i="1"/>
  <c r="AQ37" i="1"/>
  <c r="AQ117" i="1"/>
  <c r="AQ166" i="1"/>
  <c r="AQ47" i="1"/>
  <c r="AQ81" i="1"/>
  <c r="AQ243" i="1"/>
  <c r="AQ196" i="1"/>
  <c r="AQ666" i="1"/>
  <c r="AQ813" i="1"/>
  <c r="AQ880" i="1"/>
  <c r="AQ868" i="1"/>
  <c r="AQ622" i="1"/>
  <c r="AQ572" i="1"/>
  <c r="AQ727" i="1"/>
  <c r="AQ873" i="1"/>
  <c r="AQ837" i="1"/>
  <c r="AQ835" i="1"/>
  <c r="AQ163" i="1"/>
  <c r="AQ853" i="1"/>
  <c r="AQ482" i="1"/>
  <c r="AQ618" i="1"/>
  <c r="AQ507" i="1"/>
  <c r="AQ453" i="1"/>
  <c r="AQ570" i="1"/>
  <c r="AQ114" i="1"/>
  <c r="AQ151" i="1"/>
  <c r="AQ341" i="1"/>
  <c r="AQ491" i="1"/>
  <c r="AQ603" i="1"/>
  <c r="AQ91" i="1"/>
  <c r="AQ239" i="1"/>
  <c r="AQ312" i="1"/>
  <c r="AQ56" i="1"/>
  <c r="AQ1055" i="1"/>
  <c r="AQ1063" i="1"/>
  <c r="AQ1071" i="1"/>
  <c r="AQ1079" i="1"/>
  <c r="AQ1091" i="1"/>
  <c r="AQ1107" i="1"/>
  <c r="AQ1119" i="1"/>
  <c r="AQ1133" i="1"/>
  <c r="AQ1159" i="1"/>
  <c r="AQ1061" i="1"/>
  <c r="AQ1081" i="1"/>
  <c r="AQ1097" i="1"/>
  <c r="AQ1113" i="1"/>
  <c r="AQ1149" i="1"/>
  <c r="AQ1077" i="1"/>
  <c r="AQ1093" i="1"/>
  <c r="AQ1109" i="1"/>
  <c r="AQ1114" i="1"/>
  <c r="AQ1104" i="1"/>
  <c r="AQ1094" i="1"/>
  <c r="AQ1072" i="1"/>
  <c r="AQ1062" i="1"/>
  <c r="AQ1155" i="1"/>
  <c r="AQ1161" i="1"/>
  <c r="AQ1139" i="1"/>
  <c r="AQ1074" i="1"/>
  <c r="AQ1152" i="1"/>
  <c r="AQ1144" i="1"/>
  <c r="AQ1132" i="1"/>
  <c r="AQ1124" i="1"/>
  <c r="AQ1112" i="1"/>
  <c r="AQ1118" i="1"/>
  <c r="AQ1106" i="1"/>
  <c r="AQ1098" i="1"/>
  <c r="AQ1080" i="1"/>
  <c r="AQ1066" i="1"/>
  <c r="AQ1056" i="1"/>
  <c r="AQ1143" i="1"/>
  <c r="AQ1054" i="1"/>
  <c r="AQ1154" i="1"/>
  <c r="AQ1146" i="1"/>
  <c r="AQ1134" i="1"/>
  <c r="AQ1126" i="1"/>
  <c r="AQ1090" i="1"/>
  <c r="AQ898" i="1"/>
  <c r="AQ921" i="1"/>
  <c r="AQ940" i="1"/>
  <c r="AQ961" i="1"/>
  <c r="AQ982" i="1"/>
  <c r="AQ1007" i="1"/>
  <c r="AQ1028" i="1"/>
  <c r="AQ1047" i="1"/>
  <c r="AQ913" i="1"/>
  <c r="AQ939" i="1"/>
  <c r="AQ965" i="1"/>
  <c r="AQ993" i="1"/>
  <c r="AQ1029" i="1"/>
  <c r="AQ981" i="1"/>
  <c r="AQ1031" i="1"/>
  <c r="AQ960" i="1"/>
  <c r="AQ1000" i="1"/>
  <c r="AQ894" i="1"/>
  <c r="AQ799" i="1"/>
  <c r="AQ748" i="1"/>
  <c r="AQ760" i="1"/>
  <c r="AQ704" i="1"/>
  <c r="AQ709" i="1"/>
  <c r="AQ640" i="1"/>
  <c r="AQ480" i="1"/>
  <c r="AQ598" i="1"/>
  <c r="AQ262" i="1"/>
  <c r="AQ721" i="1"/>
  <c r="AQ688" i="1"/>
  <c r="AQ825" i="1"/>
  <c r="AQ774" i="1"/>
  <c r="AQ850" i="1"/>
  <c r="AQ761" i="1"/>
  <c r="AQ847" i="1"/>
  <c r="AQ557" i="1"/>
  <c r="AQ423" i="1"/>
  <c r="AQ464" i="1"/>
  <c r="AQ582" i="1"/>
  <c r="AQ614" i="1"/>
  <c r="AQ737" i="1"/>
  <c r="AQ722" i="1"/>
  <c r="AQ755" i="1"/>
  <c r="AQ758" i="1"/>
  <c r="AQ682" i="1"/>
  <c r="AQ717" i="1"/>
  <c r="AQ518" i="1"/>
  <c r="AQ573" i="1"/>
  <c r="AQ264" i="1"/>
  <c r="AQ686" i="1"/>
  <c r="AQ812" i="1"/>
  <c r="AQ800" i="1"/>
  <c r="AQ655" i="1"/>
  <c r="AQ675" i="1"/>
  <c r="AQ885" i="1"/>
  <c r="AQ654" i="1"/>
  <c r="AQ497" i="1"/>
  <c r="AQ608" i="1"/>
  <c r="AQ140" i="1"/>
  <c r="AQ559" i="1"/>
  <c r="AQ592" i="1"/>
  <c r="AQ313" i="1"/>
  <c r="AQ421" i="1"/>
  <c r="AQ531" i="1"/>
  <c r="AQ224" i="1"/>
  <c r="AQ173" i="1"/>
  <c r="AQ112" i="1"/>
  <c r="AQ31" i="1"/>
  <c r="AQ240" i="1"/>
  <c r="AQ9" i="1"/>
  <c r="AQ528" i="1"/>
  <c r="AQ236" i="1"/>
  <c r="AQ293" i="1"/>
  <c r="AQ296" i="1"/>
  <c r="AQ472" i="1"/>
  <c r="AQ627" i="1"/>
  <c r="AQ76" i="1"/>
  <c r="AQ431" i="1"/>
  <c r="AQ126" i="1"/>
  <c r="AQ29" i="1"/>
  <c r="AQ413" i="1"/>
  <c r="AQ290" i="1"/>
  <c r="AQ454" i="1"/>
  <c r="AQ555" i="1"/>
  <c r="AQ208" i="1"/>
  <c r="AQ288" i="1"/>
  <c r="AQ272" i="1"/>
  <c r="AQ162" i="1"/>
  <c r="AQ447" i="1"/>
  <c r="AQ370" i="1"/>
  <c r="AQ52" i="1"/>
  <c r="AQ347" i="1"/>
  <c r="AQ441" i="1"/>
  <c r="AQ539" i="1"/>
  <c r="AQ93" i="1"/>
  <c r="AQ271" i="1"/>
  <c r="AQ320" i="1"/>
  <c r="AQ481" i="1"/>
  <c r="AQ428" i="1"/>
  <c r="AQ62" i="1"/>
  <c r="AQ304" i="1"/>
  <c r="AQ212" i="1"/>
  <c r="AQ116" i="1"/>
  <c r="AQ216" i="1"/>
  <c r="AQ100" i="1"/>
  <c r="AQ493" i="1"/>
  <c r="AQ435" i="1"/>
  <c r="AQ35" i="1"/>
  <c r="AQ241" i="1"/>
  <c r="AQ28" i="1"/>
  <c r="AQ584" i="1"/>
  <c r="AQ732" i="1"/>
  <c r="AQ775" i="1"/>
  <c r="AQ762" i="1"/>
  <c r="AQ506" i="1"/>
  <c r="AQ169" i="1"/>
  <c r="AQ500" i="1"/>
  <c r="AQ321" i="1"/>
  <c r="AQ552" i="1"/>
  <c r="AQ433" i="1"/>
  <c r="AQ38" i="1"/>
  <c r="AQ308" i="1"/>
  <c r="AQ549" i="1"/>
  <c r="AQ238" i="1"/>
  <c r="AQ197" i="1"/>
  <c r="AQ260" i="1"/>
  <c r="AQ346" i="1"/>
  <c r="AQ392" i="1"/>
  <c r="AQ225" i="1"/>
  <c r="AQ440" i="1"/>
  <c r="AQ234" i="1"/>
  <c r="AQ377" i="1"/>
  <c r="AQ79" i="1"/>
  <c r="AQ247" i="1"/>
  <c r="AQ259" i="1"/>
  <c r="AQ437" i="1"/>
  <c r="AQ32" i="1"/>
  <c r="AQ27" i="1"/>
  <c r="AQ168" i="1"/>
  <c r="AQ152" i="1"/>
  <c r="AQ330" i="1"/>
  <c r="AQ228" i="1"/>
  <c r="AQ221" i="1"/>
  <c r="AQ188" i="1"/>
  <c r="AQ345" i="1"/>
  <c r="AQ923" i="1"/>
  <c r="AQ919" i="1"/>
  <c r="AQ938" i="1"/>
  <c r="AQ957" i="1"/>
  <c r="AQ978" i="1"/>
  <c r="AQ1003" i="1"/>
  <c r="AQ1026" i="1"/>
  <c r="AQ1045" i="1"/>
  <c r="AQ911" i="1"/>
  <c r="AQ935" i="1"/>
  <c r="AQ959" i="1"/>
  <c r="AQ989" i="1"/>
  <c r="AQ1025" i="1"/>
  <c r="AQ979" i="1"/>
  <c r="AQ1027" i="1"/>
  <c r="AQ1004" i="1"/>
  <c r="AQ1015" i="1"/>
  <c r="AQ908" i="1"/>
  <c r="AQ785" i="1"/>
  <c r="AQ740" i="1"/>
  <c r="AQ642" i="1"/>
  <c r="AQ851" i="1"/>
  <c r="AQ794" i="1"/>
  <c r="AQ855" i="1"/>
  <c r="AQ471" i="1"/>
  <c r="AQ589" i="1"/>
  <c r="AQ5" i="1"/>
  <c r="AQ926" i="1"/>
  <c r="AQ966" i="1"/>
  <c r="AQ1011" i="1"/>
  <c r="AQ1052" i="1"/>
  <c r="AQ943" i="1"/>
  <c r="AQ999" i="1"/>
  <c r="AQ991" i="1"/>
  <c r="AQ1039" i="1"/>
  <c r="AQ650" i="1"/>
  <c r="AQ807" i="1"/>
  <c r="AQ649" i="1"/>
  <c r="AQ882" i="1"/>
  <c r="AQ615" i="1"/>
  <c r="AQ739" i="1"/>
  <c r="AQ684" i="1"/>
  <c r="AQ674" i="1"/>
  <c r="AQ459" i="1"/>
  <c r="AQ51" i="1"/>
  <c r="AQ488" i="1"/>
  <c r="AQ793" i="1"/>
  <c r="AQ792" i="1"/>
  <c r="AQ776" i="1"/>
  <c r="AQ475" i="1"/>
  <c r="AQ144" i="1"/>
  <c r="AQ861" i="1"/>
  <c r="AQ772" i="1"/>
  <c r="AQ777" i="1"/>
  <c r="AQ519" i="1"/>
  <c r="AQ460" i="1"/>
  <c r="AQ610" i="1"/>
  <c r="AQ526" i="1"/>
  <c r="AQ307" i="1"/>
  <c r="AQ142" i="1"/>
  <c r="AQ309" i="1"/>
  <c r="AQ386" i="1"/>
  <c r="AQ141" i="1"/>
  <c r="AQ517" i="1"/>
  <c r="AQ80" i="1"/>
  <c r="AQ250" i="1"/>
  <c r="AQ179" i="1"/>
  <c r="AQ550" i="1"/>
  <c r="AQ404" i="1"/>
  <c r="AQ273" i="1"/>
  <c r="AQ350" i="1"/>
  <c r="AQ66" i="1"/>
  <c r="AQ536" i="1"/>
  <c r="AQ64" i="1"/>
  <c r="AQ334" i="1"/>
  <c r="AQ83" i="1"/>
  <c r="AQ442" i="1"/>
  <c r="AQ107" i="1"/>
  <c r="AQ136" i="1"/>
  <c r="AQ231" i="1"/>
  <c r="AQ403" i="1"/>
  <c r="AQ652" i="1"/>
  <c r="AQ694" i="1"/>
  <c r="AQ581" i="1"/>
  <c r="AQ601" i="1"/>
  <c r="AQ67" i="1"/>
  <c r="AQ128" i="1"/>
  <c r="AQ21" i="1"/>
  <c r="AQ496" i="1"/>
  <c r="AQ547" i="1"/>
  <c r="AQ390" i="1"/>
  <c r="AQ113" i="1"/>
  <c r="AQ542" i="1"/>
  <c r="AQ135" i="1"/>
  <c r="AQ155" i="1"/>
  <c r="AQ96" i="1"/>
  <c r="AQ157" i="1"/>
  <c r="AQ544" i="1"/>
  <c r="AQ45" i="1"/>
  <c r="AQ924" i="1"/>
  <c r="AQ963" i="1"/>
  <c r="AQ1009" i="1"/>
  <c r="AQ1050" i="1"/>
  <c r="AQ941" i="1"/>
  <c r="AQ997" i="1"/>
  <c r="AQ985" i="1"/>
  <c r="AQ928" i="1"/>
  <c r="AQ892" i="1"/>
  <c r="AQ798" i="1"/>
  <c r="AQ679" i="1"/>
  <c r="AQ657" i="1"/>
  <c r="AQ606" i="1"/>
  <c r="AQ875" i="1"/>
  <c r="AQ808" i="1"/>
  <c r="AQ795" i="1"/>
  <c r="AQ691" i="1"/>
  <c r="AQ680" i="1"/>
  <c r="AQ669" i="1"/>
  <c r="AQ671" i="1"/>
  <c r="AQ490" i="1"/>
  <c r="AQ604" i="1"/>
  <c r="AQ318" i="1"/>
  <c r="AQ521" i="1"/>
  <c r="AQ586" i="1"/>
  <c r="AQ662" i="1"/>
  <c r="AQ830" i="1"/>
  <c r="AQ811" i="1"/>
  <c r="AQ796" i="1"/>
  <c r="AQ884" i="1"/>
  <c r="AQ778" i="1"/>
  <c r="AQ872" i="1"/>
  <c r="AQ511" i="1"/>
  <c r="AQ411" i="1"/>
  <c r="AQ876" i="1"/>
  <c r="AQ769" i="1"/>
  <c r="AQ888" i="1"/>
  <c r="AQ839" i="1"/>
  <c r="AQ145" i="1"/>
  <c r="AQ574" i="1"/>
  <c r="AQ452" i="1"/>
  <c r="AQ311" i="1"/>
  <c r="AQ108" i="1"/>
  <c r="AQ545" i="1"/>
  <c r="AQ305" i="1"/>
  <c r="AQ270" i="1"/>
  <c r="AQ146" i="1"/>
  <c r="AQ351" i="1"/>
  <c r="AQ217" i="1"/>
  <c r="AQ356" i="1"/>
  <c r="AQ249" i="1"/>
  <c r="AQ443" i="1"/>
  <c r="AQ181" i="1"/>
  <c r="AQ415" i="1"/>
  <c r="AQ150" i="1"/>
  <c r="AQ505" i="1"/>
  <c r="AQ90" i="1"/>
  <c r="AQ900" i="1"/>
  <c r="AQ936" i="1"/>
  <c r="AQ976" i="1"/>
  <c r="AQ1022" i="1"/>
  <c r="AQ904" i="1"/>
  <c r="AQ956" i="1"/>
  <c r="AQ1023" i="1"/>
  <c r="AQ1021" i="1"/>
  <c r="AQ1048" i="1"/>
  <c r="AQ741" i="1"/>
  <c r="AQ676" i="1"/>
  <c r="AQ660" i="1"/>
  <c r="AQ461" i="1"/>
  <c r="AQ137" i="1"/>
  <c r="AQ819" i="1"/>
  <c r="AQ826" i="1"/>
  <c r="AQ818" i="1"/>
  <c r="AQ501" i="1"/>
  <c r="AQ7" i="1"/>
  <c r="AQ596" i="1"/>
  <c r="AQ685" i="1"/>
  <c r="AQ782" i="1"/>
  <c r="AQ773" i="1"/>
  <c r="AQ522" i="1"/>
  <c r="AQ462" i="1"/>
  <c r="AQ742" i="1"/>
  <c r="AQ842" i="1"/>
  <c r="AQ846" i="1"/>
  <c r="AQ591" i="1"/>
  <c r="AQ503" i="1"/>
  <c r="AQ122" i="1"/>
  <c r="AQ436" i="1"/>
  <c r="AQ489" i="1"/>
  <c r="AQ205" i="1"/>
  <c r="AQ255" i="1"/>
  <c r="AQ333" i="1"/>
  <c r="AQ46" i="1"/>
  <c r="AQ607" i="1"/>
  <c r="AQ508" i="1"/>
  <c r="AQ94" i="1"/>
  <c r="AQ338" i="1"/>
  <c r="AQ465" i="1"/>
  <c r="AQ287" i="1"/>
  <c r="AQ105" i="1"/>
  <c r="AQ289" i="1"/>
  <c r="AQ245" i="1"/>
  <c r="AQ444" i="1"/>
  <c r="AQ195" i="1"/>
  <c r="AQ193" i="1"/>
  <c r="AQ412" i="1"/>
  <c r="AQ104" i="1"/>
  <c r="AQ74" i="1"/>
  <c r="AQ72" i="1"/>
  <c r="AQ42" i="1"/>
  <c r="AQ291" i="1"/>
  <c r="AQ827" i="1"/>
  <c r="AQ701" i="1"/>
  <c r="AQ394" i="1"/>
  <c r="AQ310" i="1"/>
  <c r="AQ158" i="1"/>
  <c r="AQ12" i="1"/>
  <c r="AQ387" i="1"/>
  <c r="AQ616" i="1"/>
  <c r="AQ385" i="1"/>
  <c r="AQ530" i="1"/>
  <c r="AQ280" i="1"/>
  <c r="AQ299" i="1"/>
  <c r="AQ302" i="1"/>
  <c r="AQ118" i="1"/>
  <c r="AQ458" i="1"/>
  <c r="AQ154" i="1"/>
  <c r="AQ187" i="1"/>
  <c r="AQ1001" i="1"/>
  <c r="AQ934" i="1"/>
  <c r="AQ974" i="1"/>
  <c r="AQ1020" i="1"/>
  <c r="AQ902" i="1"/>
  <c r="AQ952" i="1"/>
  <c r="AQ1019" i="1"/>
  <c r="AQ1017" i="1"/>
  <c r="AQ896" i="1"/>
  <c r="AQ733" i="1"/>
  <c r="AQ869" i="1"/>
  <c r="AQ759" i="1"/>
  <c r="AQ632" i="1"/>
  <c r="AQ457" i="1"/>
  <c r="AQ738" i="1"/>
  <c r="AQ859" i="1"/>
  <c r="AQ863" i="1"/>
  <c r="AQ587" i="1"/>
  <c r="AQ498" i="1"/>
  <c r="AQ849" i="1"/>
  <c r="AQ786" i="1"/>
  <c r="AQ889" i="1"/>
  <c r="AQ673" i="1"/>
  <c r="AQ619" i="1"/>
  <c r="AQ664" i="1"/>
  <c r="AQ693" i="1"/>
  <c r="AQ588" i="1"/>
  <c r="AQ233" i="1"/>
  <c r="AQ254" i="1"/>
  <c r="AQ70" i="1"/>
  <c r="AQ192" i="1"/>
  <c r="AQ226" i="1"/>
  <c r="AQ265" i="1"/>
  <c r="AQ101" i="1"/>
  <c r="AQ229" i="1"/>
  <c r="AQ364" i="1"/>
  <c r="AQ170" i="1"/>
  <c r="AQ449" i="1"/>
  <c r="AQ176" i="1"/>
  <c r="AQ263" i="1"/>
  <c r="AQ832" i="1"/>
  <c r="AQ787" i="1"/>
  <c r="AQ770" i="1"/>
  <c r="AQ514" i="1"/>
  <c r="AQ631" i="1"/>
  <c r="AQ605" i="1"/>
  <c r="AQ668" i="1"/>
  <c r="AQ771" i="1"/>
  <c r="AQ756" i="1"/>
  <c r="AQ565" i="1"/>
  <c r="AQ725" i="1"/>
  <c r="AQ656" i="1"/>
  <c r="AQ638" i="1"/>
  <c r="AQ455" i="1"/>
  <c r="AQ59" i="1"/>
  <c r="AQ388" i="1"/>
  <c r="AQ543" i="1"/>
  <c r="AQ11" i="1"/>
  <c r="AQ400" i="1"/>
  <c r="AQ314" i="1"/>
  <c r="AQ242" i="1"/>
  <c r="AQ553" i="1"/>
  <c r="AQ183" i="1"/>
  <c r="AQ541" i="1"/>
  <c r="AQ327" i="1"/>
  <c r="AQ15" i="1"/>
  <c r="W1054" i="1"/>
  <c r="K70" i="2"/>
  <c r="I29" i="4"/>
  <c r="X1054" i="1" l="1"/>
  <c r="Y1054" i="1" s="1"/>
  <c r="Z1054" i="1" l="1"/>
  <c r="AC1063" i="1"/>
  <c r="L70" i="2" l="1"/>
  <c r="AA1054" i="1"/>
  <c r="J29" i="4"/>
  <c r="AD1063" i="1"/>
  <c r="K29" i="4" l="1"/>
  <c r="M70" i="2"/>
  <c r="O70" i="2" s="1"/>
  <c r="P70" i="2" l="1"/>
  <c r="Q70" i="2" s="1"/>
  <c r="L29" i="4"/>
  <c r="M29" i="4" l="1"/>
</calcChain>
</file>

<file path=xl/sharedStrings.xml><?xml version="1.0" encoding="utf-8"?>
<sst xmlns="http://schemas.openxmlformats.org/spreadsheetml/2006/main" count="3438" uniqueCount="1264">
  <si>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</si>
  <si>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</si>
  <si>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</si>
  <si>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</si>
  <si>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</si>
  <si>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</si>
  <si>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</si>
  <si>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</si>
  <si>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</si>
  <si>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</si>
  <si>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</si>
  <si>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</si>
  <si>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</si>
  <si>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</si>
  <si>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</si>
  <si>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</si>
  <si>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</si>
  <si>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</si>
  <si>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</si>
  <si>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</si>
  <si>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</si>
  <si>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</si>
  <si>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</si>
  <si>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</si>
  <si>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</si>
  <si>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</si>
  <si>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</si>
  <si>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</si>
  <si>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</si>
  <si>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</si>
  <si>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</si>
  <si>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</si>
  <si>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</si>
  <si>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</si>
  <si>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</si>
  <si>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</si>
  <si>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</si>
  <si>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</si>
  <si>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</si>
  <si>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</si>
  <si>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</si>
  <si>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</si>
  <si>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</si>
  <si>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</si>
  <si>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</si>
  <si>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</si>
  <si>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</si>
  <si>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</si>
  <si>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</si>
  <si>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</si>
  <si>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</si>
  <si>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</si>
  <si>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</si>
  <si>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</si>
  <si>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</si>
  <si>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</si>
  <si>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</si>
  <si>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</si>
  <si>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</si>
  <si>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</si>
  <si>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</si>
  <si>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</si>
  <si>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</si>
  <si>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</si>
  <si>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</si>
  <si>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</si>
  <si>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</si>
  <si>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</si>
  <si>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</si>
  <si>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</si>
  <si>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</si>
  <si>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</si>
  <si>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</si>
  <si>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</si>
  <si>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</si>
  <si>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</si>
  <si>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</si>
  <si>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</si>
  <si>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</si>
  <si>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</si>
  <si>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</si>
  <si>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</si>
  <si>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</si>
  <si>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</si>
  <si>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</si>
  <si>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</si>
  <si>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</si>
  <si>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</si>
  <si>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</si>
  <si>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</si>
  <si>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</si>
  <si>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</si>
  <si>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</si>
  <si>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</si>
  <si>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</si>
  <si>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</si>
  <si>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</si>
  <si>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</si>
  <si>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</si>
  <si>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</si>
  <si>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</si>
  <si>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</si>
  <si>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23050037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</si>
  <si>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</si>
  <si>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</si>
  <si>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</si>
  <si>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</si>
  <si>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</si>
  <si>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SA 41186</t>
  </si>
  <si>
    <t>SA 41199</t>
  </si>
  <si>
    <t>SA 41209</t>
  </si>
  <si>
    <t>SBS</t>
  </si>
  <si>
    <t>UNTANA</t>
  </si>
  <si>
    <t>TH08/4/2023</t>
  </si>
  <si>
    <t>LOOSE LEAF A5 100GR VINTAGE</t>
  </si>
  <si>
    <t>LOOSE LEAF A5 100GR FR</t>
  </si>
  <si>
    <t>LOOSE LEAF A5 100GR HK</t>
  </si>
  <si>
    <t>LOOSE LEAF A5 100GR TSUM</t>
  </si>
  <si>
    <t>CORR TAPE DMS 304</t>
  </si>
  <si>
    <t>PALET APEL BUTEK</t>
  </si>
  <si>
    <t>PALET ANGGUR BUTEK</t>
  </si>
  <si>
    <t>PCK 19-5</t>
  </si>
  <si>
    <t>LETTER TRAY MT 118-3</t>
  </si>
  <si>
    <t>SURAT JALAN</t>
  </si>
  <si>
    <t>GRAFINDO</t>
  </si>
  <si>
    <t>LSN</t>
  </si>
  <si>
    <t>MAP KANCING SIKA AC-05 PUTIH</t>
  </si>
  <si>
    <t>MAP KANCING SIKA AC-05 BIRU</t>
  </si>
  <si>
    <t>MAP KANCING SIKA AC-05 HIJAU</t>
  </si>
  <si>
    <t>MAP TALI SIKA AC-06 BIRU</t>
  </si>
  <si>
    <t>MAP TALI SIKA AC-06 MERAH</t>
  </si>
  <si>
    <t>MAP TALI SIKA AC-06 PUTIH</t>
  </si>
  <si>
    <t>GA-23-04-0197</t>
  </si>
  <si>
    <t>GA-23-04-0213</t>
  </si>
  <si>
    <t>MAP KANCING SIKA AC-05 MERAH</t>
  </si>
  <si>
    <t>MAP KANCING SIKA AC-05 KUNING</t>
  </si>
  <si>
    <t>MAP KANCING SIKA AC-5 PUTIH</t>
  </si>
  <si>
    <t>50 LSN</t>
  </si>
  <si>
    <t>YUSHINCA</t>
  </si>
  <si>
    <t>23/YS/V/004</t>
  </si>
  <si>
    <t>CLIP FILE C-323 MIX</t>
  </si>
  <si>
    <t>CLIP FILE C-324 A5 MIX</t>
  </si>
  <si>
    <t>5 LSN</t>
  </si>
  <si>
    <t>ANDY</t>
  </si>
  <si>
    <t>S023/0826</t>
  </si>
  <si>
    <t>GARISAN BESI 30 YOEKER</t>
  </si>
  <si>
    <t>DZ</t>
  </si>
  <si>
    <t>50 DZ</t>
  </si>
  <si>
    <t>36 DOZ</t>
  </si>
  <si>
    <t>36 BOX X 30 PCS</t>
  </si>
  <si>
    <t>12 GRS</t>
  </si>
  <si>
    <t>48 DOZ</t>
  </si>
  <si>
    <t>24 DOZ</t>
  </si>
  <si>
    <t>HANSA</t>
  </si>
  <si>
    <t>HN052023053</t>
  </si>
  <si>
    <t>LILIN SHINTOENG 12 BTG</t>
  </si>
  <si>
    <t>LILIN SHINTOENG 24 BTG</t>
  </si>
  <si>
    <t>BINTANG JAYA</t>
  </si>
  <si>
    <t>SI.2023.05.00023</t>
  </si>
  <si>
    <t>PENCIL CASE MAGNET + CALCULATOR CC-7806</t>
  </si>
  <si>
    <t>PCS</t>
  </si>
  <si>
    <t>144 PCS</t>
  </si>
  <si>
    <t>PAPER BAG / TAS MOTIF BATIK UK BESAR</t>
  </si>
  <si>
    <t>336 PCS</t>
  </si>
  <si>
    <t>PAPER BAG / TAS MOTIF BATIK UK KECIL</t>
  </si>
  <si>
    <t>576 PCS</t>
  </si>
  <si>
    <t>PAPER BAG / TAS MOTIF BATIK UK TANGGUNG</t>
  </si>
  <si>
    <t>360 PCS</t>
  </si>
  <si>
    <t>DB STATIONERY</t>
  </si>
  <si>
    <t>JUE019/23</t>
  </si>
  <si>
    <t>GEL TIZO TG 31220</t>
  </si>
  <si>
    <t>144 LSN</t>
  </si>
  <si>
    <t>GEL DEBOZZ 0.5 DB-G05</t>
  </si>
  <si>
    <t>120 LSN</t>
  </si>
  <si>
    <t>MEKANIK 2.0MM TM030-B</t>
  </si>
  <si>
    <t>96 LSN</t>
  </si>
  <si>
    <t>TF BD KLG BD 839</t>
  </si>
  <si>
    <t>PELNA</t>
  </si>
  <si>
    <t>PELNA LAPTOP TABEL</t>
  </si>
  <si>
    <t>10 PCS</t>
  </si>
  <si>
    <t>CASH ;57.000</t>
  </si>
  <si>
    <t>BONUS</t>
  </si>
  <si>
    <t>PELNA X02 HITAM</t>
  </si>
  <si>
    <t>GRS</t>
  </si>
  <si>
    <t>20 GRS</t>
  </si>
  <si>
    <t>CASH : 48.000</t>
  </si>
  <si>
    <t>PELNA X03 HITAM</t>
  </si>
  <si>
    <t>PELNA 05</t>
  </si>
  <si>
    <t>CASH 114.167</t>
  </si>
  <si>
    <t>JUE120/23</t>
  </si>
  <si>
    <t>GEL ZHIXIN + REFILL G-5001</t>
  </si>
  <si>
    <t>GEL ZHIXIN + REFILL G-5002</t>
  </si>
  <si>
    <t>GEL ZHIXIN + REFILL G-5009</t>
  </si>
  <si>
    <t>GEL ZHIXIN + REFILL G-5016</t>
  </si>
  <si>
    <t>GEL ZHIXIN + REFILL G-5034</t>
  </si>
  <si>
    <t>GEL ZHIXIN + REFILL G-3108</t>
  </si>
  <si>
    <t>GEL ZHIXIN + REFILL G-3037</t>
  </si>
  <si>
    <t>GEL ZHIXIN + REFILL G-3131</t>
  </si>
  <si>
    <t>GEL ZHIXIN + REFILL G-3132</t>
  </si>
  <si>
    <t>GEL ZHIXIN + REFILL G-3138</t>
  </si>
  <si>
    <t>GEL ZHIXIN + REFILL G-3136</t>
  </si>
  <si>
    <t>GEL ZHIXIN + REFILL G-3135</t>
  </si>
  <si>
    <t>GEL ZHIXIN + REFILL G-3133</t>
  </si>
  <si>
    <t>JUE119/23</t>
  </si>
  <si>
    <t>GEL TIZO FANCY TG31830-E</t>
  </si>
  <si>
    <t>GEL TIZO FANCY TG31037-E</t>
  </si>
  <si>
    <t>GEL TIZO FANCY TG31831-E</t>
  </si>
  <si>
    <t>GEL TIZO FANCY TG31780-E</t>
  </si>
  <si>
    <t>GEL TIZO FANCY TG30734-E</t>
  </si>
  <si>
    <t>GEL TIZO FANCY TG31810-E</t>
  </si>
  <si>
    <t>GEL TIZO FANCY TG31975-E</t>
  </si>
  <si>
    <t>GEL TIZO FANCY TG30900-E</t>
  </si>
  <si>
    <t>GEL TIZO FANCY TG30600-E</t>
  </si>
  <si>
    <t>GEL TIZO FANCY TG30541-E</t>
  </si>
  <si>
    <t>PARAMA</t>
  </si>
  <si>
    <t>SAMPUL SAMSON BOXY BATIK</t>
  </si>
  <si>
    <t>180 PCS</t>
  </si>
  <si>
    <t>23050215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</si>
  <si>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</si>
  <si>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</si>
  <si>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</si>
  <si>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</si>
  <si>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</si>
  <si>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</si>
  <si>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</si>
  <si>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23050231</t>
  </si>
  <si>
    <t>KENKO CUTTER BLADE L-150 18MM</t>
  </si>
  <si>
    <t>KENKO LIQUID GLUE LG-50 50 ML</t>
  </si>
  <si>
    <t>KENKO CORRECTION TAPE CT-902 12 M X 5 MM</t>
  </si>
  <si>
    <t>SA 41290</t>
  </si>
  <si>
    <t>12 DIZ</t>
  </si>
  <si>
    <t>60 DOZ</t>
  </si>
  <si>
    <t>20 DOZ</t>
  </si>
  <si>
    <t>SA 41261</t>
  </si>
  <si>
    <t>12 DOZ</t>
  </si>
  <si>
    <t>10 DOZ</t>
  </si>
  <si>
    <t>24 PCS</t>
  </si>
  <si>
    <t>12 PCS</t>
  </si>
  <si>
    <t>4 BOX X 24 PCS</t>
  </si>
  <si>
    <t>4 DOZ</t>
  </si>
  <si>
    <t>JAYA MAKMUR</t>
  </si>
  <si>
    <t>JM / 13424</t>
  </si>
  <si>
    <t>TAPE DISPENSER 805 MERAH</t>
  </si>
  <si>
    <t>TAPE DISPENSER 805 HIJAU</t>
  </si>
  <si>
    <t>TAPE DISPENSER 805 UNGU</t>
  </si>
  <si>
    <t>JUD238/23</t>
  </si>
  <si>
    <t>MEK PENSIL TIZO G-9001</t>
  </si>
  <si>
    <t>GA-23-05-0042</t>
  </si>
  <si>
    <t>MAP TALI SIKA AC-06 KUNING</t>
  </si>
  <si>
    <t>DUTA BUANA</t>
  </si>
  <si>
    <t>HM/118/05-23H</t>
  </si>
  <si>
    <t>ACRYLIC COLOUR TF-AC-005P 12 X 6 ML PASTEL</t>
  </si>
  <si>
    <t>SET</t>
  </si>
  <si>
    <t>72 SET</t>
  </si>
  <si>
    <t>ACRYLIC COLOUR TF-AC-004N 12 X 6 ML NEON</t>
  </si>
  <si>
    <t>ACRYLIC COLOUR TF-AC-006M 12 X 6 ML METALIC</t>
  </si>
  <si>
    <t>BALLPEN PROMOSI HM-2220 U/ BONUS</t>
  </si>
  <si>
    <t>STABILLO C5-2002 MACARON TWIN HEAD</t>
  </si>
  <si>
    <t>25.000-2.5%</t>
  </si>
  <si>
    <t>HM/117/05-23H</t>
  </si>
  <si>
    <t>BALLPEN GEL TF-1190 HTM 0.3MM HIGHTECH</t>
  </si>
  <si>
    <t>MASKER U/ BONUS</t>
  </si>
  <si>
    <t>BOX</t>
  </si>
  <si>
    <t>WIN'S SENTOSA</t>
  </si>
  <si>
    <t>SI-2023/05-0069/LGS//COD</t>
  </si>
  <si>
    <t>GLUE STICK 7 X 29</t>
  </si>
  <si>
    <t>25 PCS</t>
  </si>
  <si>
    <t>BALLPEN GEL TF-1190 BR 0.3MM HIGHTECH</t>
  </si>
  <si>
    <t>SA230506867</t>
  </si>
  <si>
    <t>PENCIL P-88 2B JK</t>
  </si>
  <si>
    <t>30 GRS</t>
  </si>
  <si>
    <t>SA230506812</t>
  </si>
  <si>
    <t>CRAYON PUTAR TWCR-12S JK</t>
  </si>
  <si>
    <t>12 BOX X 12 SET</t>
  </si>
  <si>
    <t>CRAYON PUTAR TWCR-12MINI JK</t>
  </si>
  <si>
    <t>SA230506794</t>
  </si>
  <si>
    <t>CUTTER L-500 JK</t>
  </si>
  <si>
    <t>24 DZ</t>
  </si>
  <si>
    <t>CUTTER BLADE L-150 AM L JK</t>
  </si>
  <si>
    <t>40 DZ</t>
  </si>
  <si>
    <t>CUTTER BLADE A-100 AM S JK</t>
  </si>
  <si>
    <t>120 DZ</t>
  </si>
  <si>
    <t>CUTTER BLADE L-150 AM L JK BONUS</t>
  </si>
  <si>
    <t>CUTTER A-300A AUTOLOCK JK</t>
  </si>
  <si>
    <t>48 DZ</t>
  </si>
  <si>
    <t>KAOS JOYKO (BONUS)</t>
  </si>
  <si>
    <t>SA230506792</t>
  </si>
  <si>
    <t>LABEL LB-P2LN 2 BARIS JK</t>
  </si>
  <si>
    <t>ROL</t>
  </si>
  <si>
    <t>50 PAK X 10 ROL</t>
  </si>
  <si>
    <t>TAPE CUTTER TD-103 JK</t>
  </si>
  <si>
    <t>BINDER CLIP 300 JK</t>
  </si>
  <si>
    <t>2 GRS</t>
  </si>
  <si>
    <t>144 DZ</t>
  </si>
  <si>
    <t>GLUE STICK GS-103 BATIK JK</t>
  </si>
  <si>
    <t>36 BOX X 24 PCS</t>
  </si>
  <si>
    <t>GLUE STICK GS-104 ANIMAL KINGDOM JK</t>
  </si>
  <si>
    <t>GLUE STICK GS-09 8 GRAM JK</t>
  </si>
  <si>
    <t>64 BOX X 12 PCS</t>
  </si>
  <si>
    <t>COLOR PENCIL CP-12PB JK</t>
  </si>
  <si>
    <t>SA230506793</t>
  </si>
  <si>
    <t>ERASER 526-B40BL JK</t>
  </si>
  <si>
    <t>50 BOX X 40 PCS</t>
  </si>
  <si>
    <t>ERASER 526-B40P JK</t>
  </si>
  <si>
    <t>ERASER 526-B40CO JK</t>
  </si>
  <si>
    <t>ERASER ER-B20 BL JK</t>
  </si>
  <si>
    <t>ERASER 526-B20 JK</t>
  </si>
  <si>
    <t>50 BOX X 20 PCS</t>
  </si>
  <si>
    <t>ERASER EB-30 JK</t>
  </si>
  <si>
    <t>50 BOX X 30 PCS</t>
  </si>
  <si>
    <t>ERASER ER-30W JK</t>
  </si>
  <si>
    <t>ERASER ER-107 ANIMAL JK</t>
  </si>
  <si>
    <t>SN23050960</t>
  </si>
  <si>
    <t>CALCULATOR JOYKO CC-868</t>
  </si>
  <si>
    <t>6 BOX X 10 PCS</t>
  </si>
  <si>
    <t>CALCULATOR JOYKO CC-27</t>
  </si>
  <si>
    <t>4 BOX X 20 PCS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</si>
  <si>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</si>
  <si>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</si>
  <si>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</si>
  <si>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</si>
  <si>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</si>
  <si>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15 BOX X 12 PCS</t>
  </si>
  <si>
    <t>23050448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</si>
  <si>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</si>
  <si>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</si>
  <si>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</si>
  <si>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</si>
  <si>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</si>
  <si>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SA 41338</t>
  </si>
  <si>
    <t>SA 41315</t>
  </si>
  <si>
    <t>ETJ</t>
  </si>
  <si>
    <t>G37.23</t>
  </si>
  <si>
    <t>ENTER C/ BOARD ANTI API</t>
  </si>
  <si>
    <t>12 DZ</t>
  </si>
  <si>
    <t>ENTER C/BOARD ANTI PECAH</t>
  </si>
  <si>
    <t>8 DZ</t>
  </si>
  <si>
    <t>GRS SABLON 290</t>
  </si>
  <si>
    <t>ENTER BUSUR NO.4</t>
  </si>
  <si>
    <t>ENTER BT SPIRAL KEMBANG</t>
  </si>
  <si>
    <t>ENTER HANGMAP</t>
  </si>
  <si>
    <t>N TAG D/BIRU 300</t>
  </si>
  <si>
    <t>ENTER CAT ACRYLIC A 912</t>
  </si>
  <si>
    <t>ENTER CAT ACRYLIC PUTIH</t>
  </si>
  <si>
    <t>480 DZ</t>
  </si>
  <si>
    <t>10 DZ</t>
  </si>
  <si>
    <t>250 PCS</t>
  </si>
  <si>
    <t>4000 [CS</t>
  </si>
  <si>
    <t>G38.23</t>
  </si>
  <si>
    <t>ENTER WB K 802</t>
  </si>
  <si>
    <t>60 DZ</t>
  </si>
  <si>
    <t>ENTER WB B 803</t>
  </si>
  <si>
    <t>KOJIKO SEGITIGA NO 6</t>
  </si>
  <si>
    <t>KOJIKO SEGITIGA NO.8</t>
  </si>
  <si>
    <t>KOJIKO SEGITIGA NO.10</t>
  </si>
  <si>
    <t>16 DZ</t>
  </si>
  <si>
    <t>KOJIKO SEGITIGA NO.12</t>
  </si>
  <si>
    <t>USAGI OP 12W</t>
  </si>
  <si>
    <t>ENTER ABSEN LEBAR</t>
  </si>
  <si>
    <t>1000 PCS</t>
  </si>
  <si>
    <t>BUSUR 3 1/2 MIKA</t>
  </si>
  <si>
    <t>1500 DZ</t>
  </si>
  <si>
    <t>G41.23</t>
  </si>
  <si>
    <t>SEMPOA 13 T</t>
  </si>
  <si>
    <t>300 PCS</t>
  </si>
  <si>
    <t>SEMPOA 17 T</t>
  </si>
  <si>
    <t>KOJIKO BUSUR 360 K</t>
  </si>
  <si>
    <t>100 DZ</t>
  </si>
  <si>
    <t>SA[UTRO OFFICE</t>
  </si>
  <si>
    <t>G-0962 INV SOS</t>
  </si>
  <si>
    <t>CRAYON PUTAR DISNEY PANJANG (N)</t>
  </si>
  <si>
    <t>288 PCS</t>
  </si>
  <si>
    <t>HM/ 121/ 05-23H</t>
  </si>
  <si>
    <t>BALLPEN TF-729 4WR</t>
  </si>
  <si>
    <t>108 LSN</t>
  </si>
  <si>
    <t>AC-106 F PUTIH SUSU</t>
  </si>
  <si>
    <t>AC-106 F KUNING</t>
  </si>
  <si>
    <t>AC-106 F MERAH</t>
  </si>
  <si>
    <t>CLEAR HOLDER FOLIO SIKA PUTIH</t>
  </si>
  <si>
    <t>60 LSN</t>
  </si>
  <si>
    <t>CLEAR HOLDER FOLIO SIKA BIRU</t>
  </si>
  <si>
    <t>CLEAR HOLDER FOLIO SIKA  MERAH</t>
  </si>
  <si>
    <t>PPW</t>
  </si>
  <si>
    <t>0106/ HW/ V/ 23</t>
  </si>
  <si>
    <t>SEGITIGA BT NO 10</t>
  </si>
  <si>
    <t>SEGITIGA BT NO 12</t>
  </si>
  <si>
    <t>SINAR MAS</t>
  </si>
  <si>
    <t>32 EDY</t>
  </si>
  <si>
    <t>PC KODE 3SS 3D A 20200</t>
  </si>
  <si>
    <t>23050306</t>
  </si>
  <si>
    <t>BALLPEN BP-349-12 VOKUS TRANS BLACK JK BONUS</t>
  </si>
  <si>
    <t>GA-23-05-0129</t>
  </si>
  <si>
    <t>BUSINESS FILE SIKA AC-106 MERAH</t>
  </si>
  <si>
    <t>BUSINESS FILE SIKA AC-106 PUTIH</t>
  </si>
  <si>
    <t>BUSINESS FILE SIKA AC-106 KUNING</t>
  </si>
  <si>
    <t>GA-23/05-0131</t>
  </si>
  <si>
    <t>MAP L/ CLEAR H SIKA AC-105 MERAH</t>
  </si>
  <si>
    <t>MAP L/ CLEAR H SIKA AC-105 PUTIH</t>
  </si>
  <si>
    <t>MAP L/ CLEAR H SIKA AC-105 BIRU</t>
  </si>
  <si>
    <t>JUE174/23</t>
  </si>
  <si>
    <t>GEL PEN TIZO 1.0 T G 340</t>
  </si>
  <si>
    <t>GEL TIZO TG31220</t>
  </si>
  <si>
    <t>GEL PEN WEIYADA E681</t>
  </si>
  <si>
    <t>PENSIL KAYAGI 2B COKLAT KY-QF122B-2</t>
  </si>
  <si>
    <t>360 LSN</t>
  </si>
  <si>
    <t>PENSIL 2B FANCY KY-PF3051</t>
  </si>
  <si>
    <t>PENSIL 2B FANCY KY-PF3065</t>
  </si>
  <si>
    <t>PENSIL 2B FANCY KY-PF3064</t>
  </si>
  <si>
    <t>PENSIL 2B KAYAGI KY-PF3062</t>
  </si>
  <si>
    <t>PENSIL 2B KAYAGI KY-PF3056</t>
  </si>
  <si>
    <t>PENSIL 2B KAYAGI KY-PF3061</t>
  </si>
  <si>
    <t>PENSIL 2B KAYAGI KY-PF2026</t>
  </si>
  <si>
    <t>HN052023112</t>
  </si>
  <si>
    <t>VE003/05/2023</t>
  </si>
  <si>
    <t>PCM LPY 66-11</t>
  </si>
  <si>
    <t>PCM LPY 66-17</t>
  </si>
  <si>
    <t>PCM LPY 66-31</t>
  </si>
  <si>
    <t>PCM LPY 66-7</t>
  </si>
  <si>
    <t>PCM XU 0080</t>
  </si>
  <si>
    <t>PCM EP 9242-2</t>
  </si>
  <si>
    <t>PCM KT 2220</t>
  </si>
  <si>
    <t>PCM EP 9372</t>
  </si>
  <si>
    <t>PCM EP 9373</t>
  </si>
  <si>
    <t>PCM EP 9374</t>
  </si>
  <si>
    <t>PCM EP 65089</t>
  </si>
  <si>
    <t>PCM EP 65084</t>
  </si>
  <si>
    <t>PCM EP 9294-1</t>
  </si>
  <si>
    <t>192 PCS</t>
  </si>
  <si>
    <t>120 PCS</t>
  </si>
  <si>
    <t>168 PCS</t>
  </si>
  <si>
    <t>SA230507030</t>
  </si>
  <si>
    <t>GEL PEN GP 237 XTECH BLACK JK</t>
  </si>
  <si>
    <t>SN23051002</t>
  </si>
  <si>
    <t>CALCULATOR JOYKO CC-38</t>
  </si>
  <si>
    <t>8 BOX X 20 PCS</t>
  </si>
  <si>
    <t>25  BOX X 12 PCS</t>
  </si>
  <si>
    <t>BONUS CALCULATOR</t>
  </si>
  <si>
    <t>CALCULATOR JOYKO DTC-1313 CH</t>
  </si>
  <si>
    <t>6 BOX X 20 PCS</t>
  </si>
  <si>
    <t>CALCULATOR JOYKO CC-41</t>
  </si>
  <si>
    <t>23050594</t>
  </si>
  <si>
    <t>SA 41369</t>
  </si>
  <si>
    <t>KENKO DUAL TIP 24 COLOR BRUSH PEN DBP-24</t>
  </si>
  <si>
    <t>KENKO DUAL TIP 12 COLOR BRUSH PEN DBP-12</t>
  </si>
  <si>
    <t>23050588</t>
  </si>
  <si>
    <t>SA 41360</t>
  </si>
  <si>
    <t>KENKO CORRECTION TAPE CT-634 8M X 5MM</t>
  </si>
  <si>
    <t>KENKO CORRECTION FLUID KE-108</t>
  </si>
  <si>
    <t>KENKO CUTTER A-300 9MM BLADE</t>
  </si>
  <si>
    <t>KENKO CUTTER L-500 18MM BLADE</t>
  </si>
  <si>
    <t>6 BOX X 24 SET</t>
  </si>
  <si>
    <t>6 BOX X 12 SET</t>
  </si>
  <si>
    <t>30 DOZ</t>
  </si>
  <si>
    <t>GA-23-05-0145</t>
  </si>
  <si>
    <t>MAP KANCING SIKA AC-065 HIJAU</t>
  </si>
  <si>
    <t>G61.23</t>
  </si>
  <si>
    <t>SAMPUL BUKU KUNING (TIPIS)</t>
  </si>
  <si>
    <t>PAK</t>
  </si>
  <si>
    <t>300 PAK</t>
  </si>
  <si>
    <t>SAMPUL BUKU COKLAT (TEBAL)</t>
  </si>
  <si>
    <t>GLORY</t>
  </si>
  <si>
    <t>E 06</t>
  </si>
  <si>
    <t>BT BATIK</t>
  </si>
  <si>
    <t>AG BATIK</t>
  </si>
  <si>
    <t>DISKON CASH 120.000</t>
  </si>
  <si>
    <t>PCM GP-65084/ 10 X 21/ SET/ SR</t>
  </si>
  <si>
    <t>PCM GP-65089/ 7.5 X 22/ PUA/ SR</t>
  </si>
  <si>
    <t>PCM GP-9294/ 7.8 X 22.5/ PU/ GLT/ UNICORN</t>
  </si>
  <si>
    <t>PCM GP-9342-2/ 7 X 21.5/ SET/ BT21</t>
  </si>
  <si>
    <t>PCM GP-7373/ 8 X 23/ PUA/ GLT/ SR</t>
  </si>
  <si>
    <t>PCM GP-9373/ 8 X 23/ PUA/ GLT/ ASTRO</t>
  </si>
  <si>
    <t>PCM GP-9374/ 8 X 23/ PUA/ GLT/ LUCU</t>
  </si>
  <si>
    <t>PCM KT-2220/ 8 X 23/ PUA/GLT/ D</t>
  </si>
  <si>
    <t>VE0244B1</t>
  </si>
  <si>
    <t>VE0245B1</t>
  </si>
  <si>
    <t>PCM LPY 66-11/ 8 X 23/ PUA/ D</t>
  </si>
  <si>
    <t>PCM LPY 66-17/ 8 X 23/ PUA/ GLT</t>
  </si>
  <si>
    <t>PCM LPY 66-31/ 7.5 X 21.5/ PUA/ BT21</t>
  </si>
  <si>
    <t>PCM LPY 666-7/ 7.5 X 22/ PUA/ TIMBUL/ D</t>
  </si>
  <si>
    <t>PCM XU-0080/ 12 X 22/ +PU/ DNY</t>
  </si>
  <si>
    <t>SI.2023.05.00149</t>
  </si>
  <si>
    <t>PENCIL CASE MAGNET + ISI CC-1021</t>
  </si>
  <si>
    <t>600 PCS</t>
  </si>
  <si>
    <t>STAINLESS STEEL SQ SCISSORS 4.5" (COLOR) SC-SQ04C</t>
  </si>
  <si>
    <t>STAINLESS STEEL SQ SCISSORS 6.0" (COLOR) SC-SQ06C</t>
  </si>
  <si>
    <t>STAINLESS STEEL SQ SCISSORS 4.5" (BLACK) SC-SQ04B</t>
  </si>
  <si>
    <t>STAINLESS STEEL SQ SCISSORS 6.0"  (BLACK) SC-SQ06B</t>
  </si>
  <si>
    <t>SAPUTRO OFFINCE</t>
  </si>
  <si>
    <t>G-1025 INV.SOS</t>
  </si>
  <si>
    <t>CRAYON 12W VAN-ART NEW</t>
  </si>
  <si>
    <t>2023.05.0033</t>
  </si>
  <si>
    <t>MALAM SHINTOENG K 6/12W</t>
  </si>
  <si>
    <t>480 PCS</t>
  </si>
  <si>
    <t>MALAM SHINTOENG B 6/12W</t>
  </si>
  <si>
    <t>150 PCS</t>
  </si>
  <si>
    <t>HN052023189</t>
  </si>
  <si>
    <t>L.SN</t>
  </si>
  <si>
    <t>MALAM SHINTOENG K 6-12W</t>
  </si>
  <si>
    <t>SA230507076</t>
  </si>
  <si>
    <t>LABEL LB 1LY 1 BARIS YELLOW JK</t>
  </si>
  <si>
    <t>100 PAK X 10 ROL</t>
  </si>
  <si>
    <t>LABEL LB 2RL 1 BARIS JK</t>
  </si>
  <si>
    <t>12 BOX X 12 PCS</t>
  </si>
  <si>
    <t>SCISSORS SC-828 JK</t>
  </si>
  <si>
    <t>SCISSORS SC-848 JK</t>
  </si>
  <si>
    <t>CORRECTION TAPE CT 522 PTL JK</t>
  </si>
  <si>
    <t>60 BOX X 12 PCS</t>
  </si>
  <si>
    <t>SA230507201</t>
  </si>
  <si>
    <t>9 BOX X 12 SET</t>
  </si>
  <si>
    <t>WATER COLOR WC-4-24 JK</t>
  </si>
  <si>
    <t>WATER COLOR WC-4-12 JK</t>
  </si>
  <si>
    <t>4 BOX X 12 SET</t>
  </si>
  <si>
    <t>SA230507105</t>
  </si>
  <si>
    <t>CORRECTION TAPE CT-522 JK</t>
  </si>
  <si>
    <t>SCISSORS SC-838 JK</t>
  </si>
  <si>
    <t>BINTANG SAUDARA</t>
  </si>
  <si>
    <t>SO2023050080207</t>
  </si>
  <si>
    <t>AGENDA 123 POLOS BIRU</t>
  </si>
  <si>
    <t>AGENDA 123 POLOS HITAM</t>
  </si>
  <si>
    <t>AGENDA PRO DELUXE BSR PC-122</t>
  </si>
  <si>
    <t>CLIP BOARD CB-8888 DOVE</t>
  </si>
  <si>
    <t>MINI POCKET MB-120 WARNA KULIT</t>
  </si>
  <si>
    <t>NOTE BOOK EXCLUSIVE 0801</t>
  </si>
  <si>
    <t>NOTES 156-8D / ADD TELP</t>
  </si>
  <si>
    <t>PAPER BAG COKLAT BESAR TEBAL</t>
  </si>
  <si>
    <t>PAPER BAG COKLAT TG TEBAL</t>
  </si>
  <si>
    <t>SO2023050080208</t>
  </si>
  <si>
    <t>ACRYLIC NT 7 X 10 CM</t>
  </si>
  <si>
    <t>ACRYLIC NT 7 X 20 CM</t>
  </si>
  <si>
    <t>ACRYLIC SISIPAN KERTAS 1/3 FOLIO 11 X 21.5 CM</t>
  </si>
  <si>
    <t>ACRYLIC SISIPAN KERTAS A4 T 30 X 21 CM</t>
  </si>
  <si>
    <t>ACRYLIC SISIPAN KERTAS A5 T 15 X 21 CM</t>
  </si>
  <si>
    <t>ACRYLIC SISIPAN KERTAS A6 T 11 X 16 CM</t>
  </si>
  <si>
    <t>LOOSE LEAF A5 50 LBR KOALA MTK</t>
  </si>
  <si>
    <t>LOOSE LEAF A5-100 LBR RAINBOW GARIS</t>
  </si>
  <si>
    <t>LOOSE LEAF A5-100 RAINBOW GARIS W/HIJAU</t>
  </si>
  <si>
    <t>LOOSE LEAF A5-50 LBR RAINBOW GARIS/ HIJAU</t>
  </si>
  <si>
    <t>STRIMIN</t>
  </si>
  <si>
    <t>SO2023050080210</t>
  </si>
  <si>
    <t>LOOSE LEAF A5 100 LBR KOALA MTK</t>
  </si>
  <si>
    <t>LOOSE LEAF A5-100 LBR DOTED/ TITIK</t>
  </si>
  <si>
    <t>LOOSE LEAF A5-50 LBR DOTED/ TITIK</t>
  </si>
  <si>
    <t>LOOSE LEAF B5-100 LBR KOALA MTK</t>
  </si>
  <si>
    <t>GI-EDY</t>
  </si>
  <si>
    <t>P/C KODE 3SS 3D A 2020</t>
  </si>
  <si>
    <t>1440 PCS</t>
  </si>
  <si>
    <t>P/C KODE 4SS A4001</t>
  </si>
  <si>
    <t>P/C KODE 5SS 15001</t>
  </si>
  <si>
    <t>60PCS</t>
  </si>
  <si>
    <t>72 PCS</t>
  </si>
  <si>
    <t>HENDA SUKSES ABADI</t>
  </si>
  <si>
    <t>SPIDOL 838-12 WRN</t>
  </si>
  <si>
    <t>24 BOX</t>
  </si>
  <si>
    <t>EMICO STATIONERY</t>
  </si>
  <si>
    <t>J2305045</t>
  </si>
  <si>
    <t>XDATA DIRECT FILL PEN M-1 HTM</t>
  </si>
  <si>
    <t>XDATA DIRECT FILL PEN M2 HTM</t>
  </si>
  <si>
    <t>XDATA DIRECT FILL PEN X-2 HTM</t>
  </si>
  <si>
    <t>AC-106 F HIJAU</t>
  </si>
  <si>
    <t>B 9388 FRW</t>
  </si>
  <si>
    <t>0189/HW/V/23</t>
  </si>
  <si>
    <t>BT 20 CM</t>
  </si>
  <si>
    <t>BT 30 CM</t>
  </si>
  <si>
    <t>GUNINDO</t>
  </si>
  <si>
    <t>2300871</t>
  </si>
  <si>
    <t>OSS GUNINDO</t>
  </si>
  <si>
    <t>OMM GUNINDO</t>
  </si>
  <si>
    <t>CUTTER SC9A PUTIH</t>
  </si>
  <si>
    <t>CUTTER A 18 TRANS</t>
  </si>
  <si>
    <t>GUNINDO FL COKLAT</t>
  </si>
  <si>
    <t>20 LSN</t>
  </si>
  <si>
    <t>GEL PEN GP 330 BLACK JK</t>
  </si>
  <si>
    <t>SJ NO OP-16</t>
  </si>
  <si>
    <t>SAMPUL SAMSON KWARTO FANCY</t>
  </si>
  <si>
    <t>240 PCS</t>
  </si>
  <si>
    <t>091/EPW/V/W3</t>
  </si>
  <si>
    <t>BT 9150</t>
  </si>
  <si>
    <t>CLEAR HOLDER FOLIO SIKA AC-105 F</t>
  </si>
  <si>
    <t>SO23/1008</t>
  </si>
  <si>
    <t>GARISAN 50 YOEKER GB-50</t>
  </si>
  <si>
    <t>GY4.23</t>
  </si>
  <si>
    <t>N/TAG D/MERAH 301</t>
  </si>
  <si>
    <t>B TAMU SPIRAL BATIK</t>
  </si>
  <si>
    <t>4000 PCS</t>
  </si>
  <si>
    <t>SA230507405</t>
  </si>
  <si>
    <t>6 NOX X 6 SET</t>
  </si>
  <si>
    <t>OIL PASTEL OP 55 S PP CASE SEA WORLD JK</t>
  </si>
  <si>
    <t>4 BOX X 6 SET</t>
  </si>
  <si>
    <t>PENCIL CASE PC-0719PL-32 BLUE JK</t>
  </si>
  <si>
    <t>12 BOX X 2 4 PCS</t>
  </si>
  <si>
    <t>PENCIL CASE PC-0719PL-32 GREEN JK</t>
  </si>
  <si>
    <t>PENCIL CASE PC-0719PL-32 RED JK</t>
  </si>
  <si>
    <t>PENCIL CASE PC-0719PL-32 YELLOW JK</t>
  </si>
  <si>
    <t>12 BOX X 24 PCS</t>
  </si>
  <si>
    <t>OIL PASTEL OP 36 S PP CASE SEA WORLD JK</t>
  </si>
  <si>
    <t>SA230507301</t>
  </si>
  <si>
    <t>CAD</t>
  </si>
  <si>
    <t>24 BOX X 12 CAD</t>
  </si>
  <si>
    <t>STAPLER HD-10M JK</t>
  </si>
  <si>
    <t>25 DZ</t>
  </si>
  <si>
    <t>SA230507451</t>
  </si>
  <si>
    <t>60 PCS</t>
  </si>
  <si>
    <t>PENCIL LEAD PL 10 2.0 2B JK</t>
  </si>
  <si>
    <t>36 DZ</t>
  </si>
  <si>
    <t>COLOR PENCIL CP 12 PB JK</t>
  </si>
  <si>
    <t>PENCIL P 88 2B JK</t>
  </si>
  <si>
    <t>ERASER 526 B20 JK</t>
  </si>
  <si>
    <t>PENCIL CASE PC-0719PSTL-35 BLUE JK</t>
  </si>
  <si>
    <t>PENCIL CASE PC-0719PSTL-35 GREEN JK</t>
  </si>
  <si>
    <t>PENCIL CASE PC-0719PSTL-35 PINK JK</t>
  </si>
  <si>
    <t>PENCIL CASE PC-0719PSTL-35 PURPLE JK</t>
  </si>
  <si>
    <t>CORRECTION FLUID CF S225 JK</t>
  </si>
  <si>
    <t>GEL PEN GP 266 ITECH 2 BLACK JK</t>
  </si>
  <si>
    <t>PAPER CLIP C 3100 JK</t>
  </si>
  <si>
    <t>SA230507475</t>
  </si>
  <si>
    <t>CORRECTION FLUID CF S209 JK</t>
  </si>
  <si>
    <t>COLOR PENCIL CP 24 PB JK</t>
  </si>
  <si>
    <t>12 BOX X 6 SET</t>
  </si>
  <si>
    <t>SCISSORS SC 828 JK</t>
  </si>
  <si>
    <t>SCISSORS SC 838 JK</t>
  </si>
  <si>
    <t>SCISSORS SC-858 JK</t>
  </si>
  <si>
    <t>STAMP PAD NO.0 JK</t>
  </si>
  <si>
    <t>18 PAK X 12 PCS</t>
  </si>
  <si>
    <t>CORRECTION FLUID CF S209 A JK</t>
  </si>
  <si>
    <t>GA-23/05/0207</t>
  </si>
  <si>
    <t>DUTA BAHAGIA</t>
  </si>
  <si>
    <t>DHM/052/05-23C</t>
  </si>
  <si>
    <t>ISI GEL GR-089/ D1090</t>
  </si>
  <si>
    <t>TBG</t>
  </si>
  <si>
    <t>576 TBG</t>
  </si>
  <si>
    <t>ISI GEL GR-090/ D1090</t>
  </si>
  <si>
    <t>20 PCS/ TBG</t>
  </si>
  <si>
    <t>12 PCS/ TBG</t>
  </si>
  <si>
    <t>BUKU TAMU GB-2833 R-5 BATIK JK</t>
  </si>
  <si>
    <t>SA230507504</t>
  </si>
  <si>
    <t>ERASER 526-B40 P JK</t>
  </si>
  <si>
    <t>ERASER 526-B 20 JK</t>
  </si>
  <si>
    <t>MATH SET MS-55 JK</t>
  </si>
  <si>
    <t>MATH SET MS-25 JK</t>
  </si>
  <si>
    <t>CRAYON PUTAR TWCR 12 MINI JK</t>
  </si>
  <si>
    <t>HIGHLIGHTER HL 1 YELLOW JK</t>
  </si>
  <si>
    <t>72 BOX X 10 PCS</t>
  </si>
  <si>
    <t>HIGHLIGHTER HL 2 GREEN JK</t>
  </si>
  <si>
    <t>HIGHLIGHTER HL 3 BLUE JK</t>
  </si>
  <si>
    <t>HIGHLIGHTER HL 4 PINK JK</t>
  </si>
  <si>
    <t>HIGHLIGHTER HL 5 ORANGE JK</t>
  </si>
  <si>
    <t>SA230507505</t>
  </si>
  <si>
    <t>12 BOX X24 PCS</t>
  </si>
  <si>
    <t>PENCIL CASE PC 0719 AC-36 A/ F ANIMAL CALENDER JK</t>
  </si>
  <si>
    <t>PENCIL CASE PC 0719 TV-33 A/ F TRAVEL JK</t>
  </si>
  <si>
    <t>PENCIL CASE PC 0719 GZ-34 A/ F GOZZY JK</t>
  </si>
  <si>
    <t>PENCIL CASE PC-0719 PSTL-35 BLUE JK</t>
  </si>
  <si>
    <t>PENCIL CASE PC-0719 PSTL-35 GREEN JK</t>
  </si>
  <si>
    <t>PENCIL CASE PC-0719 PSTL-35 PINK JK</t>
  </si>
  <si>
    <t>PENCIL CASE PC-0719 PSTL-35 PURPLE JK</t>
  </si>
  <si>
    <t>SA230507564</t>
  </si>
  <si>
    <t>SA230507563</t>
  </si>
  <si>
    <t>BINDER A5 MHAC M479 BLUE JK U</t>
  </si>
  <si>
    <t>BINDER A5 MHAC M479 RED JK U</t>
  </si>
  <si>
    <t>BINDER A5 MHAC M479 YELLOW JK U</t>
  </si>
  <si>
    <t>BINDER A5 TSPL M505 BLUE JK U</t>
  </si>
  <si>
    <t>BINDER A5 TSPL M505 GREEN JK U</t>
  </si>
  <si>
    <t>BINDER A5 TSPL M505 YELLOW JK U</t>
  </si>
  <si>
    <t>BINDER A5 TSPL M505 RED JK U</t>
  </si>
  <si>
    <t>BINDER MHKN M510 GREEN JK U</t>
  </si>
  <si>
    <t>BINDER MHKN M510 ORANGE JK U</t>
  </si>
  <si>
    <t>BINDER MHKN M510 YELLOW JK U</t>
  </si>
  <si>
    <t>23051117</t>
  </si>
  <si>
    <t>KENKO CLOTH TAPE 36MM BLUE CORE BLACK</t>
  </si>
  <si>
    <t>TITI 12 COLOR TWIST CRAYON TI-CP-12 T</t>
  </si>
  <si>
    <t>KENKO PENCIL LEAD PL 05 2B 0.5MM HI-POLYMER</t>
  </si>
  <si>
    <t>KENKO CUTTER K-200 9MM BLADE</t>
  </si>
  <si>
    <t>KENKO CORRECTION FLUID KE-107 M</t>
  </si>
  <si>
    <t>KENKO BINDER CLIP NO.260</t>
  </si>
  <si>
    <t>KENKO LAMINATING FILM LF100-2234 (FC) @ 100 PCS</t>
  </si>
  <si>
    <t>23051113</t>
  </si>
  <si>
    <t xml:space="preserve">TITI 24 COLOR OIL PASTEL TI P 24 S </t>
  </si>
  <si>
    <t xml:space="preserve">TITI 36 COLOR OIL PASTEL TI P 36 S </t>
  </si>
  <si>
    <t xml:space="preserve">TITI 55 COLOR OIL PASTEL TI P 55 S </t>
  </si>
  <si>
    <t>KENKO TRIGONAL CLIP NO.1</t>
  </si>
  <si>
    <t>KENKO JUMBO CLIP NO.5</t>
  </si>
  <si>
    <t>KENKO GLUE STICK 15 GR MEDIUM</t>
  </si>
  <si>
    <t xml:space="preserve">TITI 18 COLOR OIL PASTEL TI P 18 S </t>
  </si>
  <si>
    <t>KENKO TRIGONAL CLIP NO.3</t>
  </si>
  <si>
    <t>KENKO GLUE STICK 8 GR SMALL</t>
  </si>
  <si>
    <t>23051111</t>
  </si>
  <si>
    <t>KENKO LIQUID GLUE LG-35 35 ML</t>
  </si>
  <si>
    <t>KENKO GEL PEN KE-200 BLACK</t>
  </si>
  <si>
    <t>KENKO CUTTER BLADE L-150 18 MM</t>
  </si>
  <si>
    <t>23051240</t>
  </si>
  <si>
    <t>KENKO GEL PEN K-1 MINI BLACK</t>
  </si>
  <si>
    <t>KENKO GEL PEN HI TECH H 0.4MM BLACK</t>
  </si>
  <si>
    <t>KENKO POCKET NOTE PN-501</t>
  </si>
  <si>
    <t>KENKO COLOR CLIP 3100</t>
  </si>
  <si>
    <t>KENKO PRICE LABELLER MX-5500 EOS 8 DIGITS 1 LINE</t>
  </si>
  <si>
    <t>KENKO STAMP PAD NO.0</t>
  </si>
  <si>
    <t>KENKO HEAVY DUTY STAPLER HD-12N / 13</t>
  </si>
  <si>
    <t>23051247</t>
  </si>
  <si>
    <t>KENKO LOOSE LEAF A5-LL 100-2070</t>
  </si>
  <si>
    <t>KENKO BINDER NOTE A5-TS-CC78 CAMPUS</t>
  </si>
  <si>
    <t>KENKO BINDER NOTE A5-TS-CC82 CAMPUS</t>
  </si>
  <si>
    <t>KENKO GEL PEN EASY GEL BLACK</t>
  </si>
  <si>
    <t>23051371</t>
  </si>
  <si>
    <t>KENKO ERASER ERW-40SQ WHITE</t>
  </si>
  <si>
    <t>KENKO COMPASS SET C-288</t>
  </si>
  <si>
    <t>KENKO COMPASS SET C-168</t>
  </si>
  <si>
    <t>KENKO ERASER ERW-20SQ WHITE</t>
  </si>
  <si>
    <t>KENKO COMPASS SET C-528</t>
  </si>
  <si>
    <t>25 DOZ</t>
  </si>
  <si>
    <t>80 ROL</t>
  </si>
  <si>
    <t>10 BOX</t>
  </si>
  <si>
    <t>18 GRS</t>
  </si>
  <si>
    <t>5 GRS</t>
  </si>
  <si>
    <t>SA 41494</t>
  </si>
  <si>
    <t>SA 41490</t>
  </si>
  <si>
    <t>6 DOZ</t>
  </si>
  <si>
    <t>8 BOX X 6 SET</t>
  </si>
  <si>
    <t>6 BOX X 6 XET</t>
  </si>
  <si>
    <t>50 PAK X 10 BOX</t>
  </si>
  <si>
    <t>20 PAK X 10 BOX</t>
  </si>
  <si>
    <t>36 BOX X  20 PCS</t>
  </si>
  <si>
    <t>SA 41501</t>
  </si>
  <si>
    <t>SA 41488</t>
  </si>
  <si>
    <t>SA 41536</t>
  </si>
  <si>
    <t>48 DOZZ</t>
  </si>
  <si>
    <t>6 PCS</t>
  </si>
  <si>
    <t>50 PAK</t>
  </si>
  <si>
    <t>18 DOZ</t>
  </si>
  <si>
    <t>96 PCS</t>
  </si>
  <si>
    <t>36 BOX X 20 PCS</t>
  </si>
  <si>
    <t>50 BOX X 1 BOX</t>
  </si>
  <si>
    <t>SA 41547</t>
  </si>
  <si>
    <t>SA 41559</t>
  </si>
  <si>
    <t>23051370</t>
  </si>
  <si>
    <t>KENKO LOOSE LEAF A5-LL 50-2070</t>
  </si>
  <si>
    <t>KENKO LOOSE LEAF B5 LL 100 -2670</t>
  </si>
  <si>
    <t>KENKO PUSH PIN PN-30 COLOR</t>
  </si>
  <si>
    <t>KENKO CORRECTION FLUID KE 108</t>
  </si>
  <si>
    <t>KENKO CUTTER BLADE A-100 9MM</t>
  </si>
  <si>
    <t>SA 41558</t>
  </si>
  <si>
    <t>80 PCS</t>
  </si>
  <si>
    <t>120 DOZ</t>
  </si>
  <si>
    <t>HM/ 133/ 05-23H</t>
  </si>
  <si>
    <t>STICK NOTE TF-PN 0244</t>
  </si>
  <si>
    <t>108 PCS</t>
  </si>
  <si>
    <t>GARISAN TF-1988</t>
  </si>
  <si>
    <t>200 LSN</t>
  </si>
  <si>
    <t>HM/ 132/ 05-23H</t>
  </si>
  <si>
    <t>BALLPEN GEL TF 3115 0.3MM HIGHTECH KNOCK</t>
  </si>
  <si>
    <t>0272/ HW/ V/ 23</t>
  </si>
  <si>
    <t>BT 15 CM</t>
  </si>
  <si>
    <t>TH020/5/2023</t>
  </si>
  <si>
    <t>CORRECTION TAPE MT 737 A/5 X 16/ + REFILL</t>
  </si>
  <si>
    <t>16 BOX X 12 PCS</t>
  </si>
  <si>
    <t>PCM GP-9372/ 8 X 23/ PUA/ GLT/ SR</t>
  </si>
  <si>
    <t>PCM GP-9372/ 8 X 23/ PUA/ GLT/ ASTRO</t>
  </si>
  <si>
    <t>PCM LPY 66-17/8X23/PUA/GLT</t>
  </si>
  <si>
    <t>PCM LPY66-7/7.5X22/PUA/TIMBUL/D</t>
  </si>
  <si>
    <t>PCM XU-0080/12X22/+PU/DY</t>
  </si>
  <si>
    <t>MSI</t>
  </si>
  <si>
    <t>23/I/212</t>
  </si>
  <si>
    <t>REFILL GEL FANCY VRG-2017 SUPERHERO</t>
  </si>
  <si>
    <t>REFILL GEL FANCY VRG-2018 TSUM-TSUM</t>
  </si>
  <si>
    <t>REFILL GEL FANCY VRG-2022 RESCUE BOTS</t>
  </si>
  <si>
    <t>REFILL GEL FANCY VRG-2021 BARBIE GIRL</t>
  </si>
  <si>
    <t>ALPHINDO</t>
  </si>
  <si>
    <t>FELIX21</t>
  </si>
  <si>
    <t>SAMPUL OPP LEM ALEXANDER KWARTO</t>
  </si>
  <si>
    <t>SAMPUL OPP LEM ALEXANDER BOXY</t>
  </si>
  <si>
    <t>JUE267/23</t>
  </si>
  <si>
    <t>HAPUSAN DEBOZZZ HITAM DBH-40H</t>
  </si>
  <si>
    <t>40 PCS</t>
  </si>
  <si>
    <t>L205045</t>
  </si>
  <si>
    <t>ISI GW NO.10</t>
  </si>
  <si>
    <t>100 PAK</t>
  </si>
  <si>
    <t>23051565</t>
  </si>
  <si>
    <t>KENKO STAMP PAD NO.1</t>
  </si>
  <si>
    <t>KENKO BINDER CLIP NO.111</t>
  </si>
  <si>
    <t>KENKO BINDER CLIP NO.155</t>
  </si>
  <si>
    <t>SA 41614</t>
  </si>
  <si>
    <t>50 GRS</t>
  </si>
  <si>
    <t>SA230507749</t>
  </si>
  <si>
    <t>LABEL LB-2 RL 1 BARIS JK</t>
  </si>
  <si>
    <t>GLUE STICK GS-100 8 GRAM JK</t>
  </si>
  <si>
    <t>GLUE STICK GS-105 JK</t>
  </si>
  <si>
    <t>PUNCH 85 B JK</t>
  </si>
  <si>
    <t>HIGHLIGHTER HL-1 YELLOW JK</t>
  </si>
  <si>
    <t>HIGHLIGHTER HL-2 GREEN JK</t>
  </si>
  <si>
    <t>HIGHLIGHTER HL-3 BLUE JK</t>
  </si>
  <si>
    <t>HIGHLIGHTER HL-4 PINK JK</t>
  </si>
  <si>
    <t>HIGHLIGHTER HL-5 ORANGEJK</t>
  </si>
  <si>
    <t>SA230507689</t>
  </si>
  <si>
    <t>VE0267BI</t>
  </si>
  <si>
    <t>VE0266BI</t>
  </si>
  <si>
    <t>2300914</t>
  </si>
  <si>
    <t>PL8 GUNINDO</t>
  </si>
  <si>
    <t>WB ERASER 803</t>
  </si>
  <si>
    <t>30 LSN</t>
  </si>
  <si>
    <t>2300924</t>
  </si>
  <si>
    <t>OLL GUNINDO</t>
  </si>
  <si>
    <t>OIL PASTEL OP 55S PP CASE SEA WORLD JK</t>
  </si>
  <si>
    <t>KENKO BINDER CLIP NO.107</t>
  </si>
  <si>
    <t>SA230507813</t>
  </si>
  <si>
    <t>SHARPENER SP-362 JK</t>
  </si>
  <si>
    <t>180 BOX X 24 PCS</t>
  </si>
  <si>
    <t>10 BOX X 12 PCS</t>
  </si>
  <si>
    <t>TRIGONAL CLIP NO.3 JK</t>
  </si>
  <si>
    <t>500 BOX</t>
  </si>
  <si>
    <t>200 BOX</t>
  </si>
  <si>
    <t>KEY RING KR-6 JK</t>
  </si>
  <si>
    <t>8 BOX X 25 CARD</t>
  </si>
  <si>
    <t>DRM</t>
  </si>
  <si>
    <t>40 DRM X 50 PCS</t>
  </si>
  <si>
    <t>KEY RING KR-9 JK</t>
  </si>
  <si>
    <t>48 DRM X 50 PCS</t>
  </si>
  <si>
    <t>PENCIL 6161 (2B) JK</t>
  </si>
  <si>
    <t>PUNCH 30XL JK</t>
  </si>
  <si>
    <t>PAPER CLIP JUMBO NO.5 JK</t>
  </si>
  <si>
    <t>KEY RING KR-8 (DRUM) JK</t>
  </si>
  <si>
    <t>SA230507814</t>
  </si>
  <si>
    <t>PENCIL CASE PC-0719AC-36A/F ANIMAL CALENDER JK</t>
  </si>
  <si>
    <t>PENCIL CASE PC-0719GZ-34A/F GOZZY JK</t>
  </si>
  <si>
    <t>GEL PEN GP-265 Q GEL BLACK JK</t>
  </si>
  <si>
    <t>CUTTER K-200 JK</t>
  </si>
  <si>
    <t>PUSH PIN PP-30 JK</t>
  </si>
  <si>
    <t>48 BOX X 12 PCS</t>
  </si>
  <si>
    <t>OIL PASTEL OP-72S PP CASE SEA WORLD JK</t>
  </si>
  <si>
    <t>SA230507812</t>
  </si>
  <si>
    <t>TAPE CUTTER TD-102 JK</t>
  </si>
  <si>
    <t>SCISSORS SC-838 SG JK</t>
  </si>
  <si>
    <t>BRUSH BR-6 NO 00 JK</t>
  </si>
  <si>
    <t>20 BOX X 12 DZ</t>
  </si>
  <si>
    <t>BRUSH BR-6 NO.4 JK</t>
  </si>
  <si>
    <t>LABEL LB-2RL 1 BARIS JK</t>
  </si>
  <si>
    <t>PENCIL LEAD PL-11 2.0 JK</t>
  </si>
  <si>
    <t>12 BOX X 6 DZ</t>
  </si>
  <si>
    <t>TAPE CUTTER TD-2 JK</t>
  </si>
  <si>
    <t>ASAHAN TOPLES</t>
  </si>
  <si>
    <t>H21.23</t>
  </si>
  <si>
    <t>ENTER 30 CM 675</t>
  </si>
  <si>
    <t>200 DZ</t>
  </si>
  <si>
    <t>BUSUR 3.5 MIKA</t>
  </si>
  <si>
    <t>H01.23</t>
  </si>
  <si>
    <t>ENTER C/BOARD 03 ANTI PECAH</t>
  </si>
  <si>
    <t xml:space="preserve"> </t>
  </si>
  <si>
    <t>HM/141/05-23H</t>
  </si>
  <si>
    <t>ACRYLIC COLOUR TF-1C-005P 12 X 6 ML PASTEL</t>
  </si>
  <si>
    <t>BALLPEN PROMOSI HM-2220 U/BONUS</t>
  </si>
  <si>
    <t>SI-2023/05-0231/COD</t>
  </si>
  <si>
    <t>PITA JPN POLOS MIX B</t>
  </si>
  <si>
    <t>PITA JPN MOTIF POLOS MIX B</t>
  </si>
  <si>
    <t>PITA JPN LIST GOLD MIX B</t>
  </si>
  <si>
    <t>SI-2023/05-0232/LGS</t>
  </si>
  <si>
    <t>18 X 36</t>
  </si>
  <si>
    <t>700 PCS</t>
  </si>
  <si>
    <t>23051973</t>
  </si>
  <si>
    <t>KENKO BINDER CLIP NO.105</t>
  </si>
  <si>
    <t>KENKO GEL PEN WINJELLER KE-600 BLACK</t>
  </si>
  <si>
    <t>SA 41698</t>
  </si>
  <si>
    <t>SA 41718</t>
  </si>
  <si>
    <t>23051861</t>
  </si>
  <si>
    <t>SA 41687</t>
  </si>
  <si>
    <t>KENKO BINDER CLIP NO.200</t>
  </si>
  <si>
    <t>23051895</t>
  </si>
  <si>
    <t>KENKO MECHANICAL PENCIL MP 01 0.5 MM</t>
  </si>
  <si>
    <t>SA 41695</t>
  </si>
  <si>
    <t>23051749</t>
  </si>
  <si>
    <t>KENKO CORRECTION TAPE CT-634 DT 8M X 5MM</t>
  </si>
  <si>
    <t>KENKO CORRECTION TAPE CT-902 12M X 5MM</t>
  </si>
  <si>
    <t>KENKO CORRECTION TAPE CT-902 DT 12M X 5MM</t>
  </si>
  <si>
    <t>KENKO CORRECTION TAPE CT-906 12M X 5MM</t>
  </si>
  <si>
    <t xml:space="preserve"> 4 8 DOZ</t>
  </si>
  <si>
    <t>20GRS</t>
  </si>
  <si>
    <t>10 GRS</t>
  </si>
  <si>
    <t>XIAXIA01</t>
  </si>
  <si>
    <t>DISP KJ NO.50</t>
  </si>
  <si>
    <t>E 31</t>
  </si>
  <si>
    <t>DISKON CASH 56.500</t>
  </si>
  <si>
    <t>SA230508030</t>
  </si>
  <si>
    <t>CRAYON PUTAR TWCR-12 MINI JK</t>
  </si>
  <si>
    <t>PENCIL LEAD PL-11 (2.0) JK</t>
  </si>
  <si>
    <t>OIL PASTEL OP-12S PP CASE SEA WORLD JK</t>
  </si>
  <si>
    <t>6 BOX X 3 SET</t>
  </si>
  <si>
    <t>SA230508029</t>
  </si>
  <si>
    <t>12 BOX X 24 SET</t>
  </si>
  <si>
    <t>COLOR PENCIL CP-S12 JK</t>
  </si>
  <si>
    <t>DO.2023.05.00682</t>
  </si>
  <si>
    <t>GEL PEN FANCY REFILL 0.5MM GPR-SQ321</t>
  </si>
  <si>
    <t>BALLPEN BP-338 VOCUS BLACK JK (NON BONUS)</t>
  </si>
  <si>
    <t>STAPLER HD-50 JK</t>
  </si>
  <si>
    <t>20 BOX X 6 PCS</t>
  </si>
  <si>
    <t>BRUSH BR-1 JK</t>
  </si>
  <si>
    <t>10 BOX X 24 SET</t>
  </si>
  <si>
    <t>PENCIL LEAD PL-05 (2B) JK</t>
  </si>
  <si>
    <t>CORRECTION FLUID CF-S209 JK</t>
  </si>
  <si>
    <t>GLUE GL-R50 JK</t>
  </si>
  <si>
    <t>23052092</t>
  </si>
  <si>
    <t>KENKO CORRECTION TAPE CT-906 12 M X 5 MM</t>
  </si>
  <si>
    <t>SA 41737</t>
  </si>
  <si>
    <t>H052023405</t>
  </si>
  <si>
    <t>LILIN ANGKA SHINTOENG</t>
  </si>
  <si>
    <t>NO 1/2/3/7/8</t>
  </si>
  <si>
    <t>22/1/396</t>
  </si>
  <si>
    <t>SILET PEMES RENTENG (YG)</t>
  </si>
  <si>
    <t>240 LSN</t>
  </si>
  <si>
    <t>JM / 13579</t>
  </si>
  <si>
    <t>H54.23</t>
  </si>
  <si>
    <t>PALET KEPITING DOP PKD 202</t>
  </si>
  <si>
    <t>120 SET</t>
  </si>
  <si>
    <t>12 LSN</t>
  </si>
  <si>
    <t>ENTER C/BOARD ANTI API</t>
  </si>
  <si>
    <t>8 LSN</t>
  </si>
  <si>
    <t>LABEL KOJIKO 103 P</t>
  </si>
  <si>
    <t>800 PAK</t>
  </si>
  <si>
    <t>LABEL KOJIKO 99</t>
  </si>
  <si>
    <t>ENTER B/NOTE KUNING</t>
  </si>
  <si>
    <t>48 LSN</t>
  </si>
  <si>
    <t>ENTER BK MEWARNAI JUMBO</t>
  </si>
  <si>
    <t>23052274</t>
  </si>
  <si>
    <t>KENKO GEL PEN HI-TECH-H 0.4MM BLUE</t>
  </si>
  <si>
    <t>SA 41975</t>
  </si>
  <si>
    <t>SA 41781</t>
  </si>
  <si>
    <t>SA 41761</t>
  </si>
  <si>
    <t>KENKO 12 BI COLOR PENCIL CP-12FBC CLASSIC</t>
  </si>
  <si>
    <t>KENKO 18 BI COLOR PENCIL CP-18FBC CLASSIC</t>
  </si>
  <si>
    <t>23052135</t>
  </si>
  <si>
    <t>HM/ 147/05-23H</t>
  </si>
  <si>
    <t>EXPANDING FILE TF-080</t>
  </si>
  <si>
    <t>STABILLO TF-1145 LIVE COLOUR PASTEL</t>
  </si>
  <si>
    <t>WRIT INSERT TF WRI-001</t>
  </si>
  <si>
    <t>STICK NOTE TF 654-8C / 200 LBR</t>
  </si>
  <si>
    <t>BALLPEN PROMOSI HM-2200 U/ BONUS</t>
  </si>
  <si>
    <t>ACRYLIC COLOUR TF-AC-003</t>
  </si>
  <si>
    <t>HM/ 148/ 05-23H</t>
  </si>
  <si>
    <t>PENCIL TF-188+SERUTAN 2B (BIRU)</t>
  </si>
  <si>
    <t>PENCIL TF-288+SERUTAN</t>
  </si>
  <si>
    <t>PENCIL TF-588+SERUTAN</t>
  </si>
  <si>
    <t>PENCIL TF-688+SERUTAN</t>
  </si>
  <si>
    <t>PENCIL TF-788+SERUTAN</t>
  </si>
  <si>
    <t>PENCIL TF-194-24 PASTEL 24W PJ</t>
  </si>
  <si>
    <t>PENCIL TF-195-12 PASTEL 12W PJ</t>
  </si>
  <si>
    <t>240 SET</t>
  </si>
  <si>
    <t>STICK NOTE TF-5N0243</t>
  </si>
  <si>
    <t>VE0425B1</t>
  </si>
  <si>
    <t>VE0573B1</t>
  </si>
  <si>
    <t>PENGGARIS SET BZJ-20140/ 20CM/ PPK/ ANIMAL</t>
  </si>
  <si>
    <t>16 BOX X 40 PCS</t>
  </si>
  <si>
    <t>PENGGARIS SET BZJ-20143/ 20CM/ PPK/ GIRL</t>
  </si>
  <si>
    <t>PENGGARIS SET BZJ-2053/ 20CM/ PPK/ LUCU</t>
  </si>
  <si>
    <t>PENGGARIS SET BZJ-2107/ EIFEL</t>
  </si>
  <si>
    <t>PENGGARIS SET BZJ-2108/ 20CM/ PPK/ ANIMAL</t>
  </si>
  <si>
    <t>KENKO LAMINATING FILM LF 100 2234 FC @ 100 PCS</t>
  </si>
  <si>
    <t>JUE432/23</t>
  </si>
  <si>
    <t>GEL TIZO FANCY TG31762-E</t>
  </si>
  <si>
    <t>GEL TIZO FANCY TG31763-E</t>
  </si>
  <si>
    <t>GEL TIZO FANCY TG31590-E</t>
  </si>
  <si>
    <t>GEL TIZO FANCY TG31035-E</t>
  </si>
  <si>
    <t>GEL TIZO FANCY TG30802-E</t>
  </si>
  <si>
    <t>JUE531/23</t>
  </si>
  <si>
    <t>GEL ZHIXIN + REFILL G-5006</t>
  </si>
  <si>
    <t>GEL ZHIXIN + REFILL G-5008</t>
  </si>
  <si>
    <t>GEL ZHIXIN + REFILL G-3137</t>
  </si>
  <si>
    <t xml:space="preserve"> 120 LSN</t>
  </si>
  <si>
    <t>JUE530/23</t>
  </si>
  <si>
    <t>T PENSIL PLASTIK B-35122</t>
  </si>
  <si>
    <t>T PENSIL MAGNET XLG B-35182</t>
  </si>
  <si>
    <t>TP MAGNET XLG B-35189</t>
  </si>
  <si>
    <t>TP MAGNET B-35141</t>
  </si>
  <si>
    <t>TP PLASTIK B-3581</t>
  </si>
  <si>
    <t>TP MAGNET B-35116-20</t>
  </si>
  <si>
    <t>TP BD XLG BD847</t>
  </si>
  <si>
    <t>JUE529/23</t>
  </si>
  <si>
    <t>MEK PENSIL 24 PCS G09306</t>
  </si>
  <si>
    <t>MEK PENSIL 24 PCS G09309</t>
  </si>
  <si>
    <t>MEK PENSIL 24 PCS G09307</t>
  </si>
  <si>
    <t>GEL DEBOZZ 0.7 DB G-07</t>
  </si>
  <si>
    <t>GEL TECHJOB TG346-B</t>
  </si>
  <si>
    <t>GEL TECHJOB 346-C TG346-C</t>
  </si>
  <si>
    <t>GEL TIZO 346 TG346-D</t>
  </si>
  <si>
    <t>GEL TECHJOB TG313</t>
  </si>
  <si>
    <t>GEL TECHJOB EXAMINAT TG313-B</t>
  </si>
  <si>
    <t>GEL TIZO TG31060</t>
  </si>
  <si>
    <t>PENSIL WARNA TWIN KY-CP1224</t>
  </si>
  <si>
    <t>288 SET</t>
  </si>
  <si>
    <t>P WARNA KAYAGI 24W KY-CP0724</t>
  </si>
  <si>
    <t>144 SET</t>
  </si>
  <si>
    <t>PENSIL WARNA KAYAGI 36W KY-CP0736</t>
  </si>
  <si>
    <t>80 SET</t>
  </si>
  <si>
    <t>GEL INK TIANJIAO TZ-501</t>
  </si>
  <si>
    <t>JUE528/23</t>
  </si>
  <si>
    <t>GEL DEBOZZ 0.5 + REFILL DB-550</t>
  </si>
  <si>
    <t>GEL DEBOZZ KLIK 09 DB-G09</t>
  </si>
  <si>
    <t>STABILLO TIZO 54PC TF 610</t>
  </si>
  <si>
    <t>GEL PEN TIZO 1.0 TG340</t>
  </si>
  <si>
    <t>GEL 1.0 340 BIRU TG340BI</t>
  </si>
  <si>
    <t>GEL TIZO RETRC 1.0 TG630</t>
  </si>
  <si>
    <t>72 LSN</t>
  </si>
  <si>
    <t>ISI GEL 1.0 TG308-AR</t>
  </si>
  <si>
    <t>ISI GEL 1.0 BIRU TG308-ARB</t>
  </si>
  <si>
    <t>MEK PENSIL 2.0 BATIK TM030-D</t>
  </si>
  <si>
    <t>MEKANIK TIZO 2.0 TM030-E</t>
  </si>
  <si>
    <t>MEK PENSIL 2.0 TIZO TM030-F</t>
  </si>
  <si>
    <t>MEK PENSIL TIZO G-9003A</t>
  </si>
  <si>
    <t>MEK PENSIL TIZO G-9000A</t>
  </si>
  <si>
    <t>MEK PENSIL TIZO G-9001A</t>
  </si>
  <si>
    <t>GEL TECHJOB WRITE TG322-B</t>
  </si>
  <si>
    <t>2300990</t>
  </si>
  <si>
    <t>GUNINDO SPL COKLAT</t>
  </si>
  <si>
    <t>CUTTER SC9C TRANS</t>
  </si>
  <si>
    <t>2300970</t>
  </si>
  <si>
    <t>OMM GUNIDO</t>
  </si>
  <si>
    <t>SI.2023.05.00757</t>
  </si>
  <si>
    <t>PENCIL CASE DUS KODE A-2020D</t>
  </si>
  <si>
    <t>PENCIL CASE MAGNET + KALKULATOR CC-7806</t>
  </si>
  <si>
    <t>LMA 2023-05-130</t>
  </si>
  <si>
    <t>PENSIL ZHONG HUA 5925-2B/ B OVAL</t>
  </si>
  <si>
    <t>40 BOX X 64 PCS</t>
  </si>
  <si>
    <t>SUDAH PPN 11%</t>
  </si>
  <si>
    <t>B 9720 BCJ</t>
  </si>
  <si>
    <t>CLEAR HOLDER FOLIO SIKA AC-105 F HIJAU</t>
  </si>
  <si>
    <t>CLEAR HOLDER FOLIO SIKA AC-105 F MERAH</t>
  </si>
  <si>
    <t>CLEAR HOLDER FOLIO SIKA AC-105 F KUNING</t>
  </si>
  <si>
    <t>JUE655/23</t>
  </si>
  <si>
    <t>GEL DEBOZZ 0.7 + REFILL DB-503</t>
  </si>
  <si>
    <t>GP TIZO 395-F TG 395-F</t>
  </si>
  <si>
    <t>SEMI GEL TIZO TB-SG09</t>
  </si>
  <si>
    <t>TP BD BD180-UN2</t>
  </si>
  <si>
    <t>TP BD ANIMAL BD180-C</t>
  </si>
  <si>
    <t>TP BD BD191-UN</t>
  </si>
  <si>
    <t>TP BD BD194-UN</t>
  </si>
  <si>
    <t>T PENSIL BD BD715</t>
  </si>
  <si>
    <t>TP BD XLG BD 806</t>
  </si>
  <si>
    <t>TP PENSIL XLG BD 828</t>
  </si>
  <si>
    <t>T PENSIL BD XLG BD331-22</t>
  </si>
  <si>
    <t>TP BD XLG BD194-C</t>
  </si>
  <si>
    <t>JUE664/23</t>
  </si>
  <si>
    <t>GEL INK PEN JL-212 + ISI</t>
  </si>
  <si>
    <t>T PENSIL BD XLG BD691</t>
  </si>
  <si>
    <t>TP PENSIL BD XLG BD811</t>
  </si>
  <si>
    <t>TP PENSIL BD XLG BD828</t>
  </si>
  <si>
    <t>TP PENSIL BD XLG BD861</t>
  </si>
  <si>
    <t>D-R STATIONERY</t>
  </si>
  <si>
    <t>CDS2305096</t>
  </si>
  <si>
    <t>SERULING 900 TREND</t>
  </si>
  <si>
    <t>24 LSN</t>
  </si>
  <si>
    <t>E37</t>
  </si>
  <si>
    <t>AG CK POLOS</t>
  </si>
  <si>
    <t>DISKON CASH 142.000</t>
  </si>
  <si>
    <t>SI.203.05.00914</t>
  </si>
  <si>
    <t>OENCIL CASE KALENG WB + ISI CC-1008</t>
  </si>
  <si>
    <t>BUSINESS FILE FOLIO SIKA AC-106 F MERAH</t>
  </si>
  <si>
    <t>BUSINESS FILE FOLIO SIKA AC-106 F PUTIH</t>
  </si>
  <si>
    <t>BUSINESS FILE FOLIO SIKA AC-106 F KUNING</t>
  </si>
  <si>
    <t>DHM/059/05-23C</t>
  </si>
  <si>
    <t>BINDER NOTE FPHY002-A5-60</t>
  </si>
  <si>
    <t>BINDER NOTE FPHY002-B5-60</t>
  </si>
  <si>
    <t>DHM/058/05-23C</t>
  </si>
  <si>
    <t>BINDER NOTE FPHY001-A5-60</t>
  </si>
  <si>
    <t>BINDER NOTE FPHY001-B5-60</t>
  </si>
  <si>
    <t>SO2023050080500</t>
  </si>
  <si>
    <t>ACRYLIC SISIPAN KERTAS A5 T (15 X 21 CM)</t>
  </si>
  <si>
    <t>PUTRA SURYA MANDIRI</t>
  </si>
  <si>
    <t>PSM-R2305000078</t>
  </si>
  <si>
    <t>BALON CACING 1022 ISI 25+POMPA KECIL OPK 2225</t>
  </si>
  <si>
    <t>280 PAK</t>
  </si>
  <si>
    <t>BALON FS 5 MOTIF 20X5 LKF 3200M</t>
  </si>
  <si>
    <t>LPG</t>
  </si>
  <si>
    <t>40 LPG</t>
  </si>
  <si>
    <t>BALON FS MICKEY 20X5 LKF 3200M3</t>
  </si>
  <si>
    <t>BALON METALIK HB 1228 20X5 LMS 2800 HB</t>
  </si>
  <si>
    <t>48 LPG</t>
  </si>
  <si>
    <t>BALON SMILE KUNING 20X5 LKS 3200SK</t>
  </si>
  <si>
    <t>BALON KILAP 1232 20X5 LKP 3200</t>
  </si>
  <si>
    <t>50 LPG</t>
  </si>
  <si>
    <t>BALON MACARON 1022 20X5 LKM 2200</t>
  </si>
  <si>
    <t>60 LPG</t>
  </si>
  <si>
    <t>HX7.23</t>
  </si>
  <si>
    <t>ENTER B TAMU BATIK</t>
  </si>
  <si>
    <t>ENTER B TAMU KEMBANG</t>
  </si>
  <si>
    <t>ENTER 30CM 675</t>
  </si>
  <si>
    <t>SEMPOA 17T</t>
  </si>
  <si>
    <t>TINTA K1054</t>
  </si>
  <si>
    <t>1 GRS</t>
  </si>
  <si>
    <t>LMA 2023-05-138</t>
  </si>
  <si>
    <t>SA230508112</t>
  </si>
  <si>
    <t>20 BOX X 12 PCS</t>
  </si>
  <si>
    <t>SCISSOR SC-828 JK</t>
  </si>
  <si>
    <t>ERASER EB 30 JK</t>
  </si>
  <si>
    <t>CRAYON PUTAR TWCR 24 S JK</t>
  </si>
  <si>
    <t>CRAYON PUTAR TWCR 24 MINI JK</t>
  </si>
  <si>
    <t>CORRECTION FLUID JK 101 A JK</t>
  </si>
  <si>
    <t>CORRECTION FLUID JK 01 JK</t>
  </si>
  <si>
    <t>BALLPEN BP 349 12 VOKUS TRANS BLACK JK BONUS</t>
  </si>
  <si>
    <t>STAPLER HD-10CL JK</t>
  </si>
  <si>
    <t>SA230508113</t>
  </si>
  <si>
    <t>OIL PASTEL OP-12CHC COMPACT JK</t>
  </si>
  <si>
    <t>OIL PASTEL OP-18S PP CASE SEA WORLD JK</t>
  </si>
  <si>
    <t>OIL PASTEL OP-24S PP CASE SEA WORLD JK</t>
  </si>
  <si>
    <t>OIL PASTEL OP-36S PP CASE SEA WORLD JK</t>
  </si>
  <si>
    <t>OIL PASTEL OP-48S PP CASE SEA WORLD JK</t>
  </si>
  <si>
    <t>OIL PASTEL OP-55S PP CASE SEA WORLD JK</t>
  </si>
  <si>
    <t>PREMIUM OIL COLOR PENCIL CP-TC126-48 JK BONUS</t>
  </si>
  <si>
    <t>SA230508109</t>
  </si>
  <si>
    <t>ERASER 526 B40 BL JK</t>
  </si>
  <si>
    <t>COLOR PENCIL CP 36 PB JK</t>
  </si>
  <si>
    <t>COLOR PENCIL CP S 12 JK</t>
  </si>
  <si>
    <t>COLOR PENCIL CP 100 12C JK</t>
  </si>
  <si>
    <t>PENCIL P-93 2B JK</t>
  </si>
  <si>
    <t>COLOR PENCIL CP-8 12C JK</t>
  </si>
  <si>
    <t>SA230508158</t>
  </si>
  <si>
    <t>PENCIL CASE PC-0719 GZ-34A/F GOZZY JK</t>
  </si>
  <si>
    <t>LABELLER MX 5500 M 8 DIGITS JK</t>
  </si>
  <si>
    <t>PUSH PIN PP 30 JK</t>
  </si>
  <si>
    <t>SA230508110</t>
  </si>
  <si>
    <t>CORRECTION FLUID CF-S209 A JK</t>
  </si>
  <si>
    <t>CORRECTION FLUID CF S210 JK</t>
  </si>
  <si>
    <t>CORRECTION FLUID CF S 221 JK</t>
  </si>
  <si>
    <t>24 BOX X 24 PCS</t>
  </si>
  <si>
    <t>CORRECTION FLUID CF S224 JK</t>
  </si>
  <si>
    <t>GEL PEN GP 212 I-DIAMOND BLACK JK</t>
  </si>
  <si>
    <t xml:space="preserve">GEL PEN GP 330 BLACK JK </t>
  </si>
  <si>
    <t>GEL PEN GP 182 I TECH BLACK JK</t>
  </si>
  <si>
    <t>8 BOX X 24 SET</t>
  </si>
  <si>
    <t>SA230508111</t>
  </si>
  <si>
    <t>MATH SET MS-18 JK</t>
  </si>
  <si>
    <t>MATH SET MS-28 JK</t>
  </si>
  <si>
    <t>MATH SET MS-75 JK</t>
  </si>
  <si>
    <t>MATH SET MS-87 JK</t>
  </si>
  <si>
    <t>MATH SET MS-85 JK</t>
  </si>
  <si>
    <t>TAPE CUTTER TC-110 JK</t>
  </si>
  <si>
    <t>TAPE CUTTER TC-111 JK</t>
  </si>
  <si>
    <t>GLUE GL R 50 JK</t>
  </si>
  <si>
    <t>SA230508149</t>
  </si>
  <si>
    <t>BRUSH BR-5 JK</t>
  </si>
  <si>
    <t>PENCIL LEAD PL 05 2B JK</t>
  </si>
  <si>
    <t>SA230508297</t>
  </si>
  <si>
    <t>TAPE CUTTER TD-09N JK</t>
  </si>
  <si>
    <t>BINDER A5-TSIM-M416 IMAGE JK - U</t>
  </si>
  <si>
    <t>BINDER A5-TSAC-M477 ACADEMY JK U</t>
  </si>
  <si>
    <t>BINDER A5-TSED-M503 EDUCATION JK U</t>
  </si>
  <si>
    <t>BINDER A5-TSCL-M401 COLLEGE JK U</t>
  </si>
  <si>
    <t>BINDER B5-TSFC-M132 FACULTY JK U</t>
  </si>
  <si>
    <t>BINDER B5-TSKD-142 KINDNESS JK U</t>
  </si>
  <si>
    <t>SA230508267</t>
  </si>
  <si>
    <t>BRUSH BR 1 JK</t>
  </si>
  <si>
    <t>BRUSH BR 5 JK</t>
  </si>
  <si>
    <t>PAPER CLIP JUMBO NO 5 JK</t>
  </si>
  <si>
    <t>CRAYON PUTAR TWCR 12 S JK</t>
  </si>
  <si>
    <t>SA230508298</t>
  </si>
  <si>
    <t>GEL PEN GP 265Q GEL BLACK JK</t>
  </si>
  <si>
    <t>LOOSE LEAF A5-7020 100S JK</t>
  </si>
  <si>
    <t>96 PAK</t>
  </si>
  <si>
    <t>GLUE GL R50 JK</t>
  </si>
  <si>
    <t>24 BOX X 12 PCS</t>
  </si>
  <si>
    <t>SA230508268</t>
  </si>
  <si>
    <t>SA230508319</t>
  </si>
  <si>
    <t>SA230508396</t>
  </si>
  <si>
    <t>LABEL LB 3 2 BARIS YELLOW FLUOR JK</t>
  </si>
  <si>
    <t>KEY RING KR 6 JK</t>
  </si>
  <si>
    <t>8 BOX X 25 CAD</t>
  </si>
  <si>
    <t>23052394</t>
  </si>
  <si>
    <t>KENKO CORRECTION FLUID KE 823 M</t>
  </si>
  <si>
    <t>KENKO HEAVY DUTY STAPLER HD 12 N /24</t>
  </si>
  <si>
    <t>KENKO GLUE STICK 25GR LARGE</t>
  </si>
  <si>
    <t>SA 41990</t>
  </si>
  <si>
    <t>23052506</t>
  </si>
  <si>
    <t>KENKO PENCIL CASE PC-0719 PASTEL</t>
  </si>
  <si>
    <t>KENKO LOOSE LEAF A5-LL 100 2070</t>
  </si>
  <si>
    <t>KENKO TAPE DISPENSER TD 501 1" CORE</t>
  </si>
  <si>
    <t>TITI 48 COLOR OIL PASTEL TI P 48 S</t>
  </si>
  <si>
    <t>SA 42011</t>
  </si>
  <si>
    <t>23052563</t>
  </si>
  <si>
    <t>KENKO GEL PEN KE 303T GEL TRIANGULAR BLACK</t>
  </si>
  <si>
    <t>KENKO GEL PEN HI TECH H FUN COLOR 0.28MM BLUE</t>
  </si>
  <si>
    <t>KENKO CORRECTION TAPE CT 909 12 M X 5MM</t>
  </si>
  <si>
    <t>KENKO GEL PEN HI TECH H 0.28MM BLUE</t>
  </si>
  <si>
    <t>SA 42041</t>
  </si>
  <si>
    <t>SA 42055</t>
  </si>
  <si>
    <t>TAPE CUTTER TC-106 JK</t>
  </si>
  <si>
    <t>GEL PEN GPC-309S DIAMOND ART JK</t>
  </si>
  <si>
    <t>GEL PEN GP 285 TRIGO GEL BLACK JK</t>
  </si>
  <si>
    <t>KENKO PUNCH NO 85 N</t>
  </si>
  <si>
    <t>23052797</t>
  </si>
  <si>
    <t>KENKO CORRECTION FLUID KE-823M</t>
  </si>
  <si>
    <t xml:space="preserve">KENKO BINDER CLIP NO.300 </t>
  </si>
  <si>
    <t>48 BOX X 6 PCS</t>
  </si>
  <si>
    <t>16 PCS</t>
  </si>
  <si>
    <t>E38</t>
  </si>
  <si>
    <t>DISKON CASH 142000</t>
  </si>
  <si>
    <t>SO2023050080563</t>
  </si>
  <si>
    <t xml:space="preserve">AGENDA DIARY D-12B </t>
  </si>
  <si>
    <t>AGENDA PCKET BANK PB-129</t>
  </si>
  <si>
    <t>AGENDA PRO DELUXE KECIL PC-121 TEBAL</t>
  </si>
  <si>
    <t>KENKO HEAVY DUTY STAPLER HD-12N/24</t>
  </si>
  <si>
    <t>Column2</t>
  </si>
  <si>
    <t>CUTTER BLADE L-150AM L JK BONUS</t>
  </si>
  <si>
    <t>CUTTER BLADE L150 AM(L) JK BONUS</t>
  </si>
  <si>
    <t>TITI 12 COLOR OIL PASTEL TI-P-12S</t>
  </si>
  <si>
    <t>KENKO COLOR PENCIL CP-12HALF HAPPINESS BEAR</t>
  </si>
  <si>
    <t>KENKO LIQUID GLUE LG 35 35ML</t>
  </si>
  <si>
    <t>KENKO CUTTER L 500 18MM BLADE</t>
  </si>
  <si>
    <t>KENKO CORRECTION FLUID KE 01</t>
  </si>
  <si>
    <t>23050715</t>
  </si>
  <si>
    <t>23050786</t>
  </si>
  <si>
    <t>23050793</t>
  </si>
  <si>
    <t>KENKO GEL PEN MICROTEC 0.28MM BLACK</t>
  </si>
  <si>
    <t>23050951</t>
  </si>
  <si>
    <t>KENKO PERMANENT MARKER PM-100 BLACK</t>
  </si>
  <si>
    <t>KENKO CORRECTION FLUID KE-823 M</t>
  </si>
  <si>
    <t>KENKO GEL PEN K-1 BLACK</t>
  </si>
  <si>
    <t>JL-52299</t>
  </si>
  <si>
    <t>P/C MAG FC-1760 (TIMBUL) (22*7.5)</t>
  </si>
  <si>
    <t>P/C MAG FC-1761 (3D) (22*7.5)</t>
  </si>
  <si>
    <t>P/C MAG FX-2275 (METALIK) (22*7.5)</t>
  </si>
  <si>
    <t>P/C MAG FX-2276 (METALIK) (22*7.5)</t>
  </si>
  <si>
    <t>SA230508638</t>
  </si>
  <si>
    <t>ET</t>
  </si>
  <si>
    <t xml:space="preserve">6 BOX X 6 SET </t>
  </si>
  <si>
    <t>OIL PASTEL OP 48 S PP CASE SEA WORLD JK</t>
  </si>
  <si>
    <t>4 BOX X  6 SET</t>
  </si>
  <si>
    <t>OIL PASTEL OP 18 S PP CASE SEA WORLD JK</t>
  </si>
  <si>
    <t>OIL PASTEL OP 24 S PP CASE SEA WORLD JK</t>
  </si>
  <si>
    <t>PREMIUM OIL COLOR PENCIL CP TC 126 48 JK BONUS</t>
  </si>
  <si>
    <t>SA230508637</t>
  </si>
  <si>
    <t>PENCIL P 90 2B JK</t>
  </si>
  <si>
    <t>TAPE CUTTER TD-101 JK</t>
  </si>
  <si>
    <t>SA230508636</t>
  </si>
  <si>
    <t>ERASER 526 B40 P JK</t>
  </si>
  <si>
    <t>50 BOX X 40PCS</t>
  </si>
  <si>
    <t>ERASER ER B 20 BL JK</t>
  </si>
  <si>
    <t>ERASER ER 30 W JK</t>
  </si>
  <si>
    <t>KING JELLER JK 100 BLACK JK</t>
  </si>
  <si>
    <t>SA230508542</t>
  </si>
  <si>
    <t>SHARPENER B 23 JK</t>
  </si>
  <si>
    <t>60 BOX X 22 PCS</t>
  </si>
  <si>
    <t>PUNCH 30 XL JK</t>
  </si>
  <si>
    <t>TAPE CUTTER TD-2H JK</t>
  </si>
  <si>
    <t>TAPE CUTTER TD 09N JK</t>
  </si>
  <si>
    <t>SI.2023.05.01030</t>
  </si>
  <si>
    <t>PENCIL CASE MAGNET + ISI CC-1025</t>
  </si>
  <si>
    <t>SAPUTRO OFFICE</t>
  </si>
  <si>
    <t>G-1271 INV SOS</t>
  </si>
  <si>
    <t>MEJA IPAD IMPORT JUMBO KARAKTER</t>
  </si>
  <si>
    <t>TFS</t>
  </si>
  <si>
    <t>PK-230500173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</si>
  <si>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</si>
  <si>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</si>
  <si>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</si>
  <si>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</si>
  <si>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</si>
  <si>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</si>
  <si>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</si>
  <si>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</si>
  <si>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JUE827/23</t>
  </si>
  <si>
    <t>120 LNS</t>
  </si>
  <si>
    <t>GEL MINI COLOR + ISI G-212C</t>
  </si>
  <si>
    <t>JUE826/23</t>
  </si>
  <si>
    <t>JUE825/23</t>
  </si>
  <si>
    <t>COMBI</t>
  </si>
  <si>
    <t>0602</t>
  </si>
  <si>
    <t>DOC RIT PRESTIGE HITAM</t>
  </si>
  <si>
    <t>7 LSN</t>
  </si>
  <si>
    <t>HN062023010</t>
  </si>
  <si>
    <t>NO.1/2/4 @2LSN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</si>
</sst>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</font>
    <font>
      <sz val="11"/>
      <color rgb="FFFF0000"/>
      <name val="Tahoma"/>
    </font>
    <font>
      <b/>
      <sz val="11"/>
      <color theme="3"/>
      <name val="Arial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1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6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10" fontId="12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14" fontId="12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4" fontId="15" fillId="0" borderId="0" xfId="0" applyNumberFormat="1" applyFont="1" applyFill="1" applyAlignment="1">
      <alignment vertical="center"/>
    </xf>
    <xf numFmtId="10" fontId="15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14" fontId="16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/>
    </xf>
    <xf numFmtId="43" fontId="16" fillId="0" borderId="0" xfId="0" applyNumberFormat="1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0" fillId="0" borderId="0" xfId="0" pivotButton="1"/>
    <xf numFmtId="0" fontId="18" fillId="0" borderId="0" xfId="0" applyNumberFormat="1" applyFont="1" applyFill="1" applyAlignment="1">
      <alignment vertical="center"/>
    </xf>
    <xf numFmtId="43" fontId="0" fillId="0" borderId="0" xfId="0" applyNumberFormat="1" applyFill="1"/>
    <xf numFmtId="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Fill="1" applyBorder="1" applyAlignment="1">
      <alignment horizontal="left" vertical="center" indent="5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19" fillId="0" borderId="0" xfId="0" applyNumberFormat="1" applyFont="1" applyFill="1" applyAlignment="1">
      <alignment horizontal="center" vertical="center"/>
    </xf>
    <xf numFmtId="14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NumberFormat="1" applyFont="1" applyFill="1" applyAlignment="1">
      <alignment vertical="center"/>
    </xf>
    <xf numFmtId="3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10" fontId="19" fillId="0" borderId="0" xfId="0" applyNumberFormat="1" applyFont="1" applyFill="1" applyAlignment="1">
      <alignment horizontal="right" vertical="center"/>
    </xf>
    <xf numFmtId="10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Alignment="1">
      <alignment vertical="center"/>
    </xf>
    <xf numFmtId="43" fontId="19" fillId="0" borderId="0" xfId="0" applyNumberFormat="1" applyFont="1" applyFill="1" applyBorder="1" applyAlignment="1">
      <alignment vertical="center"/>
    </xf>
    <xf numFmtId="43" fontId="20" fillId="0" borderId="0" xfId="0" applyNumberFormat="1" applyFont="1" applyFill="1" applyBorder="1" applyAlignment="1">
      <alignment vertical="center"/>
    </xf>
    <xf numFmtId="14" fontId="19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49" fontId="21" fillId="0" borderId="0" xfId="0" applyNumberFormat="1" applyFont="1" applyFill="1" applyBorder="1" applyAlignment="1">
      <alignment horizontal="center" vertical="center"/>
    </xf>
    <xf numFmtId="14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3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vertical="center"/>
    </xf>
    <xf numFmtId="10" fontId="21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9" fontId="2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3" fontId="23" fillId="0" borderId="0" xfId="0" applyNumberFormat="1" applyFont="1" applyFill="1" applyAlignment="1">
      <alignment vertical="center"/>
    </xf>
    <xf numFmtId="0" fontId="23" fillId="0" borderId="0" xfId="0" applyNumberFormat="1" applyFont="1" applyFill="1" applyAlignment="1">
      <alignment vertical="center"/>
    </xf>
    <xf numFmtId="14" fontId="23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vertical="center"/>
    </xf>
    <xf numFmtId="49" fontId="23" fillId="0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/>
    </xf>
    <xf numFmtId="4" fontId="23" fillId="0" borderId="0" xfId="0" applyNumberFormat="1" applyFont="1" applyFill="1" applyAlignment="1">
      <alignment vertical="center"/>
    </xf>
    <xf numFmtId="3" fontId="23" fillId="0" borderId="0" xfId="0" applyNumberFormat="1" applyFont="1" applyFill="1" applyAlignment="1">
      <alignment horizontal="center" vertical="center"/>
    </xf>
    <xf numFmtId="10" fontId="23" fillId="0" borderId="0" xfId="0" applyNumberFormat="1" applyFont="1" applyFill="1" applyAlignment="1">
      <alignment horizontal="right" vertical="center"/>
    </xf>
    <xf numFmtId="10" fontId="23" fillId="0" borderId="0" xfId="0" applyNumberFormat="1" applyFont="1" applyFill="1" applyAlignment="1">
      <alignment vertical="center"/>
    </xf>
    <xf numFmtId="43" fontId="23" fillId="0" borderId="0" xfId="0" applyNumberFormat="1" applyFont="1" applyFill="1" applyAlignment="1">
      <alignment vertical="center"/>
    </xf>
    <xf numFmtId="49" fontId="24" fillId="0" borderId="0" xfId="0" applyNumberFormat="1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0" fontId="25" fillId="0" borderId="0" xfId="2" applyFill="1" applyAlignment="1">
      <alignment vertical="center"/>
    </xf>
    <xf numFmtId="3" fontId="26" fillId="0" borderId="0" xfId="0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</cellXfs>
  <cellStyles count="3">
    <cellStyle name="Heading 4" xfId="2" builtinId="19"/>
    <cellStyle name="Hyperlink" xfId="1" builtinId="8"/>
    <cellStyle name="Normal" xfId="0" builtinId="0"/>
  </cellStyles>
  <dxfs count="25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5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SIP NOTA"/>
      <sheetName val="RAW"/>
      <sheetName val="ALL"/>
      <sheetName val="EXPEDISI"/>
      <sheetName val="Sheet2"/>
      <sheetName val="Sheet1"/>
      <sheetName val="UNTANA"/>
      <sheetName val="ARTO MOR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Q1193" headerRowDxfId="252" dataDxfId="251" totalsRowDxfId="250">
  <autoFilter ref="A2:AQ1193"/>
  <sortState ref="A3:AP1009">
    <sortCondition ref="F2:F1019"/>
  </sortState>
  <tableColumns count="43">
    <tableColumn id="36" name="ID" totalsRowLabel="Total" dataDxfId="249" totalsRowDxfId="24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47" totalsRowDxfId="24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45" totalsRowDxfId="244">
      <calculatedColumnFormula>IF(NOTA[[#This Row],[ID_P]]="","",MATCH(NOTA[[#This Row],[ID_P]],[1]!B_MSK[N_ID],0))</calculatedColumnFormula>
    </tableColumn>
    <tableColumn id="37" name="ID_H" dataDxfId="243" totalsRowDxfId="24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41"/>
    <tableColumn id="3" name="SUPPLIER" dataDxfId="240" totalsRowDxfId="239"/>
    <tableColumn id="4" name="FAKTUR" dataDxfId="238" totalsRowDxfId="237"/>
    <tableColumn id="5" name="NO.NOTA" dataDxfId="236" totalsRowDxfId="235"/>
    <tableColumn id="6" name="NO.SJ" dataDxfId="234" totalsRowDxfId="233"/>
    <tableColumn id="7" name="TGL.NOTA" dataDxfId="232" totalsRowDxfId="231"/>
    <tableColumn id="8" name="SERI" dataDxfId="230" totalsRowDxfId="229"/>
    <tableColumn id="9" name="NAMA BARANG" dataDxfId="228" totalsRowDxfId="227"/>
    <tableColumn id="10" name="C" dataDxfId="226" totalsRowDxfId="225"/>
    <tableColumn id="12" name="QTY" dataDxfId="224" totalsRowDxfId="223"/>
    <tableColumn id="13" name="STN" dataDxfId="222" totalsRowDxfId="221"/>
    <tableColumn id="14" name="HARGA SATUAN" dataDxfId="220" totalsRowDxfId="219"/>
    <tableColumn id="16" name="HARGA/ CTN" dataDxfId="218" totalsRowDxfId="217"/>
    <tableColumn id="17" name="QTY/ CTN" dataDxfId="22" totalsRowDxfId="23"/>
    <tableColumn id="18" name="DISC 1" dataDxfId="216" totalsRowDxfId="215"/>
    <tableColumn id="19" name="DISC 2" dataDxfId="214" totalsRowDxfId="213"/>
    <tableColumn id="11" name="DISC DLL" dataDxfId="212" totalsRowDxfId="211"/>
    <tableColumn id="31" name="KETERANGAN" dataDxfId="210" totalsRowDxfId="209"/>
    <tableColumn id="20" name="JUMLAH" dataDxfId="208" totalsRowDxfId="20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06" totalsRowDxfId="205">
      <calculatedColumnFormula>IF(NOTA[[#This Row],[JUMLAH]]="","",NOTA[[#This Row],[JUMLAH]]*NOTA[[#This Row],[DISC 1]])</calculatedColumnFormula>
    </tableColumn>
    <tableColumn id="22" name="DISC 2-" dataDxfId="204" totalsRowDxfId="203">
      <calculatedColumnFormula>IF(NOTA[[#This Row],[JUMLAH]]="","",(NOTA[[#This Row],[JUMLAH]]-NOTA[[#This Row],[DISC 1-]])*NOTA[[#This Row],[DISC 2]])</calculatedColumnFormula>
    </tableColumn>
    <tableColumn id="25" name="DISC" dataDxfId="202" totalsRowDxfId="201">
      <calculatedColumnFormula>IF(NOTA[[#This Row],[JUMLAH]]="","",NOTA[[#This Row],[DISC 1-]]+NOTA[[#This Row],[DISC 2-]])</calculatedColumnFormula>
    </tableColumn>
    <tableColumn id="26" name="TOTAL" dataDxfId="200" totalsRowDxfId="199">
      <calculatedColumnFormula>IF(NOTA[[#This Row],[JUMLAH]]="","",NOTA[[#This Row],[JUMLAH]]-NOTA[[#This Row],[DISC]])</calculatedColumnFormula>
    </tableColumn>
    <tableColumn id="43" name="Column2" dataDxfId="198" totalsRowDxfId="197"/>
    <tableColumn id="33" name="DISC TOTAL" dataDxfId="196" totalsRowDxfId="19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94" totalsRowDxfId="19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92" totalsRowDxfId="19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90" totalsRowDxfId="189">
      <calculatedColumnFormula>IF(OR(NOTA[[#This Row],[QTY]]="",NOTA[[#This Row],[HARGA SATUAN]]="",),"",NOTA[[#This Row],[QTY]]*NOTA[[#This Row],[HARGA SATUAN]])</calculatedColumnFormula>
    </tableColumn>
    <tableColumn id="27" name="TGL_H" dataDxfId="188" totalsRowDxfId="187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86" totalsRowDxfId="185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84" totalsRowDxfId="183">
      <calculatedColumnFormula>IF(NOTA[[#This Row],[ID_H]]="","",IF(NOTA[[#This Row],[FAKTUR]]="",INDIRECT(ADDRESS(ROW()-1,COLUMN())),NOTA[[#This Row],[FAKTUR]]))</calculatedColumnFormula>
    </tableColumn>
    <tableColumn id="30" name="qb" dataDxfId="182">
      <calculatedColumnFormula>IF(NOTA[[#This Row],[ID]]="","",COUNTIF(NOTA[ID_H],NOTA[[#This Row],[ID_H]]))</calculatedColumnFormula>
    </tableColumn>
    <tableColumn id="29" name="Column1" dataDxfId="181">
      <calculatedColumnFormula>IF(NOTA[[#This Row],[TGL.NOTA]]="",IF(NOTA[[#This Row],[SUPPLIER_H]]="","",AK2),MONTH(NOTA[[#This Row],[TGL.NOTA]]))</calculatedColumnFormula>
    </tableColumn>
    <tableColumn id="38" name="CONCAT1" dataDxfId="180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79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78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77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76">
      <calculatedColumnFormula>IF(NOTA[[#This Row],[CONCAT4]]="","",_xlfn.IFNA(MATCH(NOTA[[#This Row],[CONCAT4]],[2]!RAW[CONCAT_H],0),FALSE))</calculatedColumnFormula>
    </tableColumn>
    <tableColumn id="39" name="//DB" dataDxfId="175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52">
  <autoFilter ref="A2:M6"/>
  <tableColumns count="13">
    <tableColumn id="1" name="//NOTA" dataDxfId="51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0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9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48">
      <calculatedColumnFormula>IF(LIE[[#This Row],[//PAJAK]]="","",INDEX(INDIRECT("PAJAK["&amp;LIE[#Headers]&amp;"]"),LIE[[#This Row],[//PAJAK]]-1))</calculatedColumnFormula>
    </tableColumn>
    <tableColumn id="5" name="TGL.MASUK" dataDxfId="47">
      <calculatedColumnFormula>IF(LIE[[#This Row],[//PAJAK]]="","",INDEX(INDIRECT("PAJAK["&amp;LIE[#Headers]&amp;"]"),LIE[[#This Row],[//PAJAK]]-1))</calculatedColumnFormula>
    </tableColumn>
    <tableColumn id="6" name="TGL.NOTA" dataDxfId="46">
      <calculatedColumnFormula>IF(LIE[[#This Row],[//PAJAK]]="","",INDEX(INDIRECT("PAJAK["&amp;LIE[#Headers]&amp;"]"),LIE[[#This Row],[//PAJAK]]-1))</calculatedColumnFormula>
    </tableColumn>
    <tableColumn id="7" name="NO.NOTA" dataDxfId="45">
      <calculatedColumnFormula>IF(LIE[[#This Row],[//PAJAK]]="","",INDEX(INDIRECT("PAJAK["&amp;LIE[#Headers]&amp;"]"),LIE[[#This Row],[//PAJAK]]-1))</calculatedColumnFormula>
    </tableColumn>
    <tableColumn id="8" name="NO.SJ" dataDxfId="44">
      <calculatedColumnFormula>IF(LIE[[#This Row],[//PAJAK]]="","",INDEX(INDIRECT("PAJAK["&amp;LIE[#Headers]&amp;"]"),LIE[[#This Row],[//PAJAK]]-1))</calculatedColumnFormula>
    </tableColumn>
    <tableColumn id="9" name="SUB TOTAL" dataDxfId="43">
      <calculatedColumnFormula>IF(LIE[[#This Row],[//PAJAK]]="","",INDEX(PAJAK[SUB T-DISC],LIE[[#This Row],[//PAJAK]]-1)*1.11)</calculatedColumnFormula>
    </tableColumn>
    <tableColumn id="10" name="DISKON" dataDxfId="42">
      <calculatedColumnFormula>IF(LIE[[#This Row],[//PAJAK]]="","",INDEX(PAJAK[DISC DLL],LIE[[#This Row],[//PAJAK]]-1))</calculatedColumnFormula>
    </tableColumn>
    <tableColumn id="11" name="DPP" dataDxfId="41">
      <calculatedColumnFormula>(LIE[[#This Row],[SUB TOTAL]]-LIE[[#This Row],[DISKON]])/1.11</calculatedColumnFormula>
    </tableColumn>
    <tableColumn id="12" name="PPN (11%)" dataDxfId="40">
      <calculatedColumnFormula>LIE[[#This Row],[DPP]]*11%</calculatedColumnFormula>
    </tableColumn>
    <tableColumn id="13" name="TOTAL" dataDxfId="39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38">
  <autoFilter ref="A2:M8"/>
  <tableColumns count="13">
    <tableColumn id="1" name="//NOTA" dataDxfId="37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36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5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4">
      <calculatedColumnFormula>IF(LMA[[#This Row],[//PAJAK]]="","",INDEX(INDIRECT("PAJAK["&amp;LMA[#Headers]&amp;"]"),LMA[[#This Row],[//PAJAK]]-1))</calculatedColumnFormula>
    </tableColumn>
    <tableColumn id="5" name="TGL.MASUK" dataDxfId="33">
      <calculatedColumnFormula>IF(LMA[[#This Row],[//PAJAK]]="","",INDEX(INDIRECT("PAJAK["&amp;LMA[#Headers]&amp;"]"),LMA[[#This Row],[//PAJAK]]-1))</calculatedColumnFormula>
    </tableColumn>
    <tableColumn id="6" name="TGL.NOTA" dataDxfId="32">
      <calculatedColumnFormula>IF(LMA[[#This Row],[//PAJAK]]="","",INDEX(INDIRECT("PAJAK["&amp;LMA[#Headers]&amp;"]"),LMA[[#This Row],[//PAJAK]]-1))</calculatedColumnFormula>
    </tableColumn>
    <tableColumn id="7" name="NO.NOTA" dataDxfId="31">
      <calculatedColumnFormula>IF(LMA[[#This Row],[//PAJAK]]="","",INDEX(INDIRECT("PAJAK["&amp;LMA[#Headers]&amp;"]"),LMA[[#This Row],[//PAJAK]]-1))</calculatedColumnFormula>
    </tableColumn>
    <tableColumn id="8" name="NO.SJ" dataDxfId="30">
      <calculatedColumnFormula>IF(LMA[[#This Row],[//PAJAK]]="","",INDEX(INDIRECT("PAJAK["&amp;LMA[#Headers]&amp;"]"),LMA[[#This Row],[//PAJAK]]-1))</calculatedColumnFormula>
    </tableColumn>
    <tableColumn id="9" name="SUB TOTAL" dataDxfId="29">
      <calculatedColumnFormula>IF(LMA[[#This Row],[//PAJAK]]="","",INDEX(PAJAK[SUB T-DISC],LMA[[#This Row],[//PAJAK]]-1)-LMA[[#This Row],[DISKON]])*1.11</calculatedColumnFormula>
    </tableColumn>
    <tableColumn id="10" name="DISKON" dataDxfId="28">
      <calculatedColumnFormula>IF(LMA[[#This Row],[//PAJAK]]="","",INDEX(PAJAK[DISC DLL],LMA[[#This Row],[//PAJAK]]-1))</calculatedColumnFormula>
    </tableColumn>
    <tableColumn id="11" name="DPP" dataDxfId="27">
      <calculatedColumnFormula>(LMA[[#This Row],[SUB TOTAL]]/1.11)</calculatedColumnFormula>
    </tableColumn>
    <tableColumn id="12" name="PPN (11%)" dataDxfId="26">
      <calculatedColumnFormula>LMA[[#This Row],[DPP]]*11%</calculatedColumnFormula>
    </tableColumn>
    <tableColumn id="13" name="TOTAL" dataDxfId="25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24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74" dataDxfId="173">
  <autoFilter ref="A1:R93"/>
  <sortState ref="A2:R93">
    <sortCondition ref="I1:I93"/>
  </sortState>
  <tableColumns count="18">
    <tableColumn id="1" name="//" dataDxfId="172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1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0">
      <calculatedColumnFormula>IF(PAJAK[[#This Row],[//]]="","",INDEX(INDIRECT("NOTA["&amp;PAJAK[#Headers]&amp;"]"),PAJAK[[#This Row],[//]]-2))</calculatedColumnFormula>
    </tableColumn>
    <tableColumn id="14" name="Column1" dataDxfId="169">
      <calculatedColumnFormula>MATCH(PAJAK[[#This Row],[ID]],[4]!Table1[ID],0)</calculatedColumnFormula>
    </tableColumn>
    <tableColumn id="17" name="QB" dataDxfId="168" totalsRowDxfId="167">
      <calculatedColumnFormula>IF(PAJAK[[#This Row],[ID]]="","",COUNTIF(NOTA[ID_H],PAJAK[[#This Row],[ID]]))</calculatedColumnFormula>
    </tableColumn>
    <tableColumn id="2" name="SUPPLIER" dataDxfId="166">
      <calculatedColumnFormula>IF(PAJAK[[#This Row],[//]]="","",INDEX(CONV[2],MATCH(INDEX(INDIRECT("NOTA["&amp;PAJAK[#Headers]&amp;"]"),PAJAK[[#This Row],[//]]-2),CONV[1],0),0))</calculatedColumnFormula>
    </tableColumn>
    <tableColumn id="3" name="TGL.MASUK" dataDxfId="165">
      <calculatedColumnFormula>IF(PAJAK[[#This Row],[//]]="","",INDEX(NOTA[TGL_H],PAJAK[[#This Row],[//]]-2))</calculatedColumnFormula>
    </tableColumn>
    <tableColumn id="4" name="TGL.NOTA" dataDxfId="164">
      <calculatedColumnFormula>IF(PAJAK[[#This Row],[//]]="","",INDEX(INDIRECT("NOTA["&amp;PAJAK[#Headers]&amp;"]"),PAJAK[[#This Row],[//]]-2))</calculatedColumnFormula>
    </tableColumn>
    <tableColumn id="5" name="NO.NOTA" dataDxfId="163" totalsRowDxfId="162">
      <calculatedColumnFormula>IF(PAJAK[[#This Row],[//]]="","",INDEX(INDIRECT("NOTA["&amp;PAJAK[#Headers]&amp;"]"),PAJAK[[#This Row],[//]]-2))</calculatedColumnFormula>
    </tableColumn>
    <tableColumn id="6" name="NO.SJ" dataDxfId="161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0">
      <calculatedColumnFormula>IF(PAJAK[[#This Row],[//]]="","",SUMIF(NOTA[ID_H],PAJAK[[#This Row],[ID]],NOTA[JUMLAH]))</calculatedColumnFormula>
    </tableColumn>
    <tableColumn id="8" name="DISKON" dataDxfId="159">
      <calculatedColumnFormula>IF(PAJAK[[#This Row],[//]]="","",SUMIF(NOTA[ID_H],PAJAK[[#This Row],[ID]],NOTA[DISC]))</calculatedColumnFormula>
    </tableColumn>
    <tableColumn id="9" name="SUB T-DISC" dataDxfId="158">
      <calculatedColumnFormula>PAJAK[[#This Row],[SUB TOTAL]]-PAJAK[[#This Row],[DISKON]]</calculatedColumnFormula>
    </tableColumn>
    <tableColumn id="10" name="DISC DLL" dataDxfId="157">
      <calculatedColumnFormula>IF(PAJAK[[#This Row],[//]]="","",INDEX(INDIRECT("NOTA["&amp;PAJAK[#Headers]&amp;"]"),PAJAK[[#This Row],[//]]-2+PAJAK[[#This Row],[QB]]-1))</calculatedColumnFormula>
    </tableColumn>
    <tableColumn id="11" name="DPP" dataDxfId="156">
      <calculatedColumnFormula>(PAJAK[[#This Row],[SUB T-DISC]]-PAJAK[[#This Row],[DISC DLL]])/111%</calculatedColumnFormula>
    </tableColumn>
    <tableColumn id="12" name="PPN 11%" dataDxfId="155">
      <calculatedColumnFormula>PAJAK[[#This Row],[DPP]]*PAJAK[[#This Row],[PPN]]</calculatedColumnFormula>
    </tableColumn>
    <tableColumn id="13" name="TOTAL" dataDxfId="154">
      <calculatedColumnFormula>PAJAK[[#This Row],[DPP]]+PAJAK[[#This Row],[PPN 11%]]</calculatedColumnFormula>
    </tableColumn>
    <tableColumn id="18" name="PPN" dataDxfId="153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52">
  <autoFilter ref="A2:M50"/>
  <tableColumns count="13">
    <tableColumn id="1" name="//NOTA" dataDxfId="15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5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48">
      <calculatedColumnFormula>IF(ATALI[[#This Row],[//PAJAK]]="","",INDEX(INDIRECT("PAJAK["&amp;ATALI[#Headers]&amp;"]"),ATALI[[#This Row],[//PAJAK]]-1))</calculatedColumnFormula>
    </tableColumn>
    <tableColumn id="5" name="TGL.MASUK" dataDxfId="147">
      <calculatedColumnFormula>IF(ATALI[[#This Row],[//PAJAK]]="","",INDEX(INDIRECT("PAJAK["&amp;ATALI[#Headers]&amp;"]"),ATALI[[#This Row],[//PAJAK]]-1))</calculatedColumnFormula>
    </tableColumn>
    <tableColumn id="6" name="TGL.NOTA" dataDxfId="146">
      <calculatedColumnFormula>IF(ATALI[[#This Row],[//PAJAK]]="","",INDEX(INDIRECT("PAJAK["&amp;ATALI[#Headers]&amp;"]"),ATALI[[#This Row],[//PAJAK]]-1))</calculatedColumnFormula>
    </tableColumn>
    <tableColumn id="7" name="NO.NOTA" dataDxfId="145">
      <calculatedColumnFormula>IF(ATALI[[#This Row],[//PAJAK]]="","",INDEX(INDIRECT("PAJAK["&amp;ATALI[#Headers]&amp;"]"),ATALI[[#This Row],[//PAJAK]]-1))</calculatedColumnFormula>
    </tableColumn>
    <tableColumn id="8" name="NO.SJ" dataDxfId="144">
      <calculatedColumnFormula>IF(ATALI[[#This Row],[//PAJAK]]="","",INDEX(INDIRECT("PAJAK["&amp;ATALI[#Headers]&amp;"]"),ATALI[[#This Row],[//PAJAK]]-1))</calculatedColumnFormula>
    </tableColumn>
    <tableColumn id="9" name="SUB TOTAL" dataDxfId="143">
      <calculatedColumnFormula>IF(ATALI[[#This Row],[//PAJAK]]="","",INDEX(PAJAK[SUB T-DISC],ATALI[[#This Row],[//PAJAK]]-1))</calculatedColumnFormula>
    </tableColumn>
    <tableColumn id="10" name="DISKON" dataDxfId="142">
      <calculatedColumnFormula>IF(ATALI[[#This Row],[//PAJAK]]="","",INDEX(PAJAK[DISC DLL],ATALI[[#This Row],[//PAJAK]]-1))</calculatedColumnFormula>
    </tableColumn>
    <tableColumn id="11" name="DPP" dataDxfId="141">
      <calculatedColumnFormula>(ATALI[[#This Row],[SUB TOTAL]]-ATALI[[#This Row],[DISKON]])/1.11</calculatedColumnFormula>
    </tableColumn>
    <tableColumn id="12" name="PPN (11%)" dataDxfId="140">
      <calculatedColumnFormula>ATALI[[#This Row],[DPP]]*11%</calculatedColumnFormula>
    </tableColumn>
    <tableColumn id="13" name="TOTAL" dataDxfId="13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38">
  <autoFilter ref="A2:N52"/>
  <sortState ref="A3:N52">
    <sortCondition ref="F2:F52"/>
  </sortState>
  <tableColumns count="14">
    <tableColumn id="17" name="//NOTA" dataDxfId="13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3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3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4">
      <calculatedColumnFormula>IF(KENKO[[#This Row],[//PAJAK]]="","",INDEX(INDIRECT("PAJAK["&amp;KENKO[#Headers]&amp;"]"),KENKO[[#This Row],[//PAJAK]]-1))</calculatedColumnFormula>
    </tableColumn>
    <tableColumn id="4" name="TGL.MASUK" dataDxfId="133">
      <calculatedColumnFormula>IF(KENKO[[#This Row],[//PAJAK]]="","",INDEX(INDIRECT("PAJAK["&amp;KENKO[#Headers]&amp;"]"),KENKO[[#This Row],[//PAJAK]]-1))</calculatedColumnFormula>
    </tableColumn>
    <tableColumn id="5" name="TGL.NOTA" dataDxfId="132">
      <calculatedColumnFormula>IF(KENKO[[#This Row],[//PAJAK]]="","",INDEX(INDIRECT("PAJAK["&amp;KENKO[#Headers]&amp;"]"),KENKO[[#This Row],[//PAJAK]]-1))</calculatedColumnFormula>
    </tableColumn>
    <tableColumn id="6" name="NO.NOTA" dataDxfId="131">
      <calculatedColumnFormula>IF(KENKO[[#This Row],[//PAJAK]]="","",INDEX(INDIRECT("PAJAK["&amp;KENKO[#Headers]&amp;"]"),KENKO[[#This Row],[//PAJAK]]-1))</calculatedColumnFormula>
    </tableColumn>
    <tableColumn id="7" name="NO.SJ" dataDxfId="130">
      <calculatedColumnFormula>IF(KENKO[[#This Row],[//PAJAK]]="","",INDEX(INDIRECT("PAJAK["&amp;KENKO[#Headers]&amp;"]"),KENKO[[#This Row],[//PAJAK]]-1))</calculatedColumnFormula>
    </tableColumn>
    <tableColumn id="8" name="SUB TOTAL" dataDxfId="129">
      <calculatedColumnFormula>IF(KENKO[[#This Row],[//PAJAK]]="","",INDEX(INDIRECT("PAJAK["&amp;KENKO[#Headers]&amp;"]"),KENKO[[#This Row],[//PAJAK]]-1))</calculatedColumnFormula>
    </tableColumn>
    <tableColumn id="9" name="DISKON" dataDxfId="128">
      <calculatedColumnFormula>IF(KENKO[[#This Row],[//PAJAK]]="","",INDEX(INDIRECT("PAJAK["&amp;KENKO[#Headers]&amp;"]"),KENKO[[#This Row],[//PAJAK]]-1))</calculatedColumnFormula>
    </tableColumn>
    <tableColumn id="10" name="DPP" dataDxfId="127">
      <calculatedColumnFormula>(KENKO[[#This Row],[SUB TOTAL]]-KENKO[[#This Row],[DISKON]])/1.11</calculatedColumnFormula>
    </tableColumn>
    <tableColumn id="11" name="PPN (11%)" dataDxfId="126">
      <calculatedColumnFormula>KENKO[[#This Row],[DPP]]*11%</calculatedColumnFormula>
    </tableColumn>
    <tableColumn id="12" name="TOTAL" dataDxfId="125">
      <calculatedColumnFormula>KENKO[[#This Row],[DPP]]+KENKO[[#This Row],[PPN (11%)]]</calculatedColumnFormula>
    </tableColumn>
    <tableColumn id="13" name="Column1" dataDxfId="12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123">
  <autoFilter ref="A2:M32"/>
  <tableColumns count="13">
    <tableColumn id="1" name="//NOTA" dataDxfId="122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21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0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19">
      <calculatedColumnFormula>IF(KALINDO[[#This Row],[//PAJAK]]="","",INDEX(INDIRECT("PAJAK["&amp;KALINDO[#Headers]&amp;"]"),KALINDO[[#This Row],[//PAJAK]]-1))</calculatedColumnFormula>
    </tableColumn>
    <tableColumn id="5" name="TGL.MASUK" dataDxfId="118">
      <calculatedColumnFormula>IF(KALINDO[[#This Row],[//PAJAK]]="","",INDEX(INDIRECT("PAJAK["&amp;KALINDO[#Headers]&amp;"]"),KALINDO[[#This Row],[//PAJAK]]-1))</calculatedColumnFormula>
    </tableColumn>
    <tableColumn id="6" name="TGL.NOTA" dataDxfId="117">
      <calculatedColumnFormula>IF(KALINDO[[#This Row],[//PAJAK]]="","",INDEX(INDIRECT("PAJAK["&amp;KALINDO[#Headers]&amp;"]"),KALINDO[[#This Row],[//PAJAK]]-1))</calculatedColumnFormula>
    </tableColumn>
    <tableColumn id="7" name="NO.NOTA" dataDxfId="116">
      <calculatedColumnFormula>IF(KALINDO[[#This Row],[//PAJAK]]="","",INDEX(INDIRECT("PAJAK["&amp;KALINDO[#Headers]&amp;"]"),KALINDO[[#This Row],[//PAJAK]]-1))</calculatedColumnFormula>
    </tableColumn>
    <tableColumn id="8" name="NO.SJ" dataDxfId="115">
      <calculatedColumnFormula>IF(KALINDO[[#This Row],[//PAJAK]]="","",INDEX(INDIRECT("PAJAK["&amp;KALINDO[#Headers]&amp;"]"),KALINDO[[#This Row],[//PAJAK]]-1))</calculatedColumnFormula>
    </tableColumn>
    <tableColumn id="9" name="SUB TOTAL" dataDxfId="114">
      <calculatedColumnFormula>IF(KALINDO[[#This Row],[//PAJAK]]="","",INDEX(PAJAK[SUB T-DISC],KALINDO[[#This Row],[//PAJAK]]-1))</calculatedColumnFormula>
    </tableColumn>
    <tableColumn id="10" name="DISKON" dataDxfId="113">
      <calculatedColumnFormula>IF(KALINDO[[#This Row],[//PAJAK]]="","",INDEX(PAJAK[DISC DLL],KALINDO[[#This Row],[//PAJAK]]-1))</calculatedColumnFormula>
    </tableColumn>
    <tableColumn id="11" name="DPP" dataDxfId="112">
      <calculatedColumnFormula>(KALINDO[[#This Row],[SUB TOTAL]]-KALINDO[[#This Row],[DISKON]])/1.11</calculatedColumnFormula>
    </tableColumn>
    <tableColumn id="12" name="PPN (11%)" dataDxfId="111">
      <calculatedColumnFormula>KALINDO[[#This Row],[DPP]]*11%</calculatedColumnFormula>
    </tableColumn>
    <tableColumn id="13" name="TOTAL" dataDxfId="110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9">
  <autoFilter ref="A2:M22"/>
  <tableColumns count="13">
    <tableColumn id="1" name="//NOTA" dataDxfId="108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07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6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05">
      <calculatedColumnFormula>IF(J_UTAMA[[#This Row],[//PAJAK]]="","",INDEX(INDIRECT("PAJAK["&amp;J_UTAMA[#Headers]&amp;"]"),J_UTAMA[[#This Row],[//PAJAK]]-1))</calculatedColumnFormula>
    </tableColumn>
    <tableColumn id="5" name="TGL.MASUK" dataDxfId="104">
      <calculatedColumnFormula>IF(J_UTAMA[[#This Row],[//PAJAK]]="","",INDEX(INDIRECT("PAJAK["&amp;J_UTAMA[#Headers]&amp;"]"),J_UTAMA[[#This Row],[//PAJAK]]-1))</calculatedColumnFormula>
    </tableColumn>
    <tableColumn id="6" name="TGL.NOTA" dataDxfId="103">
      <calculatedColumnFormula>IF(J_UTAMA[[#This Row],[//PAJAK]]="","",INDEX(INDIRECT("PAJAK["&amp;J_UTAMA[#Headers]&amp;"]"),J_UTAMA[[#This Row],[//PAJAK]]-1))</calculatedColumnFormula>
    </tableColumn>
    <tableColumn id="7" name="NO.NOTA" dataDxfId="102">
      <calculatedColumnFormula>IF(J_UTAMA[[#This Row],[//PAJAK]]="","",INDEX(INDIRECT("PAJAK["&amp;J_UTAMA[#Headers]&amp;"]"),J_UTAMA[[#This Row],[//PAJAK]]-1))</calculatedColumnFormula>
    </tableColumn>
    <tableColumn id="8" name="NO.SJ" dataDxfId="101">
      <calculatedColumnFormula>IF(J_UTAMA[[#This Row],[//PAJAK]]="","",INDEX(INDIRECT("PAJAK["&amp;J_UTAMA[#Headers]&amp;"]"),J_UTAMA[[#This Row],[//PAJAK]]-1))</calculatedColumnFormula>
    </tableColumn>
    <tableColumn id="9" name="SUB TOTAL" dataDxfId="100">
      <calculatedColumnFormula>IF(J_UTAMA[[#This Row],[//PAJAK]]="","",INDEX(PAJAK[SUB T-DISC],J_UTAMA[[#This Row],[//PAJAK]]-1))</calculatedColumnFormula>
    </tableColumn>
    <tableColumn id="10" name="DISKON" dataDxfId="99">
      <calculatedColumnFormula>IF(J_UTAMA[[#This Row],[//PAJAK]]="","",INDEX(PAJAK[DISC DLL],J_UTAMA[[#This Row],[//PAJAK]]-1))</calculatedColumnFormula>
    </tableColumn>
    <tableColumn id="11" name="DPP" dataDxfId="98">
      <calculatedColumnFormula>(J_UTAMA[[#This Row],[SUB TOTAL]]-J_UTAMA[[#This Row],[DISKON]])/1.11</calculatedColumnFormula>
    </tableColumn>
    <tableColumn id="12" name="PPN (11%)" dataDxfId="97">
      <calculatedColumnFormula>J_UTAMA[[#This Row],[DPP]]*11%</calculatedColumnFormula>
    </tableColumn>
    <tableColumn id="13" name="TOTAL" dataDxfId="96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95">
  <autoFilter ref="A2:N11"/>
  <tableColumns count="14">
    <tableColumn id="1" name="//PAJAK" dataDxfId="94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3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2">
      <calculatedColumnFormula>IF(SDI[[#This Row],[//PAJAK]]="","",INDEX(INDIRECT("PAJAK["&amp;SDI[#Headers]&amp;"]"),SDI[[#This Row],[//PAJAK]]-1))</calculatedColumnFormula>
    </tableColumn>
    <tableColumn id="4" name="TGL.MASUK" dataDxfId="91">
      <calculatedColumnFormula>IF(SDI[[#This Row],[//PAJAK]]="","",INDEX(INDIRECT("PAJAK["&amp;SDI[#Headers]&amp;"]"),SDI[[#This Row],[//PAJAK]]-1))</calculatedColumnFormula>
    </tableColumn>
    <tableColumn id="5" name="TGL.NOTA" dataDxfId="90">
      <calculatedColumnFormula>IF(SDI[[#This Row],[//PAJAK]]="","",INDEX(INDIRECT("PAJAK["&amp;SDI[#Headers]&amp;"]"),SDI[[#This Row],[//PAJAK]]-1))</calculatedColumnFormula>
    </tableColumn>
    <tableColumn id="6" name="NO.NOTA" dataDxfId="89">
      <calculatedColumnFormula>IF(SDI[[#This Row],[//PAJAK]]="","",INDEX(INDIRECT("PAJAK["&amp;SDI[#Headers]&amp;"]"),SDI[[#This Row],[//PAJAK]]-1))</calculatedColumnFormula>
    </tableColumn>
    <tableColumn id="7" name="NO.SJ" dataDxfId="88">
      <calculatedColumnFormula>IF(SDI[[#This Row],[//PAJAK]]="","",INDEX(INDIRECT("PAJAK["&amp;SDI[#Headers]&amp;"]"),SDI[[#This Row],[//PAJAK]]-1))</calculatedColumnFormula>
    </tableColumn>
    <tableColumn id="8" name="SUB TOTAL" dataDxfId="87">
      <calculatedColumnFormula>IF(SDI[[#This Row],[//PAJAK]]="","",(INDEX(INDIRECT("PAJAK["&amp;SDI[#Headers]&amp;"]"),SDI[[#This Row],[//PAJAK]]-1))-SDI[[#This Row],[H_DISKON]])</calculatedColumnFormula>
    </tableColumn>
    <tableColumn id="9" name="DISKON" dataDxfId="86">
      <calculatedColumnFormula>IF(SDI[[#This Row],[//PAJAK]]="","",SDI[[#This Row],[H_DISC DLL]])</calculatedColumnFormula>
    </tableColumn>
    <tableColumn id="10" name="DPP" dataDxfId="85">
      <calculatedColumnFormula>(SDI[[#This Row],[SUB TOTAL]])/1.11</calculatedColumnFormula>
    </tableColumn>
    <tableColumn id="11" name="PPN (11%)" dataDxfId="84">
      <calculatedColumnFormula>SDI[[#This Row],[DPP]]*11%</calculatedColumnFormula>
    </tableColumn>
    <tableColumn id="12" name="TOTAL" dataDxfId="83">
      <calculatedColumnFormula>SDI[[#This Row],[DPP]]+SDI[[#This Row],[PPN (11%)]]</calculatedColumnFormula>
    </tableColumn>
    <tableColumn id="14" name="H_DISKON" dataDxfId="82">
      <calculatedColumnFormula>IF(SDI[[#This Row],[//PAJAK]]="","",INDEX(PAJAK[DISKON],SDI[[#This Row],[//PAJAK]]-1))</calculatedColumnFormula>
    </tableColumn>
    <tableColumn id="15" name="H_DISC DLL" dataDxfId="81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80">
  <autoFilter ref="A2:M25"/>
  <tableColumns count="13">
    <tableColumn id="1" name="//NOTA``" dataDxfId="79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78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7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76">
      <calculatedColumnFormula>IF(SAJ[[#This Row],[//PAJAK]]="","",INDEX(INDIRECT("PAJAK["&amp;SAJ[#Headers]&amp;"]"),SAJ[[#This Row],[//PAJAK]]-1))</calculatedColumnFormula>
    </tableColumn>
    <tableColumn id="5" name="TGL.MASUK" dataDxfId="75">
      <calculatedColumnFormula>IF(SAJ[[#This Row],[//PAJAK]]="","",INDEX(INDIRECT("PAJAK["&amp;SAJ[#Headers]&amp;"]"),SAJ[[#This Row],[//PAJAK]]-1))</calculatedColumnFormula>
    </tableColumn>
    <tableColumn id="6" name="TGL.NOTA" dataDxfId="74">
      <calculatedColumnFormula>IF(SAJ[[#This Row],[//PAJAK]]="","",INDEX(INDIRECT("PAJAK["&amp;SAJ[#Headers]&amp;"]"),SAJ[[#This Row],[//PAJAK]]-1))</calculatedColumnFormula>
    </tableColumn>
    <tableColumn id="7" name="NO.NOTA" dataDxfId="73">
      <calculatedColumnFormula>IF(SAJ[[#This Row],[//PAJAK]]="","",INDEX(INDIRECT("PAJAK["&amp;SAJ[#Headers]&amp;"]"),SAJ[[#This Row],[//PAJAK]]-1))</calculatedColumnFormula>
    </tableColumn>
    <tableColumn id="8" name="NO.SJ" dataDxfId="72">
      <calculatedColumnFormula>IF(SAJ[[#This Row],[//PAJAK]]="","",INDEX(INDIRECT("PAJAK["&amp;SAJ[#Headers]&amp;"]"),SAJ[[#This Row],[//PAJAK]]-1))</calculatedColumnFormula>
    </tableColumn>
    <tableColumn id="9" name="SUB TOTAL" dataDxfId="71">
      <calculatedColumnFormula>IF(SAJ[[#This Row],[//PAJAK]]="","",INDEX(INDIRECT("PAJAK["&amp;SAJ[#Headers]&amp;"]"),SAJ[[#This Row],[//PAJAK]]-1))</calculatedColumnFormula>
    </tableColumn>
    <tableColumn id="10" name="DISKON" dataDxfId="70">
      <calculatedColumnFormula>IF(SAJ[[#This Row],[//PAJAK]]="","",INDEX(INDIRECT("PAJAK["&amp;SAJ[#Headers]&amp;"]"),SAJ[[#This Row],[//PAJAK]]-1))</calculatedColumnFormula>
    </tableColumn>
    <tableColumn id="11" name="DPP" dataDxfId="69">
      <calculatedColumnFormula>(SAJ[[#This Row],[SUB TOTAL]]-SAJ[[#This Row],[DISKON]])/1.11</calculatedColumnFormula>
    </tableColumn>
    <tableColumn id="12" name="PPN (11%)" dataDxfId="68">
      <calculatedColumnFormula>SAJ[[#This Row],[DPP]]*11%</calculatedColumnFormula>
    </tableColumn>
    <tableColumn id="13" name="TOTAL" dataDxfId="67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66">
  <autoFilter ref="A2:M25"/>
  <tableColumns count="13">
    <tableColumn id="1" name="//NOTA``" dataDxfId="65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4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3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2">
      <calculatedColumnFormula>IF(MGN[[#This Row],[//PAJAK]]="","",INDEX(INDIRECT("PAJAK["&amp;MGN[#Headers]&amp;"]"),MGN[[#This Row],[//PAJAK]]-1))</calculatedColumnFormula>
    </tableColumn>
    <tableColumn id="5" name="TGL.MASUK" dataDxfId="61">
      <calculatedColumnFormula>IF(MGN[[#This Row],[//PAJAK]]="","",INDEX(INDIRECT("PAJAK["&amp;MGN[#Headers]&amp;"]"),MGN[[#This Row],[//PAJAK]]-1))</calculatedColumnFormula>
    </tableColumn>
    <tableColumn id="6" name="TGL.NOTA" dataDxfId="60">
      <calculatedColumnFormula>IF(MGN[[#This Row],[//PAJAK]]="","",INDEX(INDIRECT("PAJAK["&amp;MGN[#Headers]&amp;"]"),MGN[[#This Row],[//PAJAK]]-1))</calculatedColumnFormula>
    </tableColumn>
    <tableColumn id="7" name="NO.NOTA" dataDxfId="59">
      <calculatedColumnFormula>IF(MGN[[#This Row],[//PAJAK]]="","",INDEX(INDIRECT("PAJAK["&amp;MGN[#Headers]&amp;"]"),MGN[[#This Row],[//PAJAK]]-1))</calculatedColumnFormula>
    </tableColumn>
    <tableColumn id="8" name="NO.SJ" dataDxfId="58">
      <calculatedColumnFormula>IF(MGN[[#This Row],[//PAJAK]]="","",INDEX(INDIRECT("PAJAK["&amp;MGN[#Headers]&amp;"]"),MGN[[#This Row],[//PAJAK]]-1))</calculatedColumnFormula>
    </tableColumn>
    <tableColumn id="9" name="SUB TOTAL" dataDxfId="57">
      <calculatedColumnFormula>IF(MGN[[#This Row],[//PAJAK]]="","",INDEX(INDIRECT("PAJAK["&amp;MGN[#Headers]&amp;"]"),MGN[[#This Row],[//PAJAK]]-1))</calculatedColumnFormula>
    </tableColumn>
    <tableColumn id="10" name="DISKON" dataDxfId="56">
      <calculatedColumnFormula>IF(MGN[[#This Row],[//PAJAK]]="","",INDEX(INDIRECT("PAJAK["&amp;MGN[#Headers]&amp;"]"),MGN[[#This Row],[//PAJAK]]-1))</calculatedColumnFormula>
    </tableColumn>
    <tableColumn id="11" name="DPP" dataDxfId="55">
      <calculatedColumnFormula>(MGN[[#This Row],[SUB TOTAL]]-MGN[[#This Row],[DISKON]])/1.11</calculatedColumnFormula>
    </tableColumn>
    <tableColumn id="12" name="PPN (11%)" dataDxfId="54">
      <calculatedColumnFormula>MGN[[#This Row],[DPP]]*11%</calculatedColumnFormula>
    </tableColumn>
    <tableColumn id="13" name="TOTAL" dataDxfId="53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193"/>
  <sheetViews>
    <sheetView tabSelected="1" topLeftCell="D1109" zoomScale="70" zoomScaleNormal="70" zoomScaleSheetLayoutView="55" workbookViewId="0">
      <selection activeCell="H1131" sqref="H1131"/>
    </sheetView>
  </sheetViews>
  <sheetFormatPr defaultRowHeight="20.100000000000001" customHeight="1" outlineLevelCol="1" x14ac:dyDescent="0.25"/>
  <cols>
    <col min="1" max="1" width="4.5703125" style="27" customWidth="1"/>
    <col min="2" max="2" width="20" style="27" customWidth="1"/>
    <col min="3" max="3" width="7.140625" style="27" customWidth="1" outlineLevel="1"/>
    <col min="4" max="4" width="5" style="27" customWidth="1" outlineLevel="1"/>
    <col min="5" max="5" width="12.42578125" style="27" customWidth="1"/>
    <col min="6" max="6" width="26.85546875" style="27" customWidth="1"/>
    <col min="7" max="7" width="13.85546875" style="27" customWidth="1"/>
    <col min="8" max="8" width="29.28515625" style="182" customWidth="1"/>
    <col min="9" max="9" width="20" style="27" customWidth="1"/>
    <col min="10" max="10" width="12.42578125" style="53" customWidth="1"/>
    <col min="11" max="11" width="5.28515625" style="27" customWidth="1"/>
    <col min="12" max="12" width="60.140625" style="27" customWidth="1"/>
    <col min="13" max="13" width="3.85546875" style="114" customWidth="1"/>
    <col min="14" max="14" width="7.42578125" style="27" customWidth="1" outlineLevel="1"/>
    <col min="15" max="15" width="6" style="27" customWidth="1" outlineLevel="1"/>
    <col min="16" max="16" width="10.7109375" style="64" customWidth="1" outlineLevel="1"/>
    <col min="17" max="17" width="20.5703125" style="185" customWidth="1"/>
    <col min="18" max="18" width="19.140625" style="64" customWidth="1"/>
    <col min="19" max="19" width="8.7109375" style="180" customWidth="1"/>
    <col min="20" max="20" width="8.42578125" style="115" customWidth="1"/>
    <col min="21" max="21" width="25.28515625" style="27" customWidth="1"/>
    <col min="22" max="22" width="23.5703125" style="181" customWidth="1"/>
    <col min="23" max="23" width="17.7109375" style="33" customWidth="1"/>
    <col min="24" max="24" width="16.42578125" style="64" customWidth="1"/>
    <col min="25" max="25" width="18.42578125" style="64" customWidth="1" outlineLevel="1"/>
    <col min="26" max="26" width="16.42578125" style="64" customWidth="1" outlineLevel="1"/>
    <col min="27" max="28" width="17.7109375" style="64" customWidth="1"/>
    <col min="29" max="29" width="16.85546875" style="64" customWidth="1"/>
    <col min="30" max="30" width="17.7109375" style="33" customWidth="1"/>
    <col min="31" max="31" width="13.5703125" style="115" customWidth="1"/>
    <col min="32" max="32" width="17.7109375" style="64" customWidth="1"/>
    <col min="33" max="33" width="12.42578125" style="33" customWidth="1"/>
    <col min="34" max="34" width="26.85546875" style="64" customWidth="1"/>
    <col min="35" max="35" width="13.85546875" style="64" customWidth="1"/>
    <col min="36" max="36" width="3.85546875" style="64" customWidth="1"/>
    <col min="37" max="37" width="7.140625" style="27" customWidth="1"/>
    <col min="38" max="38" width="42.5703125" style="27" customWidth="1"/>
    <col min="39" max="40" width="60.7109375" style="33" customWidth="1"/>
    <col min="41" max="41" width="105" style="33" customWidth="1"/>
    <col min="42" max="42" width="7.140625" style="33" customWidth="1"/>
    <col min="43" max="43" width="6.28515625" style="53" customWidth="1" outlineLevel="1"/>
    <col min="44" max="44" width="26.85546875" style="27" customWidth="1" outlineLevel="1"/>
    <col min="45" max="45" width="28" style="27" customWidth="1" outlineLevel="1"/>
    <col min="46" max="16384" width="9.140625" style="27"/>
  </cols>
  <sheetData>
    <row r="1" spans="1:43" ht="20.100000000000001" customHeight="1" x14ac:dyDescent="0.25">
      <c r="A1" s="178" t="s">
        <v>85</v>
      </c>
      <c r="B1" s="179">
        <v>44743</v>
      </c>
      <c r="C1" s="179"/>
      <c r="D1" s="179"/>
      <c r="H1" s="66">
        <f>MONTH(J1)</f>
        <v>8</v>
      </c>
      <c r="J1" s="53">
        <v>44774</v>
      </c>
      <c r="Q1" s="79"/>
      <c r="R1" s="180"/>
      <c r="S1" s="115"/>
      <c r="U1" s="64"/>
      <c r="W1" s="64"/>
      <c r="AA1" s="27"/>
      <c r="AB1" s="27"/>
      <c r="AC1" s="27"/>
      <c r="AD1" s="64"/>
      <c r="AE1" s="27"/>
      <c r="AG1" s="53"/>
      <c r="AH1" s="27"/>
      <c r="AI1" s="27"/>
      <c r="AJ1" s="27"/>
      <c r="AM1" s="27"/>
      <c r="AN1" s="27"/>
      <c r="AO1" s="27"/>
      <c r="AP1" s="27"/>
      <c r="AQ1" s="27"/>
    </row>
    <row r="2" spans="1:43" ht="20.100000000000001" customHeight="1" x14ac:dyDescent="0.25">
      <c r="A2" s="27" t="s">
        <v>0</v>
      </c>
      <c r="B2" s="27" t="s">
        <v>37</v>
      </c>
      <c r="C2" s="27" t="s">
        <v>79</v>
      </c>
      <c r="D2" s="27" t="s">
        <v>38</v>
      </c>
      <c r="E2" s="27" t="s">
        <v>1</v>
      </c>
      <c r="F2" s="27" t="s">
        <v>2</v>
      </c>
      <c r="G2" s="27" t="s">
        <v>3</v>
      </c>
      <c r="H2" s="182" t="s">
        <v>4</v>
      </c>
      <c r="I2" s="27" t="s">
        <v>5</v>
      </c>
      <c r="J2" s="53" t="s">
        <v>6</v>
      </c>
      <c r="K2" s="27" t="s">
        <v>7</v>
      </c>
      <c r="L2" s="27" t="s">
        <v>8</v>
      </c>
      <c r="M2" s="114" t="s">
        <v>9</v>
      </c>
      <c r="N2" s="27" t="s">
        <v>11</v>
      </c>
      <c r="O2" s="27" t="s">
        <v>10</v>
      </c>
      <c r="P2" s="64" t="s">
        <v>12</v>
      </c>
      <c r="Q2" s="79" t="s">
        <v>13</v>
      </c>
      <c r="R2" s="180" t="s">
        <v>14</v>
      </c>
      <c r="S2" s="115" t="s">
        <v>15</v>
      </c>
      <c r="T2" s="115" t="s">
        <v>16</v>
      </c>
      <c r="U2" s="64" t="s">
        <v>20</v>
      </c>
      <c r="V2" s="181" t="s">
        <v>27</v>
      </c>
      <c r="W2" s="64" t="s">
        <v>17</v>
      </c>
      <c r="X2" s="64" t="s">
        <v>18</v>
      </c>
      <c r="Y2" s="64" t="s">
        <v>19</v>
      </c>
      <c r="Z2" s="64" t="s">
        <v>21</v>
      </c>
      <c r="AA2" s="64" t="s">
        <v>22</v>
      </c>
      <c r="AB2" s="64" t="s">
        <v>1194</v>
      </c>
      <c r="AC2" s="64" t="s">
        <v>29</v>
      </c>
      <c r="AD2" s="64" t="s">
        <v>30</v>
      </c>
      <c r="AE2" s="27" t="s">
        <v>50</v>
      </c>
      <c r="AF2" s="64" t="s">
        <v>81</v>
      </c>
      <c r="AG2" s="53" t="s">
        <v>36</v>
      </c>
      <c r="AH2" s="183" t="s">
        <v>51</v>
      </c>
      <c r="AI2" s="27" t="s">
        <v>88</v>
      </c>
      <c r="AJ2" s="27" t="s">
        <v>80</v>
      </c>
      <c r="AK2" s="27" t="s">
        <v>53</v>
      </c>
      <c r="AL2" s="27" t="s">
        <v>92</v>
      </c>
      <c r="AM2" s="27" t="s">
        <v>91</v>
      </c>
      <c r="AN2" s="27" t="s">
        <v>97</v>
      </c>
      <c r="AO2" s="27" t="s">
        <v>98</v>
      </c>
      <c r="AP2" s="27" t="s">
        <v>99</v>
      </c>
      <c r="AQ2" s="184" t="s">
        <v>93</v>
      </c>
    </row>
    <row r="3" spans="1:43" ht="20.100000000000001" customHeight="1" x14ac:dyDescent="0.25">
      <c r="A3" s="3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KEN_2904_037-10</v>
      </c>
      <c r="C3" s="36" t="e">
        <f ca="1">IF(NOTA[[#This Row],[ID_P]]="","",MATCH(NOTA[[#This Row],[ID_P]],[1]!B_MSK[N_ID],0))</f>
        <v>#REF!</v>
      </c>
      <c r="D3" s="36">
        <f ca="1">IF(NOTA[[#This Row],[NAMA BARANG]]="","",INDEX(NOTA[ID],MATCH(,INDIRECT(ADDRESS(ROW(NOTA[ID]),COLUMN(NOTA[ID]))&amp;":"&amp;ADDRESS(ROW(),COLUMN(NOTA[ID]))),-1)))</f>
        <v>1</v>
      </c>
      <c r="E3" s="14">
        <v>45045</v>
      </c>
      <c r="F3" s="16" t="s">
        <v>23</v>
      </c>
      <c r="G3" s="16" t="s">
        <v>24</v>
      </c>
      <c r="H3" s="20" t="s">
        <v>102</v>
      </c>
      <c r="I3" s="16" t="s">
        <v>108</v>
      </c>
      <c r="J3" s="37">
        <v>45048</v>
      </c>
      <c r="K3" s="16"/>
      <c r="L3" s="16" t="s">
        <v>90</v>
      </c>
      <c r="M3" s="28">
        <v>50</v>
      </c>
      <c r="N3" s="16"/>
      <c r="O3" s="16"/>
      <c r="P3" s="35"/>
      <c r="Q3" s="38">
        <v>1954800</v>
      </c>
      <c r="R3" s="28" t="s">
        <v>148</v>
      </c>
      <c r="S3" s="39">
        <v>0.17</v>
      </c>
      <c r="T3" s="39"/>
      <c r="U3" s="40"/>
      <c r="V3" s="26"/>
      <c r="W3" s="40">
        <f>IF(NOTA[[#This Row],[HARGA/ CTN]]="",NOTA[[#This Row],[JUMLAH_H]],NOTA[[#This Row],[HARGA/ CTN]]*IF(NOTA[[#This Row],[C]]="",0,NOTA[[#This Row],[C]]))</f>
        <v>97740000</v>
      </c>
      <c r="X3" s="40">
        <f>IF(NOTA[[#This Row],[JUMLAH]]="","",NOTA[[#This Row],[JUMLAH]]*NOTA[[#This Row],[DISC 1]])</f>
        <v>16615800.000000002</v>
      </c>
      <c r="Y3" s="40">
        <f>IF(NOTA[[#This Row],[JUMLAH]]="","",(NOTA[[#This Row],[JUMLAH]]-NOTA[[#This Row],[DISC 1-]])*NOTA[[#This Row],[DISC 2]])</f>
        <v>0</v>
      </c>
      <c r="Z3" s="40">
        <f>IF(NOTA[[#This Row],[JUMLAH]]="","",NOTA[[#This Row],[DISC 1-]]+NOTA[[#This Row],[DISC 2-]])</f>
        <v>16615800.000000002</v>
      </c>
      <c r="AA3" s="40">
        <f>IF(NOTA[[#This Row],[JUMLAH]]="","",NOTA[[#This Row],[JUMLAH]]-NOTA[[#This Row],[DISC]])</f>
        <v>81124200</v>
      </c>
      <c r="AB3" s="40"/>
      <c r="AC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" s="40" t="str">
        <f>IF(OR(NOTA[[#This Row],[QTY]]="",NOTA[[#This Row],[HARGA SATUAN]]="",),"",NOTA[[#This Row],[QTY]]*NOTA[[#This Row],[HARGA SATUAN]])</f>
        <v/>
      </c>
      <c r="AG3" s="37">
        <f ca="1">IF(NOTA[ID_H]="","",INDEX(NOTA[TANGGAL],MATCH(,INDIRECT(ADDRESS(ROW(NOTA[TANGGAL]),COLUMN(NOTA[TANGGAL]))&amp;":"&amp;ADDRESS(ROW(),COLUMN(NOTA[TANGGAL]))),-1)))</f>
        <v>45045</v>
      </c>
      <c r="AH3" s="51" t="str">
        <f ca="1">IF(NOTA[[#This Row],[NAMA BARANG]]="","",INDEX(NOTA[SUPPLIER],MATCH(,INDIRECT(ADDRESS(ROW(NOTA[ID]),COLUMN(NOTA[ID]))&amp;":"&amp;ADDRESS(ROW(),COLUMN(NOTA[ID]))),-1)))</f>
        <v>KENKO SINAR INDONESIA</v>
      </c>
      <c r="AI3" s="51" t="str">
        <f ca="1">IF(NOTA[[#This Row],[ID_H]]="","",IF(NOTA[[#This Row],[FAKTUR]]="",INDIRECT(ADDRESS(ROW()-1,COLUMN())),NOTA[[#This Row],[FAKTUR]]))</f>
        <v>ARTO MORO</v>
      </c>
      <c r="AJ3" s="27">
        <f ca="1">IF(NOTA[[#This Row],[ID]]="","",COUNTIF(NOTA[ID_H],NOTA[[#This Row],[ID_H]]))</f>
        <v>10</v>
      </c>
      <c r="AK3" s="27">
        <f>IF(NOTA[[#This Row],[TGL.NOTA]]="",IF(NOTA[[#This Row],[SUPPLIER_H]]="","",#REF!),MONTH(NOTA[[#This Row],[TGL.NOTA]]))</f>
        <v>5</v>
      </c>
      <c r="AL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MORO23050037SA 4118645048kenkocorrectionfluidke01</v>
      </c>
      <c r="AP3" s="27" t="e">
        <f>IF(NOTA[[#This Row],[CONCAT4]]="","",_xlfn.IFNA(MATCH(NOTA[[#This Row],[CONCAT4]],[2]!RAW[CONCAT_H],0),FALSE))</f>
        <v>#REF!</v>
      </c>
      <c r="AQ3" s="145">
        <f>IF(NOTA[[#This Row],[CONCAT1]]="","",MATCH(NOTA[[#This Row],[CONCAT1]],[3]!db[NB NOTA_C],0)+1)</f>
        <v>1198</v>
      </c>
    </row>
    <row r="4" spans="1:43" ht="20.100000000000001" customHeight="1" x14ac:dyDescent="0.25">
      <c r="A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6" t="str">
        <f>IF(NOTA[[#This Row],[ID_P]]="","",MATCH(NOTA[[#This Row],[ID_P]],[1]!B_MSK[N_ID],0))</f>
        <v/>
      </c>
      <c r="D4" s="36">
        <f ca="1">IF(NOTA[[#This Row],[NAMA BARANG]]="","",INDEX(NOTA[ID],MATCH(,INDIRECT(ADDRESS(ROW(NOTA[ID]),COLUMN(NOTA[ID]))&amp;":"&amp;ADDRESS(ROW(),COLUMN(NOTA[ID]))),-1)))</f>
        <v>1</v>
      </c>
      <c r="E4" s="14"/>
      <c r="F4" s="16"/>
      <c r="G4" s="16"/>
      <c r="H4" s="20"/>
      <c r="I4" s="16"/>
      <c r="J4" s="37"/>
      <c r="K4" s="16"/>
      <c r="L4" s="16" t="s">
        <v>101</v>
      </c>
      <c r="M4" s="28">
        <v>1</v>
      </c>
      <c r="N4" s="16"/>
      <c r="O4" s="16"/>
      <c r="P4" s="35"/>
      <c r="Q4" s="38">
        <v>2376000</v>
      </c>
      <c r="R4" s="28" t="s">
        <v>149</v>
      </c>
      <c r="S4" s="39">
        <v>0.17</v>
      </c>
      <c r="T4" s="39"/>
      <c r="U4" s="40"/>
      <c r="V4" s="26"/>
      <c r="W4" s="40">
        <f>IF(NOTA[[#This Row],[HARGA/ CTN]]="",NOTA[[#This Row],[JUMLAH_H]],NOTA[[#This Row],[HARGA/ CTN]]*IF(NOTA[[#This Row],[C]]="",0,NOTA[[#This Row],[C]]))</f>
        <v>2376000</v>
      </c>
      <c r="X4" s="40">
        <f>IF(NOTA[[#This Row],[JUMLAH]]="","",NOTA[[#This Row],[JUMLAH]]*NOTA[[#This Row],[DISC 1]])</f>
        <v>403920</v>
      </c>
      <c r="Y4" s="40">
        <f>IF(NOTA[[#This Row],[JUMLAH]]="","",(NOTA[[#This Row],[JUMLAH]]-NOTA[[#This Row],[DISC 1-]])*NOTA[[#This Row],[DISC 2]])</f>
        <v>0</v>
      </c>
      <c r="Z4" s="40">
        <f>IF(NOTA[[#This Row],[JUMLAH]]="","",NOTA[[#This Row],[DISC 1-]]+NOTA[[#This Row],[DISC 2-]])</f>
        <v>403920</v>
      </c>
      <c r="AA4" s="40">
        <f>IF(NOTA[[#This Row],[JUMLAH]]="","",NOTA[[#This Row],[JUMLAH]]-NOTA[[#This Row],[DISC]])</f>
        <v>1972080</v>
      </c>
      <c r="AB4" s="40"/>
      <c r="AC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" s="40" t="str">
        <f>IF(OR(NOTA[[#This Row],[QTY]]="",NOTA[[#This Row],[HARGA SATUAN]]="",),"",NOTA[[#This Row],[QTY]]*NOTA[[#This Row],[HARGA SATUAN]])</f>
        <v/>
      </c>
      <c r="AG4" s="37">
        <f ca="1">IF(NOTA[ID_H]="","",INDEX(NOTA[TANGGAL],MATCH(,INDIRECT(ADDRESS(ROW(NOTA[TANGGAL]),COLUMN(NOTA[TANGGAL]))&amp;":"&amp;ADDRESS(ROW(),COLUMN(NOTA[TANGGAL]))),-1)))</f>
        <v>45045</v>
      </c>
      <c r="AH4" s="51" t="str">
        <f ca="1">IF(NOTA[[#This Row],[NAMA BARANG]]="","",INDEX(NOTA[SUPPLIER],MATCH(,INDIRECT(ADDRESS(ROW(NOTA[ID]),COLUMN(NOTA[ID]))&amp;":"&amp;ADDRESS(ROW(),COLUMN(NOTA[ID]))),-1)))</f>
        <v>KENKO SINAR INDONESIA</v>
      </c>
      <c r="AI4" s="51" t="str">
        <f ca="1">IF(NOTA[[#This Row],[ID_H]]="","",IF(NOTA[[#This Row],[FAKTUR]]="",INDIRECT(ADDRESS(ROW()-1,COLUMN())),NOTA[[#This Row],[FAKTUR]]))</f>
        <v>ARTO MORO</v>
      </c>
      <c r="AJ4" s="27" t="str">
        <f ca="1">IF(NOTA[[#This Row],[ID]]="","",COUNTIF(NOTA[ID_H],NOTA[[#This Row],[ID_H]]))</f>
        <v/>
      </c>
      <c r="AK4" s="27">
        <f ca="1">IF(NOTA[[#This Row],[TGL.NOTA]]="",IF(NOTA[[#This Row],[SUPPLIER_H]]="","",AK3),MONTH(NOTA[[#This Row],[TGL.NOTA]]))</f>
        <v>5</v>
      </c>
      <c r="AL4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27" t="str">
        <f>IF(NOTA[[#This Row],[CONCAT4]]="","",_xlfn.IFNA(MATCH(NOTA[[#This Row],[CONCAT4]],[2]!RAW[CONCAT_H],0),FALSE))</f>
        <v/>
      </c>
      <c r="AQ4" s="145">
        <f>IF(NOTA[[#This Row],[CONCAT1]]="","",MATCH(NOTA[[#This Row],[CONCAT1]],[3]!db[NB NOTA_C],0)+1)</f>
        <v>1298</v>
      </c>
    </row>
    <row r="5" spans="1:43" ht="20.100000000000001" customHeight="1" x14ac:dyDescent="0.25">
      <c r="A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6" t="str">
        <f>IF(NOTA[[#This Row],[ID_P]]="","",MATCH(NOTA[[#This Row],[ID_P]],[1]!B_MSK[N_ID],0))</f>
        <v/>
      </c>
      <c r="D5" s="36">
        <f ca="1">IF(NOTA[[#This Row],[NAMA BARANG]]="","",INDEX(NOTA[ID],MATCH(,INDIRECT(ADDRESS(ROW(NOTA[ID]),COLUMN(NOTA[ID]))&amp;":"&amp;ADDRESS(ROW(),COLUMN(NOTA[ID]))),-1)))</f>
        <v>1</v>
      </c>
      <c r="E5" s="14"/>
      <c r="F5" s="16"/>
      <c r="G5" s="16"/>
      <c r="H5" s="20"/>
      <c r="I5" s="16"/>
      <c r="J5" s="37"/>
      <c r="K5" s="16"/>
      <c r="L5" s="16" t="s">
        <v>96</v>
      </c>
      <c r="M5" s="28">
        <v>1</v>
      </c>
      <c r="N5" s="16"/>
      <c r="O5" s="16"/>
      <c r="P5" s="35"/>
      <c r="Q5" s="38">
        <v>2764800</v>
      </c>
      <c r="R5" s="28" t="s">
        <v>150</v>
      </c>
      <c r="S5" s="39">
        <v>0.17</v>
      </c>
      <c r="T5" s="39"/>
      <c r="U5" s="40"/>
      <c r="V5" s="26"/>
      <c r="W5" s="40">
        <f>IF(NOTA[[#This Row],[HARGA/ CTN]]="",NOTA[[#This Row],[JUMLAH_H]],NOTA[[#This Row],[HARGA/ CTN]]*IF(NOTA[[#This Row],[C]]="",0,NOTA[[#This Row],[C]]))</f>
        <v>2764800</v>
      </c>
      <c r="X5" s="40">
        <f>IF(NOTA[[#This Row],[JUMLAH]]="","",NOTA[[#This Row],[JUMLAH]]*NOTA[[#This Row],[DISC 1]])</f>
        <v>470016.00000000006</v>
      </c>
      <c r="Y5" s="40">
        <f>IF(NOTA[[#This Row],[JUMLAH]]="","",(NOTA[[#This Row],[JUMLAH]]-NOTA[[#This Row],[DISC 1-]])*NOTA[[#This Row],[DISC 2]])</f>
        <v>0</v>
      </c>
      <c r="Z5" s="40">
        <f>IF(NOTA[[#This Row],[JUMLAH]]="","",NOTA[[#This Row],[DISC 1-]]+NOTA[[#This Row],[DISC 2-]])</f>
        <v>470016.00000000006</v>
      </c>
      <c r="AA5" s="40">
        <f>IF(NOTA[[#This Row],[JUMLAH]]="","",NOTA[[#This Row],[JUMLAH]]-NOTA[[#This Row],[DISC]])</f>
        <v>2294784</v>
      </c>
      <c r="AB5" s="40"/>
      <c r="AC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5" s="40" t="str">
        <f>IF(OR(NOTA[[#This Row],[QTY]]="",NOTA[[#This Row],[HARGA SATUAN]]="",),"",NOTA[[#This Row],[QTY]]*NOTA[[#This Row],[HARGA SATUAN]])</f>
        <v/>
      </c>
      <c r="AG5" s="37">
        <f ca="1">IF(NOTA[ID_H]="","",INDEX(NOTA[TANGGAL],MATCH(,INDIRECT(ADDRESS(ROW(NOTA[TANGGAL]),COLUMN(NOTA[TANGGAL]))&amp;":"&amp;ADDRESS(ROW(),COLUMN(NOTA[TANGGAL]))),-1)))</f>
        <v>45045</v>
      </c>
      <c r="AH5" s="51" t="str">
        <f ca="1">IF(NOTA[[#This Row],[NAMA BARANG]]="","",INDEX(NOTA[SUPPLIER],MATCH(,INDIRECT(ADDRESS(ROW(NOTA[ID]),COLUMN(NOTA[ID]))&amp;":"&amp;ADDRESS(ROW(),COLUMN(NOTA[ID]))),-1)))</f>
        <v>KENKO SINAR INDONESIA</v>
      </c>
      <c r="AI5" s="51" t="str">
        <f ca="1">IF(NOTA[[#This Row],[ID_H]]="","",IF(NOTA[[#This Row],[FAKTUR]]="",INDIRECT(ADDRESS(ROW()-1,COLUMN())),NOTA[[#This Row],[FAKTUR]]))</f>
        <v>ARTO MORO</v>
      </c>
      <c r="AJ5" s="27" t="str">
        <f ca="1">IF(NOTA[[#This Row],[ID]]="","",COUNTIF(NOTA[ID_H],NOTA[[#This Row],[ID_H]]))</f>
        <v/>
      </c>
      <c r="AK5" s="27">
        <f ca="1">IF(NOTA[[#This Row],[TGL.NOTA]]="",IF(NOTA[[#This Row],[SUPPLIER_H]]="","",AK4),MONTH(NOTA[[#This Row],[TGL.NOTA]]))</f>
        <v>5</v>
      </c>
      <c r="AL5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27" t="str">
        <f>IF(NOTA[[#This Row],[CONCAT4]]="","",_xlfn.IFNA(MATCH(NOTA[[#This Row],[CONCAT4]],[2]!RAW[CONCAT_H],0),FALSE))</f>
        <v/>
      </c>
      <c r="AQ5" s="145">
        <f>IF(NOTA[[#This Row],[CONCAT1]]="","",MATCH(NOTA[[#This Row],[CONCAT1]],[3]!db[NB NOTA_C],0)+1)</f>
        <v>1276</v>
      </c>
    </row>
    <row r="6" spans="1:43" ht="20.100000000000001" customHeight="1" x14ac:dyDescent="0.25">
      <c r="A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6" t="str">
        <f>IF(NOTA[[#This Row],[ID_P]]="","",MATCH(NOTA[[#This Row],[ID_P]],[1]!B_MSK[N_ID],0))</f>
        <v/>
      </c>
      <c r="D6" s="36">
        <f ca="1">IF(NOTA[[#This Row],[NAMA BARANG]]="","",INDEX(NOTA[ID],MATCH(,INDIRECT(ADDRESS(ROW(NOTA[ID]),COLUMN(NOTA[ID]))&amp;":"&amp;ADDRESS(ROW(),COLUMN(NOTA[ID]))),-1)))</f>
        <v>1</v>
      </c>
      <c r="E6" s="14"/>
      <c r="F6" s="16"/>
      <c r="G6" s="16"/>
      <c r="H6" s="54"/>
      <c r="I6" s="20"/>
      <c r="J6" s="37"/>
      <c r="K6" s="16"/>
      <c r="L6" s="16" t="s">
        <v>100</v>
      </c>
      <c r="M6" s="28">
        <v>4</v>
      </c>
      <c r="N6" s="16"/>
      <c r="O6" s="16"/>
      <c r="P6" s="35"/>
      <c r="Q6" s="38">
        <v>3110400</v>
      </c>
      <c r="R6" s="28" t="s">
        <v>150</v>
      </c>
      <c r="S6" s="39">
        <v>0.17</v>
      </c>
      <c r="T6" s="39"/>
      <c r="U6" s="40"/>
      <c r="V6" s="26"/>
      <c r="W6" s="40">
        <f>IF(NOTA[[#This Row],[HARGA/ CTN]]="",NOTA[[#This Row],[JUMLAH_H]],NOTA[[#This Row],[HARGA/ CTN]]*IF(NOTA[[#This Row],[C]]="",0,NOTA[[#This Row],[C]]))</f>
        <v>12441600</v>
      </c>
      <c r="X6" s="40">
        <f>IF(NOTA[[#This Row],[JUMLAH]]="","",NOTA[[#This Row],[JUMLAH]]*NOTA[[#This Row],[DISC 1]])</f>
        <v>2115072</v>
      </c>
      <c r="Y6" s="40">
        <f>IF(NOTA[[#This Row],[JUMLAH]]="","",(NOTA[[#This Row],[JUMLAH]]-NOTA[[#This Row],[DISC 1-]])*NOTA[[#This Row],[DISC 2]])</f>
        <v>0</v>
      </c>
      <c r="Z6" s="40">
        <f>IF(NOTA[[#This Row],[JUMLAH]]="","",NOTA[[#This Row],[DISC 1-]]+NOTA[[#This Row],[DISC 2-]])</f>
        <v>2115072</v>
      </c>
      <c r="AA6" s="40">
        <f>IF(NOTA[[#This Row],[JUMLAH]]="","",NOTA[[#This Row],[JUMLAH]]-NOTA[[#This Row],[DISC]])</f>
        <v>10326528</v>
      </c>
      <c r="AB6" s="40"/>
      <c r="AC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3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" s="40" t="str">
        <f>IF(OR(NOTA[[#This Row],[QTY]]="",NOTA[[#This Row],[HARGA SATUAN]]="",),"",NOTA[[#This Row],[QTY]]*NOTA[[#This Row],[HARGA SATUAN]])</f>
        <v/>
      </c>
      <c r="AG6" s="37">
        <f ca="1">IF(NOTA[ID_H]="","",INDEX(NOTA[TANGGAL],MATCH(,INDIRECT(ADDRESS(ROW(NOTA[TANGGAL]),COLUMN(NOTA[TANGGAL]))&amp;":"&amp;ADDRESS(ROW(),COLUMN(NOTA[TANGGAL]))),-1)))</f>
        <v>45045</v>
      </c>
      <c r="AH6" s="51" t="str">
        <f ca="1">IF(NOTA[[#This Row],[NAMA BARANG]]="","",INDEX(NOTA[SUPPLIER],MATCH(,INDIRECT(ADDRESS(ROW(NOTA[ID]),COLUMN(NOTA[ID]))&amp;":"&amp;ADDRESS(ROW(),COLUMN(NOTA[ID]))),-1)))</f>
        <v>KENKO SINAR INDONESIA</v>
      </c>
      <c r="AI6" s="51" t="str">
        <f ca="1">IF(NOTA[[#This Row],[ID_H]]="","",IF(NOTA[[#This Row],[FAKTUR]]="",INDIRECT(ADDRESS(ROW()-1,COLUMN())),NOTA[[#This Row],[FAKTUR]]))</f>
        <v>ARTO MORO</v>
      </c>
      <c r="AJ6" s="27" t="str">
        <f ca="1">IF(NOTA[[#This Row],[ID]]="","",COUNTIF(NOTA[ID_H],NOTA[[#This Row],[ID_H]]))</f>
        <v/>
      </c>
      <c r="AK6" s="27">
        <f ca="1">IF(NOTA[[#This Row],[TGL.NOTA]]="",IF(NOTA[[#This Row],[SUPPLIER_H]]="","",AK5),MONTH(NOTA[[#This Row],[TGL.NOTA]]))</f>
        <v>5</v>
      </c>
      <c r="AL6" s="27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27" t="str">
        <f>IF(NOTA[[#This Row],[CONCAT4]]="","",_xlfn.IFNA(MATCH(NOTA[[#This Row],[CONCAT4]],[2]!RAW[CONCAT_H],0),FALSE))</f>
        <v/>
      </c>
      <c r="AQ6" s="145">
        <f>IF(NOTA[[#This Row],[CONCAT1]]="","",MATCH(NOTA[[#This Row],[CONCAT1]],[3]!db[NB NOTA_C],0)+1)</f>
        <v>1280</v>
      </c>
    </row>
    <row r="7" spans="1:43" ht="20.100000000000001" customHeight="1" x14ac:dyDescent="0.25">
      <c r="A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6" t="str">
        <f>IF(NOTA[[#This Row],[ID_P]]="","",MATCH(NOTA[[#This Row],[ID_P]],[1]!B_MSK[N_ID],0))</f>
        <v/>
      </c>
      <c r="D7" s="36">
        <f ca="1">IF(NOTA[[#This Row],[NAMA BARANG]]="","",INDEX(NOTA[ID],MATCH(,INDIRECT(ADDRESS(ROW(NOTA[ID]),COLUMN(NOTA[ID]))&amp;":"&amp;ADDRESS(ROW(),COLUMN(NOTA[ID]))),-1)))</f>
        <v>1</v>
      </c>
      <c r="E7" s="14"/>
      <c r="F7" s="16"/>
      <c r="G7" s="16"/>
      <c r="H7" s="20"/>
      <c r="I7" s="16"/>
      <c r="J7" s="37"/>
      <c r="K7" s="16"/>
      <c r="L7" s="16" t="s">
        <v>107</v>
      </c>
      <c r="M7" s="28">
        <v>3</v>
      </c>
      <c r="N7" s="16"/>
      <c r="O7" s="16"/>
      <c r="P7" s="35"/>
      <c r="Q7" s="38">
        <v>3240000</v>
      </c>
      <c r="R7" s="28" t="s">
        <v>148</v>
      </c>
      <c r="S7" s="39">
        <v>0.17</v>
      </c>
      <c r="T7" s="39"/>
      <c r="U7" s="40"/>
      <c r="V7" s="26"/>
      <c r="W7" s="40">
        <f>IF(NOTA[[#This Row],[HARGA/ CTN]]="",NOTA[[#This Row],[JUMLAH_H]],NOTA[[#This Row],[HARGA/ CTN]]*IF(NOTA[[#This Row],[C]]="",0,NOTA[[#This Row],[C]]))</f>
        <v>9720000</v>
      </c>
      <c r="X7" s="40">
        <f>IF(NOTA[[#This Row],[JUMLAH]]="","",NOTA[[#This Row],[JUMLAH]]*NOTA[[#This Row],[DISC 1]])</f>
        <v>1652400.0000000002</v>
      </c>
      <c r="Y7" s="40">
        <f>IF(NOTA[[#This Row],[JUMLAH]]="","",(NOTA[[#This Row],[JUMLAH]]-NOTA[[#This Row],[DISC 1-]])*NOTA[[#This Row],[DISC 2]])</f>
        <v>0</v>
      </c>
      <c r="Z7" s="40">
        <f>IF(NOTA[[#This Row],[JUMLAH]]="","",NOTA[[#This Row],[DISC 1-]]+NOTA[[#This Row],[DISC 2-]])</f>
        <v>1652400.0000000002</v>
      </c>
      <c r="AA7" s="40">
        <f>IF(NOTA[[#This Row],[JUMLAH]]="","",NOTA[[#This Row],[JUMLAH]]-NOTA[[#This Row],[DISC]])</f>
        <v>8067600</v>
      </c>
      <c r="AB7" s="40"/>
      <c r="AC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" s="40" t="str">
        <f>IF(OR(NOTA[[#This Row],[QTY]]="",NOTA[[#This Row],[HARGA SATUAN]]="",),"",NOTA[[#This Row],[QTY]]*NOTA[[#This Row],[HARGA SATUAN]])</f>
        <v/>
      </c>
      <c r="AG7" s="37">
        <f ca="1">IF(NOTA[ID_H]="","",INDEX(NOTA[TANGGAL],MATCH(,INDIRECT(ADDRESS(ROW(NOTA[TANGGAL]),COLUMN(NOTA[TANGGAL]))&amp;":"&amp;ADDRESS(ROW(),COLUMN(NOTA[TANGGAL]))),-1)))</f>
        <v>45045</v>
      </c>
      <c r="AH7" s="51" t="str">
        <f ca="1">IF(NOTA[[#This Row],[NAMA BARANG]]="","",INDEX(NOTA[SUPPLIER],MATCH(,INDIRECT(ADDRESS(ROW(NOTA[ID]),COLUMN(NOTA[ID]))&amp;":"&amp;ADDRESS(ROW(),COLUMN(NOTA[ID]))),-1)))</f>
        <v>KENKO SINAR INDONESIA</v>
      </c>
      <c r="AI7" s="51" t="str">
        <f ca="1">IF(NOTA[[#This Row],[ID_H]]="","",IF(NOTA[[#This Row],[FAKTUR]]="",INDIRECT(ADDRESS(ROW()-1,COLUMN())),NOTA[[#This Row],[FAKTUR]]))</f>
        <v>ARTO MORO</v>
      </c>
      <c r="AJ7" s="27" t="str">
        <f ca="1">IF(NOTA[[#This Row],[ID]]="","",COUNTIF(NOTA[ID_H],NOTA[[#This Row],[ID_H]]))</f>
        <v/>
      </c>
      <c r="AK7" s="27">
        <f ca="1">IF(NOTA[[#This Row],[TGL.NOTA]]="",IF(NOTA[[#This Row],[SUPPLIER_H]]="","",AK6),MONTH(NOTA[[#This Row],[TGL.NOTA]]))</f>
        <v>5</v>
      </c>
      <c r="AL7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27" t="str">
        <f>IF(NOTA[[#This Row],[CONCAT4]]="","",_xlfn.IFNA(MATCH(NOTA[[#This Row],[CONCAT4]],[2]!RAW[CONCAT_H],0),FALSE))</f>
        <v/>
      </c>
      <c r="AQ7" s="145">
        <f>IF(NOTA[[#This Row],[CONCAT1]]="","",MATCH(NOTA[[#This Row],[CONCAT1]],[3]!db[NB NOTA_C],0)+1)</f>
        <v>1207</v>
      </c>
    </row>
    <row r="8" spans="1:43" ht="20.100000000000001" customHeight="1" x14ac:dyDescent="0.25">
      <c r="A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6" t="str">
        <f>IF(NOTA[[#This Row],[ID_P]]="","",MATCH(NOTA[[#This Row],[ID_P]],[1]!B_MSK[N_ID],0))</f>
        <v/>
      </c>
      <c r="D8" s="36">
        <f ca="1">IF(NOTA[[#This Row],[NAMA BARANG]]="","",INDEX(NOTA[ID],MATCH(,INDIRECT(ADDRESS(ROW(NOTA[ID]),COLUMN(NOTA[ID]))&amp;":"&amp;ADDRESS(ROW(),COLUMN(NOTA[ID]))),-1)))</f>
        <v>1</v>
      </c>
      <c r="E8" s="14"/>
      <c r="F8" s="16"/>
      <c r="G8" s="16"/>
      <c r="H8" s="20"/>
      <c r="I8" s="16"/>
      <c r="J8" s="37"/>
      <c r="K8" s="16"/>
      <c r="L8" s="16" t="s">
        <v>103</v>
      </c>
      <c r="M8" s="28">
        <v>1</v>
      </c>
      <c r="N8" s="16"/>
      <c r="O8" s="16"/>
      <c r="P8" s="35"/>
      <c r="Q8" s="38">
        <v>5616000</v>
      </c>
      <c r="R8" s="28" t="s">
        <v>150</v>
      </c>
      <c r="S8" s="39">
        <v>0.17</v>
      </c>
      <c r="T8" s="39"/>
      <c r="U8" s="40"/>
      <c r="V8" s="26"/>
      <c r="W8" s="40">
        <f>IF(NOTA[[#This Row],[HARGA/ CTN]]="",NOTA[[#This Row],[JUMLAH_H]],NOTA[[#This Row],[HARGA/ CTN]]*IF(NOTA[[#This Row],[C]]="",0,NOTA[[#This Row],[C]]))</f>
        <v>5616000</v>
      </c>
      <c r="X8" s="40">
        <f>IF(NOTA[[#This Row],[JUMLAH]]="","",NOTA[[#This Row],[JUMLAH]]*NOTA[[#This Row],[DISC 1]])</f>
        <v>954720.00000000012</v>
      </c>
      <c r="Y8" s="40">
        <f>IF(NOTA[[#This Row],[JUMLAH]]="","",(NOTA[[#This Row],[JUMLAH]]-NOTA[[#This Row],[DISC 1-]])*NOTA[[#This Row],[DISC 2]])</f>
        <v>0</v>
      </c>
      <c r="Z8" s="40">
        <f>IF(NOTA[[#This Row],[JUMLAH]]="","",NOTA[[#This Row],[DISC 1-]]+NOTA[[#This Row],[DISC 2-]])</f>
        <v>954720.00000000012</v>
      </c>
      <c r="AA8" s="40">
        <f>IF(NOTA[[#This Row],[JUMLAH]]="","",NOTA[[#This Row],[JUMLAH]]-NOTA[[#This Row],[DISC]])</f>
        <v>4661280</v>
      </c>
      <c r="AB8" s="40"/>
      <c r="AC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8" s="40" t="str">
        <f>IF(OR(NOTA[[#This Row],[QTY]]="",NOTA[[#This Row],[HARGA SATUAN]]="",),"",NOTA[[#This Row],[QTY]]*NOTA[[#This Row],[HARGA SATUAN]])</f>
        <v/>
      </c>
      <c r="AG8" s="37">
        <f ca="1">IF(NOTA[ID_H]="","",INDEX(NOTA[TANGGAL],MATCH(,INDIRECT(ADDRESS(ROW(NOTA[TANGGAL]),COLUMN(NOTA[TANGGAL]))&amp;":"&amp;ADDRESS(ROW(),COLUMN(NOTA[TANGGAL]))),-1)))</f>
        <v>45045</v>
      </c>
      <c r="AH8" s="51" t="str">
        <f ca="1">IF(NOTA[[#This Row],[NAMA BARANG]]="","",INDEX(NOTA[SUPPLIER],MATCH(,INDIRECT(ADDRESS(ROW(NOTA[ID]),COLUMN(NOTA[ID]))&amp;":"&amp;ADDRESS(ROW(),COLUMN(NOTA[ID]))),-1)))</f>
        <v>KENKO SINAR INDONESIA</v>
      </c>
      <c r="AI8" s="51" t="str">
        <f ca="1">IF(NOTA[[#This Row],[ID_H]]="","",IF(NOTA[[#This Row],[FAKTUR]]="",INDIRECT(ADDRESS(ROW()-1,COLUMN())),NOTA[[#This Row],[FAKTUR]]))</f>
        <v>ARTO MORO</v>
      </c>
      <c r="AJ8" s="27" t="str">
        <f ca="1">IF(NOTA[[#This Row],[ID]]="","",COUNTIF(NOTA[ID_H],NOTA[[#This Row],[ID_H]]))</f>
        <v/>
      </c>
      <c r="AK8" s="27">
        <f ca="1">IF(NOTA[[#This Row],[TGL.NOTA]]="",IF(NOTA[[#This Row],[SUPPLIER_H]]="","",AK7),MONTH(NOTA[[#This Row],[TGL.NOTA]]))</f>
        <v>5</v>
      </c>
      <c r="AL8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27" t="str">
        <f>IF(NOTA[[#This Row],[CONCAT4]]="","",_xlfn.IFNA(MATCH(NOTA[[#This Row],[CONCAT4]],[2]!RAW[CONCAT_H],0),FALSE))</f>
        <v/>
      </c>
      <c r="AQ8" s="145">
        <f>IF(NOTA[[#This Row],[CONCAT1]]="","",MATCH(NOTA[[#This Row],[CONCAT1]],[3]!db[NB NOTA_C],0)+1)</f>
        <v>1259</v>
      </c>
    </row>
    <row r="9" spans="1:43" ht="20.100000000000001" customHeight="1" x14ac:dyDescent="0.25">
      <c r="A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6" t="str">
        <f>IF(NOTA[[#This Row],[ID_P]]="","",MATCH(NOTA[[#This Row],[ID_P]],[1]!B_MSK[N_ID],0))</f>
        <v/>
      </c>
      <c r="D9" s="36">
        <f ca="1">IF(NOTA[[#This Row],[NAMA BARANG]]="","",INDEX(NOTA[ID],MATCH(,INDIRECT(ADDRESS(ROW(NOTA[ID]),COLUMN(NOTA[ID]))&amp;":"&amp;ADDRESS(ROW(),COLUMN(NOTA[ID]))),-1)))</f>
        <v>1</v>
      </c>
      <c r="E9" s="14"/>
      <c r="F9" s="16"/>
      <c r="G9" s="16"/>
      <c r="H9" s="20"/>
      <c r="I9" s="16" t="s">
        <v>109</v>
      </c>
      <c r="J9" s="37"/>
      <c r="K9" s="16"/>
      <c r="L9" s="16" t="s">
        <v>103</v>
      </c>
      <c r="M9" s="28">
        <v>1</v>
      </c>
      <c r="N9" s="16"/>
      <c r="O9" s="16"/>
      <c r="P9" s="35"/>
      <c r="Q9" s="38">
        <v>5616000</v>
      </c>
      <c r="R9" s="28" t="s">
        <v>150</v>
      </c>
      <c r="S9" s="39">
        <v>0.17</v>
      </c>
      <c r="T9" s="39"/>
      <c r="U9" s="40"/>
      <c r="V9" s="26"/>
      <c r="W9" s="40">
        <f>IF(NOTA[[#This Row],[HARGA/ CTN]]="",NOTA[[#This Row],[JUMLAH_H]],NOTA[[#This Row],[HARGA/ CTN]]*IF(NOTA[[#This Row],[C]]="",0,NOTA[[#This Row],[C]]))</f>
        <v>5616000</v>
      </c>
      <c r="X9" s="40">
        <f>IF(NOTA[[#This Row],[JUMLAH]]="","",NOTA[[#This Row],[JUMLAH]]*NOTA[[#This Row],[DISC 1]])</f>
        <v>954720.00000000012</v>
      </c>
      <c r="Y9" s="40">
        <f>IF(NOTA[[#This Row],[JUMLAH]]="","",(NOTA[[#This Row],[JUMLAH]]-NOTA[[#This Row],[DISC 1-]])*NOTA[[#This Row],[DISC 2]])</f>
        <v>0</v>
      </c>
      <c r="Z9" s="40">
        <f>IF(NOTA[[#This Row],[JUMLAH]]="","",NOTA[[#This Row],[DISC 1-]]+NOTA[[#This Row],[DISC 2-]])</f>
        <v>954720.00000000012</v>
      </c>
      <c r="AA9" s="40">
        <f>IF(NOTA[[#This Row],[JUMLAH]]="","",NOTA[[#This Row],[JUMLAH]]-NOTA[[#This Row],[DISC]])</f>
        <v>4661280</v>
      </c>
      <c r="AB9" s="40"/>
      <c r="AC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9" s="40" t="str">
        <f>IF(OR(NOTA[[#This Row],[QTY]]="",NOTA[[#This Row],[HARGA SATUAN]]="",),"",NOTA[[#This Row],[QTY]]*NOTA[[#This Row],[HARGA SATUAN]])</f>
        <v/>
      </c>
      <c r="AG9" s="37">
        <f ca="1">IF(NOTA[ID_H]="","",INDEX(NOTA[TANGGAL],MATCH(,INDIRECT(ADDRESS(ROW(NOTA[TANGGAL]),COLUMN(NOTA[TANGGAL]))&amp;":"&amp;ADDRESS(ROW(),COLUMN(NOTA[TANGGAL]))),-1)))</f>
        <v>45045</v>
      </c>
      <c r="AH9" s="51" t="str">
        <f ca="1">IF(NOTA[[#This Row],[NAMA BARANG]]="","",INDEX(NOTA[SUPPLIER],MATCH(,INDIRECT(ADDRESS(ROW(NOTA[ID]),COLUMN(NOTA[ID]))&amp;":"&amp;ADDRESS(ROW(),COLUMN(NOTA[ID]))),-1)))</f>
        <v>KENKO SINAR INDONESIA</v>
      </c>
      <c r="AI9" s="51" t="str">
        <f ca="1">IF(NOTA[[#This Row],[ID_H]]="","",IF(NOTA[[#This Row],[FAKTUR]]="",INDIRECT(ADDRESS(ROW()-1,COLUMN())),NOTA[[#This Row],[FAKTUR]]))</f>
        <v>ARTO MORO</v>
      </c>
      <c r="AJ9" s="27" t="str">
        <f ca="1">IF(NOTA[[#This Row],[ID]]="","",COUNTIF(NOTA[ID_H],NOTA[[#This Row],[ID_H]]))</f>
        <v/>
      </c>
      <c r="AK9" s="27">
        <f ca="1">IF(NOTA[[#This Row],[TGL.NOTA]]="",IF(NOTA[[#This Row],[SUPPLIER_H]]="","",AK8),MONTH(NOTA[[#This Row],[TGL.NOTA]]))</f>
        <v>5</v>
      </c>
      <c r="AL9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" s="27" t="str">
        <f>IF(NOTA[[#This Row],[CONCAT4]]="","",_xlfn.IFNA(MATCH(NOTA[[#This Row],[CONCAT4]],[2]!RAW[CONCAT_H],0),FALSE))</f>
        <v/>
      </c>
      <c r="AQ9" s="145">
        <f>IF(NOTA[[#This Row],[CONCAT1]]="","",MATCH(NOTA[[#This Row],[CONCAT1]],[3]!db[NB NOTA_C],0)+1)</f>
        <v>1259</v>
      </c>
    </row>
    <row r="10" spans="1:43" ht="20.100000000000001" customHeight="1" x14ac:dyDescent="0.25">
      <c r="A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6" t="str">
        <f>IF(NOTA[[#This Row],[ID_P]]="","",MATCH(NOTA[[#This Row],[ID_P]],[1]!B_MSK[N_ID],0))</f>
        <v/>
      </c>
      <c r="D10" s="36">
        <f ca="1">IF(NOTA[[#This Row],[NAMA BARANG]]="","",INDEX(NOTA[ID],MATCH(,INDIRECT(ADDRESS(ROW(NOTA[ID]),COLUMN(NOTA[ID]))&amp;":"&amp;ADDRESS(ROW(),COLUMN(NOTA[ID]))),-1)))</f>
        <v>1</v>
      </c>
      <c r="E10" s="14"/>
      <c r="F10" s="16"/>
      <c r="G10" s="16"/>
      <c r="H10" s="20"/>
      <c r="I10" s="16"/>
      <c r="J10" s="37"/>
      <c r="K10" s="16"/>
      <c r="L10" s="16" t="s">
        <v>106</v>
      </c>
      <c r="M10" s="28">
        <v>3</v>
      </c>
      <c r="N10" s="16"/>
      <c r="O10" s="16"/>
      <c r="P10" s="35"/>
      <c r="Q10" s="38">
        <v>3240000</v>
      </c>
      <c r="R10" s="28" t="s">
        <v>148</v>
      </c>
      <c r="S10" s="39">
        <v>0.17</v>
      </c>
      <c r="T10" s="39"/>
      <c r="U10" s="40"/>
      <c r="V10" s="26"/>
      <c r="W10" s="40">
        <f>IF(NOTA[[#This Row],[HARGA/ CTN]]="",NOTA[[#This Row],[JUMLAH_H]],NOTA[[#This Row],[HARGA/ CTN]]*IF(NOTA[[#This Row],[C]]="",0,NOTA[[#This Row],[C]]))</f>
        <v>9720000</v>
      </c>
      <c r="X10" s="40">
        <f>IF(NOTA[[#This Row],[JUMLAH]]="","",NOTA[[#This Row],[JUMLAH]]*NOTA[[#This Row],[DISC 1]])</f>
        <v>1652400.0000000002</v>
      </c>
      <c r="Y10" s="40">
        <f>IF(NOTA[[#This Row],[JUMLAH]]="","",(NOTA[[#This Row],[JUMLAH]]-NOTA[[#This Row],[DISC 1-]])*NOTA[[#This Row],[DISC 2]])</f>
        <v>0</v>
      </c>
      <c r="Z10" s="40">
        <f>IF(NOTA[[#This Row],[JUMLAH]]="","",NOTA[[#This Row],[DISC 1-]]+NOTA[[#This Row],[DISC 2-]])</f>
        <v>1652400.0000000002</v>
      </c>
      <c r="AA10" s="40">
        <f>IF(NOTA[[#This Row],[JUMLAH]]="","",NOTA[[#This Row],[JUMLAH]]-NOTA[[#This Row],[DISC]])</f>
        <v>8067600</v>
      </c>
      <c r="AB10" s="40"/>
      <c r="AC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0" s="40" t="str">
        <f>IF(OR(NOTA[[#This Row],[QTY]]="",NOTA[[#This Row],[HARGA SATUAN]]="",),"",NOTA[[#This Row],[QTY]]*NOTA[[#This Row],[HARGA SATUAN]])</f>
        <v/>
      </c>
      <c r="AG10" s="37">
        <f ca="1">IF(NOTA[ID_H]="","",INDEX(NOTA[TANGGAL],MATCH(,INDIRECT(ADDRESS(ROW(NOTA[TANGGAL]),COLUMN(NOTA[TANGGAL]))&amp;":"&amp;ADDRESS(ROW(),COLUMN(NOTA[TANGGAL]))),-1)))</f>
        <v>45045</v>
      </c>
      <c r="AH10" s="51" t="str">
        <f ca="1">IF(NOTA[[#This Row],[NAMA BARANG]]="","",INDEX(NOTA[SUPPLIER],MATCH(,INDIRECT(ADDRESS(ROW(NOTA[ID]),COLUMN(NOTA[ID]))&amp;":"&amp;ADDRESS(ROW(),COLUMN(NOTA[ID]))),-1)))</f>
        <v>KENKO SINAR INDONESIA</v>
      </c>
      <c r="AI10" s="51" t="str">
        <f ca="1">IF(NOTA[[#This Row],[ID_H]]="","",IF(NOTA[[#This Row],[FAKTUR]]="",INDIRECT(ADDRESS(ROW()-1,COLUMN())),NOTA[[#This Row],[FAKTUR]]))</f>
        <v>ARTO MORO</v>
      </c>
      <c r="AJ10" s="27" t="str">
        <f ca="1">IF(NOTA[[#This Row],[ID]]="","",COUNTIF(NOTA[ID_H],NOTA[[#This Row],[ID_H]]))</f>
        <v/>
      </c>
      <c r="AK10" s="27">
        <f ca="1">IF(NOTA[[#This Row],[TGL.NOTA]]="",IF(NOTA[[#This Row],[SUPPLIER_H]]="","",AK9),MONTH(NOTA[[#This Row],[TGL.NOTA]]))</f>
        <v>5</v>
      </c>
      <c r="AL10" s="27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M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N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O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27" t="str">
        <f>IF(NOTA[[#This Row],[CONCAT4]]="","",_xlfn.IFNA(MATCH(NOTA[[#This Row],[CONCAT4]],[2]!RAW[CONCAT_H],0),FALSE))</f>
        <v/>
      </c>
      <c r="AQ10" s="145">
        <f>IF(NOTA[[#This Row],[CONCAT1]]="","",MATCH(NOTA[[#This Row],[CONCAT1]],[3]!db[NB NOTA_C],0)+1)</f>
        <v>1207</v>
      </c>
    </row>
    <row r="11" spans="1:43" ht="20.100000000000001" customHeight="1" x14ac:dyDescent="0.25">
      <c r="A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6" t="str">
        <f>IF(NOTA[[#This Row],[ID_P]]="","",MATCH(NOTA[[#This Row],[ID_P]],[1]!B_MSK[N_ID],0))</f>
        <v/>
      </c>
      <c r="D11" s="36">
        <f ca="1">IF(NOTA[[#This Row],[NAMA BARANG]]="","",INDEX(NOTA[ID],MATCH(,INDIRECT(ADDRESS(ROW(NOTA[ID]),COLUMN(NOTA[ID]))&amp;":"&amp;ADDRESS(ROW(),COLUMN(NOTA[ID]))),-1)))</f>
        <v>1</v>
      </c>
      <c r="E11" s="14"/>
      <c r="F11" s="16"/>
      <c r="G11" s="16"/>
      <c r="H11" s="20"/>
      <c r="I11" s="16"/>
      <c r="J11" s="37"/>
      <c r="K11" s="16"/>
      <c r="L11" s="16" t="s">
        <v>105</v>
      </c>
      <c r="M11" s="28">
        <v>1</v>
      </c>
      <c r="N11" s="16"/>
      <c r="O11" s="16"/>
      <c r="P11" s="35"/>
      <c r="Q11" s="38">
        <v>2995200</v>
      </c>
      <c r="R11" s="28" t="s">
        <v>151</v>
      </c>
      <c r="S11" s="39">
        <v>0.17</v>
      </c>
      <c r="T11" s="39"/>
      <c r="U11" s="40"/>
      <c r="V11" s="26"/>
      <c r="W11" s="40">
        <f>IF(NOTA[[#This Row],[HARGA/ CTN]]="",NOTA[[#This Row],[JUMLAH_H]],NOTA[[#This Row],[HARGA/ CTN]]*IF(NOTA[[#This Row],[C]]="",0,NOTA[[#This Row],[C]]))</f>
        <v>2995200</v>
      </c>
      <c r="X11" s="40">
        <f>IF(NOTA[[#This Row],[JUMLAH]]="","",NOTA[[#This Row],[JUMLAH]]*NOTA[[#This Row],[DISC 1]])</f>
        <v>509184.00000000006</v>
      </c>
      <c r="Y11" s="40">
        <f>IF(NOTA[[#This Row],[JUMLAH]]="","",(NOTA[[#This Row],[JUMLAH]]-NOTA[[#This Row],[DISC 1-]])*NOTA[[#This Row],[DISC 2]])</f>
        <v>0</v>
      </c>
      <c r="Z11" s="40">
        <f>IF(NOTA[[#This Row],[JUMLAH]]="","",NOTA[[#This Row],[DISC 1-]]+NOTA[[#This Row],[DISC 2-]])</f>
        <v>509184.00000000006</v>
      </c>
      <c r="AA11" s="40">
        <f>IF(NOTA[[#This Row],[JUMLAH]]="","",NOTA[[#This Row],[JUMLAH]]-NOTA[[#This Row],[DISC]])</f>
        <v>2486016</v>
      </c>
      <c r="AB11" s="40"/>
      <c r="AC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3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11" s="40" t="str">
        <f>IF(OR(NOTA[[#This Row],[QTY]]="",NOTA[[#This Row],[HARGA SATUAN]]="",),"",NOTA[[#This Row],[QTY]]*NOTA[[#This Row],[HARGA SATUAN]])</f>
        <v/>
      </c>
      <c r="AG11" s="37">
        <f ca="1">IF(NOTA[ID_H]="","",INDEX(NOTA[TANGGAL],MATCH(,INDIRECT(ADDRESS(ROW(NOTA[TANGGAL]),COLUMN(NOTA[TANGGAL]))&amp;":"&amp;ADDRESS(ROW(),COLUMN(NOTA[TANGGAL]))),-1)))</f>
        <v>45045</v>
      </c>
      <c r="AH11" s="51" t="str">
        <f ca="1">IF(NOTA[[#This Row],[NAMA BARANG]]="","",INDEX(NOTA[SUPPLIER],MATCH(,INDIRECT(ADDRESS(ROW(NOTA[ID]),COLUMN(NOTA[ID]))&amp;":"&amp;ADDRESS(ROW(),COLUMN(NOTA[ID]))),-1)))</f>
        <v>KENKO SINAR INDONESIA</v>
      </c>
      <c r="AI11" s="51" t="str">
        <f ca="1">IF(NOTA[[#This Row],[ID_H]]="","",IF(NOTA[[#This Row],[FAKTUR]]="",INDIRECT(ADDRESS(ROW()-1,COLUMN())),NOTA[[#This Row],[FAKTUR]]))</f>
        <v>ARTO MORO</v>
      </c>
      <c r="AJ11" s="27" t="str">
        <f ca="1">IF(NOTA[[#This Row],[ID]]="","",COUNTIF(NOTA[ID_H],NOTA[[#This Row],[ID_H]]))</f>
        <v/>
      </c>
      <c r="AK11" s="27">
        <f ca="1">IF(NOTA[[#This Row],[TGL.NOTA]]="",IF(NOTA[[#This Row],[SUPPLIER_H]]="","",AK10),MONTH(NOTA[[#This Row],[TGL.NOTA]]))</f>
        <v>5</v>
      </c>
      <c r="AL11" s="27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M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N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27" t="str">
        <f>IF(NOTA[[#This Row],[CONCAT4]]="","",_xlfn.IFNA(MATCH(NOTA[[#This Row],[CONCAT4]],[2]!RAW[CONCAT_H],0),FALSE))</f>
        <v/>
      </c>
      <c r="AQ11" s="145">
        <f>IF(NOTA[[#This Row],[CONCAT1]]="","",MATCH(NOTA[[#This Row],[CONCAT1]],[3]!db[NB NOTA_C],0)+1)</f>
        <v>1230</v>
      </c>
    </row>
    <row r="12" spans="1:43" ht="20.100000000000001" customHeight="1" x14ac:dyDescent="0.25">
      <c r="A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6" t="str">
        <f>IF(NOTA[[#This Row],[ID_P]]="","",MATCH(NOTA[[#This Row],[ID_P]],[1]!B_MSK[N_ID],0))</f>
        <v/>
      </c>
      <c r="D12" s="36">
        <f ca="1">IF(NOTA[[#This Row],[NAMA BARANG]]="","",INDEX(NOTA[ID],MATCH(,INDIRECT(ADDRESS(ROW(NOTA[ID]),COLUMN(NOTA[ID]))&amp;":"&amp;ADDRESS(ROW(),COLUMN(NOTA[ID]))),-1)))</f>
        <v>1</v>
      </c>
      <c r="E12" s="14"/>
      <c r="F12" s="16"/>
      <c r="G12" s="16"/>
      <c r="H12" s="20"/>
      <c r="I12" s="16" t="s">
        <v>110</v>
      </c>
      <c r="J12" s="37"/>
      <c r="K12" s="16"/>
      <c r="L12" s="16" t="s">
        <v>104</v>
      </c>
      <c r="M12" s="28">
        <v>1</v>
      </c>
      <c r="N12" s="16"/>
      <c r="O12" s="16"/>
      <c r="P12" s="35"/>
      <c r="Q12" s="38">
        <v>3571200</v>
      </c>
      <c r="R12" s="28" t="s">
        <v>152</v>
      </c>
      <c r="S12" s="39">
        <v>0.17</v>
      </c>
      <c r="T12" s="39"/>
      <c r="U12" s="40"/>
      <c r="V12" s="26"/>
      <c r="W12" s="40">
        <f>IF(NOTA[[#This Row],[HARGA/ CTN]]="",NOTA[[#This Row],[JUMLAH_H]],NOTA[[#This Row],[HARGA/ CTN]]*IF(NOTA[[#This Row],[C]]="",0,NOTA[[#This Row],[C]]))</f>
        <v>3571200</v>
      </c>
      <c r="X12" s="40">
        <f>IF(NOTA[[#This Row],[JUMLAH]]="","",NOTA[[#This Row],[JUMLAH]]*NOTA[[#This Row],[DISC 1]])</f>
        <v>607104</v>
      </c>
      <c r="Y12" s="40">
        <f>IF(NOTA[[#This Row],[JUMLAH]]="","",(NOTA[[#This Row],[JUMLAH]]-NOTA[[#This Row],[DISC 1-]])*NOTA[[#This Row],[DISC 2]])</f>
        <v>0</v>
      </c>
      <c r="Z12" s="40">
        <f>IF(NOTA[[#This Row],[JUMLAH]]="","",NOTA[[#This Row],[DISC 1-]]+NOTA[[#This Row],[DISC 2-]])</f>
        <v>607104</v>
      </c>
      <c r="AA12" s="40">
        <f>IF(NOTA[[#This Row],[JUMLAH]]="","",NOTA[[#This Row],[JUMLAH]]-NOTA[[#This Row],[DISC]])</f>
        <v>2964096</v>
      </c>
      <c r="AB12" s="40"/>
      <c r="AC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25935336</v>
      </c>
      <c r="AD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126625464</v>
      </c>
      <c r="AE12" s="35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40" t="str">
        <f>IF(OR(NOTA[[#This Row],[QTY]]="",NOTA[[#This Row],[HARGA SATUAN]]="",),"",NOTA[[#This Row],[QTY]]*NOTA[[#This Row],[HARGA SATUAN]])</f>
        <v/>
      </c>
      <c r="AG12" s="37">
        <f ca="1">IF(NOTA[ID_H]="","",INDEX(NOTA[TANGGAL],MATCH(,INDIRECT(ADDRESS(ROW(NOTA[TANGGAL]),COLUMN(NOTA[TANGGAL]))&amp;":"&amp;ADDRESS(ROW(),COLUMN(NOTA[TANGGAL]))),-1)))</f>
        <v>45045</v>
      </c>
      <c r="AH12" s="51" t="str">
        <f ca="1">IF(NOTA[[#This Row],[NAMA BARANG]]="","",INDEX(NOTA[SUPPLIER],MATCH(,INDIRECT(ADDRESS(ROW(NOTA[ID]),COLUMN(NOTA[ID]))&amp;":"&amp;ADDRESS(ROW(),COLUMN(NOTA[ID]))),-1)))</f>
        <v>KENKO SINAR INDONESIA</v>
      </c>
      <c r="AI12" s="51" t="str">
        <f ca="1">IF(NOTA[[#This Row],[ID_H]]="","",IF(NOTA[[#This Row],[FAKTUR]]="",INDIRECT(ADDRESS(ROW()-1,COLUMN())),NOTA[[#This Row],[FAKTUR]]))</f>
        <v>ARTO MORO</v>
      </c>
      <c r="AJ12" s="27" t="str">
        <f ca="1">IF(NOTA[[#This Row],[ID]]="","",COUNTIF(NOTA[ID_H],NOTA[[#This Row],[ID_H]]))</f>
        <v/>
      </c>
      <c r="AK12" s="27">
        <f ca="1">IF(NOTA[[#This Row],[TGL.NOTA]]="",IF(NOTA[[#This Row],[SUPPLIER_H]]="","",AK11),MONTH(NOTA[[#This Row],[TGL.NOTA]]))</f>
        <v>5</v>
      </c>
      <c r="AL12" s="27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" s="27" t="str">
        <f>IF(NOTA[[#This Row],[CONCAT4]]="","",_xlfn.IFNA(MATCH(NOTA[[#This Row],[CONCAT4]],[2]!RAW[CONCAT_H],0),FALSE))</f>
        <v/>
      </c>
      <c r="AQ12" s="145">
        <f>IF(NOTA[[#This Row],[CONCAT1]]="","",MATCH(NOTA[[#This Row],[CONCAT1]],[3]!db[NB NOTA_C],0)+1)</f>
        <v>1125</v>
      </c>
    </row>
    <row r="13" spans="1:43" ht="20.100000000000001" customHeight="1" x14ac:dyDescent="0.25">
      <c r="A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6" t="str">
        <f>IF(NOTA[[#This Row],[ID_P]]="","",MATCH(NOTA[[#This Row],[ID_P]],[1]!B_MSK[N_ID],0))</f>
        <v/>
      </c>
      <c r="D13" s="36" t="str">
        <f ca="1">IF(NOTA[[#This Row],[NAMA BARANG]]="","",INDEX(NOTA[ID],MATCH(,INDIRECT(ADDRESS(ROW(NOTA[ID]),COLUMN(NOTA[ID]))&amp;":"&amp;ADDRESS(ROW(),COLUMN(NOTA[ID]))),-1)))</f>
        <v/>
      </c>
      <c r="E13" s="14"/>
      <c r="F13" s="16"/>
      <c r="G13" s="16"/>
      <c r="H13" s="20"/>
      <c r="I13" s="16"/>
      <c r="J13" s="37"/>
      <c r="K13" s="16"/>
      <c r="L13" s="16"/>
      <c r="M13" s="28"/>
      <c r="N13" s="16"/>
      <c r="O13" s="16"/>
      <c r="P13" s="35"/>
      <c r="Q13" s="38"/>
      <c r="R13" s="28"/>
      <c r="S13" s="39"/>
      <c r="T13" s="39"/>
      <c r="U13" s="40"/>
      <c r="V13" s="26"/>
      <c r="W13" s="40" t="str">
        <f>IF(NOTA[[#This Row],[HARGA/ CTN]]="",NOTA[[#This Row],[JUMLAH_H]],NOTA[[#This Row],[HARGA/ CTN]]*IF(NOTA[[#This Row],[C]]="",0,NOTA[[#This Row],[C]]))</f>
        <v/>
      </c>
      <c r="X13" s="40" t="str">
        <f>IF(NOTA[[#This Row],[JUMLAH]]="","",NOTA[[#This Row],[JUMLAH]]*NOTA[[#This Row],[DISC 1]])</f>
        <v/>
      </c>
      <c r="Y13" s="40" t="str">
        <f>IF(NOTA[[#This Row],[JUMLAH]]="","",(NOTA[[#This Row],[JUMLAH]]-NOTA[[#This Row],[DISC 1-]])*NOTA[[#This Row],[DISC 2]])</f>
        <v/>
      </c>
      <c r="Z13" s="40" t="str">
        <f>IF(NOTA[[#This Row],[JUMLAH]]="","",NOTA[[#This Row],[DISC 1-]]+NOTA[[#This Row],[DISC 2-]])</f>
        <v/>
      </c>
      <c r="AA13" s="40" t="str">
        <f>IF(NOTA[[#This Row],[JUMLAH]]="","",NOTA[[#This Row],[JUMLAH]]-NOTA[[#This Row],[DISC]])</f>
        <v/>
      </c>
      <c r="AB13" s="40"/>
      <c r="AC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" s="40" t="str">
        <f>IF(OR(NOTA[[#This Row],[QTY]]="",NOTA[[#This Row],[HARGA SATUAN]]="",),"",NOTA[[#This Row],[QTY]]*NOTA[[#This Row],[HARGA SATUAN]])</f>
        <v/>
      </c>
      <c r="AG13" s="37" t="str">
        <f ca="1">IF(NOTA[ID_H]="","",INDEX(NOTA[TANGGAL],MATCH(,INDIRECT(ADDRESS(ROW(NOTA[TANGGAL]),COLUMN(NOTA[TANGGAL]))&amp;":"&amp;ADDRESS(ROW(),COLUMN(NOTA[TANGGAL]))),-1)))</f>
        <v/>
      </c>
      <c r="AH13" s="51" t="str">
        <f ca="1">IF(NOTA[[#This Row],[NAMA BARANG]]="","",INDEX(NOTA[SUPPLIER],MATCH(,INDIRECT(ADDRESS(ROW(NOTA[ID]),COLUMN(NOTA[ID]))&amp;":"&amp;ADDRESS(ROW(),COLUMN(NOTA[ID]))),-1)))</f>
        <v/>
      </c>
      <c r="AI13" s="51" t="str">
        <f ca="1">IF(NOTA[[#This Row],[ID_H]]="","",IF(NOTA[[#This Row],[FAKTUR]]="",INDIRECT(ADDRESS(ROW()-1,COLUMN())),NOTA[[#This Row],[FAKTUR]]))</f>
        <v/>
      </c>
      <c r="AJ13" s="27" t="str">
        <f ca="1">IF(NOTA[[#This Row],[ID]]="","",COUNTIF(NOTA[ID_H],NOTA[[#This Row],[ID_H]]))</f>
        <v/>
      </c>
      <c r="AK13" s="27" t="str">
        <f ca="1">IF(NOTA[[#This Row],[TGL.NOTA]]="",IF(NOTA[[#This Row],[SUPPLIER_H]]="","",AK12),MONTH(NOTA[[#This Row],[TGL.NOTA]]))</f>
        <v/>
      </c>
      <c r="AL13" s="27" t="str">
        <f>LOWER(SUBSTITUTE(SUBSTITUTE(SUBSTITUTE(SUBSTITUTE(SUBSTITUTE(SUBSTITUTE(SUBSTITUTE(SUBSTITUTE(SUBSTITUTE(NOTA[NAMA BARANG]," ",),".",""),"-",""),"(",""),")",""),",",""),"/",""),"""",""),"+",""))</f>
        <v/>
      </c>
      <c r="AM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27" t="str">
        <f>IF(NOTA[[#This Row],[CONCAT4]]="","",_xlfn.IFNA(MATCH(NOTA[[#This Row],[CONCAT4]],[2]!RAW[CONCAT_H],0),FALSE))</f>
        <v/>
      </c>
      <c r="AQ13" s="145" t="str">
        <f>IF(NOTA[[#This Row],[CONCAT1]]="","",MATCH(NOTA[[#This Row],[CONCAT1]],[3]!db[NB NOTA_C],0)+1)</f>
        <v/>
      </c>
    </row>
    <row r="14" spans="1:43" ht="20.100000000000001" customHeight="1" x14ac:dyDescent="0.25">
      <c r="A14" s="35">
        <f ca="1">IF(INDIRECT(ADDRESS(ROW()-1,COLUMN(NOTA[[#Headers],[ID]])))="ID",1,IF(NOTA[[#This Row],[FAKTUR]]="","",COUNT(INDIRECT(ADDRESS(ROW(NOTA[ID]),COLUMN(NOTA[ID]))&amp;":"&amp;ADDRESS(ROW()-1,COLUMN(NOTA[ID]))))+1))</f>
        <v>2</v>
      </c>
      <c r="B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SBS_0305_-9</v>
      </c>
      <c r="C14" s="36" t="e">
        <f ca="1">IF(NOTA[[#This Row],[ID_P]]="","",MATCH(NOTA[[#This Row],[ID_P]],[1]!B_MSK[N_ID],0))</f>
        <v>#REF!</v>
      </c>
      <c r="D14" s="36">
        <f ca="1">IF(NOTA[[#This Row],[NAMA BARANG]]="","",INDEX(NOTA[ID],MATCH(,INDIRECT(ADDRESS(ROW(NOTA[ID]),COLUMN(NOTA[ID]))&amp;":"&amp;ADDRESS(ROW(),COLUMN(NOTA[ID]))),-1)))</f>
        <v>2</v>
      </c>
      <c r="E14" s="14">
        <v>45049</v>
      </c>
      <c r="F14" s="16" t="s">
        <v>111</v>
      </c>
      <c r="G14" s="16" t="s">
        <v>112</v>
      </c>
      <c r="H14" s="20"/>
      <c r="I14" s="20" t="s">
        <v>113</v>
      </c>
      <c r="J14" s="37">
        <v>45029</v>
      </c>
      <c r="K14" s="16"/>
      <c r="L14" s="16" t="s">
        <v>114</v>
      </c>
      <c r="M14" s="28">
        <v>5</v>
      </c>
      <c r="N14" s="16"/>
      <c r="O14" s="16"/>
      <c r="P14" s="35"/>
      <c r="Q14" s="38"/>
      <c r="R14" s="28"/>
      <c r="S14" s="39"/>
      <c r="T14" s="39"/>
      <c r="U14" s="40"/>
      <c r="V14" s="26" t="s">
        <v>123</v>
      </c>
      <c r="W14" s="40" t="str">
        <f>IF(NOTA[[#This Row],[HARGA/ CTN]]="",NOTA[[#This Row],[JUMLAH_H]],NOTA[[#This Row],[HARGA/ CTN]]*IF(NOTA[[#This Row],[C]]="",0,NOTA[[#This Row],[C]]))</f>
        <v/>
      </c>
      <c r="X14" s="40" t="str">
        <f>IF(NOTA[[#This Row],[JUMLAH]]="","",NOTA[[#This Row],[JUMLAH]]*NOTA[[#This Row],[DISC 1]])</f>
        <v/>
      </c>
      <c r="Y14" s="40" t="str">
        <f>IF(NOTA[[#This Row],[JUMLAH]]="","",(NOTA[[#This Row],[JUMLAH]]-NOTA[[#This Row],[DISC 1-]])*NOTA[[#This Row],[DISC 2]])</f>
        <v/>
      </c>
      <c r="Z14" s="40" t="str">
        <f>IF(NOTA[[#This Row],[JUMLAH]]="","",NOTA[[#This Row],[DISC 1-]]+NOTA[[#This Row],[DISC 2-]])</f>
        <v/>
      </c>
      <c r="AA14" s="40" t="str">
        <f>IF(NOTA[[#This Row],[JUMLAH]]="","",NOTA[[#This Row],[JUMLAH]]-NOTA[[#This Row],[DISC]])</f>
        <v/>
      </c>
      <c r="AB14" s="40"/>
      <c r="AC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" s="40" t="str">
        <f>IF(OR(NOTA[[#This Row],[QTY]]="",NOTA[[#This Row],[HARGA SATUAN]]="",),"",NOTA[[#This Row],[QTY]]*NOTA[[#This Row],[HARGA SATUAN]])</f>
        <v/>
      </c>
      <c r="AG14" s="37">
        <f ca="1">IF(NOTA[ID_H]="","",INDEX(NOTA[TANGGAL],MATCH(,INDIRECT(ADDRESS(ROW(NOTA[TANGGAL]),COLUMN(NOTA[TANGGAL]))&amp;":"&amp;ADDRESS(ROW(),COLUMN(NOTA[TANGGAL]))),-1)))</f>
        <v>45049</v>
      </c>
      <c r="AH14" s="35" t="str">
        <f ca="1">IF(NOTA[[#This Row],[NAMA BARANG]]="","",INDEX(NOTA[SUPPLIER],MATCH(,INDIRECT(ADDRESS(ROW(NOTA[ID]),COLUMN(NOTA[ID]))&amp;":"&amp;ADDRESS(ROW(),COLUMN(NOTA[ID]))),-1)))</f>
        <v>SBS</v>
      </c>
      <c r="AI14" s="35" t="str">
        <f ca="1">IF(NOTA[[#This Row],[ID_H]]="","",IF(NOTA[[#This Row],[FAKTUR]]="",INDIRECT(ADDRESS(ROW()-1,COLUMN())),NOTA[[#This Row],[FAKTUR]]))</f>
        <v>UNTANA</v>
      </c>
      <c r="AJ14" s="27">
        <f ca="1">IF(NOTA[[#This Row],[ID]]="","",COUNTIF(NOTA[ID_H],NOTA[[#This Row],[ID_H]]))</f>
        <v>9</v>
      </c>
      <c r="AK14" s="27">
        <f>IF(NOTA[[#This Row],[TGL.NOTA]]="",IF(NOTA[[#This Row],[SUPPLIER_H]]="","",#REF!),MONTH(NOTA[[#This Row],[TGL.NOTA]]))</f>
        <v>4</v>
      </c>
      <c r="AL14" s="27" t="str">
        <f>LOWER(SUBSTITUTE(SUBSTITUTE(SUBSTITUTE(SUBSTITUTE(SUBSTITUTE(SUBSTITUTE(SUBSTITUTE(SUBSTITUTE(SUBSTITUTE(NOTA[NAMA BARANG]," ",),".",""),"-",""),"(",""),")",""),",",""),"/",""),"""",""),"+",""))</f>
        <v>looseleafa5100grvintage</v>
      </c>
      <c r="AM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looseleafa5100grvintage0</v>
      </c>
      <c r="AN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looseleafa5100grvintage0</v>
      </c>
      <c r="AO14" s="27" t="str">
        <f>IF(NOTA[[#This Row],[SUPPLIER]]="","",NOTA[[#This Row],[SUPPLIER]]&amp;NOTA[[#This Row],[FAKTUR]]&amp;NOTA[[#This Row],[NO.NOTA]]&amp;NOTA[[#This Row],[NO.SJ]]&amp;NOTA[[#This Row],[TGL.NOTA]]&amp;NOTA[[#This Row],[CONCAT1]])</f>
        <v>SBSUNTANATH08/4/202345029looseleafa5100grvintage</v>
      </c>
      <c r="AP14" s="27" t="e">
        <f>IF(NOTA[[#This Row],[CONCAT4]]="","",_xlfn.IFNA(MATCH(NOTA[[#This Row],[CONCAT4]],[2]!RAW[CONCAT_H],0),FALSE))</f>
        <v>#REF!</v>
      </c>
      <c r="AQ14" s="145" t="e">
        <f>IF(NOTA[[#This Row],[CONCAT1]]="","",MATCH(NOTA[[#This Row],[CONCAT1]],[3]!db[NB NOTA_C],0)+1)</f>
        <v>#N/A</v>
      </c>
    </row>
    <row r="15" spans="1:43" ht="20.100000000000001" customHeight="1" x14ac:dyDescent="0.25">
      <c r="A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6" t="str">
        <f>IF(NOTA[[#This Row],[ID_P]]="","",MATCH(NOTA[[#This Row],[ID_P]],[1]!B_MSK[N_ID],0))</f>
        <v/>
      </c>
      <c r="D15" s="36">
        <f ca="1">IF(NOTA[[#This Row],[NAMA BARANG]]="","",INDEX(NOTA[ID],MATCH(,INDIRECT(ADDRESS(ROW(NOTA[ID]),COLUMN(NOTA[ID]))&amp;":"&amp;ADDRESS(ROW(),COLUMN(NOTA[ID]))),-1)))</f>
        <v>2</v>
      </c>
      <c r="E15" s="14"/>
      <c r="F15" s="16"/>
      <c r="G15" s="16"/>
      <c r="H15" s="20"/>
      <c r="I15" s="16"/>
      <c r="J15" s="37"/>
      <c r="K15" s="16"/>
      <c r="L15" s="16" t="s">
        <v>115</v>
      </c>
      <c r="M15" s="28">
        <v>5</v>
      </c>
      <c r="N15" s="16"/>
      <c r="O15" s="16"/>
      <c r="P15" s="35"/>
      <c r="Q15" s="38"/>
      <c r="R15" s="28"/>
      <c r="S15" s="39"/>
      <c r="T15" s="39"/>
      <c r="U15" s="40"/>
      <c r="V15" s="26" t="s">
        <v>123</v>
      </c>
      <c r="W15" s="40" t="str">
        <f>IF(NOTA[[#This Row],[HARGA/ CTN]]="",NOTA[[#This Row],[JUMLAH_H]],NOTA[[#This Row],[HARGA/ CTN]]*IF(NOTA[[#This Row],[C]]="",0,NOTA[[#This Row],[C]]))</f>
        <v/>
      </c>
      <c r="X15" s="40" t="str">
        <f>IF(NOTA[[#This Row],[JUMLAH]]="","",NOTA[[#This Row],[JUMLAH]]*NOTA[[#This Row],[DISC 1]])</f>
        <v/>
      </c>
      <c r="Y15" s="40" t="str">
        <f>IF(NOTA[[#This Row],[JUMLAH]]="","",(NOTA[[#This Row],[JUMLAH]]-NOTA[[#This Row],[DISC 1-]])*NOTA[[#This Row],[DISC 2]])</f>
        <v/>
      </c>
      <c r="Z15" s="40" t="str">
        <f>IF(NOTA[[#This Row],[JUMLAH]]="","",NOTA[[#This Row],[DISC 1-]]+NOTA[[#This Row],[DISC 2-]])</f>
        <v/>
      </c>
      <c r="AA15" s="40" t="str">
        <f>IF(NOTA[[#This Row],[JUMLAH]]="","",NOTA[[#This Row],[JUMLAH]]-NOTA[[#This Row],[DISC]])</f>
        <v/>
      </c>
      <c r="AB15" s="40"/>
      <c r="AC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" s="40" t="str">
        <f>IF(OR(NOTA[[#This Row],[QTY]]="",NOTA[[#This Row],[HARGA SATUAN]]="",),"",NOTA[[#This Row],[QTY]]*NOTA[[#This Row],[HARGA SATUAN]])</f>
        <v/>
      </c>
      <c r="AG15" s="37">
        <f ca="1">IF(NOTA[ID_H]="","",INDEX(NOTA[TANGGAL],MATCH(,INDIRECT(ADDRESS(ROW(NOTA[TANGGAL]),COLUMN(NOTA[TANGGAL]))&amp;":"&amp;ADDRESS(ROW(),COLUMN(NOTA[TANGGAL]))),-1)))</f>
        <v>45049</v>
      </c>
      <c r="AH15" s="35" t="str">
        <f ca="1">IF(NOTA[[#This Row],[NAMA BARANG]]="","",INDEX(NOTA[SUPPLIER],MATCH(,INDIRECT(ADDRESS(ROW(NOTA[ID]),COLUMN(NOTA[ID]))&amp;":"&amp;ADDRESS(ROW(),COLUMN(NOTA[ID]))),-1)))</f>
        <v>SBS</v>
      </c>
      <c r="AI15" s="35" t="str">
        <f ca="1">IF(NOTA[[#This Row],[ID_H]]="","",IF(NOTA[[#This Row],[FAKTUR]]="",INDIRECT(ADDRESS(ROW()-1,COLUMN())),NOTA[[#This Row],[FAKTUR]]))</f>
        <v>UNTANA</v>
      </c>
      <c r="AJ15" s="27" t="str">
        <f ca="1">IF(NOTA[[#This Row],[ID]]="","",COUNTIF(NOTA[ID_H],NOTA[[#This Row],[ID_H]]))</f>
        <v/>
      </c>
      <c r="AK15" s="27">
        <f ca="1">IF(NOTA[[#This Row],[TGL.NOTA]]="",IF(NOTA[[#This Row],[SUPPLIER_H]]="","",AK14),MONTH(NOTA[[#This Row],[TGL.NOTA]]))</f>
        <v>4</v>
      </c>
      <c r="AL15" s="27" t="str">
        <f>LOWER(SUBSTITUTE(SUBSTITUTE(SUBSTITUTE(SUBSTITUTE(SUBSTITUTE(SUBSTITUTE(SUBSTITUTE(SUBSTITUTE(SUBSTITUTE(NOTA[NAMA BARANG]," ",),".",""),"-",""),"(",""),")",""),",",""),"/",""),"""",""),"+",""))</f>
        <v>looseleafa5100grfr</v>
      </c>
      <c r="AM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looseleafa5100grfr0</v>
      </c>
      <c r="AN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looseleafa5100grfr0</v>
      </c>
      <c r="AO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27" t="str">
        <f>IF(NOTA[[#This Row],[CONCAT4]]="","",_xlfn.IFNA(MATCH(NOTA[[#This Row],[CONCAT4]],[2]!RAW[CONCAT_H],0),FALSE))</f>
        <v/>
      </c>
      <c r="AQ15" s="145" t="e">
        <f>IF(NOTA[[#This Row],[CONCAT1]]="","",MATCH(NOTA[[#This Row],[CONCAT1]],[3]!db[NB NOTA_C],0)+1)</f>
        <v>#N/A</v>
      </c>
    </row>
    <row r="16" spans="1:43" ht="20.100000000000001" customHeight="1" x14ac:dyDescent="0.25">
      <c r="A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6" t="str">
        <f>IF(NOTA[[#This Row],[ID_P]]="","",MATCH(NOTA[[#This Row],[ID_P]],[1]!B_MSK[N_ID],0))</f>
        <v/>
      </c>
      <c r="D16" s="36">
        <f ca="1">IF(NOTA[[#This Row],[NAMA BARANG]]="","",INDEX(NOTA[ID],MATCH(,INDIRECT(ADDRESS(ROW(NOTA[ID]),COLUMN(NOTA[ID]))&amp;":"&amp;ADDRESS(ROW(),COLUMN(NOTA[ID]))),-1)))</f>
        <v>2</v>
      </c>
      <c r="E16" s="14"/>
      <c r="F16" s="16"/>
      <c r="G16" s="16"/>
      <c r="H16" s="20"/>
      <c r="I16" s="16"/>
      <c r="J16" s="37"/>
      <c r="K16" s="16"/>
      <c r="L16" s="16" t="s">
        <v>116</v>
      </c>
      <c r="M16" s="28">
        <v>5</v>
      </c>
      <c r="N16" s="16"/>
      <c r="O16" s="16"/>
      <c r="P16" s="35"/>
      <c r="Q16" s="38"/>
      <c r="R16" s="28"/>
      <c r="S16" s="39"/>
      <c r="T16" s="39"/>
      <c r="U16" s="40"/>
      <c r="V16" s="26" t="s">
        <v>123</v>
      </c>
      <c r="W16" s="40" t="str">
        <f>IF(NOTA[[#This Row],[HARGA/ CTN]]="",NOTA[[#This Row],[JUMLAH_H]],NOTA[[#This Row],[HARGA/ CTN]]*IF(NOTA[[#This Row],[C]]="",0,NOTA[[#This Row],[C]]))</f>
        <v/>
      </c>
      <c r="X16" s="40" t="str">
        <f>IF(NOTA[[#This Row],[JUMLAH]]="","",NOTA[[#This Row],[JUMLAH]]*NOTA[[#This Row],[DISC 1]])</f>
        <v/>
      </c>
      <c r="Y16" s="40" t="str">
        <f>IF(NOTA[[#This Row],[JUMLAH]]="","",(NOTA[[#This Row],[JUMLAH]]-NOTA[[#This Row],[DISC 1-]])*NOTA[[#This Row],[DISC 2]])</f>
        <v/>
      </c>
      <c r="Z16" s="40" t="str">
        <f>IF(NOTA[[#This Row],[JUMLAH]]="","",NOTA[[#This Row],[DISC 1-]]+NOTA[[#This Row],[DISC 2-]])</f>
        <v/>
      </c>
      <c r="AA16" s="40" t="str">
        <f>IF(NOTA[[#This Row],[JUMLAH]]="","",NOTA[[#This Row],[JUMLAH]]-NOTA[[#This Row],[DISC]])</f>
        <v/>
      </c>
      <c r="AB16" s="40"/>
      <c r="AC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6" s="40" t="str">
        <f>IF(OR(NOTA[[#This Row],[QTY]]="",NOTA[[#This Row],[HARGA SATUAN]]="",),"",NOTA[[#This Row],[QTY]]*NOTA[[#This Row],[HARGA SATUAN]])</f>
        <v/>
      </c>
      <c r="AG16" s="37">
        <f ca="1">IF(NOTA[ID_H]="","",INDEX(NOTA[TANGGAL],MATCH(,INDIRECT(ADDRESS(ROW(NOTA[TANGGAL]),COLUMN(NOTA[TANGGAL]))&amp;":"&amp;ADDRESS(ROW(),COLUMN(NOTA[TANGGAL]))),-1)))</f>
        <v>45049</v>
      </c>
      <c r="AH16" s="35" t="str">
        <f ca="1">IF(NOTA[[#This Row],[NAMA BARANG]]="","",INDEX(NOTA[SUPPLIER],MATCH(,INDIRECT(ADDRESS(ROW(NOTA[ID]),COLUMN(NOTA[ID]))&amp;":"&amp;ADDRESS(ROW(),COLUMN(NOTA[ID]))),-1)))</f>
        <v>SBS</v>
      </c>
      <c r="AI16" s="35" t="str">
        <f ca="1">IF(NOTA[[#This Row],[ID_H]]="","",IF(NOTA[[#This Row],[FAKTUR]]="",INDIRECT(ADDRESS(ROW()-1,COLUMN())),NOTA[[#This Row],[FAKTUR]]))</f>
        <v>UNTANA</v>
      </c>
      <c r="AJ16" s="27" t="str">
        <f ca="1">IF(NOTA[[#This Row],[ID]]="","",COUNTIF(NOTA[ID_H],NOTA[[#This Row],[ID_H]]))</f>
        <v/>
      </c>
      <c r="AK16" s="27">
        <f ca="1">IF(NOTA[[#This Row],[TGL.NOTA]]="",IF(NOTA[[#This Row],[SUPPLIER_H]]="","",AK15),MONTH(NOTA[[#This Row],[TGL.NOTA]]))</f>
        <v>4</v>
      </c>
      <c r="AL16" s="27" t="str">
        <f>LOWER(SUBSTITUTE(SUBSTITUTE(SUBSTITUTE(SUBSTITUTE(SUBSTITUTE(SUBSTITUTE(SUBSTITUTE(SUBSTITUTE(SUBSTITUTE(NOTA[NAMA BARANG]," ",),".",""),"-",""),"(",""),")",""),",",""),"/",""),"""",""),"+",""))</f>
        <v>looseleafa5100grhk</v>
      </c>
      <c r="AM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looseleafa5100grhk0</v>
      </c>
      <c r="AN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looseleafa5100grhk0</v>
      </c>
      <c r="AO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27" t="str">
        <f>IF(NOTA[[#This Row],[CONCAT4]]="","",_xlfn.IFNA(MATCH(NOTA[[#This Row],[CONCAT4]],[2]!RAW[CONCAT_H],0),FALSE))</f>
        <v/>
      </c>
      <c r="AQ16" s="145" t="e">
        <f>IF(NOTA[[#This Row],[CONCAT1]]="","",MATCH(NOTA[[#This Row],[CONCAT1]],[3]!db[NB NOTA_C],0)+1)</f>
        <v>#N/A</v>
      </c>
    </row>
    <row r="17" spans="1:43" ht="20.100000000000001" customHeight="1" x14ac:dyDescent="0.25">
      <c r="A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6" t="str">
        <f>IF(NOTA[[#This Row],[ID_P]]="","",MATCH(NOTA[[#This Row],[ID_P]],[1]!B_MSK[N_ID],0))</f>
        <v/>
      </c>
      <c r="D17" s="36">
        <f ca="1">IF(NOTA[[#This Row],[NAMA BARANG]]="","",INDEX(NOTA[ID],MATCH(,INDIRECT(ADDRESS(ROW(NOTA[ID]),COLUMN(NOTA[ID]))&amp;":"&amp;ADDRESS(ROW(),COLUMN(NOTA[ID]))),-1)))</f>
        <v>2</v>
      </c>
      <c r="E17" s="14"/>
      <c r="F17" s="16"/>
      <c r="G17" s="16"/>
      <c r="H17" s="20"/>
      <c r="I17" s="16"/>
      <c r="J17" s="37"/>
      <c r="K17" s="16"/>
      <c r="L17" s="16" t="s">
        <v>117</v>
      </c>
      <c r="M17" s="28">
        <v>5</v>
      </c>
      <c r="N17" s="16"/>
      <c r="O17" s="16"/>
      <c r="P17" s="35"/>
      <c r="Q17" s="38"/>
      <c r="R17" s="28"/>
      <c r="S17" s="39"/>
      <c r="T17" s="39"/>
      <c r="U17" s="40"/>
      <c r="V17" s="26" t="s">
        <v>123</v>
      </c>
      <c r="W17" s="40" t="str">
        <f>IF(NOTA[[#This Row],[HARGA/ CTN]]="",NOTA[[#This Row],[JUMLAH_H]],NOTA[[#This Row],[HARGA/ CTN]]*IF(NOTA[[#This Row],[C]]="",0,NOTA[[#This Row],[C]]))</f>
        <v/>
      </c>
      <c r="X17" s="40" t="str">
        <f>IF(NOTA[[#This Row],[JUMLAH]]="","",NOTA[[#This Row],[JUMLAH]]*NOTA[[#This Row],[DISC 1]])</f>
        <v/>
      </c>
      <c r="Y17" s="40" t="str">
        <f>IF(NOTA[[#This Row],[JUMLAH]]="","",(NOTA[[#This Row],[JUMLAH]]-NOTA[[#This Row],[DISC 1-]])*NOTA[[#This Row],[DISC 2]])</f>
        <v/>
      </c>
      <c r="Z17" s="40" t="str">
        <f>IF(NOTA[[#This Row],[JUMLAH]]="","",NOTA[[#This Row],[DISC 1-]]+NOTA[[#This Row],[DISC 2-]])</f>
        <v/>
      </c>
      <c r="AA17" s="40" t="str">
        <f>IF(NOTA[[#This Row],[JUMLAH]]="","",NOTA[[#This Row],[JUMLAH]]-NOTA[[#This Row],[DISC]])</f>
        <v/>
      </c>
      <c r="AB17" s="40"/>
      <c r="AC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7" s="40" t="str">
        <f>IF(OR(NOTA[[#This Row],[QTY]]="",NOTA[[#This Row],[HARGA SATUAN]]="",),"",NOTA[[#This Row],[QTY]]*NOTA[[#This Row],[HARGA SATUAN]])</f>
        <v/>
      </c>
      <c r="AG17" s="37">
        <f ca="1">IF(NOTA[ID_H]="","",INDEX(NOTA[TANGGAL],MATCH(,INDIRECT(ADDRESS(ROW(NOTA[TANGGAL]),COLUMN(NOTA[TANGGAL]))&amp;":"&amp;ADDRESS(ROW(),COLUMN(NOTA[TANGGAL]))),-1)))</f>
        <v>45049</v>
      </c>
      <c r="AH17" s="35" t="str">
        <f ca="1">IF(NOTA[[#This Row],[NAMA BARANG]]="","",INDEX(NOTA[SUPPLIER],MATCH(,INDIRECT(ADDRESS(ROW(NOTA[ID]),COLUMN(NOTA[ID]))&amp;":"&amp;ADDRESS(ROW(),COLUMN(NOTA[ID]))),-1)))</f>
        <v>SBS</v>
      </c>
      <c r="AI17" s="35" t="str">
        <f ca="1">IF(NOTA[[#This Row],[ID_H]]="","",IF(NOTA[[#This Row],[FAKTUR]]="",INDIRECT(ADDRESS(ROW()-1,COLUMN())),NOTA[[#This Row],[FAKTUR]]))</f>
        <v>UNTANA</v>
      </c>
      <c r="AJ17" s="27" t="str">
        <f ca="1">IF(NOTA[[#This Row],[ID]]="","",COUNTIF(NOTA[ID_H],NOTA[[#This Row],[ID_H]]))</f>
        <v/>
      </c>
      <c r="AK17" s="27">
        <f ca="1">IF(NOTA[[#This Row],[TGL.NOTA]]="",IF(NOTA[[#This Row],[SUPPLIER_H]]="","",AK16),MONTH(NOTA[[#This Row],[TGL.NOTA]]))</f>
        <v>4</v>
      </c>
      <c r="AL17" s="27" t="str">
        <f>LOWER(SUBSTITUTE(SUBSTITUTE(SUBSTITUTE(SUBSTITUTE(SUBSTITUTE(SUBSTITUTE(SUBSTITUTE(SUBSTITUTE(SUBSTITUTE(NOTA[NAMA BARANG]," ",),".",""),"-",""),"(",""),")",""),",",""),"/",""),"""",""),"+",""))</f>
        <v>looseleafa5100grtsum</v>
      </c>
      <c r="AM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looseleafa5100grtsum0</v>
      </c>
      <c r="AN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looseleafa5100grtsum0</v>
      </c>
      <c r="AO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27" t="str">
        <f>IF(NOTA[[#This Row],[CONCAT4]]="","",_xlfn.IFNA(MATCH(NOTA[[#This Row],[CONCAT4]],[2]!RAW[CONCAT_H],0),FALSE))</f>
        <v/>
      </c>
      <c r="AQ17" s="145" t="e">
        <f>IF(NOTA[[#This Row],[CONCAT1]]="","",MATCH(NOTA[[#This Row],[CONCAT1]],[3]!db[NB NOTA_C],0)+1)</f>
        <v>#N/A</v>
      </c>
    </row>
    <row r="18" spans="1:43" ht="20.100000000000001" customHeight="1" x14ac:dyDescent="0.25">
      <c r="A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6" t="str">
        <f>IF(NOTA[[#This Row],[ID_P]]="","",MATCH(NOTA[[#This Row],[ID_P]],[1]!B_MSK[N_ID],0))</f>
        <v/>
      </c>
      <c r="D18" s="36">
        <f ca="1">IF(NOTA[[#This Row],[NAMA BARANG]]="","",INDEX(NOTA[ID],MATCH(,INDIRECT(ADDRESS(ROW(NOTA[ID]),COLUMN(NOTA[ID]))&amp;":"&amp;ADDRESS(ROW(),COLUMN(NOTA[ID]))),-1)))</f>
        <v>2</v>
      </c>
      <c r="E18" s="14"/>
      <c r="F18" s="16"/>
      <c r="G18" s="16"/>
      <c r="H18" s="20"/>
      <c r="I18" s="16"/>
      <c r="J18" s="37"/>
      <c r="K18" s="16"/>
      <c r="L18" s="16" t="s">
        <v>118</v>
      </c>
      <c r="M18" s="28">
        <v>4</v>
      </c>
      <c r="N18" s="16"/>
      <c r="O18" s="16"/>
      <c r="P18" s="35"/>
      <c r="Q18" s="38"/>
      <c r="R18" s="28"/>
      <c r="S18" s="39"/>
      <c r="T18" s="39"/>
      <c r="U18" s="40"/>
      <c r="V18" s="26" t="s">
        <v>123</v>
      </c>
      <c r="W18" s="40" t="str">
        <f>IF(NOTA[[#This Row],[HARGA/ CTN]]="",NOTA[[#This Row],[JUMLAH_H]],NOTA[[#This Row],[HARGA/ CTN]]*IF(NOTA[[#This Row],[C]]="",0,NOTA[[#This Row],[C]]))</f>
        <v/>
      </c>
      <c r="X18" s="40" t="str">
        <f>IF(NOTA[[#This Row],[JUMLAH]]="","",NOTA[[#This Row],[JUMLAH]]*NOTA[[#This Row],[DISC 1]])</f>
        <v/>
      </c>
      <c r="Y18" s="40" t="str">
        <f>IF(NOTA[[#This Row],[JUMLAH]]="","",(NOTA[[#This Row],[JUMLAH]]-NOTA[[#This Row],[DISC 1-]])*NOTA[[#This Row],[DISC 2]])</f>
        <v/>
      </c>
      <c r="Z18" s="40" t="str">
        <f>IF(NOTA[[#This Row],[JUMLAH]]="","",NOTA[[#This Row],[DISC 1-]]+NOTA[[#This Row],[DISC 2-]])</f>
        <v/>
      </c>
      <c r="AA18" s="40" t="str">
        <f>IF(NOTA[[#This Row],[JUMLAH]]="","",NOTA[[#This Row],[JUMLAH]]-NOTA[[#This Row],[DISC]])</f>
        <v/>
      </c>
      <c r="AB18" s="40"/>
      <c r="AC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" s="40" t="str">
        <f>IF(OR(NOTA[[#This Row],[QTY]]="",NOTA[[#This Row],[HARGA SATUAN]]="",),"",NOTA[[#This Row],[QTY]]*NOTA[[#This Row],[HARGA SATUAN]])</f>
        <v/>
      </c>
      <c r="AG18" s="37">
        <f ca="1">IF(NOTA[ID_H]="","",INDEX(NOTA[TANGGAL],MATCH(,INDIRECT(ADDRESS(ROW(NOTA[TANGGAL]),COLUMN(NOTA[TANGGAL]))&amp;":"&amp;ADDRESS(ROW(),COLUMN(NOTA[TANGGAL]))),-1)))</f>
        <v>45049</v>
      </c>
      <c r="AH18" s="35" t="str">
        <f ca="1">IF(NOTA[[#This Row],[NAMA BARANG]]="","",INDEX(NOTA[SUPPLIER],MATCH(,INDIRECT(ADDRESS(ROW(NOTA[ID]),COLUMN(NOTA[ID]))&amp;":"&amp;ADDRESS(ROW(),COLUMN(NOTA[ID]))),-1)))</f>
        <v>SBS</v>
      </c>
      <c r="AI18" s="35" t="str">
        <f ca="1">IF(NOTA[[#This Row],[ID_H]]="","",IF(NOTA[[#This Row],[FAKTUR]]="",INDIRECT(ADDRESS(ROW()-1,COLUMN())),NOTA[[#This Row],[FAKTUR]]))</f>
        <v>UNTANA</v>
      </c>
      <c r="AJ18" s="27" t="str">
        <f ca="1">IF(NOTA[[#This Row],[ID]]="","",COUNTIF(NOTA[ID_H],NOTA[[#This Row],[ID_H]]))</f>
        <v/>
      </c>
      <c r="AK18" s="27">
        <f ca="1">IF(NOTA[[#This Row],[TGL.NOTA]]="",IF(NOTA[[#This Row],[SUPPLIER_H]]="","",AK17),MONTH(NOTA[[#This Row],[TGL.NOTA]]))</f>
        <v>4</v>
      </c>
      <c r="AL18" s="27" t="str">
        <f>LOWER(SUBSTITUTE(SUBSTITUTE(SUBSTITUTE(SUBSTITUTE(SUBSTITUTE(SUBSTITUTE(SUBSTITUTE(SUBSTITUTE(SUBSTITUTE(NOTA[NAMA BARANG]," ",),".",""),"-",""),"(",""),")",""),",",""),"/",""),"""",""),"+",""))</f>
        <v>corrtapedms304</v>
      </c>
      <c r="AM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corrtapedms3040</v>
      </c>
      <c r="AN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corrtapedms3040</v>
      </c>
      <c r="AO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27" t="str">
        <f>IF(NOTA[[#This Row],[CONCAT4]]="","",_xlfn.IFNA(MATCH(NOTA[[#This Row],[CONCAT4]],[2]!RAW[CONCAT_H],0),FALSE))</f>
        <v/>
      </c>
      <c r="AQ18" s="145" t="e">
        <f>IF(NOTA[[#This Row],[CONCAT1]]="","",MATCH(NOTA[[#This Row],[CONCAT1]],[3]!db[NB NOTA_C],0)+1)</f>
        <v>#N/A</v>
      </c>
    </row>
    <row r="19" spans="1:43" ht="20.100000000000001" customHeight="1" x14ac:dyDescent="0.25">
      <c r="A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6" t="str">
        <f>IF(NOTA[[#This Row],[ID_P]]="","",MATCH(NOTA[[#This Row],[ID_P]],[1]!B_MSK[N_ID],0))</f>
        <v/>
      </c>
      <c r="D19" s="36">
        <f ca="1">IF(NOTA[[#This Row],[NAMA BARANG]]="","",INDEX(NOTA[ID],MATCH(,INDIRECT(ADDRESS(ROW(NOTA[ID]),COLUMN(NOTA[ID]))&amp;":"&amp;ADDRESS(ROW(),COLUMN(NOTA[ID]))),-1)))</f>
        <v>2</v>
      </c>
      <c r="E19" s="14"/>
      <c r="F19" s="16"/>
      <c r="G19" s="16"/>
      <c r="H19" s="20"/>
      <c r="I19" s="16"/>
      <c r="J19" s="37"/>
      <c r="K19" s="16"/>
      <c r="L19" s="16" t="s">
        <v>120</v>
      </c>
      <c r="M19" s="28">
        <v>6</v>
      </c>
      <c r="N19" s="16"/>
      <c r="O19" s="16"/>
      <c r="P19" s="35"/>
      <c r="Q19" s="38"/>
      <c r="R19" s="28"/>
      <c r="S19" s="39"/>
      <c r="T19" s="39"/>
      <c r="U19" s="40"/>
      <c r="V19" s="26" t="s">
        <v>123</v>
      </c>
      <c r="W19" s="40" t="str">
        <f>IF(NOTA[[#This Row],[HARGA/ CTN]]="",NOTA[[#This Row],[JUMLAH_H]],NOTA[[#This Row],[HARGA/ CTN]]*IF(NOTA[[#This Row],[C]]="",0,NOTA[[#This Row],[C]]))</f>
        <v/>
      </c>
      <c r="X19" s="40" t="str">
        <f>IF(NOTA[[#This Row],[JUMLAH]]="","",NOTA[[#This Row],[JUMLAH]]*NOTA[[#This Row],[DISC 1]])</f>
        <v/>
      </c>
      <c r="Y19" s="40" t="str">
        <f>IF(NOTA[[#This Row],[JUMLAH]]="","",(NOTA[[#This Row],[JUMLAH]]-NOTA[[#This Row],[DISC 1-]])*NOTA[[#This Row],[DISC 2]])</f>
        <v/>
      </c>
      <c r="Z19" s="40" t="str">
        <f>IF(NOTA[[#This Row],[JUMLAH]]="","",NOTA[[#This Row],[DISC 1-]]+NOTA[[#This Row],[DISC 2-]])</f>
        <v/>
      </c>
      <c r="AA19" s="40" t="str">
        <f>IF(NOTA[[#This Row],[JUMLAH]]="","",NOTA[[#This Row],[JUMLAH]]-NOTA[[#This Row],[DISC]])</f>
        <v/>
      </c>
      <c r="AB19" s="40"/>
      <c r="AC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9" s="40" t="str">
        <f>IF(OR(NOTA[[#This Row],[QTY]]="",NOTA[[#This Row],[HARGA SATUAN]]="",),"",NOTA[[#This Row],[QTY]]*NOTA[[#This Row],[HARGA SATUAN]])</f>
        <v/>
      </c>
      <c r="AG19" s="37">
        <f ca="1">IF(NOTA[ID_H]="","",INDEX(NOTA[TANGGAL],MATCH(,INDIRECT(ADDRESS(ROW(NOTA[TANGGAL]),COLUMN(NOTA[TANGGAL]))&amp;":"&amp;ADDRESS(ROW(),COLUMN(NOTA[TANGGAL]))),-1)))</f>
        <v>45049</v>
      </c>
      <c r="AH19" s="35" t="str">
        <f ca="1">IF(NOTA[[#This Row],[NAMA BARANG]]="","",INDEX(NOTA[SUPPLIER],MATCH(,INDIRECT(ADDRESS(ROW(NOTA[ID]),COLUMN(NOTA[ID]))&amp;":"&amp;ADDRESS(ROW(),COLUMN(NOTA[ID]))),-1)))</f>
        <v>SBS</v>
      </c>
      <c r="AI19" s="35" t="str">
        <f ca="1">IF(NOTA[[#This Row],[ID_H]]="","",IF(NOTA[[#This Row],[FAKTUR]]="",INDIRECT(ADDRESS(ROW()-1,COLUMN())),NOTA[[#This Row],[FAKTUR]]))</f>
        <v>UNTANA</v>
      </c>
      <c r="AJ19" s="27" t="str">
        <f ca="1">IF(NOTA[[#This Row],[ID]]="","",COUNTIF(NOTA[ID_H],NOTA[[#This Row],[ID_H]]))</f>
        <v/>
      </c>
      <c r="AK19" s="27">
        <f ca="1">IF(NOTA[[#This Row],[TGL.NOTA]]="",IF(NOTA[[#This Row],[SUPPLIER_H]]="","",AK18),MONTH(NOTA[[#This Row],[TGL.NOTA]]))</f>
        <v>4</v>
      </c>
      <c r="AL19" s="27" t="str">
        <f>LOWER(SUBSTITUTE(SUBSTITUTE(SUBSTITUTE(SUBSTITUTE(SUBSTITUTE(SUBSTITUTE(SUBSTITUTE(SUBSTITUTE(SUBSTITUTE(NOTA[NAMA BARANG]," ",),".",""),"-",""),"(",""),")",""),",",""),"/",""),"""",""),"+",""))</f>
        <v>paletanggurbutek</v>
      </c>
      <c r="AM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paletanggurbutek0</v>
      </c>
      <c r="AN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paletanggurbutek0</v>
      </c>
      <c r="AO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27" t="str">
        <f>IF(NOTA[[#This Row],[CONCAT4]]="","",_xlfn.IFNA(MATCH(NOTA[[#This Row],[CONCAT4]],[2]!RAW[CONCAT_H],0),FALSE))</f>
        <v/>
      </c>
      <c r="AQ19" s="145" t="e">
        <f>IF(NOTA[[#This Row],[CONCAT1]]="","",MATCH(NOTA[[#This Row],[CONCAT1]],[3]!db[NB NOTA_C],0)+1)</f>
        <v>#N/A</v>
      </c>
    </row>
    <row r="20" spans="1:43" ht="20.100000000000001" customHeight="1" x14ac:dyDescent="0.25">
      <c r="A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6" t="str">
        <f>IF(NOTA[[#This Row],[ID_P]]="","",MATCH(NOTA[[#This Row],[ID_P]],[1]!B_MSK[N_ID],0))</f>
        <v/>
      </c>
      <c r="D20" s="36">
        <f ca="1">IF(NOTA[[#This Row],[NAMA BARANG]]="","",INDEX(NOTA[ID],MATCH(,INDIRECT(ADDRESS(ROW(NOTA[ID]),COLUMN(NOTA[ID]))&amp;":"&amp;ADDRESS(ROW(),COLUMN(NOTA[ID]))),-1)))</f>
        <v>2</v>
      </c>
      <c r="E20" s="14"/>
      <c r="F20" s="16"/>
      <c r="G20" s="16"/>
      <c r="H20" s="20"/>
      <c r="I20" s="16"/>
      <c r="J20" s="37"/>
      <c r="K20" s="16"/>
      <c r="L20" s="16" t="s">
        <v>119</v>
      </c>
      <c r="M20" s="28">
        <v>7</v>
      </c>
      <c r="N20" s="16"/>
      <c r="O20" s="16"/>
      <c r="P20" s="35"/>
      <c r="Q20" s="38"/>
      <c r="R20" s="28"/>
      <c r="S20" s="39"/>
      <c r="T20" s="39"/>
      <c r="U20" s="40"/>
      <c r="V20" s="26" t="s">
        <v>123</v>
      </c>
      <c r="W20" s="40" t="str">
        <f>IF(NOTA[[#This Row],[HARGA/ CTN]]="",NOTA[[#This Row],[JUMLAH_H]],NOTA[[#This Row],[HARGA/ CTN]]*IF(NOTA[[#This Row],[C]]="",0,NOTA[[#This Row],[C]]))</f>
        <v/>
      </c>
      <c r="X20" s="40" t="str">
        <f>IF(NOTA[[#This Row],[JUMLAH]]="","",NOTA[[#This Row],[JUMLAH]]*NOTA[[#This Row],[DISC 1]])</f>
        <v/>
      </c>
      <c r="Y20" s="40" t="str">
        <f>IF(NOTA[[#This Row],[JUMLAH]]="","",(NOTA[[#This Row],[JUMLAH]]-NOTA[[#This Row],[DISC 1-]])*NOTA[[#This Row],[DISC 2]])</f>
        <v/>
      </c>
      <c r="Z20" s="40" t="str">
        <f>IF(NOTA[[#This Row],[JUMLAH]]="","",NOTA[[#This Row],[DISC 1-]]+NOTA[[#This Row],[DISC 2-]])</f>
        <v/>
      </c>
      <c r="AA20" s="40" t="str">
        <f>IF(NOTA[[#This Row],[JUMLAH]]="","",NOTA[[#This Row],[JUMLAH]]-NOTA[[#This Row],[DISC]])</f>
        <v/>
      </c>
      <c r="AB20" s="40"/>
      <c r="AC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" s="40" t="str">
        <f>IF(OR(NOTA[[#This Row],[QTY]]="",NOTA[[#This Row],[HARGA SATUAN]]="",),"",NOTA[[#This Row],[QTY]]*NOTA[[#This Row],[HARGA SATUAN]])</f>
        <v/>
      </c>
      <c r="AG20" s="37">
        <f ca="1">IF(NOTA[ID_H]="","",INDEX(NOTA[TANGGAL],MATCH(,INDIRECT(ADDRESS(ROW(NOTA[TANGGAL]),COLUMN(NOTA[TANGGAL]))&amp;":"&amp;ADDRESS(ROW(),COLUMN(NOTA[TANGGAL]))),-1)))</f>
        <v>45049</v>
      </c>
      <c r="AH20" s="35" t="str">
        <f ca="1">IF(NOTA[[#This Row],[NAMA BARANG]]="","",INDEX(NOTA[SUPPLIER],MATCH(,INDIRECT(ADDRESS(ROW(NOTA[ID]),COLUMN(NOTA[ID]))&amp;":"&amp;ADDRESS(ROW(),COLUMN(NOTA[ID]))),-1)))</f>
        <v>SBS</v>
      </c>
      <c r="AI20" s="35" t="str">
        <f ca="1">IF(NOTA[[#This Row],[ID_H]]="","",IF(NOTA[[#This Row],[FAKTUR]]="",INDIRECT(ADDRESS(ROW()-1,COLUMN())),NOTA[[#This Row],[FAKTUR]]))</f>
        <v>UNTANA</v>
      </c>
      <c r="AJ20" s="27" t="str">
        <f ca="1">IF(NOTA[[#This Row],[ID]]="","",COUNTIF(NOTA[ID_H],NOTA[[#This Row],[ID_H]]))</f>
        <v/>
      </c>
      <c r="AK20" s="27">
        <f ca="1">IF(NOTA[[#This Row],[TGL.NOTA]]="",IF(NOTA[[#This Row],[SUPPLIER_H]]="","",AK19),MONTH(NOTA[[#This Row],[TGL.NOTA]]))</f>
        <v>4</v>
      </c>
      <c r="AL20" s="27" t="str">
        <f>LOWER(SUBSTITUTE(SUBSTITUTE(SUBSTITUTE(SUBSTITUTE(SUBSTITUTE(SUBSTITUTE(SUBSTITUTE(SUBSTITUTE(SUBSTITUTE(NOTA[NAMA BARANG]," ",),".",""),"-",""),"(",""),")",""),",",""),"/",""),"""",""),"+",""))</f>
        <v>paletapelbutek</v>
      </c>
      <c r="AM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paletapelbutek0</v>
      </c>
      <c r="AN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paletapelbutek0</v>
      </c>
      <c r="AO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" s="27" t="str">
        <f>IF(NOTA[[#This Row],[CONCAT4]]="","",_xlfn.IFNA(MATCH(NOTA[[#This Row],[CONCAT4]],[2]!RAW[CONCAT_H],0),FALSE))</f>
        <v/>
      </c>
      <c r="AQ20" s="145" t="e">
        <f>IF(NOTA[[#This Row],[CONCAT1]]="","",MATCH(NOTA[[#This Row],[CONCAT1]],[3]!db[NB NOTA_C],0)+1)</f>
        <v>#N/A</v>
      </c>
    </row>
    <row r="21" spans="1:43" ht="20.100000000000001" customHeight="1" x14ac:dyDescent="0.25">
      <c r="A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6" t="str">
        <f>IF(NOTA[[#This Row],[ID_P]]="","",MATCH(NOTA[[#This Row],[ID_P]],[1]!B_MSK[N_ID],0))</f>
        <v/>
      </c>
      <c r="D21" s="36">
        <f ca="1">IF(NOTA[[#This Row],[NAMA BARANG]]="","",INDEX(NOTA[ID],MATCH(,INDIRECT(ADDRESS(ROW(NOTA[ID]),COLUMN(NOTA[ID]))&amp;":"&amp;ADDRESS(ROW(),COLUMN(NOTA[ID]))),-1)))</f>
        <v>2</v>
      </c>
      <c r="E21" s="14"/>
      <c r="F21" s="16"/>
      <c r="G21" s="16"/>
      <c r="H21" s="20"/>
      <c r="I21" s="16"/>
      <c r="J21" s="37"/>
      <c r="K21" s="16"/>
      <c r="L21" s="16" t="s">
        <v>121</v>
      </c>
      <c r="M21" s="28">
        <v>5</v>
      </c>
      <c r="N21" s="16"/>
      <c r="O21" s="16"/>
      <c r="P21" s="35"/>
      <c r="Q21" s="38"/>
      <c r="R21" s="28"/>
      <c r="S21" s="39"/>
      <c r="T21" s="39"/>
      <c r="U21" s="40"/>
      <c r="V21" s="26" t="s">
        <v>123</v>
      </c>
      <c r="W21" s="40" t="str">
        <f>IF(NOTA[[#This Row],[HARGA/ CTN]]="",NOTA[[#This Row],[JUMLAH_H]],NOTA[[#This Row],[HARGA/ CTN]]*IF(NOTA[[#This Row],[C]]="",0,NOTA[[#This Row],[C]]))</f>
        <v/>
      </c>
      <c r="X21" s="40" t="str">
        <f>IF(NOTA[[#This Row],[JUMLAH]]="","",NOTA[[#This Row],[JUMLAH]]*NOTA[[#This Row],[DISC 1]])</f>
        <v/>
      </c>
      <c r="Y21" s="40" t="str">
        <f>IF(NOTA[[#This Row],[JUMLAH]]="","",(NOTA[[#This Row],[JUMLAH]]-NOTA[[#This Row],[DISC 1-]])*NOTA[[#This Row],[DISC 2]])</f>
        <v/>
      </c>
      <c r="Z21" s="40" t="str">
        <f>IF(NOTA[[#This Row],[JUMLAH]]="","",NOTA[[#This Row],[DISC 1-]]+NOTA[[#This Row],[DISC 2-]])</f>
        <v/>
      </c>
      <c r="AA21" s="40" t="str">
        <f>IF(NOTA[[#This Row],[JUMLAH]]="","",NOTA[[#This Row],[JUMLAH]]-NOTA[[#This Row],[DISC]])</f>
        <v/>
      </c>
      <c r="AB21" s="40"/>
      <c r="AC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1" s="40" t="str">
        <f>IF(OR(NOTA[[#This Row],[QTY]]="",NOTA[[#This Row],[HARGA SATUAN]]="",),"",NOTA[[#This Row],[QTY]]*NOTA[[#This Row],[HARGA SATUAN]])</f>
        <v/>
      </c>
      <c r="AG21" s="37">
        <f ca="1">IF(NOTA[ID_H]="","",INDEX(NOTA[TANGGAL],MATCH(,INDIRECT(ADDRESS(ROW(NOTA[TANGGAL]),COLUMN(NOTA[TANGGAL]))&amp;":"&amp;ADDRESS(ROW(),COLUMN(NOTA[TANGGAL]))),-1)))</f>
        <v>45049</v>
      </c>
      <c r="AH21" s="35" t="str">
        <f ca="1">IF(NOTA[[#This Row],[NAMA BARANG]]="","",INDEX(NOTA[SUPPLIER],MATCH(,INDIRECT(ADDRESS(ROW(NOTA[ID]),COLUMN(NOTA[ID]))&amp;":"&amp;ADDRESS(ROW(),COLUMN(NOTA[ID]))),-1)))</f>
        <v>SBS</v>
      </c>
      <c r="AI21" s="35" t="str">
        <f ca="1">IF(NOTA[[#This Row],[ID_H]]="","",IF(NOTA[[#This Row],[FAKTUR]]="",INDIRECT(ADDRESS(ROW()-1,COLUMN())),NOTA[[#This Row],[FAKTUR]]))</f>
        <v>UNTANA</v>
      </c>
      <c r="AJ21" s="27" t="str">
        <f ca="1">IF(NOTA[[#This Row],[ID]]="","",COUNTIF(NOTA[ID_H],NOTA[[#This Row],[ID_H]]))</f>
        <v/>
      </c>
      <c r="AK21" s="27">
        <f ca="1">IF(NOTA[[#This Row],[TGL.NOTA]]="",IF(NOTA[[#This Row],[SUPPLIER_H]]="","",AK20),MONTH(NOTA[[#This Row],[TGL.NOTA]]))</f>
        <v>4</v>
      </c>
      <c r="AL21" s="27" t="str">
        <f>LOWER(SUBSTITUTE(SUBSTITUTE(SUBSTITUTE(SUBSTITUTE(SUBSTITUTE(SUBSTITUTE(SUBSTITUTE(SUBSTITUTE(SUBSTITUTE(NOTA[NAMA BARANG]," ",),".",""),"-",""),"(",""),")",""),",",""),"/",""),"""",""),"+",""))</f>
        <v>pck195</v>
      </c>
      <c r="AM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pck1950</v>
      </c>
      <c r="AN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pck1950</v>
      </c>
      <c r="AO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27" t="str">
        <f>IF(NOTA[[#This Row],[CONCAT4]]="","",_xlfn.IFNA(MATCH(NOTA[[#This Row],[CONCAT4]],[2]!RAW[CONCAT_H],0),FALSE))</f>
        <v/>
      </c>
      <c r="AQ21" s="145">
        <f>IF(NOTA[[#This Row],[CONCAT1]]="","",MATCH(NOTA[[#This Row],[CONCAT1]],[3]!db[NB NOTA_C],0)+1)</f>
        <v>1809</v>
      </c>
    </row>
    <row r="22" spans="1:43" ht="20.100000000000001" customHeight="1" x14ac:dyDescent="0.25">
      <c r="A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6" t="str">
        <f>IF(NOTA[[#This Row],[ID_P]]="","",MATCH(NOTA[[#This Row],[ID_P]],[1]!B_MSK[N_ID],0))</f>
        <v/>
      </c>
      <c r="D22" s="36">
        <f ca="1">IF(NOTA[[#This Row],[NAMA BARANG]]="","",INDEX(NOTA[ID],MATCH(,INDIRECT(ADDRESS(ROW(NOTA[ID]),COLUMN(NOTA[ID]))&amp;":"&amp;ADDRESS(ROW(),COLUMN(NOTA[ID]))),-1)))</f>
        <v>2</v>
      </c>
      <c r="E22" s="14"/>
      <c r="F22" s="16"/>
      <c r="G22" s="16"/>
      <c r="H22" s="20"/>
      <c r="I22" s="16"/>
      <c r="J22" s="37"/>
      <c r="K22" s="16"/>
      <c r="L22" s="16" t="s">
        <v>122</v>
      </c>
      <c r="M22" s="28">
        <v>5</v>
      </c>
      <c r="N22" s="16"/>
      <c r="O22" s="16"/>
      <c r="P22" s="35"/>
      <c r="Q22" s="38"/>
      <c r="R22" s="28"/>
      <c r="S22" s="39"/>
      <c r="T22" s="39"/>
      <c r="U22" s="40"/>
      <c r="V22" s="26" t="s">
        <v>123</v>
      </c>
      <c r="W22" s="40" t="str">
        <f>IF(NOTA[[#This Row],[HARGA/ CTN]]="",NOTA[[#This Row],[JUMLAH_H]],NOTA[[#This Row],[HARGA/ CTN]]*IF(NOTA[[#This Row],[C]]="",0,NOTA[[#This Row],[C]]))</f>
        <v/>
      </c>
      <c r="X22" s="40" t="str">
        <f>IF(NOTA[[#This Row],[JUMLAH]]="","",NOTA[[#This Row],[JUMLAH]]*NOTA[[#This Row],[DISC 1]])</f>
        <v/>
      </c>
      <c r="Y22" s="40" t="str">
        <f>IF(NOTA[[#This Row],[JUMLAH]]="","",(NOTA[[#This Row],[JUMLAH]]-NOTA[[#This Row],[DISC 1-]])*NOTA[[#This Row],[DISC 2]])</f>
        <v/>
      </c>
      <c r="Z22" s="40" t="str">
        <f>IF(NOTA[[#This Row],[JUMLAH]]="","",NOTA[[#This Row],[DISC 1-]]+NOTA[[#This Row],[DISC 2-]])</f>
        <v/>
      </c>
      <c r="AA22" s="40" t="str">
        <f>IF(NOTA[[#This Row],[JUMLAH]]="","",NOTA[[#This Row],[JUMLAH]]-NOTA[[#This Row],[DISC]])</f>
        <v/>
      </c>
      <c r="AB22" s="40"/>
      <c r="AC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" s="40" t="str">
        <f>IF(OR(NOTA[[#This Row],[QTY]]="",NOTA[[#This Row],[HARGA SATUAN]]="",),"",NOTA[[#This Row],[QTY]]*NOTA[[#This Row],[HARGA SATUAN]])</f>
        <v/>
      </c>
      <c r="AG22" s="37">
        <f ca="1">IF(NOTA[ID_H]="","",INDEX(NOTA[TANGGAL],MATCH(,INDIRECT(ADDRESS(ROW(NOTA[TANGGAL]),COLUMN(NOTA[TANGGAL]))&amp;":"&amp;ADDRESS(ROW(),COLUMN(NOTA[TANGGAL]))),-1)))</f>
        <v>45049</v>
      </c>
      <c r="AH22" s="35" t="str">
        <f ca="1">IF(NOTA[[#This Row],[NAMA BARANG]]="","",INDEX(NOTA[SUPPLIER],MATCH(,INDIRECT(ADDRESS(ROW(NOTA[ID]),COLUMN(NOTA[ID]))&amp;":"&amp;ADDRESS(ROW(),COLUMN(NOTA[ID]))),-1)))</f>
        <v>SBS</v>
      </c>
      <c r="AI22" s="35" t="str">
        <f ca="1">IF(NOTA[[#This Row],[ID_H]]="","",IF(NOTA[[#This Row],[FAKTUR]]="",INDIRECT(ADDRESS(ROW()-1,COLUMN())),NOTA[[#This Row],[FAKTUR]]))</f>
        <v>UNTANA</v>
      </c>
      <c r="AJ22" s="27" t="str">
        <f ca="1">IF(NOTA[[#This Row],[ID]]="","",COUNTIF(NOTA[ID_H],NOTA[[#This Row],[ID_H]]))</f>
        <v/>
      </c>
      <c r="AK22" s="27">
        <f ca="1">IF(NOTA[[#This Row],[TGL.NOTA]]="",IF(NOTA[[#This Row],[SUPPLIER_H]]="","",AK21),MONTH(NOTA[[#This Row],[TGL.NOTA]]))</f>
        <v>4</v>
      </c>
      <c r="AL22" s="27" t="str">
        <f>LOWER(SUBSTITUTE(SUBSTITUTE(SUBSTITUTE(SUBSTITUTE(SUBSTITUTE(SUBSTITUTE(SUBSTITUTE(SUBSTITUTE(SUBSTITUTE(NOTA[NAMA BARANG]," ",),".",""),"-",""),"(",""),")",""),",",""),"/",""),"""",""),"+",""))</f>
        <v>lettertraymt1183</v>
      </c>
      <c r="AM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lettertraymt11830</v>
      </c>
      <c r="AN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lettertraymt11830</v>
      </c>
      <c r="AO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27" t="str">
        <f>IF(NOTA[[#This Row],[CONCAT4]]="","",_xlfn.IFNA(MATCH(NOTA[[#This Row],[CONCAT4]],[2]!RAW[CONCAT_H],0),FALSE))</f>
        <v/>
      </c>
      <c r="AQ22" s="145">
        <f>IF(NOTA[[#This Row],[CONCAT1]]="","",MATCH(NOTA[[#This Row],[CONCAT1]],[3]!db[NB NOTA_C],0)+1)</f>
        <v>1492</v>
      </c>
    </row>
    <row r="23" spans="1:43" ht="20.100000000000001" customHeight="1" x14ac:dyDescent="0.25">
      <c r="A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6" t="str">
        <f>IF(NOTA[[#This Row],[ID_P]]="","",MATCH(NOTA[[#This Row],[ID_P]],[1]!B_MSK[N_ID],0))</f>
        <v/>
      </c>
      <c r="D23" s="36" t="str">
        <f ca="1">IF(NOTA[[#This Row],[NAMA BARANG]]="","",INDEX(NOTA[ID],MATCH(,INDIRECT(ADDRESS(ROW(NOTA[ID]),COLUMN(NOTA[ID]))&amp;":"&amp;ADDRESS(ROW(),COLUMN(NOTA[ID]))),-1)))</f>
        <v/>
      </c>
      <c r="E23" s="14"/>
      <c r="F23" s="16"/>
      <c r="G23" s="16"/>
      <c r="H23" s="20"/>
      <c r="I23" s="16"/>
      <c r="J23" s="37"/>
      <c r="K23" s="16"/>
      <c r="L23" s="16"/>
      <c r="M23" s="28"/>
      <c r="N23" s="16"/>
      <c r="O23" s="16"/>
      <c r="P23" s="35"/>
      <c r="Q23" s="38"/>
      <c r="R23" s="28"/>
      <c r="S23" s="39"/>
      <c r="T23" s="39"/>
      <c r="U23" s="40"/>
      <c r="V23" s="26"/>
      <c r="W23" s="40" t="str">
        <f>IF(NOTA[[#This Row],[HARGA/ CTN]]="",NOTA[[#This Row],[JUMLAH_H]],NOTA[[#This Row],[HARGA/ CTN]]*IF(NOTA[[#This Row],[C]]="",0,NOTA[[#This Row],[C]]))</f>
        <v/>
      </c>
      <c r="X23" s="40" t="str">
        <f>IF(NOTA[[#This Row],[JUMLAH]]="","",NOTA[[#This Row],[JUMLAH]]*NOTA[[#This Row],[DISC 1]])</f>
        <v/>
      </c>
      <c r="Y23" s="40" t="str">
        <f>IF(NOTA[[#This Row],[JUMLAH]]="","",(NOTA[[#This Row],[JUMLAH]]-NOTA[[#This Row],[DISC 1-]])*NOTA[[#This Row],[DISC 2]])</f>
        <v/>
      </c>
      <c r="Z23" s="40" t="str">
        <f>IF(NOTA[[#This Row],[JUMLAH]]="","",NOTA[[#This Row],[DISC 1-]]+NOTA[[#This Row],[DISC 2-]])</f>
        <v/>
      </c>
      <c r="AA23" s="40" t="str">
        <f>IF(NOTA[[#This Row],[JUMLAH]]="","",NOTA[[#This Row],[JUMLAH]]-NOTA[[#This Row],[DISC]])</f>
        <v/>
      </c>
      <c r="AB23" s="40"/>
      <c r="AC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" s="40" t="str">
        <f>IF(OR(NOTA[[#This Row],[QTY]]="",NOTA[[#This Row],[HARGA SATUAN]]="",),"",NOTA[[#This Row],[QTY]]*NOTA[[#This Row],[HARGA SATUAN]])</f>
        <v/>
      </c>
      <c r="AG23" s="37" t="str">
        <f ca="1">IF(NOTA[ID_H]="","",INDEX(NOTA[TANGGAL],MATCH(,INDIRECT(ADDRESS(ROW(NOTA[TANGGAL]),COLUMN(NOTA[TANGGAL]))&amp;":"&amp;ADDRESS(ROW(),COLUMN(NOTA[TANGGAL]))),-1)))</f>
        <v/>
      </c>
      <c r="AH23" s="35" t="str">
        <f ca="1">IF(NOTA[[#This Row],[NAMA BARANG]]="","",INDEX(NOTA[SUPPLIER],MATCH(,INDIRECT(ADDRESS(ROW(NOTA[ID]),COLUMN(NOTA[ID]))&amp;":"&amp;ADDRESS(ROW(),COLUMN(NOTA[ID]))),-1)))</f>
        <v/>
      </c>
      <c r="AI23" s="35" t="str">
        <f ca="1">IF(NOTA[[#This Row],[ID_H]]="","",IF(NOTA[[#This Row],[FAKTUR]]="",INDIRECT(ADDRESS(ROW()-1,COLUMN())),NOTA[[#This Row],[FAKTUR]]))</f>
        <v/>
      </c>
      <c r="AJ23" s="27" t="str">
        <f ca="1">IF(NOTA[[#This Row],[ID]]="","",COUNTIF(NOTA[ID_H],NOTA[[#This Row],[ID_H]]))</f>
        <v/>
      </c>
      <c r="AK23" s="27" t="str">
        <f ca="1">IF(NOTA[[#This Row],[TGL.NOTA]]="",IF(NOTA[[#This Row],[SUPPLIER_H]]="","",AK22),MONTH(NOTA[[#This Row],[TGL.NOTA]]))</f>
        <v/>
      </c>
      <c r="AL23" s="27" t="str">
        <f>LOWER(SUBSTITUTE(SUBSTITUTE(SUBSTITUTE(SUBSTITUTE(SUBSTITUTE(SUBSTITUTE(SUBSTITUTE(SUBSTITUTE(SUBSTITUTE(NOTA[NAMA BARANG]," ",),".",""),"-",""),"(",""),")",""),",",""),"/",""),"""",""),"+",""))</f>
        <v/>
      </c>
      <c r="AM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27" t="str">
        <f>IF(NOTA[[#This Row],[CONCAT4]]="","",_xlfn.IFNA(MATCH(NOTA[[#This Row],[CONCAT4]],[2]!RAW[CONCAT_H],0),FALSE))</f>
        <v/>
      </c>
      <c r="AQ23" s="145" t="str">
        <f>IF(NOTA[[#This Row],[CONCAT1]]="","",MATCH(NOTA[[#This Row],[CONCAT1]],[3]!db[NB NOTA_C],0)+1)</f>
        <v/>
      </c>
    </row>
    <row r="24" spans="1:43" ht="20.100000000000001" customHeight="1" x14ac:dyDescent="0.25">
      <c r="A24" s="35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GRA_0305_213-6</v>
      </c>
      <c r="C24" s="36" t="e">
        <f ca="1">IF(NOTA[[#This Row],[ID_P]]="","",MATCH(NOTA[[#This Row],[ID_P]],[1]!B_MSK[N_ID],0))</f>
        <v>#REF!</v>
      </c>
      <c r="D24" s="36">
        <f ca="1">IF(NOTA[[#This Row],[NAMA BARANG]]="","",INDEX(NOTA[ID],MATCH(,INDIRECT(ADDRESS(ROW(NOTA[ID]),COLUMN(NOTA[ID]))&amp;":"&amp;ADDRESS(ROW(),COLUMN(NOTA[ID]))),-1)))</f>
        <v>3</v>
      </c>
      <c r="E24" s="14"/>
      <c r="F24" s="16" t="s">
        <v>124</v>
      </c>
      <c r="G24" s="16" t="s">
        <v>112</v>
      </c>
      <c r="H24" s="20" t="s">
        <v>133</v>
      </c>
      <c r="I24" s="16"/>
      <c r="J24" s="37">
        <v>45044</v>
      </c>
      <c r="K24" s="16"/>
      <c r="L24" s="16" t="s">
        <v>127</v>
      </c>
      <c r="M24" s="28">
        <v>10</v>
      </c>
      <c r="N24" s="16">
        <v>500</v>
      </c>
      <c r="O24" s="16" t="s">
        <v>125</v>
      </c>
      <c r="P24" s="35">
        <v>16000</v>
      </c>
      <c r="Q24" s="38"/>
      <c r="R24" s="28" t="s">
        <v>137</v>
      </c>
      <c r="S24" s="39"/>
      <c r="T24" s="39"/>
      <c r="U24" s="40"/>
      <c r="V24" s="26"/>
      <c r="W24" s="40">
        <f>IF(NOTA[[#This Row],[HARGA/ CTN]]="",NOTA[[#This Row],[JUMLAH_H]],NOTA[[#This Row],[HARGA/ CTN]]*IF(NOTA[[#This Row],[C]]="",0,NOTA[[#This Row],[C]]))</f>
        <v>8000000</v>
      </c>
      <c r="X24" s="40">
        <f>IF(NOTA[[#This Row],[JUMLAH]]="","",NOTA[[#This Row],[JUMLAH]]*NOTA[[#This Row],[DISC 1]])</f>
        <v>0</v>
      </c>
      <c r="Y24" s="40">
        <f>IF(NOTA[[#This Row],[JUMLAH]]="","",(NOTA[[#This Row],[JUMLAH]]-NOTA[[#This Row],[DISC 1-]])*NOTA[[#This Row],[DISC 2]])</f>
        <v>0</v>
      </c>
      <c r="Z24" s="40">
        <f>IF(NOTA[[#This Row],[JUMLAH]]="","",NOTA[[#This Row],[DISC 1-]]+NOTA[[#This Row],[DISC 2-]])</f>
        <v>0</v>
      </c>
      <c r="AA24" s="40">
        <f>IF(NOTA[[#This Row],[JUMLAH]]="","",NOTA[[#This Row],[JUMLAH]]-NOTA[[#This Row],[DISC]])</f>
        <v>8000000</v>
      </c>
      <c r="AB24" s="40"/>
      <c r="AC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" s="40">
        <f>IF(OR(NOTA[[#This Row],[QTY]]="",NOTA[[#This Row],[HARGA SATUAN]]="",),"",NOTA[[#This Row],[QTY]]*NOTA[[#This Row],[HARGA SATUAN]])</f>
        <v>8000000</v>
      </c>
      <c r="AG24" s="37">
        <f ca="1">IF(NOTA[ID_H]="","",INDEX(NOTA[TANGGAL],MATCH(,INDIRECT(ADDRESS(ROW(NOTA[TANGGAL]),COLUMN(NOTA[TANGGAL]))&amp;":"&amp;ADDRESS(ROW(),COLUMN(NOTA[TANGGAL]))),-1)))</f>
        <v>45049</v>
      </c>
      <c r="AH24" s="35" t="str">
        <f ca="1">IF(NOTA[[#This Row],[NAMA BARANG]]="","",INDEX(NOTA[SUPPLIER],MATCH(,INDIRECT(ADDRESS(ROW(NOTA[ID]),COLUMN(NOTA[ID]))&amp;":"&amp;ADDRESS(ROW(),COLUMN(NOTA[ID]))),-1)))</f>
        <v>GRAFINDO</v>
      </c>
      <c r="AI24" s="35" t="str">
        <f ca="1">IF(NOTA[[#This Row],[ID_H]]="","",IF(NOTA[[#This Row],[FAKTUR]]="",INDIRECT(ADDRESS(ROW()-1,COLUMN())),NOTA[[#This Row],[FAKTUR]]))</f>
        <v>UNTANA</v>
      </c>
      <c r="AJ24" s="27">
        <f ca="1">IF(NOTA[[#This Row],[ID]]="","",COUNTIF(NOTA[ID_H],NOTA[[#This Row],[ID_H]]))</f>
        <v>6</v>
      </c>
      <c r="AK24" s="27">
        <f>IF(NOTA[[#This Row],[TGL.NOTA]]="",IF(NOTA[[#This Row],[SUPPLIER_H]]="","",AK23),MONTH(NOTA[[#This Row],[TGL.NOTA]]))</f>
        <v>4</v>
      </c>
      <c r="AL24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24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GRAFINDOUNTANAGA-23-04-021345044mapkancingsikaac05biru</v>
      </c>
      <c r="AP24" s="27" t="e">
        <f>IF(NOTA[[#This Row],[CONCAT4]]="","",_xlfn.IFNA(MATCH(NOTA[[#This Row],[CONCAT4]],[2]!RAW[CONCAT_H],0),FALSE))</f>
        <v>#REF!</v>
      </c>
      <c r="AQ24" s="145">
        <f>IF(NOTA[[#This Row],[CONCAT1]]="","",MATCH(NOTA[[#This Row],[CONCAT1]],[3]!db[NB NOTA_C],0)+1)</f>
        <v>1571</v>
      </c>
    </row>
    <row r="25" spans="1:43" ht="20.100000000000001" customHeight="1" x14ac:dyDescent="0.25">
      <c r="A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6" t="str">
        <f>IF(NOTA[[#This Row],[ID_P]]="","",MATCH(NOTA[[#This Row],[ID_P]],[1]!B_MSK[N_ID],0))</f>
        <v/>
      </c>
      <c r="D25" s="36">
        <f ca="1">IF(NOTA[[#This Row],[NAMA BARANG]]="","",INDEX(NOTA[ID],MATCH(,INDIRECT(ADDRESS(ROW(NOTA[ID]),COLUMN(NOTA[ID]))&amp;":"&amp;ADDRESS(ROW(),COLUMN(NOTA[ID]))),-1)))</f>
        <v>3</v>
      </c>
      <c r="E25" s="14"/>
      <c r="F25" s="16"/>
      <c r="G25" s="16"/>
      <c r="H25" s="20"/>
      <c r="I25" s="16"/>
      <c r="J25" s="37"/>
      <c r="K25" s="16"/>
      <c r="L25" s="16" t="s">
        <v>126</v>
      </c>
      <c r="M25" s="28">
        <v>25</v>
      </c>
      <c r="N25" s="16">
        <v>1250</v>
      </c>
      <c r="O25" s="16" t="s">
        <v>125</v>
      </c>
      <c r="P25" s="35">
        <v>16000</v>
      </c>
      <c r="Q25" s="38"/>
      <c r="R25" s="28" t="s">
        <v>137</v>
      </c>
      <c r="S25" s="39"/>
      <c r="T25" s="39"/>
      <c r="U25" s="40"/>
      <c r="V25" s="26"/>
      <c r="W25" s="40">
        <f>IF(NOTA[[#This Row],[HARGA/ CTN]]="",NOTA[[#This Row],[JUMLAH_H]],NOTA[[#This Row],[HARGA/ CTN]]*IF(NOTA[[#This Row],[C]]="",0,NOTA[[#This Row],[C]]))</f>
        <v>20000000</v>
      </c>
      <c r="X25" s="40">
        <f>IF(NOTA[[#This Row],[JUMLAH]]="","",NOTA[[#This Row],[JUMLAH]]*NOTA[[#This Row],[DISC 1]])</f>
        <v>0</v>
      </c>
      <c r="Y25" s="40">
        <f>IF(NOTA[[#This Row],[JUMLAH]]="","",(NOTA[[#This Row],[JUMLAH]]-NOTA[[#This Row],[DISC 1-]])*NOTA[[#This Row],[DISC 2]])</f>
        <v>0</v>
      </c>
      <c r="Z25" s="40">
        <f>IF(NOTA[[#This Row],[JUMLAH]]="","",NOTA[[#This Row],[DISC 1-]]+NOTA[[#This Row],[DISC 2-]])</f>
        <v>0</v>
      </c>
      <c r="AA25" s="40">
        <f>IF(NOTA[[#This Row],[JUMLAH]]="","",NOTA[[#This Row],[JUMLAH]]-NOTA[[#This Row],[DISC]])</f>
        <v>20000000</v>
      </c>
      <c r="AB25" s="40"/>
      <c r="AC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5" s="40">
        <f>IF(OR(NOTA[[#This Row],[QTY]]="",NOTA[[#This Row],[HARGA SATUAN]]="",),"",NOTA[[#This Row],[QTY]]*NOTA[[#This Row],[HARGA SATUAN]])</f>
        <v>20000000</v>
      </c>
      <c r="AG25" s="37">
        <f ca="1">IF(NOTA[ID_H]="","",INDEX(NOTA[TANGGAL],MATCH(,INDIRECT(ADDRESS(ROW(NOTA[TANGGAL]),COLUMN(NOTA[TANGGAL]))&amp;":"&amp;ADDRESS(ROW(),COLUMN(NOTA[TANGGAL]))),-1)))</f>
        <v>45049</v>
      </c>
      <c r="AH25" s="35" t="str">
        <f ca="1">IF(NOTA[[#This Row],[NAMA BARANG]]="","",INDEX(NOTA[SUPPLIER],MATCH(,INDIRECT(ADDRESS(ROW(NOTA[ID]),COLUMN(NOTA[ID]))&amp;":"&amp;ADDRESS(ROW(),COLUMN(NOTA[ID]))),-1)))</f>
        <v>GRAFINDO</v>
      </c>
      <c r="AI25" s="35" t="str">
        <f ca="1">IF(NOTA[[#This Row],[ID_H]]="","",IF(NOTA[[#This Row],[FAKTUR]]="",INDIRECT(ADDRESS(ROW()-1,COLUMN())),NOTA[[#This Row],[FAKTUR]]))</f>
        <v>UNTANA</v>
      </c>
      <c r="AJ25" s="27" t="str">
        <f ca="1">IF(NOTA[[#This Row],[ID]]="","",COUNTIF(NOTA[ID_H],NOTA[[#This Row],[ID_H]]))</f>
        <v/>
      </c>
      <c r="AK25" s="27">
        <f ca="1">IF(NOTA[[#This Row],[TGL.NOTA]]="",IF(NOTA[[#This Row],[SUPPLIER_H]]="","",AK24),MONTH(NOTA[[#This Row],[TGL.NOTA]]))</f>
        <v>4</v>
      </c>
      <c r="AL25" s="27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M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mapkancingsikaac05putih800000</v>
      </c>
      <c r="AN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mapkancingsikaac05putih800000</v>
      </c>
      <c r="AO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27" t="str">
        <f>IF(NOTA[[#This Row],[CONCAT4]]="","",_xlfn.IFNA(MATCH(NOTA[[#This Row],[CONCAT4]],[2]!RAW[CONCAT_H],0),FALSE))</f>
        <v/>
      </c>
      <c r="AQ25" s="145">
        <f>IF(NOTA[[#This Row],[CONCAT1]]="","",MATCH(NOTA[[#This Row],[CONCAT1]],[3]!db[NB NOTA_C],0)+1)</f>
        <v>1577</v>
      </c>
    </row>
    <row r="26" spans="1:43" ht="20.100000000000001" customHeight="1" x14ac:dyDescent="0.25">
      <c r="A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6" t="str">
        <f>IF(NOTA[[#This Row],[ID_P]]="","",MATCH(NOTA[[#This Row],[ID_P]],[1]!B_MSK[N_ID],0))</f>
        <v/>
      </c>
      <c r="D26" s="36">
        <f ca="1">IF(NOTA[[#This Row],[NAMA BARANG]]="","",INDEX(NOTA[ID],MATCH(,INDIRECT(ADDRESS(ROW(NOTA[ID]),COLUMN(NOTA[ID]))&amp;":"&amp;ADDRESS(ROW(),COLUMN(NOTA[ID]))),-1)))</f>
        <v>3</v>
      </c>
      <c r="E26" s="14"/>
      <c r="F26" s="16"/>
      <c r="G26" s="16"/>
      <c r="H26" s="20"/>
      <c r="I26" s="16"/>
      <c r="J26" s="37"/>
      <c r="K26" s="16"/>
      <c r="L26" s="16" t="s">
        <v>128</v>
      </c>
      <c r="M26" s="28">
        <v>36</v>
      </c>
      <c r="N26" s="16">
        <v>1800</v>
      </c>
      <c r="O26" s="16" t="s">
        <v>125</v>
      </c>
      <c r="P26" s="35">
        <v>16000</v>
      </c>
      <c r="Q26" s="38"/>
      <c r="R26" s="28" t="s">
        <v>137</v>
      </c>
      <c r="S26" s="39"/>
      <c r="T26" s="39"/>
      <c r="U26" s="40"/>
      <c r="V26" s="26"/>
      <c r="W26" s="40">
        <f>IF(NOTA[[#This Row],[HARGA/ CTN]]="",NOTA[[#This Row],[JUMLAH_H]],NOTA[[#This Row],[HARGA/ CTN]]*IF(NOTA[[#This Row],[C]]="",0,NOTA[[#This Row],[C]]))</f>
        <v>28800000</v>
      </c>
      <c r="X26" s="40">
        <f>IF(NOTA[[#This Row],[JUMLAH]]="","",NOTA[[#This Row],[JUMLAH]]*NOTA[[#This Row],[DISC 1]])</f>
        <v>0</v>
      </c>
      <c r="Y26" s="40">
        <f>IF(NOTA[[#This Row],[JUMLAH]]="","",(NOTA[[#This Row],[JUMLAH]]-NOTA[[#This Row],[DISC 1-]])*NOTA[[#This Row],[DISC 2]])</f>
        <v>0</v>
      </c>
      <c r="Z26" s="40">
        <f>IF(NOTA[[#This Row],[JUMLAH]]="","",NOTA[[#This Row],[DISC 1-]]+NOTA[[#This Row],[DISC 2-]])</f>
        <v>0</v>
      </c>
      <c r="AA26" s="40">
        <f>IF(NOTA[[#This Row],[JUMLAH]]="","",NOTA[[#This Row],[JUMLAH]]-NOTA[[#This Row],[DISC]])</f>
        <v>28800000</v>
      </c>
      <c r="AB26" s="40"/>
      <c r="AC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6" s="40">
        <f>IF(OR(NOTA[[#This Row],[QTY]]="",NOTA[[#This Row],[HARGA SATUAN]]="",),"",NOTA[[#This Row],[QTY]]*NOTA[[#This Row],[HARGA SATUAN]])</f>
        <v>28800000</v>
      </c>
      <c r="AG26" s="37">
        <f ca="1">IF(NOTA[ID_H]="","",INDEX(NOTA[TANGGAL],MATCH(,INDIRECT(ADDRESS(ROW(NOTA[TANGGAL]),COLUMN(NOTA[TANGGAL]))&amp;":"&amp;ADDRESS(ROW(),COLUMN(NOTA[TANGGAL]))),-1)))</f>
        <v>45049</v>
      </c>
      <c r="AH26" s="35" t="str">
        <f ca="1">IF(NOTA[[#This Row],[NAMA BARANG]]="","",INDEX(NOTA[SUPPLIER],MATCH(,INDIRECT(ADDRESS(ROW(NOTA[ID]),COLUMN(NOTA[ID]))&amp;":"&amp;ADDRESS(ROW(),COLUMN(NOTA[ID]))),-1)))</f>
        <v>GRAFINDO</v>
      </c>
      <c r="AI26" s="35" t="str">
        <f ca="1">IF(NOTA[[#This Row],[ID_H]]="","",IF(NOTA[[#This Row],[FAKTUR]]="",INDIRECT(ADDRESS(ROW()-1,COLUMN())),NOTA[[#This Row],[FAKTUR]]))</f>
        <v>UNTANA</v>
      </c>
      <c r="AJ26" s="27" t="str">
        <f ca="1">IF(NOTA[[#This Row],[ID]]="","",COUNTIF(NOTA[ID_H],NOTA[[#This Row],[ID_H]]))</f>
        <v/>
      </c>
      <c r="AK26" s="27">
        <f ca="1">IF(NOTA[[#This Row],[TGL.NOTA]]="",IF(NOTA[[#This Row],[SUPPLIER_H]]="","",AK25),MONTH(NOTA[[#This Row],[TGL.NOTA]]))</f>
        <v>4</v>
      </c>
      <c r="AL26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" s="27" t="str">
        <f>IF(NOTA[[#This Row],[CONCAT4]]="","",_xlfn.IFNA(MATCH(NOTA[[#This Row],[CONCAT4]],[2]!RAW[CONCAT_H],0),FALSE))</f>
        <v/>
      </c>
      <c r="AQ26" s="145">
        <f>IF(NOTA[[#This Row],[CONCAT1]]="","",MATCH(NOTA[[#This Row],[CONCAT1]],[3]!db[NB NOTA_C],0)+1)</f>
        <v>1573</v>
      </c>
    </row>
    <row r="27" spans="1:43" ht="20.100000000000001" customHeight="1" x14ac:dyDescent="0.25">
      <c r="A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6" t="str">
        <f>IF(NOTA[[#This Row],[ID_P]]="","",MATCH(NOTA[[#This Row],[ID_P]],[1]!B_MSK[N_ID],0))</f>
        <v/>
      </c>
      <c r="D27" s="36">
        <f ca="1">IF(NOTA[[#This Row],[NAMA BARANG]]="","",INDEX(NOTA[ID],MATCH(,INDIRECT(ADDRESS(ROW(NOTA[ID]),COLUMN(NOTA[ID]))&amp;":"&amp;ADDRESS(ROW(),COLUMN(NOTA[ID]))),-1)))</f>
        <v>3</v>
      </c>
      <c r="E27" s="14"/>
      <c r="F27" s="16"/>
      <c r="G27" s="16"/>
      <c r="H27" s="20"/>
      <c r="I27" s="16"/>
      <c r="J27" s="37"/>
      <c r="K27" s="16"/>
      <c r="L27" s="16" t="s">
        <v>129</v>
      </c>
      <c r="M27" s="28">
        <v>2</v>
      </c>
      <c r="N27" s="16">
        <v>100</v>
      </c>
      <c r="O27" s="16" t="s">
        <v>125</v>
      </c>
      <c r="P27" s="35">
        <v>16000</v>
      </c>
      <c r="Q27" s="38"/>
      <c r="R27" s="28" t="s">
        <v>137</v>
      </c>
      <c r="S27" s="39"/>
      <c r="T27" s="39"/>
      <c r="U27" s="40"/>
      <c r="V27" s="26"/>
      <c r="W27" s="40">
        <f>IF(NOTA[[#This Row],[HARGA/ CTN]]="",NOTA[[#This Row],[JUMLAH_H]],NOTA[[#This Row],[HARGA/ CTN]]*IF(NOTA[[#This Row],[C]]="",0,NOTA[[#This Row],[C]]))</f>
        <v>1600000</v>
      </c>
      <c r="X27" s="40">
        <f>IF(NOTA[[#This Row],[JUMLAH]]="","",NOTA[[#This Row],[JUMLAH]]*NOTA[[#This Row],[DISC 1]])</f>
        <v>0</v>
      </c>
      <c r="Y27" s="40">
        <f>IF(NOTA[[#This Row],[JUMLAH]]="","",(NOTA[[#This Row],[JUMLAH]]-NOTA[[#This Row],[DISC 1-]])*NOTA[[#This Row],[DISC 2]])</f>
        <v>0</v>
      </c>
      <c r="Z27" s="40">
        <f>IF(NOTA[[#This Row],[JUMLAH]]="","",NOTA[[#This Row],[DISC 1-]]+NOTA[[#This Row],[DISC 2-]])</f>
        <v>0</v>
      </c>
      <c r="AA27" s="40">
        <f>IF(NOTA[[#This Row],[JUMLAH]]="","",NOTA[[#This Row],[JUMLAH]]-NOTA[[#This Row],[DISC]])</f>
        <v>1600000</v>
      </c>
      <c r="AB27" s="40"/>
      <c r="AC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7" s="40">
        <f>IF(OR(NOTA[[#This Row],[QTY]]="",NOTA[[#This Row],[HARGA SATUAN]]="",),"",NOTA[[#This Row],[QTY]]*NOTA[[#This Row],[HARGA SATUAN]])</f>
        <v>1600000</v>
      </c>
      <c r="AG27" s="37">
        <f ca="1">IF(NOTA[ID_H]="","",INDEX(NOTA[TANGGAL],MATCH(,INDIRECT(ADDRESS(ROW(NOTA[TANGGAL]),COLUMN(NOTA[TANGGAL]))&amp;":"&amp;ADDRESS(ROW(),COLUMN(NOTA[TANGGAL]))),-1)))</f>
        <v>45049</v>
      </c>
      <c r="AH27" s="35" t="str">
        <f ca="1">IF(NOTA[[#This Row],[NAMA BARANG]]="","",INDEX(NOTA[SUPPLIER],MATCH(,INDIRECT(ADDRESS(ROW(NOTA[ID]),COLUMN(NOTA[ID]))&amp;":"&amp;ADDRESS(ROW(),COLUMN(NOTA[ID]))),-1)))</f>
        <v>GRAFINDO</v>
      </c>
      <c r="AI27" s="35" t="str">
        <f ca="1">IF(NOTA[[#This Row],[ID_H]]="","",IF(NOTA[[#This Row],[FAKTUR]]="",INDIRECT(ADDRESS(ROW()-1,COLUMN())),NOTA[[#This Row],[FAKTUR]]))</f>
        <v>UNTANA</v>
      </c>
      <c r="AJ27" s="27" t="str">
        <f ca="1">IF(NOTA[[#This Row],[ID]]="","",COUNTIF(NOTA[ID_H],NOTA[[#This Row],[ID_H]]))</f>
        <v/>
      </c>
      <c r="AK27" s="27">
        <f ca="1">IF(NOTA[[#This Row],[TGL.NOTA]]="",IF(NOTA[[#This Row],[SUPPLIER_H]]="","",AK26),MONTH(NOTA[[#This Row],[TGL.NOTA]]))</f>
        <v>4</v>
      </c>
      <c r="AL27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27" t="str">
        <f>IF(NOTA[[#This Row],[CONCAT4]]="","",_xlfn.IFNA(MATCH(NOTA[[#This Row],[CONCAT4]],[2]!RAW[CONCAT_H],0),FALSE))</f>
        <v/>
      </c>
      <c r="AQ27" s="145">
        <f>IF(NOTA[[#This Row],[CONCAT1]]="","",MATCH(NOTA[[#This Row],[CONCAT1]],[3]!db[NB NOTA_C],0)+1)</f>
        <v>1594</v>
      </c>
    </row>
    <row r="28" spans="1:43" ht="20.100000000000001" customHeight="1" x14ac:dyDescent="0.25">
      <c r="A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6" t="str">
        <f>IF(NOTA[[#This Row],[ID_P]]="","",MATCH(NOTA[[#This Row],[ID_P]],[1]!B_MSK[N_ID],0))</f>
        <v/>
      </c>
      <c r="D28" s="36">
        <f ca="1">IF(NOTA[[#This Row],[NAMA BARANG]]="","",INDEX(NOTA[ID],MATCH(,INDIRECT(ADDRESS(ROW(NOTA[ID]),COLUMN(NOTA[ID]))&amp;":"&amp;ADDRESS(ROW(),COLUMN(NOTA[ID]))),-1)))</f>
        <v>3</v>
      </c>
      <c r="E28" s="14"/>
      <c r="F28" s="16"/>
      <c r="G28" s="16"/>
      <c r="H28" s="20"/>
      <c r="I28" s="16"/>
      <c r="J28" s="37"/>
      <c r="K28" s="16"/>
      <c r="L28" s="16" t="s">
        <v>130</v>
      </c>
      <c r="M28" s="28">
        <v>3</v>
      </c>
      <c r="N28" s="16">
        <v>150</v>
      </c>
      <c r="O28" s="16" t="s">
        <v>125</v>
      </c>
      <c r="P28" s="35">
        <v>16000</v>
      </c>
      <c r="Q28" s="38"/>
      <c r="R28" s="28" t="s">
        <v>137</v>
      </c>
      <c r="S28" s="39"/>
      <c r="T28" s="39"/>
      <c r="U28" s="40"/>
      <c r="V28" s="26"/>
      <c r="W28" s="40">
        <f>IF(NOTA[[#This Row],[HARGA/ CTN]]="",NOTA[[#This Row],[JUMLAH_H]],NOTA[[#This Row],[HARGA/ CTN]]*IF(NOTA[[#This Row],[C]]="",0,NOTA[[#This Row],[C]]))</f>
        <v>2400000</v>
      </c>
      <c r="X28" s="40">
        <f>IF(NOTA[[#This Row],[JUMLAH]]="","",NOTA[[#This Row],[JUMLAH]]*NOTA[[#This Row],[DISC 1]])</f>
        <v>0</v>
      </c>
      <c r="Y28" s="40">
        <f>IF(NOTA[[#This Row],[JUMLAH]]="","",(NOTA[[#This Row],[JUMLAH]]-NOTA[[#This Row],[DISC 1-]])*NOTA[[#This Row],[DISC 2]])</f>
        <v>0</v>
      </c>
      <c r="Z28" s="40">
        <f>IF(NOTA[[#This Row],[JUMLAH]]="","",NOTA[[#This Row],[DISC 1-]]+NOTA[[#This Row],[DISC 2-]])</f>
        <v>0</v>
      </c>
      <c r="AA28" s="40">
        <f>IF(NOTA[[#This Row],[JUMLAH]]="","",NOTA[[#This Row],[JUMLAH]]-NOTA[[#This Row],[DISC]])</f>
        <v>2400000</v>
      </c>
      <c r="AB28" s="40"/>
      <c r="AC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8" s="40">
        <f>IF(OR(NOTA[[#This Row],[QTY]]="",NOTA[[#This Row],[HARGA SATUAN]]="",),"",NOTA[[#This Row],[QTY]]*NOTA[[#This Row],[HARGA SATUAN]])</f>
        <v>2400000</v>
      </c>
      <c r="AG28" s="37">
        <f ca="1">IF(NOTA[ID_H]="","",INDEX(NOTA[TANGGAL],MATCH(,INDIRECT(ADDRESS(ROW(NOTA[TANGGAL]),COLUMN(NOTA[TANGGAL]))&amp;":"&amp;ADDRESS(ROW(),COLUMN(NOTA[TANGGAL]))),-1)))</f>
        <v>45049</v>
      </c>
      <c r="AH28" s="35" t="str">
        <f ca="1">IF(NOTA[[#This Row],[NAMA BARANG]]="","",INDEX(NOTA[SUPPLIER],MATCH(,INDIRECT(ADDRESS(ROW(NOTA[ID]),COLUMN(NOTA[ID]))&amp;":"&amp;ADDRESS(ROW(),COLUMN(NOTA[ID]))),-1)))</f>
        <v>GRAFINDO</v>
      </c>
      <c r="AI28" s="35" t="str">
        <f ca="1">IF(NOTA[[#This Row],[ID_H]]="","",IF(NOTA[[#This Row],[FAKTUR]]="",INDIRECT(ADDRESS(ROW()-1,COLUMN())),NOTA[[#This Row],[FAKTUR]]))</f>
        <v>UNTANA</v>
      </c>
      <c r="AJ28" s="27" t="str">
        <f ca="1">IF(NOTA[[#This Row],[ID]]="","",COUNTIF(NOTA[ID_H],NOTA[[#This Row],[ID_H]]))</f>
        <v/>
      </c>
      <c r="AK28" s="27">
        <f ca="1">IF(NOTA[[#This Row],[TGL.NOTA]]="",IF(NOTA[[#This Row],[SUPPLIER_H]]="","",AK27),MONTH(NOTA[[#This Row],[TGL.NOTA]]))</f>
        <v>4</v>
      </c>
      <c r="AL28" s="27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M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maptalisikaac06merah800000</v>
      </c>
      <c r="AN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maptalisikaac06merah800000</v>
      </c>
      <c r="AO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27" t="str">
        <f>IF(NOTA[[#This Row],[CONCAT4]]="","",_xlfn.IFNA(MATCH(NOTA[[#This Row],[CONCAT4]],[2]!RAW[CONCAT_H],0),FALSE))</f>
        <v/>
      </c>
      <c r="AQ28" s="145">
        <f>IF(NOTA[[#This Row],[CONCAT1]]="","",MATCH(NOTA[[#This Row],[CONCAT1]],[3]!db[NB NOTA_C],0)+1)</f>
        <v>1596</v>
      </c>
    </row>
    <row r="29" spans="1:43" ht="20.100000000000001" customHeight="1" x14ac:dyDescent="0.25">
      <c r="A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6" t="str">
        <f>IF(NOTA[[#This Row],[ID_P]]="","",MATCH(NOTA[[#This Row],[ID_P]],[1]!B_MSK[N_ID],0))</f>
        <v/>
      </c>
      <c r="D29" s="36">
        <f ca="1">IF(NOTA[[#This Row],[NAMA BARANG]]="","",INDEX(NOTA[ID],MATCH(,INDIRECT(ADDRESS(ROW(NOTA[ID]),COLUMN(NOTA[ID]))&amp;":"&amp;ADDRESS(ROW(),COLUMN(NOTA[ID]))),-1)))</f>
        <v>3</v>
      </c>
      <c r="E29" s="14"/>
      <c r="F29" s="16"/>
      <c r="G29" s="16"/>
      <c r="H29" s="20"/>
      <c r="I29" s="16"/>
      <c r="J29" s="37"/>
      <c r="K29" s="16"/>
      <c r="L29" s="16" t="s">
        <v>131</v>
      </c>
      <c r="M29" s="28">
        <v>2</v>
      </c>
      <c r="N29" s="16">
        <v>100</v>
      </c>
      <c r="O29" s="16" t="s">
        <v>125</v>
      </c>
      <c r="P29" s="35">
        <v>16000</v>
      </c>
      <c r="Q29" s="38"/>
      <c r="R29" s="28" t="s">
        <v>137</v>
      </c>
      <c r="S29" s="39"/>
      <c r="T29" s="39"/>
      <c r="U29" s="40"/>
      <c r="V29" s="26"/>
      <c r="W29" s="40">
        <f>IF(NOTA[[#This Row],[HARGA/ CTN]]="",NOTA[[#This Row],[JUMLAH_H]],NOTA[[#This Row],[HARGA/ CTN]]*IF(NOTA[[#This Row],[C]]="",0,NOTA[[#This Row],[C]]))</f>
        <v>1600000</v>
      </c>
      <c r="X29" s="40">
        <f>IF(NOTA[[#This Row],[JUMLAH]]="","",NOTA[[#This Row],[JUMLAH]]*NOTA[[#This Row],[DISC 1]])</f>
        <v>0</v>
      </c>
      <c r="Y29" s="40">
        <f>IF(NOTA[[#This Row],[JUMLAH]]="","",(NOTA[[#This Row],[JUMLAH]]-NOTA[[#This Row],[DISC 1-]])*NOTA[[#This Row],[DISC 2]])</f>
        <v>0</v>
      </c>
      <c r="Z29" s="40">
        <f>IF(NOTA[[#This Row],[JUMLAH]]="","",NOTA[[#This Row],[DISC 1-]]+NOTA[[#This Row],[DISC 2-]])</f>
        <v>0</v>
      </c>
      <c r="AA29" s="40">
        <f>IF(NOTA[[#This Row],[JUMLAH]]="","",NOTA[[#This Row],[JUMLAH]]-NOTA[[#This Row],[DISC]])</f>
        <v>1600000</v>
      </c>
      <c r="AB29" s="40"/>
      <c r="AC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62400000</v>
      </c>
      <c r="AE29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9" s="40">
        <f>IF(OR(NOTA[[#This Row],[QTY]]="",NOTA[[#This Row],[HARGA SATUAN]]="",),"",NOTA[[#This Row],[QTY]]*NOTA[[#This Row],[HARGA SATUAN]])</f>
        <v>1600000</v>
      </c>
      <c r="AG29" s="37">
        <f ca="1">IF(NOTA[ID_H]="","",INDEX(NOTA[TANGGAL],MATCH(,INDIRECT(ADDRESS(ROW(NOTA[TANGGAL]),COLUMN(NOTA[TANGGAL]))&amp;":"&amp;ADDRESS(ROW(),COLUMN(NOTA[TANGGAL]))),-1)))</f>
        <v>45049</v>
      </c>
      <c r="AH29" s="35" t="str">
        <f ca="1">IF(NOTA[[#This Row],[NAMA BARANG]]="","",INDEX(NOTA[SUPPLIER],MATCH(,INDIRECT(ADDRESS(ROW(NOTA[ID]),COLUMN(NOTA[ID]))&amp;":"&amp;ADDRESS(ROW(),COLUMN(NOTA[ID]))),-1)))</f>
        <v>GRAFINDO</v>
      </c>
      <c r="AI29" s="35" t="str">
        <f ca="1">IF(NOTA[[#This Row],[ID_H]]="","",IF(NOTA[[#This Row],[FAKTUR]]="",INDIRECT(ADDRESS(ROW()-1,COLUMN())),NOTA[[#This Row],[FAKTUR]]))</f>
        <v>UNTANA</v>
      </c>
      <c r="AJ29" s="27" t="str">
        <f ca="1">IF(NOTA[[#This Row],[ID]]="","",COUNTIF(NOTA[ID_H],NOTA[[#This Row],[ID_H]]))</f>
        <v/>
      </c>
      <c r="AK29" s="27">
        <f ca="1">IF(NOTA[[#This Row],[TGL.NOTA]]="",IF(NOTA[[#This Row],[SUPPLIER_H]]="","",AK28),MONTH(NOTA[[#This Row],[TGL.NOTA]]))</f>
        <v>4</v>
      </c>
      <c r="AL29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27" t="str">
        <f>IF(NOTA[[#This Row],[CONCAT4]]="","",_xlfn.IFNA(MATCH(NOTA[[#This Row],[CONCAT4]],[2]!RAW[CONCAT_H],0),FALSE))</f>
        <v/>
      </c>
      <c r="AQ29" s="145" t="e">
        <f>IF(NOTA[[#This Row],[CONCAT1]]="","",MATCH(NOTA[[#This Row],[CONCAT1]],[3]!db[NB NOTA_C],0)+1)</f>
        <v>#N/A</v>
      </c>
    </row>
    <row r="30" spans="1:43" ht="20.100000000000001" customHeight="1" x14ac:dyDescent="0.25">
      <c r="A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6" t="str">
        <f>IF(NOTA[[#This Row],[ID_P]]="","",MATCH(NOTA[[#This Row],[ID_P]],[1]!B_MSK[N_ID],0))</f>
        <v/>
      </c>
      <c r="D30" s="36" t="str">
        <f ca="1">IF(NOTA[[#This Row],[NAMA BARANG]]="","",INDEX(NOTA[ID],MATCH(,INDIRECT(ADDRESS(ROW(NOTA[ID]),COLUMN(NOTA[ID]))&amp;":"&amp;ADDRESS(ROW(),COLUMN(NOTA[ID]))),-1)))</f>
        <v/>
      </c>
      <c r="E30" s="14"/>
      <c r="F30" s="16"/>
      <c r="G30" s="16"/>
      <c r="H30" s="20"/>
      <c r="I30" s="16"/>
      <c r="J30" s="37"/>
      <c r="K30" s="16"/>
      <c r="L30" s="16"/>
      <c r="M30" s="28"/>
      <c r="N30" s="16"/>
      <c r="O30" s="16"/>
      <c r="P30" s="35"/>
      <c r="Q30" s="38"/>
      <c r="R30" s="28"/>
      <c r="S30" s="39"/>
      <c r="T30" s="39"/>
      <c r="U30" s="40"/>
      <c r="V30" s="26"/>
      <c r="W30" s="40" t="str">
        <f>IF(NOTA[[#This Row],[HARGA/ CTN]]="",NOTA[[#This Row],[JUMLAH_H]],NOTA[[#This Row],[HARGA/ CTN]]*IF(NOTA[[#This Row],[C]]="",0,NOTA[[#This Row],[C]]))</f>
        <v/>
      </c>
      <c r="X30" s="40" t="str">
        <f>IF(NOTA[[#This Row],[JUMLAH]]="","",NOTA[[#This Row],[JUMLAH]]*NOTA[[#This Row],[DISC 1]])</f>
        <v/>
      </c>
      <c r="Y30" s="40" t="str">
        <f>IF(NOTA[[#This Row],[JUMLAH]]="","",(NOTA[[#This Row],[JUMLAH]]-NOTA[[#This Row],[DISC 1-]])*NOTA[[#This Row],[DISC 2]])</f>
        <v/>
      </c>
      <c r="Z30" s="40" t="str">
        <f>IF(NOTA[[#This Row],[JUMLAH]]="","",NOTA[[#This Row],[DISC 1-]]+NOTA[[#This Row],[DISC 2-]])</f>
        <v/>
      </c>
      <c r="AA30" s="40" t="str">
        <f>IF(NOTA[[#This Row],[JUMLAH]]="","",NOTA[[#This Row],[JUMLAH]]-NOTA[[#This Row],[DISC]])</f>
        <v/>
      </c>
      <c r="AB30" s="40"/>
      <c r="AC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40" t="str">
        <f>IF(OR(NOTA[[#This Row],[QTY]]="",NOTA[[#This Row],[HARGA SATUAN]]="",),"",NOTA[[#This Row],[QTY]]*NOTA[[#This Row],[HARGA SATUAN]])</f>
        <v/>
      </c>
      <c r="AG30" s="37" t="str">
        <f ca="1">IF(NOTA[ID_H]="","",INDEX(NOTA[TANGGAL],MATCH(,INDIRECT(ADDRESS(ROW(NOTA[TANGGAL]),COLUMN(NOTA[TANGGAL]))&amp;":"&amp;ADDRESS(ROW(),COLUMN(NOTA[TANGGAL]))),-1)))</f>
        <v/>
      </c>
      <c r="AH30" s="35" t="str">
        <f ca="1">IF(NOTA[[#This Row],[NAMA BARANG]]="","",INDEX(NOTA[SUPPLIER],MATCH(,INDIRECT(ADDRESS(ROW(NOTA[ID]),COLUMN(NOTA[ID]))&amp;":"&amp;ADDRESS(ROW(),COLUMN(NOTA[ID]))),-1)))</f>
        <v/>
      </c>
      <c r="AI30" s="35" t="str">
        <f ca="1">IF(NOTA[[#This Row],[ID_H]]="","",IF(NOTA[[#This Row],[FAKTUR]]="",INDIRECT(ADDRESS(ROW()-1,COLUMN())),NOTA[[#This Row],[FAKTUR]]))</f>
        <v/>
      </c>
      <c r="AJ30" s="27" t="str">
        <f ca="1">IF(NOTA[[#This Row],[ID]]="","",COUNTIF(NOTA[ID_H],NOTA[[#This Row],[ID_H]]))</f>
        <v/>
      </c>
      <c r="AK30" s="27" t="str">
        <f ca="1">IF(NOTA[[#This Row],[TGL.NOTA]]="",IF(NOTA[[#This Row],[SUPPLIER_H]]="","",AK29),MONTH(NOTA[[#This Row],[TGL.NOTA]]))</f>
        <v/>
      </c>
      <c r="AL30" s="27" t="str">
        <f>LOWER(SUBSTITUTE(SUBSTITUTE(SUBSTITUTE(SUBSTITUTE(SUBSTITUTE(SUBSTITUTE(SUBSTITUTE(SUBSTITUTE(SUBSTITUTE(NOTA[NAMA BARANG]," ",),".",""),"-",""),"(",""),")",""),",",""),"/",""),"""",""),"+",""))</f>
        <v/>
      </c>
      <c r="AM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27" t="str">
        <f>IF(NOTA[[#This Row],[CONCAT4]]="","",_xlfn.IFNA(MATCH(NOTA[[#This Row],[CONCAT4]],[2]!RAW[CONCAT_H],0),FALSE))</f>
        <v/>
      </c>
      <c r="AQ30" s="145" t="str">
        <f>IF(NOTA[[#This Row],[CONCAT1]]="","",MATCH(NOTA[[#This Row],[CONCAT1]],[3]!db[NB NOTA_C],0)+1)</f>
        <v/>
      </c>
    </row>
    <row r="31" spans="1:43" ht="20.100000000000001" customHeight="1" x14ac:dyDescent="0.25">
      <c r="A31" s="35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GRA_0305_197-5</v>
      </c>
      <c r="C31" s="36" t="e">
        <f ca="1">IF(NOTA[[#This Row],[ID_P]]="","",MATCH(NOTA[[#This Row],[ID_P]],[1]!B_MSK[N_ID],0))</f>
        <v>#REF!</v>
      </c>
      <c r="D31" s="36">
        <f ca="1">IF(NOTA[[#This Row],[NAMA BARANG]]="","",INDEX(NOTA[ID],MATCH(,INDIRECT(ADDRESS(ROW(NOTA[ID]),COLUMN(NOTA[ID]))&amp;":"&amp;ADDRESS(ROW(),COLUMN(NOTA[ID]))),-1)))</f>
        <v>4</v>
      </c>
      <c r="E31" s="14"/>
      <c r="F31" s="16" t="s">
        <v>124</v>
      </c>
      <c r="G31" s="16" t="s">
        <v>112</v>
      </c>
      <c r="H31" s="20" t="s">
        <v>132</v>
      </c>
      <c r="I31" s="16"/>
      <c r="J31" s="37">
        <v>45044</v>
      </c>
      <c r="K31" s="16"/>
      <c r="L31" s="16" t="s">
        <v>135</v>
      </c>
      <c r="M31" s="28">
        <v>20</v>
      </c>
      <c r="N31" s="16">
        <v>1000</v>
      </c>
      <c r="O31" s="16" t="s">
        <v>125</v>
      </c>
      <c r="P31" s="35">
        <v>16000</v>
      </c>
      <c r="Q31" s="38"/>
      <c r="R31" s="28" t="s">
        <v>137</v>
      </c>
      <c r="S31" s="39"/>
      <c r="T31" s="39"/>
      <c r="U31" s="40"/>
      <c r="V31" s="26"/>
      <c r="W31" s="40">
        <f>IF(NOTA[[#This Row],[HARGA/ CTN]]="",NOTA[[#This Row],[JUMLAH_H]],NOTA[[#This Row],[HARGA/ CTN]]*IF(NOTA[[#This Row],[C]]="",0,NOTA[[#This Row],[C]]))</f>
        <v>16000000</v>
      </c>
      <c r="X31" s="40">
        <f>IF(NOTA[[#This Row],[JUMLAH]]="","",NOTA[[#This Row],[JUMLAH]]*NOTA[[#This Row],[DISC 1]])</f>
        <v>0</v>
      </c>
      <c r="Y31" s="40">
        <f>IF(NOTA[[#This Row],[JUMLAH]]="","",(NOTA[[#This Row],[JUMLAH]]-NOTA[[#This Row],[DISC 1-]])*NOTA[[#This Row],[DISC 2]])</f>
        <v>0</v>
      </c>
      <c r="Z31" s="40">
        <f>IF(NOTA[[#This Row],[JUMLAH]]="","",NOTA[[#This Row],[DISC 1-]]+NOTA[[#This Row],[DISC 2-]])</f>
        <v>0</v>
      </c>
      <c r="AA31" s="40">
        <f>IF(NOTA[[#This Row],[JUMLAH]]="","",NOTA[[#This Row],[JUMLAH]]-NOTA[[#This Row],[DISC]])</f>
        <v>16000000</v>
      </c>
      <c r="AB31" s="40"/>
      <c r="AC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1" s="40">
        <f>IF(OR(NOTA[[#This Row],[QTY]]="",NOTA[[#This Row],[HARGA SATUAN]]="",),"",NOTA[[#This Row],[QTY]]*NOTA[[#This Row],[HARGA SATUAN]])</f>
        <v>16000000</v>
      </c>
      <c r="AG31" s="37">
        <f ca="1">IF(NOTA[ID_H]="","",INDEX(NOTA[TANGGAL],MATCH(,INDIRECT(ADDRESS(ROW(NOTA[TANGGAL]),COLUMN(NOTA[TANGGAL]))&amp;":"&amp;ADDRESS(ROW(),COLUMN(NOTA[TANGGAL]))),-1)))</f>
        <v>45049</v>
      </c>
      <c r="AH31" s="35" t="str">
        <f ca="1">IF(NOTA[[#This Row],[NAMA BARANG]]="","",INDEX(NOTA[SUPPLIER],MATCH(,INDIRECT(ADDRESS(ROW(NOTA[ID]),COLUMN(NOTA[ID]))&amp;":"&amp;ADDRESS(ROW(),COLUMN(NOTA[ID]))),-1)))</f>
        <v>GRAFINDO</v>
      </c>
      <c r="AI31" s="35" t="str">
        <f ca="1">IF(NOTA[[#This Row],[ID_H]]="","",IF(NOTA[[#This Row],[FAKTUR]]="",INDIRECT(ADDRESS(ROW()-1,COLUMN())),NOTA[[#This Row],[FAKTUR]]))</f>
        <v>UNTANA</v>
      </c>
      <c r="AJ31" s="27">
        <f ca="1">IF(NOTA[[#This Row],[ID]]="","",COUNTIF(NOTA[ID_H],NOTA[[#This Row],[ID_H]]))</f>
        <v>5</v>
      </c>
      <c r="AK31" s="27">
        <f>IF(NOTA[[#This Row],[TGL.NOTA]]="",IF(NOTA[[#This Row],[SUPPLIER_H]]="","",AK30),MONTH(NOTA[[#This Row],[TGL.NOTA]]))</f>
        <v>4</v>
      </c>
      <c r="AL31" s="27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M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mapkancingsikaac05kuning800000</v>
      </c>
      <c r="AN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mapkancingsikaac05kuning800000</v>
      </c>
      <c r="AO31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GRAFINDOUNTANAGA-23-04-019745044mapkancingsikaac05kuning</v>
      </c>
      <c r="AP31" s="27" t="e">
        <f>IF(NOTA[[#This Row],[CONCAT4]]="","",_xlfn.IFNA(MATCH(NOTA[[#This Row],[CONCAT4]],[2]!RAW[CONCAT_H],0),FALSE))</f>
        <v>#REF!</v>
      </c>
      <c r="AQ31" s="145">
        <f>IF(NOTA[[#This Row],[CONCAT1]]="","",MATCH(NOTA[[#This Row],[CONCAT1]],[3]!db[NB NOTA_C],0)+1)</f>
        <v>1574</v>
      </c>
    </row>
    <row r="32" spans="1:43" ht="20.100000000000001" customHeight="1" x14ac:dyDescent="0.25">
      <c r="A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6" t="str">
        <f>IF(NOTA[[#This Row],[ID_P]]="","",MATCH(NOTA[[#This Row],[ID_P]],[1]!B_MSK[N_ID],0))</f>
        <v/>
      </c>
      <c r="D32" s="36">
        <f ca="1">IF(NOTA[[#This Row],[NAMA BARANG]]="","",INDEX(NOTA[ID],MATCH(,INDIRECT(ADDRESS(ROW(NOTA[ID]),COLUMN(NOTA[ID]))&amp;":"&amp;ADDRESS(ROW(),COLUMN(NOTA[ID]))),-1)))</f>
        <v>4</v>
      </c>
      <c r="E32" s="14"/>
      <c r="F32" s="16"/>
      <c r="G32" s="16"/>
      <c r="H32" s="20"/>
      <c r="I32" s="16"/>
      <c r="J32" s="37"/>
      <c r="K32" s="16"/>
      <c r="L32" s="16" t="s">
        <v>134</v>
      </c>
      <c r="M32" s="28">
        <v>30</v>
      </c>
      <c r="N32" s="16">
        <v>1500</v>
      </c>
      <c r="O32" s="16" t="s">
        <v>125</v>
      </c>
      <c r="P32" s="35">
        <v>16000</v>
      </c>
      <c r="Q32" s="38"/>
      <c r="R32" s="28" t="s">
        <v>137</v>
      </c>
      <c r="S32" s="39"/>
      <c r="T32" s="39"/>
      <c r="U32" s="40"/>
      <c r="V32" s="26"/>
      <c r="W32" s="40">
        <f>IF(NOTA[[#This Row],[HARGA/ CTN]]="",NOTA[[#This Row],[JUMLAH_H]],NOTA[[#This Row],[HARGA/ CTN]]*IF(NOTA[[#This Row],[C]]="",0,NOTA[[#This Row],[C]]))</f>
        <v>24000000</v>
      </c>
      <c r="X32" s="40">
        <f>IF(NOTA[[#This Row],[JUMLAH]]="","",NOTA[[#This Row],[JUMLAH]]*NOTA[[#This Row],[DISC 1]])</f>
        <v>0</v>
      </c>
      <c r="Y32" s="40">
        <f>IF(NOTA[[#This Row],[JUMLAH]]="","",(NOTA[[#This Row],[JUMLAH]]-NOTA[[#This Row],[DISC 1-]])*NOTA[[#This Row],[DISC 2]])</f>
        <v>0</v>
      </c>
      <c r="Z32" s="40">
        <f>IF(NOTA[[#This Row],[JUMLAH]]="","",NOTA[[#This Row],[DISC 1-]]+NOTA[[#This Row],[DISC 2-]])</f>
        <v>0</v>
      </c>
      <c r="AA32" s="40">
        <f>IF(NOTA[[#This Row],[JUMLAH]]="","",NOTA[[#This Row],[JUMLAH]]-NOTA[[#This Row],[DISC]])</f>
        <v>24000000</v>
      </c>
      <c r="AB32" s="40"/>
      <c r="AC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" s="65">
        <f>IF(OR(NOTA[[#This Row],[QTY]]="",NOTA[[#This Row],[HARGA SATUAN]]="",),"",NOTA[[#This Row],[QTY]]*NOTA[[#This Row],[HARGA SATUAN]])</f>
        <v>24000000</v>
      </c>
      <c r="AG32" s="37">
        <f ca="1">IF(NOTA[ID_H]="","",INDEX(NOTA[TANGGAL],MATCH(,INDIRECT(ADDRESS(ROW(NOTA[TANGGAL]),COLUMN(NOTA[TANGGAL]))&amp;":"&amp;ADDRESS(ROW(),COLUMN(NOTA[TANGGAL]))),-1)))</f>
        <v>45049</v>
      </c>
      <c r="AH32" s="35" t="str">
        <f ca="1">IF(NOTA[[#This Row],[NAMA BARANG]]="","",INDEX(NOTA[SUPPLIER],MATCH(,INDIRECT(ADDRESS(ROW(NOTA[ID]),COLUMN(NOTA[ID]))&amp;":"&amp;ADDRESS(ROW(),COLUMN(NOTA[ID]))),-1)))</f>
        <v>GRAFINDO</v>
      </c>
      <c r="AI32" s="35" t="str">
        <f ca="1">IF(NOTA[[#This Row],[ID_H]]="","",IF(NOTA[[#This Row],[FAKTUR]]="",INDIRECT(ADDRESS(ROW()-1,COLUMN())),NOTA[[#This Row],[FAKTUR]]))</f>
        <v>UNTANA</v>
      </c>
      <c r="AJ32" s="66" t="str">
        <f ca="1">IF(NOTA[[#This Row],[ID]]="","",COUNTIF(NOTA[ID_H],NOTA[[#This Row],[ID_H]]))</f>
        <v/>
      </c>
      <c r="AK32" s="27">
        <f ca="1">IF(NOTA[[#This Row],[TGL.NOTA]]="",IF(NOTA[[#This Row],[SUPPLIER_H]]="","",AK31),MONTH(NOTA[[#This Row],[TGL.NOTA]]))</f>
        <v>4</v>
      </c>
      <c r="AL32" s="27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M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mapkancingsikaac05merah800000</v>
      </c>
      <c r="AN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mapkancingsikaac05merah800000</v>
      </c>
      <c r="AO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27" t="str">
        <f>IF(NOTA[[#This Row],[CONCAT4]]="","",_xlfn.IFNA(MATCH(NOTA[[#This Row],[CONCAT4]],[2]!RAW[CONCAT_H],0),FALSE))</f>
        <v/>
      </c>
      <c r="AQ32" s="145">
        <f>IF(NOTA[[#This Row],[CONCAT1]]="","",MATCH(NOTA[[#This Row],[CONCAT1]],[3]!db[NB NOTA_C],0)+1)</f>
        <v>1576</v>
      </c>
    </row>
    <row r="33" spans="1:43" ht="20.100000000000001" customHeight="1" x14ac:dyDescent="0.25">
      <c r="A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6" t="str">
        <f>IF(NOTA[[#This Row],[ID_P]]="","",MATCH(NOTA[[#This Row],[ID_P]],[1]!B_MSK[N_ID],0))</f>
        <v/>
      </c>
      <c r="D33" s="36">
        <f ca="1">IF(NOTA[[#This Row],[NAMA BARANG]]="","",INDEX(NOTA[ID],MATCH(,INDIRECT(ADDRESS(ROW(NOTA[ID]),COLUMN(NOTA[ID]))&amp;":"&amp;ADDRESS(ROW(),COLUMN(NOTA[ID]))),-1)))</f>
        <v>4</v>
      </c>
      <c r="E33" s="14"/>
      <c r="F33" s="16"/>
      <c r="G33" s="16"/>
      <c r="H33" s="20"/>
      <c r="I33" s="16"/>
      <c r="J33" s="37"/>
      <c r="K33" s="16"/>
      <c r="L33" s="16" t="s">
        <v>127</v>
      </c>
      <c r="M33" s="28">
        <v>28</v>
      </c>
      <c r="N33" s="16">
        <v>1400</v>
      </c>
      <c r="O33" s="16" t="s">
        <v>125</v>
      </c>
      <c r="P33" s="35">
        <v>16000</v>
      </c>
      <c r="Q33" s="38"/>
      <c r="R33" s="28" t="s">
        <v>137</v>
      </c>
      <c r="S33" s="39"/>
      <c r="T33" s="39"/>
      <c r="U33" s="40"/>
      <c r="V33" s="26"/>
      <c r="W33" s="40">
        <f>IF(NOTA[[#This Row],[HARGA/ CTN]]="",NOTA[[#This Row],[JUMLAH_H]],NOTA[[#This Row],[HARGA/ CTN]]*IF(NOTA[[#This Row],[C]]="",0,NOTA[[#This Row],[C]]))</f>
        <v>22400000</v>
      </c>
      <c r="X33" s="40">
        <f>IF(NOTA[[#This Row],[JUMLAH]]="","",NOTA[[#This Row],[JUMLAH]]*NOTA[[#This Row],[DISC 1]])</f>
        <v>0</v>
      </c>
      <c r="Y33" s="40">
        <f>IF(NOTA[[#This Row],[JUMLAH]]="","",(NOTA[[#This Row],[JUMLAH]]-NOTA[[#This Row],[DISC 1-]])*NOTA[[#This Row],[DISC 2]])</f>
        <v>0</v>
      </c>
      <c r="Z33" s="40">
        <f>IF(NOTA[[#This Row],[JUMLAH]]="","",NOTA[[#This Row],[DISC 1-]]+NOTA[[#This Row],[DISC 2-]])</f>
        <v>0</v>
      </c>
      <c r="AA33" s="40">
        <f>IF(NOTA[[#This Row],[JUMLAH]]="","",NOTA[[#This Row],[JUMLAH]]-NOTA[[#This Row],[DISC]])</f>
        <v>22400000</v>
      </c>
      <c r="AB33" s="40"/>
      <c r="AC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3" s="40">
        <f>IF(OR(NOTA[[#This Row],[QTY]]="",NOTA[[#This Row],[HARGA SATUAN]]="",),"",NOTA[[#This Row],[QTY]]*NOTA[[#This Row],[HARGA SATUAN]])</f>
        <v>22400000</v>
      </c>
      <c r="AG33" s="37">
        <f ca="1">IF(NOTA[ID_H]="","",INDEX(NOTA[TANGGAL],MATCH(,INDIRECT(ADDRESS(ROW(NOTA[TANGGAL]),COLUMN(NOTA[TANGGAL]))&amp;":"&amp;ADDRESS(ROW(),COLUMN(NOTA[TANGGAL]))),-1)))</f>
        <v>45049</v>
      </c>
      <c r="AH33" s="35" t="str">
        <f ca="1">IF(NOTA[[#This Row],[NAMA BARANG]]="","",INDEX(NOTA[SUPPLIER],MATCH(,INDIRECT(ADDRESS(ROW(NOTA[ID]),COLUMN(NOTA[ID]))&amp;":"&amp;ADDRESS(ROW(),COLUMN(NOTA[ID]))),-1)))</f>
        <v>GRAFINDO</v>
      </c>
      <c r="AI33" s="35" t="str">
        <f ca="1">IF(NOTA[[#This Row],[ID_H]]="","",IF(NOTA[[#This Row],[FAKTUR]]="",INDIRECT(ADDRESS(ROW()-1,COLUMN())),NOTA[[#This Row],[FAKTUR]]))</f>
        <v>UNTANA</v>
      </c>
      <c r="AJ33" s="27" t="str">
        <f ca="1">IF(NOTA[[#This Row],[ID]]="","",COUNTIF(NOTA[ID_H],NOTA[[#This Row],[ID_H]]))</f>
        <v/>
      </c>
      <c r="AK33" s="27">
        <f ca="1">IF(NOTA[[#This Row],[TGL.NOTA]]="",IF(NOTA[[#This Row],[SUPPLIER_H]]="","",AK32),MONTH(NOTA[[#This Row],[TGL.NOTA]]))</f>
        <v>4</v>
      </c>
      <c r="AL33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27" t="str">
        <f>IF(NOTA[[#This Row],[CONCAT4]]="","",_xlfn.IFNA(MATCH(NOTA[[#This Row],[CONCAT4]],[2]!RAW[CONCAT_H],0),FALSE))</f>
        <v/>
      </c>
      <c r="AQ33" s="145">
        <f>IF(NOTA[[#This Row],[CONCAT1]]="","",MATCH(NOTA[[#This Row],[CONCAT1]],[3]!db[NB NOTA_C],0)+1)</f>
        <v>1571</v>
      </c>
    </row>
    <row r="34" spans="1:43" ht="20.100000000000001" customHeight="1" x14ac:dyDescent="0.25">
      <c r="A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6" t="str">
        <f>IF(NOTA[[#This Row],[ID_P]]="","",MATCH(NOTA[[#This Row],[ID_P]],[1]!B_MSK[N_ID],0))</f>
        <v/>
      </c>
      <c r="D34" s="36">
        <f ca="1">IF(NOTA[[#This Row],[NAMA BARANG]]="","",INDEX(NOTA[ID],MATCH(,INDIRECT(ADDRESS(ROW(NOTA[ID]),COLUMN(NOTA[ID]))&amp;":"&amp;ADDRESS(ROW(),COLUMN(NOTA[ID]))),-1)))</f>
        <v>4</v>
      </c>
      <c r="E34" s="14"/>
      <c r="F34" s="16"/>
      <c r="G34" s="16"/>
      <c r="H34" s="20"/>
      <c r="I34" s="16"/>
      <c r="J34" s="37"/>
      <c r="K34" s="16"/>
      <c r="L34" s="16" t="s">
        <v>136</v>
      </c>
      <c r="M34" s="28">
        <v>5</v>
      </c>
      <c r="N34" s="16">
        <v>250</v>
      </c>
      <c r="O34" s="16" t="s">
        <v>125</v>
      </c>
      <c r="P34" s="35">
        <v>16000</v>
      </c>
      <c r="Q34" s="38"/>
      <c r="R34" s="28" t="s">
        <v>137</v>
      </c>
      <c r="S34" s="39"/>
      <c r="T34" s="39"/>
      <c r="U34" s="40"/>
      <c r="V34" s="26"/>
      <c r="W34" s="40">
        <f>IF(NOTA[[#This Row],[HARGA/ CTN]]="",NOTA[[#This Row],[JUMLAH_H]],NOTA[[#This Row],[HARGA/ CTN]]*IF(NOTA[[#This Row],[C]]="",0,NOTA[[#This Row],[C]]))</f>
        <v>4000000</v>
      </c>
      <c r="X34" s="40">
        <f>IF(NOTA[[#This Row],[JUMLAH]]="","",NOTA[[#This Row],[JUMLAH]]*NOTA[[#This Row],[DISC 1]])</f>
        <v>0</v>
      </c>
      <c r="Y34" s="40">
        <f>IF(NOTA[[#This Row],[JUMLAH]]="","",(NOTA[[#This Row],[JUMLAH]]-NOTA[[#This Row],[DISC 1-]])*NOTA[[#This Row],[DISC 2]])</f>
        <v>0</v>
      </c>
      <c r="Z34" s="40">
        <f>IF(NOTA[[#This Row],[JUMLAH]]="","",NOTA[[#This Row],[DISC 1-]]+NOTA[[#This Row],[DISC 2-]])</f>
        <v>0</v>
      </c>
      <c r="AA34" s="40">
        <f>IF(NOTA[[#This Row],[JUMLAH]]="","",NOTA[[#This Row],[JUMLAH]]-NOTA[[#This Row],[DISC]])</f>
        <v>4000000</v>
      </c>
      <c r="AB34" s="40"/>
      <c r="AC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4" s="40">
        <f>IF(OR(NOTA[[#This Row],[QTY]]="",NOTA[[#This Row],[HARGA SATUAN]]="",),"",NOTA[[#This Row],[QTY]]*NOTA[[#This Row],[HARGA SATUAN]])</f>
        <v>4000000</v>
      </c>
      <c r="AG34" s="37">
        <f ca="1">IF(NOTA[ID_H]="","",INDEX(NOTA[TANGGAL],MATCH(,INDIRECT(ADDRESS(ROW(NOTA[TANGGAL]),COLUMN(NOTA[TANGGAL]))&amp;":"&amp;ADDRESS(ROW(),COLUMN(NOTA[TANGGAL]))),-1)))</f>
        <v>45049</v>
      </c>
      <c r="AH34" s="35" t="str">
        <f ca="1">IF(NOTA[[#This Row],[NAMA BARANG]]="","",INDEX(NOTA[SUPPLIER],MATCH(,INDIRECT(ADDRESS(ROW(NOTA[ID]),COLUMN(NOTA[ID]))&amp;":"&amp;ADDRESS(ROW(),COLUMN(NOTA[ID]))),-1)))</f>
        <v>GRAFINDO</v>
      </c>
      <c r="AI34" s="35" t="str">
        <f ca="1">IF(NOTA[[#This Row],[ID_H]]="","",IF(NOTA[[#This Row],[FAKTUR]]="",INDIRECT(ADDRESS(ROW()-1,COLUMN())),NOTA[[#This Row],[FAKTUR]]))</f>
        <v>UNTANA</v>
      </c>
      <c r="AJ34" s="27" t="str">
        <f ca="1">IF(NOTA[[#This Row],[ID]]="","",COUNTIF(NOTA[ID_H],NOTA[[#This Row],[ID_H]]))</f>
        <v/>
      </c>
      <c r="AK34" s="27">
        <f ca="1">IF(NOTA[[#This Row],[TGL.NOTA]]="",IF(NOTA[[#This Row],[SUPPLIER_H]]="","",AK33),MONTH(NOTA[[#This Row],[TGL.NOTA]]))</f>
        <v>4</v>
      </c>
      <c r="AL34" s="27" t="str">
        <f>LOWER(SUBSTITUTE(SUBSTITUTE(SUBSTITUTE(SUBSTITUTE(SUBSTITUTE(SUBSTITUTE(SUBSTITUTE(SUBSTITUTE(SUBSTITUTE(NOTA[NAMA BARANG]," ",),".",""),"-",""),"(",""),")",""),",",""),"/",""),"""",""),"+",""))</f>
        <v>mapkancingsikaac5putih</v>
      </c>
      <c r="AM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mapkancingsikaac5putih800000</v>
      </c>
      <c r="AN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mapkancingsikaac5putih800000</v>
      </c>
      <c r="AO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" s="27" t="str">
        <f>IF(NOTA[[#This Row],[CONCAT4]]="","",_xlfn.IFNA(MATCH(NOTA[[#This Row],[CONCAT4]],[2]!RAW[CONCAT_H],0),FALSE))</f>
        <v/>
      </c>
      <c r="AQ34" s="145" t="e">
        <f>IF(NOTA[[#This Row],[CONCAT1]]="","",MATCH(NOTA[[#This Row],[CONCAT1]],[3]!db[NB NOTA_C],0)+1)</f>
        <v>#N/A</v>
      </c>
    </row>
    <row r="35" spans="1:43" ht="20.100000000000001" customHeight="1" x14ac:dyDescent="0.25">
      <c r="A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6" t="str">
        <f>IF(NOTA[[#This Row],[ID_P]]="","",MATCH(NOTA[[#This Row],[ID_P]],[1]!B_MSK[N_ID],0))</f>
        <v/>
      </c>
      <c r="D35" s="36">
        <f ca="1">IF(NOTA[[#This Row],[NAMA BARANG]]="","",INDEX(NOTA[ID],MATCH(,INDIRECT(ADDRESS(ROW(NOTA[ID]),COLUMN(NOTA[ID]))&amp;":"&amp;ADDRESS(ROW(),COLUMN(NOTA[ID]))),-1)))</f>
        <v>4</v>
      </c>
      <c r="E35" s="14"/>
      <c r="F35" s="16"/>
      <c r="G35" s="16"/>
      <c r="H35" s="20"/>
      <c r="I35" s="16"/>
      <c r="J35" s="37"/>
      <c r="K35" s="16"/>
      <c r="L35" s="16" t="s">
        <v>128</v>
      </c>
      <c r="M35" s="28">
        <v>8</v>
      </c>
      <c r="N35" s="16">
        <v>400</v>
      </c>
      <c r="O35" s="16" t="s">
        <v>125</v>
      </c>
      <c r="P35" s="35">
        <v>16000</v>
      </c>
      <c r="Q35" s="38"/>
      <c r="R35" s="28" t="s">
        <v>137</v>
      </c>
      <c r="S35" s="39"/>
      <c r="T35" s="39"/>
      <c r="U35" s="40"/>
      <c r="V35" s="26"/>
      <c r="W35" s="40">
        <f>IF(NOTA[[#This Row],[HARGA/ CTN]]="",NOTA[[#This Row],[JUMLAH_H]],NOTA[[#This Row],[HARGA/ CTN]]*IF(NOTA[[#This Row],[C]]="",0,NOTA[[#This Row],[C]]))</f>
        <v>6400000</v>
      </c>
      <c r="X35" s="40">
        <f>IF(NOTA[[#This Row],[JUMLAH]]="","",NOTA[[#This Row],[JUMLAH]]*NOTA[[#This Row],[DISC 1]])</f>
        <v>0</v>
      </c>
      <c r="Y35" s="40">
        <f>IF(NOTA[[#This Row],[JUMLAH]]="","",(NOTA[[#This Row],[JUMLAH]]-NOTA[[#This Row],[DISC 1-]])*NOTA[[#This Row],[DISC 2]])</f>
        <v>0</v>
      </c>
      <c r="Z35" s="40">
        <f>IF(NOTA[[#This Row],[JUMLAH]]="","",NOTA[[#This Row],[DISC 1-]]+NOTA[[#This Row],[DISC 2-]])</f>
        <v>0</v>
      </c>
      <c r="AA35" s="40">
        <f>IF(NOTA[[#This Row],[JUMLAH]]="","",NOTA[[#This Row],[JUMLAH]]-NOTA[[#This Row],[DISC]])</f>
        <v>6400000</v>
      </c>
      <c r="AB35" s="40"/>
      <c r="AC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72800000</v>
      </c>
      <c r="AE3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" s="40">
        <f>IF(OR(NOTA[[#This Row],[QTY]]="",NOTA[[#This Row],[HARGA SATUAN]]="",),"",NOTA[[#This Row],[QTY]]*NOTA[[#This Row],[HARGA SATUAN]])</f>
        <v>6400000</v>
      </c>
      <c r="AG35" s="37">
        <f ca="1">IF(NOTA[ID_H]="","",INDEX(NOTA[TANGGAL],MATCH(,INDIRECT(ADDRESS(ROW(NOTA[TANGGAL]),COLUMN(NOTA[TANGGAL]))&amp;":"&amp;ADDRESS(ROW(),COLUMN(NOTA[TANGGAL]))),-1)))</f>
        <v>45049</v>
      </c>
      <c r="AH35" s="35" t="str">
        <f ca="1">IF(NOTA[[#This Row],[NAMA BARANG]]="","",INDEX(NOTA[SUPPLIER],MATCH(,INDIRECT(ADDRESS(ROW(NOTA[ID]),COLUMN(NOTA[ID]))&amp;":"&amp;ADDRESS(ROW(),COLUMN(NOTA[ID]))),-1)))</f>
        <v>GRAFINDO</v>
      </c>
      <c r="AI35" s="35" t="str">
        <f ca="1">IF(NOTA[[#This Row],[ID_H]]="","",IF(NOTA[[#This Row],[FAKTUR]]="",INDIRECT(ADDRESS(ROW()-1,COLUMN())),NOTA[[#This Row],[FAKTUR]]))</f>
        <v>UNTANA</v>
      </c>
      <c r="AJ35" s="27" t="str">
        <f ca="1">IF(NOTA[[#This Row],[ID]]="","",COUNTIF(NOTA[ID_H],NOTA[[#This Row],[ID_H]]))</f>
        <v/>
      </c>
      <c r="AK35" s="27">
        <f ca="1">IF(NOTA[[#This Row],[TGL.NOTA]]="",IF(NOTA[[#This Row],[SUPPLIER_H]]="","",AK34),MONTH(NOTA[[#This Row],[TGL.NOTA]]))</f>
        <v>4</v>
      </c>
      <c r="AL35" s="27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M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mapkancingsikaac05hijau800000</v>
      </c>
      <c r="AN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mapkancingsikaac05hijau800000</v>
      </c>
      <c r="AO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27" t="str">
        <f>IF(NOTA[[#This Row],[CONCAT4]]="","",_xlfn.IFNA(MATCH(NOTA[[#This Row],[CONCAT4]],[2]!RAW[CONCAT_H],0),FALSE))</f>
        <v/>
      </c>
      <c r="AQ35" s="145">
        <f>IF(NOTA[[#This Row],[CONCAT1]]="","",MATCH(NOTA[[#This Row],[CONCAT1]],[3]!db[NB NOTA_C],0)+1)</f>
        <v>1573</v>
      </c>
    </row>
    <row r="36" spans="1:43" ht="20.100000000000001" customHeight="1" x14ac:dyDescent="0.25">
      <c r="A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6" t="str">
        <f>IF(NOTA[[#This Row],[ID_P]]="","",MATCH(NOTA[[#This Row],[ID_P]],[1]!B_MSK[N_ID],0))</f>
        <v/>
      </c>
      <c r="D36" s="36" t="str">
        <f ca="1">IF(NOTA[[#This Row],[NAMA BARANG]]="","",INDEX(NOTA[ID],MATCH(,INDIRECT(ADDRESS(ROW(NOTA[ID]),COLUMN(NOTA[ID]))&amp;":"&amp;ADDRESS(ROW(),COLUMN(NOTA[ID]))),-1)))</f>
        <v/>
      </c>
      <c r="E36" s="14"/>
      <c r="F36" s="16"/>
      <c r="G36" s="16"/>
      <c r="H36" s="20"/>
      <c r="I36" s="16"/>
      <c r="J36" s="37"/>
      <c r="K36" s="16"/>
      <c r="L36" s="16"/>
      <c r="M36" s="28"/>
      <c r="N36" s="16"/>
      <c r="O36" s="16"/>
      <c r="P36" s="35"/>
      <c r="Q36" s="38"/>
      <c r="R36" s="28"/>
      <c r="S36" s="39"/>
      <c r="T36" s="39"/>
      <c r="U36" s="40"/>
      <c r="V36" s="26"/>
      <c r="W36" s="40" t="str">
        <f>IF(NOTA[[#This Row],[HARGA/ CTN]]="",NOTA[[#This Row],[JUMLAH_H]],NOTA[[#This Row],[HARGA/ CTN]]*IF(NOTA[[#This Row],[C]]="",0,NOTA[[#This Row],[C]]))</f>
        <v/>
      </c>
      <c r="X36" s="40" t="str">
        <f>IF(NOTA[[#This Row],[JUMLAH]]="","",NOTA[[#This Row],[JUMLAH]]*NOTA[[#This Row],[DISC 1]])</f>
        <v/>
      </c>
      <c r="Y36" s="40" t="str">
        <f>IF(NOTA[[#This Row],[JUMLAH]]="","",(NOTA[[#This Row],[JUMLAH]]-NOTA[[#This Row],[DISC 1-]])*NOTA[[#This Row],[DISC 2]])</f>
        <v/>
      </c>
      <c r="Z36" s="40" t="str">
        <f>IF(NOTA[[#This Row],[JUMLAH]]="","",NOTA[[#This Row],[DISC 1-]]+NOTA[[#This Row],[DISC 2-]])</f>
        <v/>
      </c>
      <c r="AA36" s="40" t="str">
        <f>IF(NOTA[[#This Row],[JUMLAH]]="","",NOTA[[#This Row],[JUMLAH]]-NOTA[[#This Row],[DISC]])</f>
        <v/>
      </c>
      <c r="AB36" s="40"/>
      <c r="AC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" s="40" t="str">
        <f>IF(OR(NOTA[[#This Row],[QTY]]="",NOTA[[#This Row],[HARGA SATUAN]]="",),"",NOTA[[#This Row],[QTY]]*NOTA[[#This Row],[HARGA SATUAN]])</f>
        <v/>
      </c>
      <c r="AG36" s="37" t="str">
        <f ca="1">IF(NOTA[ID_H]="","",INDEX(NOTA[TANGGAL],MATCH(,INDIRECT(ADDRESS(ROW(NOTA[TANGGAL]),COLUMN(NOTA[TANGGAL]))&amp;":"&amp;ADDRESS(ROW(),COLUMN(NOTA[TANGGAL]))),-1)))</f>
        <v/>
      </c>
      <c r="AH36" s="35" t="str">
        <f ca="1">IF(NOTA[[#This Row],[NAMA BARANG]]="","",INDEX(NOTA[SUPPLIER],MATCH(,INDIRECT(ADDRESS(ROW(NOTA[ID]),COLUMN(NOTA[ID]))&amp;":"&amp;ADDRESS(ROW(),COLUMN(NOTA[ID]))),-1)))</f>
        <v/>
      </c>
      <c r="AI36" s="35" t="str">
        <f ca="1">IF(NOTA[[#This Row],[ID_H]]="","",IF(NOTA[[#This Row],[FAKTUR]]="",INDIRECT(ADDRESS(ROW()-1,COLUMN())),NOTA[[#This Row],[FAKTUR]]))</f>
        <v/>
      </c>
      <c r="AJ36" s="27" t="str">
        <f ca="1">IF(NOTA[[#This Row],[ID]]="","",COUNTIF(NOTA[ID_H],NOTA[[#This Row],[ID_H]]))</f>
        <v/>
      </c>
      <c r="AK36" s="27" t="str">
        <f ca="1">IF(NOTA[[#This Row],[TGL.NOTA]]="",IF(NOTA[[#This Row],[SUPPLIER_H]]="","",AK35),MONTH(NOTA[[#This Row],[TGL.NOTA]]))</f>
        <v/>
      </c>
      <c r="AL36" s="27" t="str">
        <f>LOWER(SUBSTITUTE(SUBSTITUTE(SUBSTITUTE(SUBSTITUTE(SUBSTITUTE(SUBSTITUTE(SUBSTITUTE(SUBSTITUTE(SUBSTITUTE(NOTA[NAMA BARANG]," ",),".",""),"-",""),"(",""),")",""),",",""),"/",""),"""",""),"+",""))</f>
        <v/>
      </c>
      <c r="AM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27" t="str">
        <f>IF(NOTA[[#This Row],[CONCAT4]]="","",_xlfn.IFNA(MATCH(NOTA[[#This Row],[CONCAT4]],[2]!RAW[CONCAT_H],0),FALSE))</f>
        <v/>
      </c>
      <c r="AQ36" s="145" t="str">
        <f>IF(NOTA[[#This Row],[CONCAT1]]="","",MATCH(NOTA[[#This Row],[CONCAT1]],[3]!db[NB NOTA_C],0)+1)</f>
        <v/>
      </c>
    </row>
    <row r="37" spans="1:43" ht="20.100000000000001" customHeight="1" x14ac:dyDescent="0.25">
      <c r="A37" s="35">
        <f ca="1">IF(INDIRECT(ADDRESS(ROW()-1,COLUMN(NOTA[[#Headers],[ID]])))="ID",1,IF(NOTA[[#This Row],[FAKTUR]]="","",COUNT(INDIRECT(ADDRESS(ROW(NOTA[ID]),COLUMN(NOTA[ID]))&amp;":"&amp;ADDRESS(ROW()-1,COLUMN(NOTA[ID]))))+1))</f>
        <v>5</v>
      </c>
      <c r="B3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YUS_0305_004-2</v>
      </c>
      <c r="C37" s="36" t="e">
        <f ca="1">IF(NOTA[[#This Row],[ID_P]]="","",MATCH(NOTA[[#This Row],[ID_P]],[1]!B_MSK[N_ID],0))</f>
        <v>#REF!</v>
      </c>
      <c r="D37" s="36">
        <f ca="1">IF(NOTA[[#This Row],[NAMA BARANG]]="","",INDEX(NOTA[ID],MATCH(,INDIRECT(ADDRESS(ROW(NOTA[ID]),COLUMN(NOTA[ID]))&amp;":"&amp;ADDRESS(ROW(),COLUMN(NOTA[ID]))),-1)))</f>
        <v>5</v>
      </c>
      <c r="E37" s="14"/>
      <c r="F37" s="16" t="s">
        <v>138</v>
      </c>
      <c r="G37" s="16" t="s">
        <v>112</v>
      </c>
      <c r="H37" s="20" t="s">
        <v>139</v>
      </c>
      <c r="I37" s="16"/>
      <c r="J37" s="37">
        <v>45048</v>
      </c>
      <c r="K37" s="16"/>
      <c r="L37" s="16" t="s">
        <v>140</v>
      </c>
      <c r="M37" s="28">
        <v>5</v>
      </c>
      <c r="N37" s="16">
        <v>25</v>
      </c>
      <c r="O37" s="16" t="s">
        <v>125</v>
      </c>
      <c r="P37" s="35">
        <f>NOTA[[#This Row],[HARGA/ CTN]]/5</f>
        <v>91620</v>
      </c>
      <c r="Q37" s="38">
        <v>458100</v>
      </c>
      <c r="R37" s="28" t="s">
        <v>142</v>
      </c>
      <c r="S37" s="39">
        <v>0.05</v>
      </c>
      <c r="T37" s="39"/>
      <c r="U37" s="40"/>
      <c r="V37" s="26"/>
      <c r="W37" s="40">
        <f>IF(NOTA[[#This Row],[HARGA/ CTN]]="",NOTA[[#This Row],[JUMLAH_H]],NOTA[[#This Row],[HARGA/ CTN]]*IF(NOTA[[#This Row],[C]]="",0,NOTA[[#This Row],[C]]))</f>
        <v>2290500</v>
      </c>
      <c r="X37" s="40">
        <f>IF(NOTA[[#This Row],[JUMLAH]]="","",NOTA[[#This Row],[JUMLAH]]*NOTA[[#This Row],[DISC 1]])</f>
        <v>114525</v>
      </c>
      <c r="Y37" s="40">
        <f>IF(NOTA[[#This Row],[JUMLAH]]="","",(NOTA[[#This Row],[JUMLAH]]-NOTA[[#This Row],[DISC 1-]])*NOTA[[#This Row],[DISC 2]])</f>
        <v>0</v>
      </c>
      <c r="Z37" s="40">
        <f>IF(NOTA[[#This Row],[JUMLAH]]="","",NOTA[[#This Row],[DISC 1-]]+NOTA[[#This Row],[DISC 2-]])</f>
        <v>114525</v>
      </c>
      <c r="AA37" s="40">
        <f>IF(NOTA[[#This Row],[JUMLAH]]="","",NOTA[[#This Row],[JUMLAH]]-NOTA[[#This Row],[DISC]])</f>
        <v>2175975</v>
      </c>
      <c r="AB37" s="40"/>
      <c r="AC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35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F37" s="40">
        <f>IF(OR(NOTA[[#This Row],[QTY]]="",NOTA[[#This Row],[HARGA SATUAN]]="",),"",NOTA[[#This Row],[QTY]]*NOTA[[#This Row],[HARGA SATUAN]])</f>
        <v>2290500</v>
      </c>
      <c r="AG37" s="37">
        <f ca="1">IF(NOTA[ID_H]="","",INDEX(NOTA[TANGGAL],MATCH(,INDIRECT(ADDRESS(ROW(NOTA[TANGGAL]),COLUMN(NOTA[TANGGAL]))&amp;":"&amp;ADDRESS(ROW(),COLUMN(NOTA[TANGGAL]))),-1)))</f>
        <v>45049</v>
      </c>
      <c r="AH37" s="35" t="str">
        <f ca="1">IF(NOTA[[#This Row],[NAMA BARANG]]="","",INDEX(NOTA[SUPPLIER],MATCH(,INDIRECT(ADDRESS(ROW(NOTA[ID]),COLUMN(NOTA[ID]))&amp;":"&amp;ADDRESS(ROW(),COLUMN(NOTA[ID]))),-1)))</f>
        <v>YUSHINCA</v>
      </c>
      <c r="AI37" s="35" t="str">
        <f ca="1">IF(NOTA[[#This Row],[ID_H]]="","",IF(NOTA[[#This Row],[FAKTUR]]="",INDIRECT(ADDRESS(ROW()-1,COLUMN())),NOTA[[#This Row],[FAKTUR]]))</f>
        <v>UNTANA</v>
      </c>
      <c r="AJ37" s="27">
        <f ca="1">IF(NOTA[[#This Row],[ID]]="","",COUNTIF(NOTA[ID_H],NOTA[[#This Row],[ID_H]]))</f>
        <v>2</v>
      </c>
      <c r="AK37" s="27">
        <f>IF(NOTA[[#This Row],[TGL.NOTA]]="",IF(NOTA[[#This Row],[SUPPLIER_H]]="","",AK36),MONTH(NOTA[[#This Row],[TGL.NOTA]]))</f>
        <v>5</v>
      </c>
      <c r="AL37" s="27" t="str">
        <f>LOWER(SUBSTITUTE(SUBSTITUTE(SUBSTITUTE(SUBSTITUTE(SUBSTITUTE(SUBSTITUTE(SUBSTITUTE(SUBSTITUTE(SUBSTITUTE(NOTA[NAMA BARANG]," ",),".",""),"-",""),"(",""),")",""),",",""),"/",""),"""",""),"+",""))</f>
        <v>clipfilec323mix</v>
      </c>
      <c r="AM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clipfilec323mix4581000.05</v>
      </c>
      <c r="AN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clipfilec323mix4581000.05</v>
      </c>
      <c r="AO37" s="27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YUSHINCAUNTANA23/YS/V/00445048clipfilec323mix</v>
      </c>
      <c r="AP37" s="27" t="e">
        <f>IF(NOTA[[#This Row],[CONCAT4]]="","",_xlfn.IFNA(MATCH(NOTA[[#This Row],[CONCAT4]],[2]!RAW[CONCAT_H],0),FALSE))</f>
        <v>#REF!</v>
      </c>
      <c r="AQ37" s="145">
        <f>IF(NOTA[[#This Row],[CONCAT1]]="","",MATCH(NOTA[[#This Row],[CONCAT1]],[3]!db[NB NOTA_C],0)+1)</f>
        <v>503</v>
      </c>
    </row>
    <row r="38" spans="1:43" ht="20.100000000000001" customHeight="1" x14ac:dyDescent="0.25">
      <c r="A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6" t="str">
        <f>IF(NOTA[[#This Row],[ID_P]]="","",MATCH(NOTA[[#This Row],[ID_P]],[1]!B_MSK[N_ID],0))</f>
        <v/>
      </c>
      <c r="D38" s="36">
        <f ca="1">IF(NOTA[[#This Row],[NAMA BARANG]]="","",INDEX(NOTA[ID],MATCH(,INDIRECT(ADDRESS(ROW(NOTA[ID]),COLUMN(NOTA[ID]))&amp;":"&amp;ADDRESS(ROW(),COLUMN(NOTA[ID]))),-1)))</f>
        <v>5</v>
      </c>
      <c r="E38" s="14"/>
      <c r="F38" s="16"/>
      <c r="G38" s="16"/>
      <c r="H38" s="20"/>
      <c r="I38" s="16"/>
      <c r="J38" s="37"/>
      <c r="K38" s="16"/>
      <c r="L38" s="16" t="s">
        <v>141</v>
      </c>
      <c r="M38" s="28">
        <v>5</v>
      </c>
      <c r="N38" s="16">
        <v>25</v>
      </c>
      <c r="O38" s="16" t="s">
        <v>125</v>
      </c>
      <c r="P38" s="35">
        <f>NOTA[[#This Row],[HARGA/ CTN]]/5</f>
        <v>107400</v>
      </c>
      <c r="Q38" s="38">
        <v>537000</v>
      </c>
      <c r="R38" s="28" t="s">
        <v>142</v>
      </c>
      <c r="S38" s="39">
        <v>0.05</v>
      </c>
      <c r="T38" s="39"/>
      <c r="U38" s="40"/>
      <c r="V38" s="26"/>
      <c r="W38" s="40">
        <f>IF(NOTA[[#This Row],[HARGA/ CTN]]="",NOTA[[#This Row],[JUMLAH_H]],NOTA[[#This Row],[HARGA/ CTN]]*IF(NOTA[[#This Row],[C]]="",0,NOTA[[#This Row],[C]]))</f>
        <v>2685000</v>
      </c>
      <c r="X38" s="40">
        <f>IF(NOTA[[#This Row],[JUMLAH]]="","",NOTA[[#This Row],[JUMLAH]]*NOTA[[#This Row],[DISC 1]])</f>
        <v>134250</v>
      </c>
      <c r="Y38" s="40">
        <f>IF(NOTA[[#This Row],[JUMLAH]]="","",(NOTA[[#This Row],[JUMLAH]]-NOTA[[#This Row],[DISC 1-]])*NOTA[[#This Row],[DISC 2]])</f>
        <v>0</v>
      </c>
      <c r="Z38" s="40">
        <f>IF(NOTA[[#This Row],[JUMLAH]]="","",NOTA[[#This Row],[DISC 1-]]+NOTA[[#This Row],[DISC 2-]])</f>
        <v>134250</v>
      </c>
      <c r="AA38" s="40">
        <f>IF(NOTA[[#This Row],[JUMLAH]]="","",NOTA[[#This Row],[JUMLAH]]-NOTA[[#This Row],[DISC]])</f>
        <v>2550750</v>
      </c>
      <c r="AB38" s="40"/>
      <c r="AC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248775</v>
      </c>
      <c r="AD3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4726725</v>
      </c>
      <c r="AE38" s="35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F38" s="40">
        <f>IF(OR(NOTA[[#This Row],[QTY]]="",NOTA[[#This Row],[HARGA SATUAN]]="",),"",NOTA[[#This Row],[QTY]]*NOTA[[#This Row],[HARGA SATUAN]])</f>
        <v>2685000</v>
      </c>
      <c r="AG38" s="37">
        <f ca="1">IF(NOTA[ID_H]="","",INDEX(NOTA[TANGGAL],MATCH(,INDIRECT(ADDRESS(ROW(NOTA[TANGGAL]),COLUMN(NOTA[TANGGAL]))&amp;":"&amp;ADDRESS(ROW(),COLUMN(NOTA[TANGGAL]))),-1)))</f>
        <v>45049</v>
      </c>
      <c r="AH38" s="35" t="str">
        <f ca="1">IF(NOTA[[#This Row],[NAMA BARANG]]="","",INDEX(NOTA[SUPPLIER],MATCH(,INDIRECT(ADDRESS(ROW(NOTA[ID]),COLUMN(NOTA[ID]))&amp;":"&amp;ADDRESS(ROW(),COLUMN(NOTA[ID]))),-1)))</f>
        <v>YUSHINCA</v>
      </c>
      <c r="AI38" s="35" t="str">
        <f ca="1">IF(NOTA[[#This Row],[ID_H]]="","",IF(NOTA[[#This Row],[FAKTUR]]="",INDIRECT(ADDRESS(ROW()-1,COLUMN())),NOTA[[#This Row],[FAKTUR]]))</f>
        <v>UNTANA</v>
      </c>
      <c r="AJ38" s="27" t="str">
        <f ca="1">IF(NOTA[[#This Row],[ID]]="","",COUNTIF(NOTA[ID_H],NOTA[[#This Row],[ID_H]]))</f>
        <v/>
      </c>
      <c r="AK38" s="27">
        <f ca="1">IF(NOTA[[#This Row],[TGL.NOTA]]="",IF(NOTA[[#This Row],[SUPPLIER_H]]="","",AK37),MONTH(NOTA[[#This Row],[TGL.NOTA]]))</f>
        <v>5</v>
      </c>
      <c r="AL38" s="27" t="str">
        <f>LOWER(SUBSTITUTE(SUBSTITUTE(SUBSTITUTE(SUBSTITUTE(SUBSTITUTE(SUBSTITUTE(SUBSTITUTE(SUBSTITUTE(SUBSTITUTE(NOTA[NAMA BARANG]," ",),".",""),"-",""),"(",""),")",""),",",""),"/",""),"""",""),"+",""))</f>
        <v>clipfilec324a5mix</v>
      </c>
      <c r="AM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clipfilec324a5mix5370000.05</v>
      </c>
      <c r="AN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clipfilec324a5mix5370000.05</v>
      </c>
      <c r="AO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" s="27" t="str">
        <f>IF(NOTA[[#This Row],[CONCAT4]]="","",_xlfn.IFNA(MATCH(NOTA[[#This Row],[CONCAT4]],[2]!RAW[CONCAT_H],0),FALSE))</f>
        <v/>
      </c>
      <c r="AQ38" s="145">
        <f>IF(NOTA[[#This Row],[CONCAT1]]="","",MATCH(NOTA[[#This Row],[CONCAT1]],[3]!db[NB NOTA_C],0)+1)</f>
        <v>504</v>
      </c>
    </row>
    <row r="39" spans="1:43" ht="20.100000000000001" customHeight="1" x14ac:dyDescent="0.25">
      <c r="A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6" t="str">
        <f>IF(NOTA[[#This Row],[ID_P]]="","",MATCH(NOTA[[#This Row],[ID_P]],[1]!B_MSK[N_ID],0))</f>
        <v/>
      </c>
      <c r="D39" s="36" t="str">
        <f ca="1">IF(NOTA[[#This Row],[NAMA BARANG]]="","",INDEX(NOTA[ID],MATCH(,INDIRECT(ADDRESS(ROW(NOTA[ID]),COLUMN(NOTA[ID]))&amp;":"&amp;ADDRESS(ROW(),COLUMN(NOTA[ID]))),-1)))</f>
        <v/>
      </c>
      <c r="E39" s="14"/>
      <c r="F39" s="16"/>
      <c r="G39" s="16"/>
      <c r="H39" s="20"/>
      <c r="I39" s="16"/>
      <c r="J39" s="37"/>
      <c r="K39" s="16"/>
      <c r="L39" s="16"/>
      <c r="M39" s="28"/>
      <c r="N39" s="16"/>
      <c r="O39" s="16"/>
      <c r="P39" s="35"/>
      <c r="Q39" s="38"/>
      <c r="R39" s="28"/>
      <c r="S39" s="39"/>
      <c r="T39" s="39"/>
      <c r="U39" s="40"/>
      <c r="V39" s="26"/>
      <c r="W39" s="40" t="str">
        <f>IF(NOTA[[#This Row],[HARGA/ CTN]]="",NOTA[[#This Row],[JUMLAH_H]],NOTA[[#This Row],[HARGA/ CTN]]*IF(NOTA[[#This Row],[C]]="",0,NOTA[[#This Row],[C]]))</f>
        <v/>
      </c>
      <c r="X39" s="40" t="str">
        <f>IF(NOTA[[#This Row],[JUMLAH]]="","",NOTA[[#This Row],[JUMLAH]]*NOTA[[#This Row],[DISC 1]])</f>
        <v/>
      </c>
      <c r="Y39" s="40" t="str">
        <f>IF(NOTA[[#This Row],[JUMLAH]]="","",(NOTA[[#This Row],[JUMLAH]]-NOTA[[#This Row],[DISC 1-]])*NOTA[[#This Row],[DISC 2]])</f>
        <v/>
      </c>
      <c r="Z39" s="40" t="str">
        <f>IF(NOTA[[#This Row],[JUMLAH]]="","",NOTA[[#This Row],[DISC 1-]]+NOTA[[#This Row],[DISC 2-]])</f>
        <v/>
      </c>
      <c r="AA39" s="40" t="str">
        <f>IF(NOTA[[#This Row],[JUMLAH]]="","",NOTA[[#This Row],[JUMLAH]]-NOTA[[#This Row],[DISC]])</f>
        <v/>
      </c>
      <c r="AB39" s="40"/>
      <c r="AC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" s="40" t="str">
        <f>IF(OR(NOTA[[#This Row],[QTY]]="",NOTA[[#This Row],[HARGA SATUAN]]="",),"",NOTA[[#This Row],[QTY]]*NOTA[[#This Row],[HARGA SATUAN]])</f>
        <v/>
      </c>
      <c r="AG39" s="37" t="str">
        <f ca="1">IF(NOTA[ID_H]="","",INDEX(NOTA[TANGGAL],MATCH(,INDIRECT(ADDRESS(ROW(NOTA[TANGGAL]),COLUMN(NOTA[TANGGAL]))&amp;":"&amp;ADDRESS(ROW(),COLUMN(NOTA[TANGGAL]))),-1)))</f>
        <v/>
      </c>
      <c r="AH39" s="35" t="str">
        <f ca="1">IF(NOTA[[#This Row],[NAMA BARANG]]="","",INDEX(NOTA[SUPPLIER],MATCH(,INDIRECT(ADDRESS(ROW(NOTA[ID]),COLUMN(NOTA[ID]))&amp;":"&amp;ADDRESS(ROW(),COLUMN(NOTA[ID]))),-1)))</f>
        <v/>
      </c>
      <c r="AI39" s="35" t="str">
        <f ca="1">IF(NOTA[[#This Row],[ID_H]]="","",IF(NOTA[[#This Row],[FAKTUR]]="",INDIRECT(ADDRESS(ROW()-1,COLUMN())),NOTA[[#This Row],[FAKTUR]]))</f>
        <v/>
      </c>
      <c r="AJ39" s="27" t="str">
        <f ca="1">IF(NOTA[[#This Row],[ID]]="","",COUNTIF(NOTA[ID_H],NOTA[[#This Row],[ID_H]]))</f>
        <v/>
      </c>
      <c r="AK39" s="27" t="str">
        <f ca="1">IF(NOTA[[#This Row],[TGL.NOTA]]="",IF(NOTA[[#This Row],[SUPPLIER_H]]="","",AK38),MONTH(NOTA[[#This Row],[TGL.NOTA]]))</f>
        <v/>
      </c>
      <c r="AL39" s="27" t="str">
        <f>LOWER(SUBSTITUTE(SUBSTITUTE(SUBSTITUTE(SUBSTITUTE(SUBSTITUTE(SUBSTITUTE(SUBSTITUTE(SUBSTITUTE(SUBSTITUTE(NOTA[NAMA BARANG]," ",),".",""),"-",""),"(",""),")",""),",",""),"/",""),"""",""),"+",""))</f>
        <v/>
      </c>
      <c r="AM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27" t="str">
        <f>IF(NOTA[[#This Row],[CONCAT4]]="","",_xlfn.IFNA(MATCH(NOTA[[#This Row],[CONCAT4]],[2]!RAW[CONCAT_H],0),FALSE))</f>
        <v/>
      </c>
      <c r="AQ39" s="145" t="str">
        <f>IF(NOTA[[#This Row],[CONCAT1]]="","",MATCH(NOTA[[#This Row],[CONCAT1]],[3]!db[NB NOTA_C],0)+1)</f>
        <v/>
      </c>
    </row>
    <row r="40" spans="1:43" ht="20.100000000000001" customHeight="1" x14ac:dyDescent="0.25">
      <c r="A40" s="35">
        <f ca="1">IF(INDIRECT(ADDRESS(ROW()-1,COLUMN(NOTA[[#Headers],[ID]])))="ID",1,IF(NOTA[[#This Row],[FAKTUR]]="","",COUNT(INDIRECT(ADDRESS(ROW(NOTA[ID]),COLUMN(NOTA[ID]))&amp;":"&amp;ADDRESS(ROW()-1,COLUMN(NOTA[ID]))))+1))</f>
        <v>6</v>
      </c>
      <c r="B4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AND_0305_826-1</v>
      </c>
      <c r="C40" s="36" t="e">
        <f ca="1">IF(NOTA[[#This Row],[ID_P]]="","",MATCH(NOTA[[#This Row],[ID_P]],[1]!B_MSK[N_ID],0))</f>
        <v>#REF!</v>
      </c>
      <c r="D40" s="36">
        <f ca="1">IF(NOTA[[#This Row],[NAMA BARANG]]="","",INDEX(NOTA[ID],MATCH(,INDIRECT(ADDRESS(ROW(NOTA[ID]),COLUMN(NOTA[ID]))&amp;":"&amp;ADDRESS(ROW(),COLUMN(NOTA[ID]))),-1)))</f>
        <v>6</v>
      </c>
      <c r="E40" s="14"/>
      <c r="F40" s="16" t="s">
        <v>143</v>
      </c>
      <c r="G40" s="16" t="s">
        <v>112</v>
      </c>
      <c r="H40" s="20" t="s">
        <v>144</v>
      </c>
      <c r="I40" s="16"/>
      <c r="J40" s="37">
        <v>45026</v>
      </c>
      <c r="K40" s="16"/>
      <c r="L40" s="16" t="s">
        <v>145</v>
      </c>
      <c r="M40" s="28">
        <v>50</v>
      </c>
      <c r="N40" s="16">
        <v>2500</v>
      </c>
      <c r="O40" s="16" t="s">
        <v>146</v>
      </c>
      <c r="P40" s="35">
        <v>15250</v>
      </c>
      <c r="Q40" s="135">
        <v>762500</v>
      </c>
      <c r="R40" s="147" t="s">
        <v>147</v>
      </c>
      <c r="S40" s="136"/>
      <c r="T40" s="39"/>
      <c r="U40" s="40"/>
      <c r="V40" s="26"/>
      <c r="W40" s="40">
        <f>IF(NOTA[[#This Row],[HARGA/ CTN]]="",NOTA[[#This Row],[JUMLAH_H]],NOTA[[#This Row],[HARGA/ CTN]]*IF(NOTA[[#This Row],[C]]="",0,NOTA[[#This Row],[C]]))</f>
        <v>38125000</v>
      </c>
      <c r="X40" s="40">
        <f>IF(NOTA[[#This Row],[JUMLAH]]="","",NOTA[[#This Row],[JUMLAH]]*NOTA[[#This Row],[DISC 1]])</f>
        <v>0</v>
      </c>
      <c r="Y40" s="40">
        <f>IF(NOTA[[#This Row],[JUMLAH]]="","",(NOTA[[#This Row],[JUMLAH]]-NOTA[[#This Row],[DISC 1-]])*NOTA[[#This Row],[DISC 2]])</f>
        <v>0</v>
      </c>
      <c r="Z40" s="40">
        <f>IF(NOTA[[#This Row],[JUMLAH]]="","",NOTA[[#This Row],[DISC 1-]]+NOTA[[#This Row],[DISC 2-]])</f>
        <v>0</v>
      </c>
      <c r="AA40" s="40">
        <f>IF(NOTA[[#This Row],[JUMLAH]]="","",NOTA[[#This Row],[JUMLAH]]-NOTA[[#This Row],[DISC]])</f>
        <v>38125000</v>
      </c>
      <c r="AB40" s="40"/>
      <c r="AC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38125000</v>
      </c>
      <c r="AE40" s="3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F40" s="40">
        <f>IF(OR(NOTA[[#This Row],[QTY]]="",NOTA[[#This Row],[HARGA SATUAN]]="",),"",NOTA[[#This Row],[QTY]]*NOTA[[#This Row],[HARGA SATUAN]])</f>
        <v>38125000</v>
      </c>
      <c r="AG40" s="37">
        <f ca="1">IF(NOTA[ID_H]="","",INDEX(NOTA[TANGGAL],MATCH(,INDIRECT(ADDRESS(ROW(NOTA[TANGGAL]),COLUMN(NOTA[TANGGAL]))&amp;":"&amp;ADDRESS(ROW(),COLUMN(NOTA[TANGGAL]))),-1)))</f>
        <v>45049</v>
      </c>
      <c r="AH40" s="35" t="str">
        <f ca="1">IF(NOTA[[#This Row],[NAMA BARANG]]="","",INDEX(NOTA[SUPPLIER],MATCH(,INDIRECT(ADDRESS(ROW(NOTA[ID]),COLUMN(NOTA[ID]))&amp;":"&amp;ADDRESS(ROW(),COLUMN(NOTA[ID]))),-1)))</f>
        <v>ANDY</v>
      </c>
      <c r="AI40" s="35" t="str">
        <f ca="1">IF(NOTA[[#This Row],[ID_H]]="","",IF(NOTA[[#This Row],[FAKTUR]]="",INDIRECT(ADDRESS(ROW()-1,COLUMN())),NOTA[[#This Row],[FAKTUR]]))</f>
        <v>UNTANA</v>
      </c>
      <c r="AJ40" s="27">
        <f ca="1">IF(NOTA[[#This Row],[ID]]="","",COUNTIF(NOTA[ID_H],NOTA[[#This Row],[ID_H]]))</f>
        <v>1</v>
      </c>
      <c r="AK40" s="27">
        <f>IF(NOTA[[#This Row],[TGL.NOTA]]="",IF(NOTA[[#This Row],[SUPPLIER_H]]="","",AK39),MONTH(NOTA[[#This Row],[TGL.NOTA]]))</f>
        <v>4</v>
      </c>
      <c r="AL40" s="27" t="str">
        <f>LOWER(SUBSTITUTE(SUBSTITUTE(SUBSTITUTE(SUBSTITUTE(SUBSTITUTE(SUBSTITUTE(SUBSTITUTE(SUBSTITUTE(SUBSTITUTE(NOTA[NAMA BARANG]," ",),".",""),"-",""),"(",""),")",""),",",""),"/",""),"""",""),"+",""))</f>
        <v>garisanbesi30yoeker</v>
      </c>
      <c r="AM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garisanbesi30yoeker762500</v>
      </c>
      <c r="AN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garisanbesi30yoeker762500</v>
      </c>
      <c r="AO40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ANDYUNTANAS023/082645026garisanbesi30yoeker</v>
      </c>
      <c r="AP40" s="27" t="e">
        <f>IF(NOTA[[#This Row],[CONCAT4]]="","",_xlfn.IFNA(MATCH(NOTA[[#This Row],[CONCAT4]],[2]!RAW[CONCAT_H],0),FALSE))</f>
        <v>#REF!</v>
      </c>
      <c r="AQ40" s="145" t="e">
        <f>IF(NOTA[[#This Row],[CONCAT1]]="","",MATCH(NOTA[[#This Row],[CONCAT1]],[3]!db[NB NOTA_C],0)+1)</f>
        <v>#N/A</v>
      </c>
    </row>
    <row r="41" spans="1:43" ht="20.100000000000001" customHeight="1" x14ac:dyDescent="0.25">
      <c r="A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6" t="str">
        <f>IF(NOTA[[#This Row],[ID_P]]="","",MATCH(NOTA[[#This Row],[ID_P]],[1]!B_MSK[N_ID],0))</f>
        <v/>
      </c>
      <c r="D41" s="36" t="str">
        <f ca="1">IF(NOTA[[#This Row],[NAMA BARANG]]="","",INDEX(NOTA[ID],MATCH(,INDIRECT(ADDRESS(ROW(NOTA[ID]),COLUMN(NOTA[ID]))&amp;":"&amp;ADDRESS(ROW(),COLUMN(NOTA[ID]))),-1)))</f>
        <v/>
      </c>
      <c r="E41" s="14"/>
      <c r="F41" s="16"/>
      <c r="G41" s="16"/>
      <c r="H41" s="20"/>
      <c r="I41" s="16"/>
      <c r="J41" s="37"/>
      <c r="K41" s="16"/>
      <c r="L41" s="16"/>
      <c r="M41" s="28"/>
      <c r="N41" s="16"/>
      <c r="O41" s="16"/>
      <c r="P41" s="35"/>
      <c r="Q41" s="38"/>
      <c r="R41" s="28"/>
      <c r="S41" s="39"/>
      <c r="T41" s="39"/>
      <c r="U41" s="40"/>
      <c r="V41" s="26"/>
      <c r="W41" s="40" t="str">
        <f>IF(NOTA[[#This Row],[HARGA/ CTN]]="",NOTA[[#This Row],[JUMLAH_H]],NOTA[[#This Row],[HARGA/ CTN]]*IF(NOTA[[#This Row],[C]]="",0,NOTA[[#This Row],[C]]))</f>
        <v/>
      </c>
      <c r="X41" s="40" t="str">
        <f>IF(NOTA[[#This Row],[JUMLAH]]="","",NOTA[[#This Row],[JUMLAH]]*NOTA[[#This Row],[DISC 1]])</f>
        <v/>
      </c>
      <c r="Y41" s="40" t="str">
        <f>IF(NOTA[[#This Row],[JUMLAH]]="","",(NOTA[[#This Row],[JUMLAH]]-NOTA[[#This Row],[DISC 1-]])*NOTA[[#This Row],[DISC 2]])</f>
        <v/>
      </c>
      <c r="Z41" s="40" t="str">
        <f>IF(NOTA[[#This Row],[JUMLAH]]="","",NOTA[[#This Row],[DISC 1-]]+NOTA[[#This Row],[DISC 2-]])</f>
        <v/>
      </c>
      <c r="AA41" s="40" t="str">
        <f>IF(NOTA[[#This Row],[JUMLAH]]="","",NOTA[[#This Row],[JUMLAH]]-NOTA[[#This Row],[DISC]])</f>
        <v/>
      </c>
      <c r="AB41" s="40"/>
      <c r="AC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" s="40" t="str">
        <f>IF(OR(NOTA[[#This Row],[QTY]]="",NOTA[[#This Row],[HARGA SATUAN]]="",),"",NOTA[[#This Row],[QTY]]*NOTA[[#This Row],[HARGA SATUAN]])</f>
        <v/>
      </c>
      <c r="AG41" s="37" t="str">
        <f ca="1">IF(NOTA[ID_H]="","",INDEX(NOTA[TANGGAL],MATCH(,INDIRECT(ADDRESS(ROW(NOTA[TANGGAL]),COLUMN(NOTA[TANGGAL]))&amp;":"&amp;ADDRESS(ROW(),COLUMN(NOTA[TANGGAL]))),-1)))</f>
        <v/>
      </c>
      <c r="AH41" s="35" t="str">
        <f ca="1">IF(NOTA[[#This Row],[NAMA BARANG]]="","",INDEX(NOTA[SUPPLIER],MATCH(,INDIRECT(ADDRESS(ROW(NOTA[ID]),COLUMN(NOTA[ID]))&amp;":"&amp;ADDRESS(ROW(),COLUMN(NOTA[ID]))),-1)))</f>
        <v/>
      </c>
      <c r="AI41" s="35" t="str">
        <f ca="1">IF(NOTA[[#This Row],[ID_H]]="","",IF(NOTA[[#This Row],[FAKTUR]]="",INDIRECT(ADDRESS(ROW()-1,COLUMN())),NOTA[[#This Row],[FAKTUR]]))</f>
        <v/>
      </c>
      <c r="AJ41" s="27" t="str">
        <f ca="1">IF(NOTA[[#This Row],[ID]]="","",COUNTIF(NOTA[ID_H],NOTA[[#This Row],[ID_H]]))</f>
        <v/>
      </c>
      <c r="AK41" s="27" t="str">
        <f ca="1">IF(NOTA[[#This Row],[TGL.NOTA]]="",IF(NOTA[[#This Row],[SUPPLIER_H]]="","",AK40),MONTH(NOTA[[#This Row],[TGL.NOTA]]))</f>
        <v/>
      </c>
      <c r="AL41" s="27" t="str">
        <f>LOWER(SUBSTITUTE(SUBSTITUTE(SUBSTITUTE(SUBSTITUTE(SUBSTITUTE(SUBSTITUTE(SUBSTITUTE(SUBSTITUTE(SUBSTITUTE(NOTA[NAMA BARANG]," ",),".",""),"-",""),"(",""),")",""),",",""),"/",""),"""",""),"+",""))</f>
        <v/>
      </c>
      <c r="AM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" s="27" t="str">
        <f>IF(NOTA[[#This Row],[CONCAT4]]="","",_xlfn.IFNA(MATCH(NOTA[[#This Row],[CONCAT4]],[2]!RAW[CONCAT_H],0),FALSE))</f>
        <v/>
      </c>
      <c r="AQ41" s="145" t="str">
        <f>IF(NOTA[[#This Row],[CONCAT1]]="","",MATCH(NOTA[[#This Row],[CONCAT1]],[3]!db[NB NOTA_C],0)+1)</f>
        <v/>
      </c>
    </row>
    <row r="42" spans="1:43" ht="20.100000000000001" customHeight="1" x14ac:dyDescent="0.25">
      <c r="A42" s="35">
        <f ca="1">IF(INDIRECT(ADDRESS(ROW()-1,COLUMN(NOTA[[#Headers],[ID]])))="ID",1,IF(NOTA[[#This Row],[FAKTUR]]="","",COUNT(INDIRECT(ADDRESS(ROW(NOTA[ID]),COLUMN(NOTA[ID]))&amp;":"&amp;ADDRESS(ROW()-1,COLUMN(NOTA[ID]))))+1))</f>
        <v>7</v>
      </c>
      <c r="B4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HAN_0605_053-2</v>
      </c>
      <c r="C42" s="36" t="e">
        <f ca="1">IF(NOTA[[#This Row],[ID_P]]="","",MATCH(NOTA[[#This Row],[ID_P]],[1]!B_MSK[N_ID],0))</f>
        <v>#REF!</v>
      </c>
      <c r="D42" s="36">
        <f ca="1">IF(NOTA[[#This Row],[NAMA BARANG]]="","",INDEX(NOTA[ID],MATCH(,INDIRECT(ADDRESS(ROW(NOTA[ID]),COLUMN(NOTA[ID]))&amp;":"&amp;ADDRESS(ROW(),COLUMN(NOTA[ID]))),-1)))</f>
        <v>7</v>
      </c>
      <c r="E42" s="14">
        <v>45052</v>
      </c>
      <c r="F42" s="16" t="s">
        <v>153</v>
      </c>
      <c r="G42" s="16" t="s">
        <v>112</v>
      </c>
      <c r="H42" s="20" t="s">
        <v>154</v>
      </c>
      <c r="I42" s="16"/>
      <c r="J42" s="37">
        <v>45052</v>
      </c>
      <c r="K42" s="16"/>
      <c r="L42" s="16" t="s">
        <v>155</v>
      </c>
      <c r="M42" s="28"/>
      <c r="N42" s="16">
        <v>6</v>
      </c>
      <c r="O42" s="16" t="s">
        <v>125</v>
      </c>
      <c r="P42" s="35">
        <v>39000</v>
      </c>
      <c r="Q42" s="38"/>
      <c r="R42" s="28"/>
      <c r="S42" s="39"/>
      <c r="T42" s="39"/>
      <c r="U42" s="40"/>
      <c r="V42" s="26"/>
      <c r="W42" s="40">
        <f>IF(NOTA[[#This Row],[HARGA/ CTN]]="",NOTA[[#This Row],[JUMLAH_H]],NOTA[[#This Row],[HARGA/ CTN]]*IF(NOTA[[#This Row],[C]]="",0,NOTA[[#This Row],[C]]))</f>
        <v>234000</v>
      </c>
      <c r="X42" s="40">
        <f>IF(NOTA[[#This Row],[JUMLAH]]="","",NOTA[[#This Row],[JUMLAH]]*NOTA[[#This Row],[DISC 1]])</f>
        <v>0</v>
      </c>
      <c r="Y42" s="40">
        <f>IF(NOTA[[#This Row],[JUMLAH]]="","",(NOTA[[#This Row],[JUMLAH]]-NOTA[[#This Row],[DISC 1-]])*NOTA[[#This Row],[DISC 2]])</f>
        <v>0</v>
      </c>
      <c r="Z42" s="40">
        <f>IF(NOTA[[#This Row],[JUMLAH]]="","",NOTA[[#This Row],[DISC 1-]]+NOTA[[#This Row],[DISC 2-]])</f>
        <v>0</v>
      </c>
      <c r="AA42" s="40">
        <f>IF(NOTA[[#This Row],[JUMLAH]]="","",NOTA[[#This Row],[JUMLAH]]-NOTA[[#This Row],[DISC]])</f>
        <v>234000</v>
      </c>
      <c r="AB42" s="40"/>
      <c r="AC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3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F42" s="40">
        <f>IF(OR(NOTA[[#This Row],[QTY]]="",NOTA[[#This Row],[HARGA SATUAN]]="",),"",NOTA[[#This Row],[QTY]]*NOTA[[#This Row],[HARGA SATUAN]])</f>
        <v>234000</v>
      </c>
      <c r="AG42" s="37">
        <f ca="1">IF(NOTA[ID_H]="","",INDEX(NOTA[TANGGAL],MATCH(,INDIRECT(ADDRESS(ROW(NOTA[TANGGAL]),COLUMN(NOTA[TANGGAL]))&amp;":"&amp;ADDRESS(ROW(),COLUMN(NOTA[TANGGAL]))),-1)))</f>
        <v>45052</v>
      </c>
      <c r="AH42" s="35" t="str">
        <f ca="1">IF(NOTA[[#This Row],[NAMA BARANG]]="","",INDEX(NOTA[SUPPLIER],MATCH(,INDIRECT(ADDRESS(ROW(NOTA[ID]),COLUMN(NOTA[ID]))&amp;":"&amp;ADDRESS(ROW(),COLUMN(NOTA[ID]))),-1)))</f>
        <v>HANSA</v>
      </c>
      <c r="AI42" s="35" t="str">
        <f ca="1">IF(NOTA[[#This Row],[ID_H]]="","",IF(NOTA[[#This Row],[FAKTUR]]="",INDIRECT(ADDRESS(ROW()-1,COLUMN())),NOTA[[#This Row],[FAKTUR]]))</f>
        <v>UNTANA</v>
      </c>
      <c r="AJ42" s="27">
        <f ca="1">IF(NOTA[[#This Row],[ID]]="","",COUNTIF(NOTA[ID_H],NOTA[[#This Row],[ID_H]]))</f>
        <v>2</v>
      </c>
      <c r="AK42" s="27">
        <f>IF(NOTA[[#This Row],[TGL.NOTA]]="",IF(NOTA[[#This Row],[SUPPLIER_H]]="","",#REF!),MONTH(NOTA[[#This Row],[TGL.NOTA]]))</f>
        <v>5</v>
      </c>
      <c r="AL42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N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42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HANSAUNTANAHN05202305345052lilinshintoeng12btg</v>
      </c>
      <c r="AP42" s="27" t="e">
        <f>IF(NOTA[[#This Row],[CONCAT4]]="","",_xlfn.IFNA(MATCH(NOTA[[#This Row],[CONCAT4]],[2]!RAW[CONCAT_H],0),FALSE))</f>
        <v>#REF!</v>
      </c>
      <c r="AQ42" s="145">
        <f>IF(NOTA[[#This Row],[CONCAT1]]="","",MATCH(NOTA[[#This Row],[CONCAT1]],[3]!db[NB NOTA_C],0)+1)</f>
        <v>1514</v>
      </c>
    </row>
    <row r="43" spans="1:43" ht="20.100000000000001" customHeight="1" x14ac:dyDescent="0.25">
      <c r="A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6" t="str">
        <f>IF(NOTA[[#This Row],[ID_P]]="","",MATCH(NOTA[[#This Row],[ID_P]],[1]!B_MSK[N_ID],0))</f>
        <v/>
      </c>
      <c r="D43" s="36">
        <f ca="1">IF(NOTA[[#This Row],[NAMA BARANG]]="","",INDEX(NOTA[ID],MATCH(,INDIRECT(ADDRESS(ROW(NOTA[ID]),COLUMN(NOTA[ID]))&amp;":"&amp;ADDRESS(ROW(),COLUMN(NOTA[ID]))),-1)))</f>
        <v>7</v>
      </c>
      <c r="E43" s="14"/>
      <c r="F43" s="16"/>
      <c r="G43" s="16"/>
      <c r="H43" s="20"/>
      <c r="I43" s="16"/>
      <c r="J43" s="37"/>
      <c r="K43" s="16"/>
      <c r="L43" s="16" t="s">
        <v>156</v>
      </c>
      <c r="M43" s="28"/>
      <c r="N43" s="16">
        <v>6</v>
      </c>
      <c r="O43" s="16" t="s">
        <v>125</v>
      </c>
      <c r="P43" s="35">
        <v>41000</v>
      </c>
      <c r="Q43" s="38"/>
      <c r="R43" s="28"/>
      <c r="S43" s="39"/>
      <c r="T43" s="39"/>
      <c r="U43" s="40"/>
      <c r="V43" s="26"/>
      <c r="W43" s="40">
        <f>IF(NOTA[[#This Row],[HARGA/ CTN]]="",NOTA[[#This Row],[JUMLAH_H]],NOTA[[#This Row],[HARGA/ CTN]]*IF(NOTA[[#This Row],[C]]="",0,NOTA[[#This Row],[C]]))</f>
        <v>246000</v>
      </c>
      <c r="X43" s="40">
        <f>IF(NOTA[[#This Row],[JUMLAH]]="","",NOTA[[#This Row],[JUMLAH]]*NOTA[[#This Row],[DISC 1]])</f>
        <v>0</v>
      </c>
      <c r="Y43" s="40">
        <f>IF(NOTA[[#This Row],[JUMLAH]]="","",(NOTA[[#This Row],[JUMLAH]]-NOTA[[#This Row],[DISC 1-]])*NOTA[[#This Row],[DISC 2]])</f>
        <v>0</v>
      </c>
      <c r="Z43" s="40">
        <f>IF(NOTA[[#This Row],[JUMLAH]]="","",NOTA[[#This Row],[DISC 1-]]+NOTA[[#This Row],[DISC 2-]])</f>
        <v>0</v>
      </c>
      <c r="AA43" s="40">
        <f>IF(NOTA[[#This Row],[JUMLAH]]="","",NOTA[[#This Row],[JUMLAH]]-NOTA[[#This Row],[DISC]])</f>
        <v>246000</v>
      </c>
      <c r="AB43" s="40"/>
      <c r="AC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E43" s="3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F43" s="40">
        <f>IF(OR(NOTA[[#This Row],[QTY]]="",NOTA[[#This Row],[HARGA SATUAN]]="",),"",NOTA[[#This Row],[QTY]]*NOTA[[#This Row],[HARGA SATUAN]])</f>
        <v>246000</v>
      </c>
      <c r="AG43" s="37">
        <f ca="1">IF(NOTA[ID_H]="","",INDEX(NOTA[TANGGAL],MATCH(,INDIRECT(ADDRESS(ROW(NOTA[TANGGAL]),COLUMN(NOTA[TANGGAL]))&amp;":"&amp;ADDRESS(ROW(),COLUMN(NOTA[TANGGAL]))),-1)))</f>
        <v>45052</v>
      </c>
      <c r="AH43" s="35" t="str">
        <f ca="1">IF(NOTA[[#This Row],[NAMA BARANG]]="","",INDEX(NOTA[SUPPLIER],MATCH(,INDIRECT(ADDRESS(ROW(NOTA[ID]),COLUMN(NOTA[ID]))&amp;":"&amp;ADDRESS(ROW(),COLUMN(NOTA[ID]))),-1)))</f>
        <v>HANSA</v>
      </c>
      <c r="AI43" s="35" t="str">
        <f ca="1">IF(NOTA[[#This Row],[ID_H]]="","",IF(NOTA[[#This Row],[FAKTUR]]="",INDIRECT(ADDRESS(ROW()-1,COLUMN())),NOTA[[#This Row],[FAKTUR]]))</f>
        <v>UNTANA</v>
      </c>
      <c r="AJ43" s="27" t="str">
        <f ca="1">IF(NOTA[[#This Row],[ID]]="","",COUNTIF(NOTA[ID_H],NOTA[[#This Row],[ID_H]]))</f>
        <v/>
      </c>
      <c r="AK43" s="27">
        <f ca="1">IF(NOTA[[#This Row],[TGL.NOTA]]="",IF(NOTA[[#This Row],[SUPPLIER_H]]="","",AK42),MONTH(NOTA[[#This Row],[TGL.NOTA]]))</f>
        <v>5</v>
      </c>
      <c r="AL43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N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" s="27" t="str">
        <f>IF(NOTA[[#This Row],[CONCAT4]]="","",_xlfn.IFNA(MATCH(NOTA[[#This Row],[CONCAT4]],[2]!RAW[CONCAT_H],0),FALSE))</f>
        <v/>
      </c>
      <c r="AQ43" s="145">
        <f>IF(NOTA[[#This Row],[CONCAT1]]="","",MATCH(NOTA[[#This Row],[CONCAT1]],[3]!db[NB NOTA_C],0)+1)</f>
        <v>1515</v>
      </c>
    </row>
    <row r="44" spans="1:43" ht="20.100000000000001" customHeight="1" x14ac:dyDescent="0.25">
      <c r="A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6" t="str">
        <f>IF(NOTA[[#This Row],[ID_P]]="","",MATCH(NOTA[[#This Row],[ID_P]],[1]!B_MSK[N_ID],0))</f>
        <v/>
      </c>
      <c r="D44" s="36" t="str">
        <f ca="1">IF(NOTA[[#This Row],[NAMA BARANG]]="","",INDEX(NOTA[ID],MATCH(,INDIRECT(ADDRESS(ROW(NOTA[ID]),COLUMN(NOTA[ID]))&amp;":"&amp;ADDRESS(ROW(),COLUMN(NOTA[ID]))),-1)))</f>
        <v/>
      </c>
      <c r="E44" s="14"/>
      <c r="F44" s="16"/>
      <c r="G44" s="16"/>
      <c r="H44" s="20"/>
      <c r="I44" s="16"/>
      <c r="J44" s="37"/>
      <c r="K44" s="16"/>
      <c r="L44" s="16"/>
      <c r="M44" s="28"/>
      <c r="N44" s="16"/>
      <c r="O44" s="16"/>
      <c r="P44" s="35"/>
      <c r="Q44" s="38"/>
      <c r="R44" s="28"/>
      <c r="S44" s="39"/>
      <c r="T44" s="39"/>
      <c r="U44" s="40"/>
      <c r="V44" s="26"/>
      <c r="W44" s="40" t="str">
        <f>IF(NOTA[[#This Row],[HARGA/ CTN]]="",NOTA[[#This Row],[JUMLAH_H]],NOTA[[#This Row],[HARGA/ CTN]]*IF(NOTA[[#This Row],[C]]="",0,NOTA[[#This Row],[C]]))</f>
        <v/>
      </c>
      <c r="X44" s="40" t="str">
        <f>IF(NOTA[[#This Row],[JUMLAH]]="","",NOTA[[#This Row],[JUMLAH]]*NOTA[[#This Row],[DISC 1]])</f>
        <v/>
      </c>
      <c r="Y44" s="40" t="str">
        <f>IF(NOTA[[#This Row],[JUMLAH]]="","",(NOTA[[#This Row],[JUMLAH]]-NOTA[[#This Row],[DISC 1-]])*NOTA[[#This Row],[DISC 2]])</f>
        <v/>
      </c>
      <c r="Z44" s="40" t="str">
        <f>IF(NOTA[[#This Row],[JUMLAH]]="","",NOTA[[#This Row],[DISC 1-]]+NOTA[[#This Row],[DISC 2-]])</f>
        <v/>
      </c>
      <c r="AA44" s="40" t="str">
        <f>IF(NOTA[[#This Row],[JUMLAH]]="","",NOTA[[#This Row],[JUMLAH]]-NOTA[[#This Row],[DISC]])</f>
        <v/>
      </c>
      <c r="AB44" s="40"/>
      <c r="AC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" s="40" t="str">
        <f>IF(OR(NOTA[[#This Row],[QTY]]="",NOTA[[#This Row],[HARGA SATUAN]]="",),"",NOTA[[#This Row],[QTY]]*NOTA[[#This Row],[HARGA SATUAN]])</f>
        <v/>
      </c>
      <c r="AG44" s="37" t="str">
        <f ca="1">IF(NOTA[ID_H]="","",INDEX(NOTA[TANGGAL],MATCH(,INDIRECT(ADDRESS(ROW(NOTA[TANGGAL]),COLUMN(NOTA[TANGGAL]))&amp;":"&amp;ADDRESS(ROW(),COLUMN(NOTA[TANGGAL]))),-1)))</f>
        <v/>
      </c>
      <c r="AH44" s="35" t="str">
        <f ca="1">IF(NOTA[[#This Row],[NAMA BARANG]]="","",INDEX(NOTA[SUPPLIER],MATCH(,INDIRECT(ADDRESS(ROW(NOTA[ID]),COLUMN(NOTA[ID]))&amp;":"&amp;ADDRESS(ROW(),COLUMN(NOTA[ID]))),-1)))</f>
        <v/>
      </c>
      <c r="AI44" s="35" t="str">
        <f ca="1">IF(NOTA[[#This Row],[ID_H]]="","",IF(NOTA[[#This Row],[FAKTUR]]="",INDIRECT(ADDRESS(ROW()-1,COLUMN())),NOTA[[#This Row],[FAKTUR]]))</f>
        <v/>
      </c>
      <c r="AJ44" s="27" t="str">
        <f ca="1">IF(NOTA[[#This Row],[ID]]="","",COUNTIF(NOTA[ID_H],NOTA[[#This Row],[ID_H]]))</f>
        <v/>
      </c>
      <c r="AK44" s="27" t="str">
        <f ca="1">IF(NOTA[[#This Row],[TGL.NOTA]]="",IF(NOTA[[#This Row],[SUPPLIER_H]]="","",AK43),MONTH(NOTA[[#This Row],[TGL.NOTA]]))</f>
        <v/>
      </c>
      <c r="AL44" s="27" t="str">
        <f>LOWER(SUBSTITUTE(SUBSTITUTE(SUBSTITUTE(SUBSTITUTE(SUBSTITUTE(SUBSTITUTE(SUBSTITUTE(SUBSTITUTE(SUBSTITUTE(NOTA[NAMA BARANG]," ",),".",""),"-",""),"(",""),")",""),",",""),"/",""),"""",""),"+",""))</f>
        <v/>
      </c>
      <c r="AM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27" t="str">
        <f>IF(NOTA[[#This Row],[CONCAT4]]="","",_xlfn.IFNA(MATCH(NOTA[[#This Row],[CONCAT4]],[2]!RAW[CONCAT_H],0),FALSE))</f>
        <v/>
      </c>
      <c r="AQ44" s="145" t="str">
        <f>IF(NOTA[[#This Row],[CONCAT1]]="","",MATCH(NOTA[[#This Row],[CONCAT1]],[3]!db[NB NOTA_C],0)+1)</f>
        <v/>
      </c>
    </row>
    <row r="45" spans="1:43" ht="20.100000000000001" customHeight="1" x14ac:dyDescent="0.25">
      <c r="A45" s="35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BIN_0505_023-4</v>
      </c>
      <c r="C45" s="36" t="e">
        <f ca="1">IF(NOTA[[#This Row],[ID_P]]="","",MATCH(NOTA[[#This Row],[ID_P]],[1]!B_MSK[N_ID],0))</f>
        <v>#REF!</v>
      </c>
      <c r="D45" s="36">
        <f ca="1">IF(NOTA[[#This Row],[NAMA BARANG]]="","",INDEX(NOTA[ID],MATCH(,INDIRECT(ADDRESS(ROW(NOTA[ID]),COLUMN(NOTA[ID]))&amp;":"&amp;ADDRESS(ROW(),COLUMN(NOTA[ID]))),-1)))</f>
        <v>8</v>
      </c>
      <c r="E45" s="14">
        <v>45051</v>
      </c>
      <c r="F45" s="16" t="s">
        <v>157</v>
      </c>
      <c r="G45" s="16" t="s">
        <v>112</v>
      </c>
      <c r="H45" s="20" t="s">
        <v>158</v>
      </c>
      <c r="I45" s="16"/>
      <c r="J45" s="37">
        <v>45048</v>
      </c>
      <c r="K45" s="16"/>
      <c r="L45" s="16" t="s">
        <v>159</v>
      </c>
      <c r="M45" s="28">
        <v>25</v>
      </c>
      <c r="N45" s="16">
        <v>3600</v>
      </c>
      <c r="O45" s="16" t="s">
        <v>160</v>
      </c>
      <c r="P45" s="35">
        <v>12500</v>
      </c>
      <c r="Q45" s="38"/>
      <c r="R45" s="28" t="s">
        <v>161</v>
      </c>
      <c r="S45" s="39"/>
      <c r="T45" s="39"/>
      <c r="U45" s="40"/>
      <c r="V45" s="26"/>
      <c r="W45" s="40">
        <f>IF(NOTA[[#This Row],[HARGA/ CTN]]="",NOTA[[#This Row],[JUMLAH_H]],NOTA[[#This Row],[HARGA/ CTN]]*IF(NOTA[[#This Row],[C]]="",0,NOTA[[#This Row],[C]]))</f>
        <v>45000000</v>
      </c>
      <c r="X45" s="40">
        <f>IF(NOTA[[#This Row],[JUMLAH]]="","",NOTA[[#This Row],[JUMLAH]]*NOTA[[#This Row],[DISC 1]])</f>
        <v>0</v>
      </c>
      <c r="Y45" s="40">
        <f>IF(NOTA[[#This Row],[JUMLAH]]="","",(NOTA[[#This Row],[JUMLAH]]-NOTA[[#This Row],[DISC 1-]])*NOTA[[#This Row],[DISC 2]])</f>
        <v>0</v>
      </c>
      <c r="Z45" s="40">
        <f>IF(NOTA[[#This Row],[JUMLAH]]="","",NOTA[[#This Row],[DISC 1-]]+NOTA[[#This Row],[DISC 2-]])</f>
        <v>0</v>
      </c>
      <c r="AA45" s="40">
        <f>IF(NOTA[[#This Row],[JUMLAH]]="","",NOTA[[#This Row],[JUMLAH]]-NOTA[[#This Row],[DISC]])</f>
        <v>45000000</v>
      </c>
      <c r="AB45" s="40"/>
      <c r="AC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3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5" s="40">
        <f>IF(OR(NOTA[[#This Row],[QTY]]="",NOTA[[#This Row],[HARGA SATUAN]]="",),"",NOTA[[#This Row],[QTY]]*NOTA[[#This Row],[HARGA SATUAN]])</f>
        <v>45000000</v>
      </c>
      <c r="AG45" s="37">
        <f ca="1">IF(NOTA[ID_H]="","",INDEX(NOTA[TANGGAL],MATCH(,INDIRECT(ADDRESS(ROW(NOTA[TANGGAL]),COLUMN(NOTA[TANGGAL]))&amp;":"&amp;ADDRESS(ROW(),COLUMN(NOTA[TANGGAL]))),-1)))</f>
        <v>45051</v>
      </c>
      <c r="AH45" s="35" t="str">
        <f ca="1">IF(NOTA[[#This Row],[NAMA BARANG]]="","",INDEX(NOTA[SUPPLIER],MATCH(,INDIRECT(ADDRESS(ROW(NOTA[ID]),COLUMN(NOTA[ID]))&amp;":"&amp;ADDRESS(ROW(),COLUMN(NOTA[ID]))),-1)))</f>
        <v>BINTANG JAYA</v>
      </c>
      <c r="AI45" s="35" t="str">
        <f ca="1">IF(NOTA[[#This Row],[ID_H]]="","",IF(NOTA[[#This Row],[FAKTUR]]="",INDIRECT(ADDRESS(ROW()-1,COLUMN())),NOTA[[#This Row],[FAKTUR]]))</f>
        <v>UNTANA</v>
      </c>
      <c r="AJ45" s="27">
        <f ca="1">IF(NOTA[[#This Row],[ID]]="","",COUNTIF(NOTA[ID_H],NOTA[[#This Row],[ID_H]]))</f>
        <v>4</v>
      </c>
      <c r="AK45" s="27">
        <f>IF(NOTA[[#This Row],[TGL.NOTA]]="",IF(NOTA[[#This Row],[SUPPLIER_H]]="","",AK44),MONTH(NOTA[[#This Row],[TGL.NOTA]]))</f>
        <v>5</v>
      </c>
      <c r="AL45" s="27" t="str">
        <f>LOWER(SUBSTITUTE(SUBSTITUTE(SUBSTITUTE(SUBSTITUTE(SUBSTITUTE(SUBSTITUTE(SUBSTITUTE(SUBSTITUTE(SUBSTITUTE(NOTA[NAMA BARANG]," ",),".",""),"-",""),"(",""),")",""),",",""),"/",""),"""",""),"+",""))</f>
        <v>pencilcasemagnetcalculatorcc7806</v>
      </c>
      <c r="AM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pencilcasemagnetcalculatorcc78061800000</v>
      </c>
      <c r="AN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pencilcasemagnetcalculatorcc78061800000</v>
      </c>
      <c r="AO45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JAYAUNTANASI.2023.05.0002345048pencilcasemagnetcalculatorcc7806</v>
      </c>
      <c r="AP45" s="27" t="e">
        <f>IF(NOTA[[#This Row],[CONCAT4]]="","",_xlfn.IFNA(MATCH(NOTA[[#This Row],[CONCAT4]],[2]!RAW[CONCAT_H],0),FALSE))</f>
        <v>#REF!</v>
      </c>
      <c r="AQ45" s="145" t="e">
        <f>IF(NOTA[[#This Row],[CONCAT1]]="","",MATCH(NOTA[[#This Row],[CONCAT1]],[3]!db[NB NOTA_C],0)+1)</f>
        <v>#N/A</v>
      </c>
    </row>
    <row r="46" spans="1:43" ht="20.100000000000001" customHeight="1" x14ac:dyDescent="0.25">
      <c r="A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6" t="str">
        <f>IF(NOTA[[#This Row],[ID_P]]="","",MATCH(NOTA[[#This Row],[ID_P]],[1]!B_MSK[N_ID],0))</f>
        <v/>
      </c>
      <c r="D46" s="36">
        <f ca="1">IF(NOTA[[#This Row],[NAMA BARANG]]="","",INDEX(NOTA[ID],MATCH(,INDIRECT(ADDRESS(ROW(NOTA[ID]),COLUMN(NOTA[ID]))&amp;":"&amp;ADDRESS(ROW(),COLUMN(NOTA[ID]))),-1)))</f>
        <v>8</v>
      </c>
      <c r="E46" s="14"/>
      <c r="F46" s="16"/>
      <c r="G46" s="16"/>
      <c r="H46" s="20"/>
      <c r="I46" s="16"/>
      <c r="J46" s="37"/>
      <c r="K46" s="16"/>
      <c r="L46" s="16" t="s">
        <v>162</v>
      </c>
      <c r="M46" s="28">
        <v>2</v>
      </c>
      <c r="N46" s="16">
        <v>672</v>
      </c>
      <c r="O46" s="16" t="s">
        <v>160</v>
      </c>
      <c r="P46" s="35">
        <v>2850</v>
      </c>
      <c r="Q46" s="38"/>
      <c r="R46" s="28" t="s">
        <v>163</v>
      </c>
      <c r="S46" s="39">
        <v>0.05</v>
      </c>
      <c r="T46" s="39">
        <v>2.5000000000000001E-2</v>
      </c>
      <c r="U46" s="40"/>
      <c r="V46" s="26"/>
      <c r="W46" s="40">
        <f>IF(NOTA[[#This Row],[HARGA/ CTN]]="",NOTA[[#This Row],[JUMLAH_H]],NOTA[[#This Row],[HARGA/ CTN]]*IF(NOTA[[#This Row],[C]]="",0,NOTA[[#This Row],[C]]))</f>
        <v>1915200</v>
      </c>
      <c r="X46" s="40">
        <f>IF(NOTA[[#This Row],[JUMLAH]]="","",NOTA[[#This Row],[JUMLAH]]*NOTA[[#This Row],[DISC 1]])</f>
        <v>95760</v>
      </c>
      <c r="Y46" s="40">
        <f>IF(NOTA[[#This Row],[JUMLAH]]="","",(NOTA[[#This Row],[JUMLAH]]-NOTA[[#This Row],[DISC 1-]])*NOTA[[#This Row],[DISC 2]])</f>
        <v>45486</v>
      </c>
      <c r="Z46" s="40">
        <f>IF(NOTA[[#This Row],[JUMLAH]]="","",NOTA[[#This Row],[DISC 1-]]+NOTA[[#This Row],[DISC 2-]])</f>
        <v>141246</v>
      </c>
      <c r="AA46" s="40">
        <f>IF(NOTA[[#This Row],[JUMLAH]]="","",NOTA[[#This Row],[JUMLAH]]-NOTA[[#This Row],[DISC]])</f>
        <v>1773954</v>
      </c>
      <c r="AB46" s="40"/>
      <c r="AC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35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46" s="40">
        <f>IF(OR(NOTA[[#This Row],[QTY]]="",NOTA[[#This Row],[HARGA SATUAN]]="",),"",NOTA[[#This Row],[QTY]]*NOTA[[#This Row],[HARGA SATUAN]])</f>
        <v>1915200</v>
      </c>
      <c r="AG46" s="37">
        <f ca="1">IF(NOTA[ID_H]="","",INDEX(NOTA[TANGGAL],MATCH(,INDIRECT(ADDRESS(ROW(NOTA[TANGGAL]),COLUMN(NOTA[TANGGAL]))&amp;":"&amp;ADDRESS(ROW(),COLUMN(NOTA[TANGGAL]))),-1)))</f>
        <v>45051</v>
      </c>
      <c r="AH46" s="35" t="str">
        <f ca="1">IF(NOTA[[#This Row],[NAMA BARANG]]="","",INDEX(NOTA[SUPPLIER],MATCH(,INDIRECT(ADDRESS(ROW(NOTA[ID]),COLUMN(NOTA[ID]))&amp;":"&amp;ADDRESS(ROW(),COLUMN(NOTA[ID]))),-1)))</f>
        <v>BINTANG JAYA</v>
      </c>
      <c r="AI46" s="35" t="str">
        <f ca="1">IF(NOTA[[#This Row],[ID_H]]="","",IF(NOTA[[#This Row],[FAKTUR]]="",INDIRECT(ADDRESS(ROW()-1,COLUMN())),NOTA[[#This Row],[FAKTUR]]))</f>
        <v>UNTANA</v>
      </c>
      <c r="AJ46" s="27" t="str">
        <f ca="1">IF(NOTA[[#This Row],[ID]]="","",COUNTIF(NOTA[ID_H],NOTA[[#This Row],[ID_H]]))</f>
        <v/>
      </c>
      <c r="AK46" s="27">
        <f ca="1">IF(NOTA[[#This Row],[TGL.NOTA]]="",IF(NOTA[[#This Row],[SUPPLIER_H]]="","",AK45),MONTH(NOTA[[#This Row],[TGL.NOTA]]))</f>
        <v>5</v>
      </c>
      <c r="AL46" s="27" t="str">
        <f>LOWER(SUBSTITUTE(SUBSTITUTE(SUBSTITUTE(SUBSTITUTE(SUBSTITUTE(SUBSTITUTE(SUBSTITUTE(SUBSTITUTE(SUBSTITUTE(NOTA[NAMA BARANG]," ",),".",""),"-",""),"(",""),")",""),",",""),"/",""),"""",""),"+",""))</f>
        <v>paperbagtasmotifbatikukbesar</v>
      </c>
      <c r="AM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N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paperbagtasmotifbatikukbesar9576000.050.025</v>
      </c>
      <c r="AO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27" t="str">
        <f>IF(NOTA[[#This Row],[CONCAT4]]="","",_xlfn.IFNA(MATCH(NOTA[[#This Row],[CONCAT4]],[2]!RAW[CONCAT_H],0),FALSE))</f>
        <v/>
      </c>
      <c r="AQ46" s="145">
        <f>IF(NOTA[[#This Row],[CONCAT1]]="","",MATCH(NOTA[[#This Row],[CONCAT1]],[3]!db[NB NOTA_C],0)+1)</f>
        <v>1774</v>
      </c>
    </row>
    <row r="47" spans="1:43" ht="20.100000000000001" customHeight="1" x14ac:dyDescent="0.25">
      <c r="A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6" t="str">
        <f>IF(NOTA[[#This Row],[ID_P]]="","",MATCH(NOTA[[#This Row],[ID_P]],[1]!B_MSK[N_ID],0))</f>
        <v/>
      </c>
      <c r="D47" s="36">
        <f ca="1">IF(NOTA[[#This Row],[NAMA BARANG]]="","",INDEX(NOTA[ID],MATCH(,INDIRECT(ADDRESS(ROW(NOTA[ID]),COLUMN(NOTA[ID]))&amp;":"&amp;ADDRESS(ROW(),COLUMN(NOTA[ID]))),-1)))</f>
        <v>8</v>
      </c>
      <c r="E47" s="14"/>
      <c r="F47" s="16"/>
      <c r="G47" s="16"/>
      <c r="H47" s="20"/>
      <c r="I47" s="16"/>
      <c r="J47" s="37"/>
      <c r="K47" s="16"/>
      <c r="L47" s="16" t="s">
        <v>164</v>
      </c>
      <c r="M47" s="28">
        <v>2</v>
      </c>
      <c r="N47" s="16">
        <v>1152</v>
      </c>
      <c r="O47" s="16" t="s">
        <v>160</v>
      </c>
      <c r="P47" s="35">
        <v>1850</v>
      </c>
      <c r="Q47" s="38"/>
      <c r="R47" s="28" t="s">
        <v>165</v>
      </c>
      <c r="S47" s="39">
        <v>0.05</v>
      </c>
      <c r="T47" s="39">
        <v>2.5000000000000001E-2</v>
      </c>
      <c r="U47" s="40"/>
      <c r="V47" s="26"/>
      <c r="W47" s="40">
        <f>IF(NOTA[[#This Row],[HARGA/ CTN]]="",NOTA[[#This Row],[JUMLAH_H]],NOTA[[#This Row],[HARGA/ CTN]]*IF(NOTA[[#This Row],[C]]="",0,NOTA[[#This Row],[C]]))</f>
        <v>2131200</v>
      </c>
      <c r="X47" s="40">
        <f>IF(NOTA[[#This Row],[JUMLAH]]="","",NOTA[[#This Row],[JUMLAH]]*NOTA[[#This Row],[DISC 1]])</f>
        <v>106560</v>
      </c>
      <c r="Y47" s="40">
        <f>IF(NOTA[[#This Row],[JUMLAH]]="","",(NOTA[[#This Row],[JUMLAH]]-NOTA[[#This Row],[DISC 1-]])*NOTA[[#This Row],[DISC 2]])</f>
        <v>50616</v>
      </c>
      <c r="Z47" s="40">
        <f>IF(NOTA[[#This Row],[JUMLAH]]="","",NOTA[[#This Row],[DISC 1-]]+NOTA[[#This Row],[DISC 2-]])</f>
        <v>157176</v>
      </c>
      <c r="AA47" s="40">
        <f>IF(NOTA[[#This Row],[JUMLAH]]="","",NOTA[[#This Row],[JUMLAH]]-NOTA[[#This Row],[DISC]])</f>
        <v>1974024</v>
      </c>
      <c r="AB47" s="40"/>
      <c r="AC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3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47" s="40">
        <f>IF(OR(NOTA[[#This Row],[QTY]]="",NOTA[[#This Row],[HARGA SATUAN]]="",),"",NOTA[[#This Row],[QTY]]*NOTA[[#This Row],[HARGA SATUAN]])</f>
        <v>2131200</v>
      </c>
      <c r="AG47" s="37">
        <f ca="1">IF(NOTA[ID_H]="","",INDEX(NOTA[TANGGAL],MATCH(,INDIRECT(ADDRESS(ROW(NOTA[TANGGAL]),COLUMN(NOTA[TANGGAL]))&amp;":"&amp;ADDRESS(ROW(),COLUMN(NOTA[TANGGAL]))),-1)))</f>
        <v>45051</v>
      </c>
      <c r="AH47" s="35" t="str">
        <f ca="1">IF(NOTA[[#This Row],[NAMA BARANG]]="","",INDEX(NOTA[SUPPLIER],MATCH(,INDIRECT(ADDRESS(ROW(NOTA[ID]),COLUMN(NOTA[ID]))&amp;":"&amp;ADDRESS(ROW(),COLUMN(NOTA[ID]))),-1)))</f>
        <v>BINTANG JAYA</v>
      </c>
      <c r="AI47" s="35" t="str">
        <f ca="1">IF(NOTA[[#This Row],[ID_H]]="","",IF(NOTA[[#This Row],[FAKTUR]]="",INDIRECT(ADDRESS(ROW()-1,COLUMN())),NOTA[[#This Row],[FAKTUR]]))</f>
        <v>UNTANA</v>
      </c>
      <c r="AJ47" s="27" t="str">
        <f ca="1">IF(NOTA[[#This Row],[ID]]="","",COUNTIF(NOTA[ID_H],NOTA[[#This Row],[ID_H]]))</f>
        <v/>
      </c>
      <c r="AK47" s="27">
        <f ca="1">IF(NOTA[[#This Row],[TGL.NOTA]]="",IF(NOTA[[#This Row],[SUPPLIER_H]]="","",AK46),MONTH(NOTA[[#This Row],[TGL.NOTA]]))</f>
        <v>5</v>
      </c>
      <c r="AL47" s="27" t="str">
        <f>LOWER(SUBSTITUTE(SUBSTITUTE(SUBSTITUTE(SUBSTITUTE(SUBSTITUTE(SUBSTITUTE(SUBSTITUTE(SUBSTITUTE(SUBSTITUTE(NOTA[NAMA BARANG]," ",),".",""),"-",""),"(",""),")",""),",",""),"/",""),"""",""),"+",""))</f>
        <v>paperbagtasmotifbatikukkecil</v>
      </c>
      <c r="AM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N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paperbagtasmotifbatikukkecil10656000.050.025</v>
      </c>
      <c r="AO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" s="27" t="str">
        <f>IF(NOTA[[#This Row],[CONCAT4]]="","",_xlfn.IFNA(MATCH(NOTA[[#This Row],[CONCAT4]],[2]!RAW[CONCAT_H],0),FALSE))</f>
        <v/>
      </c>
      <c r="AQ47" s="145" t="e">
        <f>IF(NOTA[[#This Row],[CONCAT1]]="","",MATCH(NOTA[[#This Row],[CONCAT1]],[3]!db[NB NOTA_C],0)+1)</f>
        <v>#N/A</v>
      </c>
    </row>
    <row r="48" spans="1:43" ht="20.100000000000001" customHeight="1" x14ac:dyDescent="0.25">
      <c r="A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6" t="str">
        <f>IF(NOTA[[#This Row],[ID_P]]="","",MATCH(NOTA[[#This Row],[ID_P]],[1]!B_MSK[N_ID],0))</f>
        <v/>
      </c>
      <c r="D48" s="36">
        <f ca="1">IF(NOTA[[#This Row],[NAMA BARANG]]="","",INDEX(NOTA[ID],MATCH(,INDIRECT(ADDRESS(ROW(NOTA[ID]),COLUMN(NOTA[ID]))&amp;":"&amp;ADDRESS(ROW(),COLUMN(NOTA[ID]))),-1)))</f>
        <v>8</v>
      </c>
      <c r="E48" s="14"/>
      <c r="F48" s="16"/>
      <c r="G48" s="16"/>
      <c r="H48" s="20"/>
      <c r="I48" s="16"/>
      <c r="J48" s="37"/>
      <c r="K48" s="16"/>
      <c r="L48" s="16" t="s">
        <v>166</v>
      </c>
      <c r="M48" s="28">
        <v>2</v>
      </c>
      <c r="N48" s="16">
        <v>720</v>
      </c>
      <c r="O48" s="16" t="s">
        <v>160</v>
      </c>
      <c r="P48" s="35">
        <v>2250</v>
      </c>
      <c r="Q48" s="38"/>
      <c r="R48" s="28" t="s">
        <v>167</v>
      </c>
      <c r="S48" s="39">
        <v>0.05</v>
      </c>
      <c r="T48" s="39">
        <v>2.5000000000000001E-2</v>
      </c>
      <c r="U48" s="40"/>
      <c r="V48" s="26"/>
      <c r="W48" s="40">
        <f>IF(NOTA[[#This Row],[HARGA/ CTN]]="",NOTA[[#This Row],[JUMLAH_H]],NOTA[[#This Row],[HARGA/ CTN]]*IF(NOTA[[#This Row],[C]]="",0,NOTA[[#This Row],[C]]))</f>
        <v>1620000</v>
      </c>
      <c r="X48" s="40">
        <f>IF(NOTA[[#This Row],[JUMLAH]]="","",NOTA[[#This Row],[JUMLAH]]*NOTA[[#This Row],[DISC 1]])</f>
        <v>81000</v>
      </c>
      <c r="Y48" s="40">
        <f>IF(NOTA[[#This Row],[JUMLAH]]="","",(NOTA[[#This Row],[JUMLAH]]-NOTA[[#This Row],[DISC 1-]])*NOTA[[#This Row],[DISC 2]])</f>
        <v>38475</v>
      </c>
      <c r="Z48" s="40">
        <f>IF(NOTA[[#This Row],[JUMLAH]]="","",NOTA[[#This Row],[DISC 1-]]+NOTA[[#This Row],[DISC 2-]])</f>
        <v>119475</v>
      </c>
      <c r="AA48" s="40">
        <f>IF(NOTA[[#This Row],[JUMLAH]]="","",NOTA[[#This Row],[JUMLAH]]-NOTA[[#This Row],[DISC]])</f>
        <v>1500525</v>
      </c>
      <c r="AB48" s="40"/>
      <c r="AC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417897</v>
      </c>
      <c r="AD4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50248503</v>
      </c>
      <c r="AE48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8" s="40">
        <f>IF(OR(NOTA[[#This Row],[QTY]]="",NOTA[[#This Row],[HARGA SATUAN]]="",),"",NOTA[[#This Row],[QTY]]*NOTA[[#This Row],[HARGA SATUAN]])</f>
        <v>1620000</v>
      </c>
      <c r="AG48" s="37">
        <f ca="1">IF(NOTA[ID_H]="","",INDEX(NOTA[TANGGAL],MATCH(,INDIRECT(ADDRESS(ROW(NOTA[TANGGAL]),COLUMN(NOTA[TANGGAL]))&amp;":"&amp;ADDRESS(ROW(),COLUMN(NOTA[TANGGAL]))),-1)))</f>
        <v>45051</v>
      </c>
      <c r="AH48" s="35" t="str">
        <f ca="1">IF(NOTA[[#This Row],[NAMA BARANG]]="","",INDEX(NOTA[SUPPLIER],MATCH(,INDIRECT(ADDRESS(ROW(NOTA[ID]),COLUMN(NOTA[ID]))&amp;":"&amp;ADDRESS(ROW(),COLUMN(NOTA[ID]))),-1)))</f>
        <v>BINTANG JAYA</v>
      </c>
      <c r="AI48" s="35" t="str">
        <f ca="1">IF(NOTA[[#This Row],[ID_H]]="","",IF(NOTA[[#This Row],[FAKTUR]]="",INDIRECT(ADDRESS(ROW()-1,COLUMN())),NOTA[[#This Row],[FAKTUR]]))</f>
        <v>UNTANA</v>
      </c>
      <c r="AJ48" s="27" t="str">
        <f ca="1">IF(NOTA[[#This Row],[ID]]="","",COUNTIF(NOTA[ID_H],NOTA[[#This Row],[ID_H]]))</f>
        <v/>
      </c>
      <c r="AK48" s="27">
        <f ca="1">IF(NOTA[[#This Row],[TGL.NOTA]]="",IF(NOTA[[#This Row],[SUPPLIER_H]]="","",AK47),MONTH(NOTA[[#This Row],[TGL.NOTA]]))</f>
        <v>5</v>
      </c>
      <c r="AL48" s="27" t="str">
        <f>LOWER(SUBSTITUTE(SUBSTITUTE(SUBSTITUTE(SUBSTITUTE(SUBSTITUTE(SUBSTITUTE(SUBSTITUTE(SUBSTITUTE(SUBSTITUTE(NOTA[NAMA BARANG]," ",),".",""),"-",""),"(",""),")",""),",",""),"/",""),"""",""),"+",""))</f>
        <v>paperbagtasmotifbatikuktanggung</v>
      </c>
      <c r="AM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N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paperbagtasmotifbatikuktanggung8100000.050.025</v>
      </c>
      <c r="AO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27" t="str">
        <f>IF(NOTA[[#This Row],[CONCAT4]]="","",_xlfn.IFNA(MATCH(NOTA[[#This Row],[CONCAT4]],[2]!RAW[CONCAT_H],0),FALSE))</f>
        <v/>
      </c>
      <c r="AQ48" s="145">
        <f>IF(NOTA[[#This Row],[CONCAT1]]="","",MATCH(NOTA[[#This Row],[CONCAT1]],[3]!db[NB NOTA_C],0)+1)</f>
        <v>1777</v>
      </c>
    </row>
    <row r="49" spans="1:43" ht="20.100000000000001" customHeight="1" x14ac:dyDescent="0.25">
      <c r="A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6" t="str">
        <f>IF(NOTA[[#This Row],[ID_P]]="","",MATCH(NOTA[[#This Row],[ID_P]],[1]!B_MSK[N_ID],0))</f>
        <v/>
      </c>
      <c r="D49" s="36" t="str">
        <f ca="1">IF(NOTA[[#This Row],[NAMA BARANG]]="","",INDEX(NOTA[ID],MATCH(,INDIRECT(ADDRESS(ROW(NOTA[ID]),COLUMN(NOTA[ID]))&amp;":"&amp;ADDRESS(ROW(),COLUMN(NOTA[ID]))),-1)))</f>
        <v/>
      </c>
      <c r="E49" s="14"/>
      <c r="F49" s="16"/>
      <c r="G49" s="16"/>
      <c r="H49" s="20"/>
      <c r="I49" s="16"/>
      <c r="J49" s="37"/>
      <c r="K49" s="16"/>
      <c r="L49" s="16"/>
      <c r="M49" s="28"/>
      <c r="N49" s="16"/>
      <c r="O49" s="16"/>
      <c r="P49" s="35"/>
      <c r="Q49" s="38"/>
      <c r="R49" s="28"/>
      <c r="S49" s="39"/>
      <c r="T49" s="39"/>
      <c r="U49" s="40"/>
      <c r="V49" s="26"/>
      <c r="W49" s="40" t="str">
        <f>IF(NOTA[[#This Row],[HARGA/ CTN]]="",NOTA[[#This Row],[JUMLAH_H]],NOTA[[#This Row],[HARGA/ CTN]]*IF(NOTA[[#This Row],[C]]="",0,NOTA[[#This Row],[C]]))</f>
        <v/>
      </c>
      <c r="X49" s="40" t="str">
        <f>IF(NOTA[[#This Row],[JUMLAH]]="","",NOTA[[#This Row],[JUMLAH]]*NOTA[[#This Row],[DISC 1]])</f>
        <v/>
      </c>
      <c r="Y49" s="40" t="str">
        <f>IF(NOTA[[#This Row],[JUMLAH]]="","",(NOTA[[#This Row],[JUMLAH]]-NOTA[[#This Row],[DISC 1-]])*NOTA[[#This Row],[DISC 2]])</f>
        <v/>
      </c>
      <c r="Z49" s="40" t="str">
        <f>IF(NOTA[[#This Row],[JUMLAH]]="","",NOTA[[#This Row],[DISC 1-]]+NOTA[[#This Row],[DISC 2-]])</f>
        <v/>
      </c>
      <c r="AA49" s="40" t="str">
        <f>IF(NOTA[[#This Row],[JUMLAH]]="","",NOTA[[#This Row],[JUMLAH]]-NOTA[[#This Row],[DISC]])</f>
        <v/>
      </c>
      <c r="AB49" s="40"/>
      <c r="AC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" s="40" t="str">
        <f>IF(OR(NOTA[[#This Row],[QTY]]="",NOTA[[#This Row],[HARGA SATUAN]]="",),"",NOTA[[#This Row],[QTY]]*NOTA[[#This Row],[HARGA SATUAN]])</f>
        <v/>
      </c>
      <c r="AG49" s="37" t="str">
        <f ca="1">IF(NOTA[ID_H]="","",INDEX(NOTA[TANGGAL],MATCH(,INDIRECT(ADDRESS(ROW(NOTA[TANGGAL]),COLUMN(NOTA[TANGGAL]))&amp;":"&amp;ADDRESS(ROW(),COLUMN(NOTA[TANGGAL]))),-1)))</f>
        <v/>
      </c>
      <c r="AH49" s="35" t="str">
        <f ca="1">IF(NOTA[[#This Row],[NAMA BARANG]]="","",INDEX(NOTA[SUPPLIER],MATCH(,INDIRECT(ADDRESS(ROW(NOTA[ID]),COLUMN(NOTA[ID]))&amp;":"&amp;ADDRESS(ROW(),COLUMN(NOTA[ID]))),-1)))</f>
        <v/>
      </c>
      <c r="AI49" s="35" t="str">
        <f ca="1">IF(NOTA[[#This Row],[ID_H]]="","",IF(NOTA[[#This Row],[FAKTUR]]="",INDIRECT(ADDRESS(ROW()-1,COLUMN())),NOTA[[#This Row],[FAKTUR]]))</f>
        <v/>
      </c>
      <c r="AJ49" s="27" t="str">
        <f ca="1">IF(NOTA[[#This Row],[ID]]="","",COUNTIF(NOTA[ID_H],NOTA[[#This Row],[ID_H]]))</f>
        <v/>
      </c>
      <c r="AK49" s="27" t="str">
        <f ca="1">IF(NOTA[[#This Row],[TGL.NOTA]]="",IF(NOTA[[#This Row],[SUPPLIER_H]]="","",AK48),MONTH(NOTA[[#This Row],[TGL.NOTA]]))</f>
        <v/>
      </c>
      <c r="AL49" s="27" t="str">
        <f>LOWER(SUBSTITUTE(SUBSTITUTE(SUBSTITUTE(SUBSTITUTE(SUBSTITUTE(SUBSTITUTE(SUBSTITUTE(SUBSTITUTE(SUBSTITUTE(NOTA[NAMA BARANG]," ",),".",""),"-",""),"(",""),")",""),",",""),"/",""),"""",""),"+",""))</f>
        <v/>
      </c>
      <c r="AM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" s="27" t="str">
        <f>IF(NOTA[[#This Row],[CONCAT4]]="","",_xlfn.IFNA(MATCH(NOTA[[#This Row],[CONCAT4]],[2]!RAW[CONCAT_H],0),FALSE))</f>
        <v/>
      </c>
      <c r="AQ49" s="145" t="str">
        <f>IF(NOTA[[#This Row],[CONCAT1]]="","",MATCH(NOTA[[#This Row],[CONCAT1]],[3]!db[NB NOTA_C],0)+1)</f>
        <v/>
      </c>
    </row>
    <row r="50" spans="1:43" ht="20.100000000000001" customHeight="1" x14ac:dyDescent="0.25">
      <c r="A50" s="35">
        <f ca="1">IF(INDIRECT(ADDRESS(ROW()-1,COLUMN(NOTA[[#Headers],[ID]])))="ID",1,IF(NOTA[[#This Row],[FAKTUR]]="","",COUNT(INDIRECT(ADDRESS(ROW(NOTA[ID]),COLUMN(NOTA[ID]))&amp;":"&amp;ADDRESS(ROW()-1,COLUMN(NOTA[ID]))))+1))</f>
        <v>9</v>
      </c>
      <c r="B5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DBS_0505_923-4</v>
      </c>
      <c r="C50" s="36" t="e">
        <f ca="1">IF(NOTA[[#This Row],[ID_P]]="","",MATCH(NOTA[[#This Row],[ID_P]],[1]!B_MSK[N_ID],0))</f>
        <v>#REF!</v>
      </c>
      <c r="D50" s="36">
        <f ca="1">IF(NOTA[[#This Row],[NAMA BARANG]]="","",INDEX(NOTA[ID],MATCH(,INDIRECT(ADDRESS(ROW(NOTA[ID]),COLUMN(NOTA[ID]))&amp;":"&amp;ADDRESS(ROW(),COLUMN(NOTA[ID]))),-1)))</f>
        <v>9</v>
      </c>
      <c r="E50" s="14"/>
      <c r="F50" s="16" t="s">
        <v>168</v>
      </c>
      <c r="G50" s="16" t="s">
        <v>112</v>
      </c>
      <c r="H50" s="20" t="s">
        <v>169</v>
      </c>
      <c r="I50" s="16"/>
      <c r="J50" s="37">
        <v>45048</v>
      </c>
      <c r="K50" s="16"/>
      <c r="L50" s="16" t="s">
        <v>170</v>
      </c>
      <c r="M50" s="28">
        <v>2</v>
      </c>
      <c r="N50" s="16">
        <v>288</v>
      </c>
      <c r="O50" s="16" t="s">
        <v>125</v>
      </c>
      <c r="P50" s="35">
        <v>21000</v>
      </c>
      <c r="Q50" s="38"/>
      <c r="R50" s="28" t="s">
        <v>171</v>
      </c>
      <c r="S50" s="39"/>
      <c r="T50" s="39"/>
      <c r="U50" s="40"/>
      <c r="V50" s="26"/>
      <c r="W50" s="40">
        <f>IF(NOTA[[#This Row],[HARGA/ CTN]]="",NOTA[[#This Row],[JUMLAH_H]],NOTA[[#This Row],[HARGA/ CTN]]*IF(NOTA[[#This Row],[C]]="",0,NOTA[[#This Row],[C]]))</f>
        <v>6048000</v>
      </c>
      <c r="X50" s="40">
        <f>IF(NOTA[[#This Row],[JUMLAH]]="","",NOTA[[#This Row],[JUMLAH]]*NOTA[[#This Row],[DISC 1]])</f>
        <v>0</v>
      </c>
      <c r="Y50" s="40">
        <f>IF(NOTA[[#This Row],[JUMLAH]]="","",(NOTA[[#This Row],[JUMLAH]]-NOTA[[#This Row],[DISC 1-]])*NOTA[[#This Row],[DISC 2]])</f>
        <v>0</v>
      </c>
      <c r="Z50" s="40">
        <f>IF(NOTA[[#This Row],[JUMLAH]]="","",NOTA[[#This Row],[DISC 1-]]+NOTA[[#This Row],[DISC 2-]])</f>
        <v>0</v>
      </c>
      <c r="AA50" s="40">
        <f>IF(NOTA[[#This Row],[JUMLAH]]="","",NOTA[[#This Row],[JUMLAH]]-NOTA[[#This Row],[DISC]])</f>
        <v>6048000</v>
      </c>
      <c r="AB50" s="40"/>
      <c r="AC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3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50" s="40">
        <f>IF(OR(NOTA[[#This Row],[QTY]]="",NOTA[[#This Row],[HARGA SATUAN]]="",),"",NOTA[[#This Row],[QTY]]*NOTA[[#This Row],[HARGA SATUAN]])</f>
        <v>6048000</v>
      </c>
      <c r="AG50" s="37">
        <f ca="1">IF(NOTA[ID_H]="","",INDEX(NOTA[TANGGAL],MATCH(,INDIRECT(ADDRESS(ROW(NOTA[TANGGAL]),COLUMN(NOTA[TANGGAL]))&amp;":"&amp;ADDRESS(ROW(),COLUMN(NOTA[TANGGAL]))),-1)))</f>
        <v>45051</v>
      </c>
      <c r="AH50" s="35" t="str">
        <f ca="1">IF(NOTA[[#This Row],[NAMA BARANG]]="","",INDEX(NOTA[SUPPLIER],MATCH(,INDIRECT(ADDRESS(ROW(NOTA[ID]),COLUMN(NOTA[ID]))&amp;":"&amp;ADDRESS(ROW(),COLUMN(NOTA[ID]))),-1)))</f>
        <v>DB STATIONERY</v>
      </c>
      <c r="AI50" s="35" t="str">
        <f ca="1">IF(NOTA[[#This Row],[ID_H]]="","",IF(NOTA[[#This Row],[FAKTUR]]="",INDIRECT(ADDRESS(ROW()-1,COLUMN())),NOTA[[#This Row],[FAKTUR]]))</f>
        <v>UNTANA</v>
      </c>
      <c r="AJ50" s="27">
        <f ca="1">IF(NOTA[[#This Row],[ID]]="","",COUNTIF(NOTA[ID_H],NOTA[[#This Row],[ID_H]]))</f>
        <v>4</v>
      </c>
      <c r="AK50" s="27">
        <f>IF(NOTA[[#This Row],[TGL.NOTA]]="",IF(NOTA[[#This Row],[SUPPLIER_H]]="","",AK49),MONTH(NOTA[[#This Row],[TGL.NOTA]]))</f>
        <v>5</v>
      </c>
      <c r="AL50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5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STATIONERYUNTANAJUE019/2345048geltizotg31220</v>
      </c>
      <c r="AP50" s="27" t="e">
        <f>IF(NOTA[[#This Row],[CONCAT4]]="","",_xlfn.IFNA(MATCH(NOTA[[#This Row],[CONCAT4]],[2]!RAW[CONCAT_H],0),FALSE))</f>
        <v>#REF!</v>
      </c>
      <c r="AQ50" s="145">
        <f>IF(NOTA[[#This Row],[CONCAT1]]="","",MATCH(NOTA[[#This Row],[CONCAT1]],[3]!db[NB NOTA_C],0)+1)</f>
        <v>920</v>
      </c>
    </row>
    <row r="51" spans="1:43" ht="20.100000000000001" customHeight="1" x14ac:dyDescent="0.25">
      <c r="A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6" t="str">
        <f>IF(NOTA[[#This Row],[ID_P]]="","",MATCH(NOTA[[#This Row],[ID_P]],[1]!B_MSK[N_ID],0))</f>
        <v/>
      </c>
      <c r="D51" s="36">
        <f ca="1">IF(NOTA[[#This Row],[NAMA BARANG]]="","",INDEX(NOTA[ID],MATCH(,INDIRECT(ADDRESS(ROW(NOTA[ID]),COLUMN(NOTA[ID]))&amp;":"&amp;ADDRESS(ROW(),COLUMN(NOTA[ID]))),-1)))</f>
        <v>9</v>
      </c>
      <c r="E51" s="14"/>
      <c r="F51" s="16"/>
      <c r="G51" s="16"/>
      <c r="H51" s="20"/>
      <c r="I51" s="16"/>
      <c r="J51" s="37"/>
      <c r="K51" s="16"/>
      <c r="L51" s="16" t="s">
        <v>172</v>
      </c>
      <c r="M51" s="28">
        <v>2</v>
      </c>
      <c r="N51" s="16">
        <v>240</v>
      </c>
      <c r="O51" s="16" t="s">
        <v>125</v>
      </c>
      <c r="P51" s="35">
        <v>25500</v>
      </c>
      <c r="Q51" s="38"/>
      <c r="R51" s="28" t="s">
        <v>173</v>
      </c>
      <c r="S51" s="39"/>
      <c r="T51" s="39"/>
      <c r="U51" s="40"/>
      <c r="V51" s="26"/>
      <c r="W51" s="40">
        <f>IF(NOTA[[#This Row],[HARGA/ CTN]]="",NOTA[[#This Row],[JUMLAH_H]],NOTA[[#This Row],[HARGA/ CTN]]*IF(NOTA[[#This Row],[C]]="",0,NOTA[[#This Row],[C]]))</f>
        <v>6120000</v>
      </c>
      <c r="X51" s="40">
        <f>IF(NOTA[[#This Row],[JUMLAH]]="","",NOTA[[#This Row],[JUMLAH]]*NOTA[[#This Row],[DISC 1]])</f>
        <v>0</v>
      </c>
      <c r="Y51" s="40">
        <f>IF(NOTA[[#This Row],[JUMLAH]]="","",(NOTA[[#This Row],[JUMLAH]]-NOTA[[#This Row],[DISC 1-]])*NOTA[[#This Row],[DISC 2]])</f>
        <v>0</v>
      </c>
      <c r="Z51" s="40">
        <f>IF(NOTA[[#This Row],[JUMLAH]]="","",NOTA[[#This Row],[DISC 1-]]+NOTA[[#This Row],[DISC 2-]])</f>
        <v>0</v>
      </c>
      <c r="AA51" s="40">
        <f>IF(NOTA[[#This Row],[JUMLAH]]="","",NOTA[[#This Row],[JUMLAH]]-NOTA[[#This Row],[DISC]])</f>
        <v>6120000</v>
      </c>
      <c r="AB51" s="40"/>
      <c r="AC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3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51" s="40">
        <f>IF(OR(NOTA[[#This Row],[QTY]]="",NOTA[[#This Row],[HARGA SATUAN]]="",),"",NOTA[[#This Row],[QTY]]*NOTA[[#This Row],[HARGA SATUAN]])</f>
        <v>6120000</v>
      </c>
      <c r="AG51" s="37">
        <f ca="1">IF(NOTA[ID_H]="","",INDEX(NOTA[TANGGAL],MATCH(,INDIRECT(ADDRESS(ROW(NOTA[TANGGAL]),COLUMN(NOTA[TANGGAL]))&amp;":"&amp;ADDRESS(ROW(),COLUMN(NOTA[TANGGAL]))),-1)))</f>
        <v>45051</v>
      </c>
      <c r="AH51" s="51" t="str">
        <f ca="1">IF(NOTA[[#This Row],[NAMA BARANG]]="","",INDEX(NOTA[SUPPLIER],MATCH(,INDIRECT(ADDRESS(ROW(NOTA[ID]),COLUMN(NOTA[ID]))&amp;":"&amp;ADDRESS(ROW(),COLUMN(NOTA[ID]))),-1)))</f>
        <v>DB STATIONERY</v>
      </c>
      <c r="AI51" s="51" t="str">
        <f ca="1">IF(NOTA[[#This Row],[ID_H]]="","",IF(NOTA[[#This Row],[FAKTUR]]="",INDIRECT(ADDRESS(ROW()-1,COLUMN())),NOTA[[#This Row],[FAKTUR]]))</f>
        <v>UNTANA</v>
      </c>
      <c r="AJ51" s="27" t="str">
        <f ca="1">IF(NOTA[[#This Row],[ID]]="","",COUNTIF(NOTA[ID_H],NOTA[[#This Row],[ID_H]]))</f>
        <v/>
      </c>
      <c r="AK51" s="27">
        <f ca="1">IF(NOTA[[#This Row],[TGL.NOTA]]="",IF(NOTA[[#This Row],[SUPPLIER_H]]="","",AK50),MONTH(NOTA[[#This Row],[TGL.NOTA]]))</f>
        <v>5</v>
      </c>
      <c r="AL51" s="27" t="str">
        <f>LOWER(SUBSTITUTE(SUBSTITUTE(SUBSTITUTE(SUBSTITUTE(SUBSTITUTE(SUBSTITUTE(SUBSTITUTE(SUBSTITUTE(SUBSTITUTE(NOTA[NAMA BARANG]," ",),".",""),"-",""),"(",""),")",""),",",""),"/",""),"""",""),"+",""))</f>
        <v>geldebozz05dbg05</v>
      </c>
      <c r="AM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" s="27" t="str">
        <f>IF(NOTA[[#This Row],[CONCAT4]]="","",_xlfn.IFNA(MATCH(NOTA[[#This Row],[CONCAT4]],[2]!RAW[CONCAT_H],0),FALSE))</f>
        <v/>
      </c>
      <c r="AQ51" s="145">
        <f>IF(NOTA[[#This Row],[CONCAT1]]="","",MATCH(NOTA[[#This Row],[CONCAT1]],[3]!db[NB NOTA_C],0)+1)</f>
        <v>785</v>
      </c>
    </row>
    <row r="52" spans="1:43" ht="20.100000000000001" customHeight="1" x14ac:dyDescent="0.25">
      <c r="A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6" t="str">
        <f>IF(NOTA[[#This Row],[ID_P]]="","",MATCH(NOTA[[#This Row],[ID_P]],[1]!B_MSK[N_ID],0))</f>
        <v/>
      </c>
      <c r="D52" s="36">
        <f ca="1">IF(NOTA[[#This Row],[NAMA BARANG]]="","",INDEX(NOTA[ID],MATCH(,INDIRECT(ADDRESS(ROW(NOTA[ID]),COLUMN(NOTA[ID]))&amp;":"&amp;ADDRESS(ROW(),COLUMN(NOTA[ID]))),-1)))</f>
        <v>9</v>
      </c>
      <c r="E52" s="14"/>
      <c r="F52" s="16"/>
      <c r="G52" s="16"/>
      <c r="H52" s="20"/>
      <c r="I52" s="16"/>
      <c r="J52" s="37"/>
      <c r="K52" s="16"/>
      <c r="L52" s="16" t="s">
        <v>174</v>
      </c>
      <c r="M52" s="28">
        <v>1</v>
      </c>
      <c r="N52" s="16">
        <v>96</v>
      </c>
      <c r="O52" s="16" t="s">
        <v>125</v>
      </c>
      <c r="P52" s="35">
        <v>29000</v>
      </c>
      <c r="Q52" s="38"/>
      <c r="R52" s="28" t="s">
        <v>175</v>
      </c>
      <c r="S52" s="39"/>
      <c r="T52" s="39"/>
      <c r="U52" s="40"/>
      <c r="V52" s="26"/>
      <c r="W52" s="40">
        <f>IF(NOTA[[#This Row],[HARGA/ CTN]]="",NOTA[[#This Row],[JUMLAH_H]],NOTA[[#This Row],[HARGA/ CTN]]*IF(NOTA[[#This Row],[C]]="",0,NOTA[[#This Row],[C]]))</f>
        <v>2784000</v>
      </c>
      <c r="X52" s="40">
        <f>IF(NOTA[[#This Row],[JUMLAH]]="","",NOTA[[#This Row],[JUMLAH]]*NOTA[[#This Row],[DISC 1]])</f>
        <v>0</v>
      </c>
      <c r="Y52" s="40">
        <f>IF(NOTA[[#This Row],[JUMLAH]]="","",(NOTA[[#This Row],[JUMLAH]]-NOTA[[#This Row],[DISC 1-]])*NOTA[[#This Row],[DISC 2]])</f>
        <v>0</v>
      </c>
      <c r="Z52" s="40">
        <f>IF(NOTA[[#This Row],[JUMLAH]]="","",NOTA[[#This Row],[DISC 1-]]+NOTA[[#This Row],[DISC 2-]])</f>
        <v>0</v>
      </c>
      <c r="AA52" s="40">
        <f>IF(NOTA[[#This Row],[JUMLAH]]="","",NOTA[[#This Row],[JUMLAH]]-NOTA[[#This Row],[DISC]])</f>
        <v>2784000</v>
      </c>
      <c r="AB52" s="40"/>
      <c r="AC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3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52" s="40">
        <f>IF(OR(NOTA[[#This Row],[QTY]]="",NOTA[[#This Row],[HARGA SATUAN]]="",),"",NOTA[[#This Row],[QTY]]*NOTA[[#This Row],[HARGA SATUAN]])</f>
        <v>2784000</v>
      </c>
      <c r="AG52" s="37">
        <f ca="1">IF(NOTA[ID_H]="","",INDEX(NOTA[TANGGAL],MATCH(,INDIRECT(ADDRESS(ROW(NOTA[TANGGAL]),COLUMN(NOTA[TANGGAL]))&amp;":"&amp;ADDRESS(ROW(),COLUMN(NOTA[TANGGAL]))),-1)))</f>
        <v>45051</v>
      </c>
      <c r="AH52" s="51" t="str">
        <f ca="1">IF(NOTA[[#This Row],[NAMA BARANG]]="","",INDEX(NOTA[SUPPLIER],MATCH(,INDIRECT(ADDRESS(ROW(NOTA[ID]),COLUMN(NOTA[ID]))&amp;":"&amp;ADDRESS(ROW(),COLUMN(NOTA[ID]))),-1)))</f>
        <v>DB STATIONERY</v>
      </c>
      <c r="AI52" s="51" t="str">
        <f ca="1">IF(NOTA[[#This Row],[ID_H]]="","",IF(NOTA[[#This Row],[FAKTUR]]="",INDIRECT(ADDRESS(ROW()-1,COLUMN())),NOTA[[#This Row],[FAKTUR]]))</f>
        <v>UNTANA</v>
      </c>
      <c r="AJ52" s="27" t="str">
        <f ca="1">IF(NOTA[[#This Row],[ID]]="","",COUNTIF(NOTA[ID_H],NOTA[[#This Row],[ID_H]]))</f>
        <v/>
      </c>
      <c r="AK52" s="27">
        <f ca="1">IF(NOTA[[#This Row],[TGL.NOTA]]="",IF(NOTA[[#This Row],[SUPPLIER_H]]="","",AK51),MONTH(NOTA[[#This Row],[TGL.NOTA]]))</f>
        <v>5</v>
      </c>
      <c r="AL52" s="27" t="str">
        <f>LOWER(SUBSTITUTE(SUBSTITUTE(SUBSTITUTE(SUBSTITUTE(SUBSTITUTE(SUBSTITUTE(SUBSTITUTE(SUBSTITUTE(SUBSTITUTE(NOTA[NAMA BARANG]," ",),".",""),"-",""),"(",""),")",""),",",""),"/",""),"""",""),"+",""))</f>
        <v>mekanik20mmtm030b</v>
      </c>
      <c r="AM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N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O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27" t="str">
        <f>IF(NOTA[[#This Row],[CONCAT4]]="","",_xlfn.IFNA(MATCH(NOTA[[#This Row],[CONCAT4]],[2]!RAW[CONCAT_H],0),FALSE))</f>
        <v/>
      </c>
      <c r="AQ52" s="145">
        <f>IF(NOTA[[#This Row],[CONCAT1]]="","",MATCH(NOTA[[#This Row],[CONCAT1]],[3]!db[NB NOTA_C],0)+1)</f>
        <v>1665</v>
      </c>
    </row>
    <row r="53" spans="1:43" ht="20.100000000000001" customHeight="1" x14ac:dyDescent="0.25">
      <c r="A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6" t="str">
        <f>IF(NOTA[[#This Row],[ID_P]]="","",MATCH(NOTA[[#This Row],[ID_P]],[1]!B_MSK[N_ID],0))</f>
        <v/>
      </c>
      <c r="D53" s="36">
        <f ca="1">IF(NOTA[[#This Row],[NAMA BARANG]]="","",INDEX(NOTA[ID],MATCH(,INDIRECT(ADDRESS(ROW(NOTA[ID]),COLUMN(NOTA[ID]))&amp;":"&amp;ADDRESS(ROW(),COLUMN(NOTA[ID]))),-1)))</f>
        <v>9</v>
      </c>
      <c r="E53" s="14"/>
      <c r="F53" s="16"/>
      <c r="G53" s="16"/>
      <c r="H53" s="20"/>
      <c r="I53" s="16"/>
      <c r="J53" s="37"/>
      <c r="K53" s="16"/>
      <c r="L53" s="16" t="s">
        <v>176</v>
      </c>
      <c r="M53" s="28">
        <v>3</v>
      </c>
      <c r="N53" s="16">
        <v>432</v>
      </c>
      <c r="O53" s="16" t="s">
        <v>160</v>
      </c>
      <c r="P53" s="35">
        <v>21500</v>
      </c>
      <c r="Q53" s="38"/>
      <c r="R53" s="28" t="s">
        <v>171</v>
      </c>
      <c r="S53" s="39"/>
      <c r="T53" s="39"/>
      <c r="U53" s="40"/>
      <c r="V53" s="26"/>
      <c r="W53" s="40">
        <f>IF(NOTA[[#This Row],[HARGA/ CTN]]="",NOTA[[#This Row],[JUMLAH_H]],NOTA[[#This Row],[HARGA/ CTN]]*IF(NOTA[[#This Row],[C]]="",0,NOTA[[#This Row],[C]]))</f>
        <v>9288000</v>
      </c>
      <c r="X53" s="40">
        <f>IF(NOTA[[#This Row],[JUMLAH]]="","",NOTA[[#This Row],[JUMLAH]]*NOTA[[#This Row],[DISC 1]])</f>
        <v>0</v>
      </c>
      <c r="Y53" s="40">
        <f>IF(NOTA[[#This Row],[JUMLAH]]="","",(NOTA[[#This Row],[JUMLAH]]-NOTA[[#This Row],[DISC 1-]])*NOTA[[#This Row],[DISC 2]])</f>
        <v>0</v>
      </c>
      <c r="Z53" s="40">
        <f>IF(NOTA[[#This Row],[JUMLAH]]="","",NOTA[[#This Row],[DISC 1-]]+NOTA[[#This Row],[DISC 2-]])</f>
        <v>0</v>
      </c>
      <c r="AA53" s="40">
        <f>IF(NOTA[[#This Row],[JUMLAH]]="","",NOTA[[#This Row],[JUMLAH]]-NOTA[[#This Row],[DISC]])</f>
        <v>9288000</v>
      </c>
      <c r="AB53" s="40"/>
      <c r="AC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24240000</v>
      </c>
      <c r="AE53" s="3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3" s="40">
        <f>IF(OR(NOTA[[#This Row],[QTY]]="",NOTA[[#This Row],[HARGA SATUAN]]="",),"",NOTA[[#This Row],[QTY]]*NOTA[[#This Row],[HARGA SATUAN]])</f>
        <v>9288000</v>
      </c>
      <c r="AG53" s="37">
        <f ca="1">IF(NOTA[ID_H]="","",INDEX(NOTA[TANGGAL],MATCH(,INDIRECT(ADDRESS(ROW(NOTA[TANGGAL]),COLUMN(NOTA[TANGGAL]))&amp;":"&amp;ADDRESS(ROW(),COLUMN(NOTA[TANGGAL]))),-1)))</f>
        <v>45051</v>
      </c>
      <c r="AH53" s="51" t="str">
        <f ca="1">IF(NOTA[[#This Row],[NAMA BARANG]]="","",INDEX(NOTA[SUPPLIER],MATCH(,INDIRECT(ADDRESS(ROW(NOTA[ID]),COLUMN(NOTA[ID]))&amp;":"&amp;ADDRESS(ROW(),COLUMN(NOTA[ID]))),-1)))</f>
        <v>DB STATIONERY</v>
      </c>
      <c r="AI53" s="51" t="str">
        <f ca="1">IF(NOTA[[#This Row],[ID_H]]="","",IF(NOTA[[#This Row],[FAKTUR]]="",INDIRECT(ADDRESS(ROW()-1,COLUMN())),NOTA[[#This Row],[FAKTUR]]))</f>
        <v>UNTANA</v>
      </c>
      <c r="AJ53" s="27" t="str">
        <f ca="1">IF(NOTA[[#This Row],[ID]]="","",COUNTIF(NOTA[ID_H],NOTA[[#This Row],[ID_H]]))</f>
        <v/>
      </c>
      <c r="AK53" s="27">
        <f ca="1">IF(NOTA[[#This Row],[TGL.NOTA]]="",IF(NOTA[[#This Row],[SUPPLIER_H]]="","",AK52),MONTH(NOTA[[#This Row],[TGL.NOTA]]))</f>
        <v>5</v>
      </c>
      <c r="AL53" s="27" t="str">
        <f>LOWER(SUBSTITUTE(SUBSTITUTE(SUBSTITUTE(SUBSTITUTE(SUBSTITUTE(SUBSTITUTE(SUBSTITUTE(SUBSTITUTE(SUBSTITUTE(NOTA[NAMA BARANG]," ",),".",""),"-",""),"(",""),")",""),",",""),"/",""),"""",""),"+",""))</f>
        <v>tfbdklgbd839</v>
      </c>
      <c r="AM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tfbdklgbd8393096000</v>
      </c>
      <c r="AN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tfbdklgbd8393096000</v>
      </c>
      <c r="AO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" s="27" t="str">
        <f>IF(NOTA[[#This Row],[CONCAT4]]="","",_xlfn.IFNA(MATCH(NOTA[[#This Row],[CONCAT4]],[2]!RAW[CONCAT_H],0),FALSE))</f>
        <v/>
      </c>
      <c r="AQ53" s="145" t="e">
        <f>IF(NOTA[[#This Row],[CONCAT1]]="","",MATCH(NOTA[[#This Row],[CONCAT1]],[3]!db[NB NOTA_C],0)+1)</f>
        <v>#N/A</v>
      </c>
    </row>
    <row r="54" spans="1:43" ht="20.100000000000001" customHeight="1" x14ac:dyDescent="0.25">
      <c r="A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6" t="str">
        <f>IF(NOTA[[#This Row],[ID_P]]="","",MATCH(NOTA[[#This Row],[ID_P]],[1]!B_MSK[N_ID],0))</f>
        <v/>
      </c>
      <c r="D54" s="36" t="str">
        <f ca="1">IF(NOTA[[#This Row],[NAMA BARANG]]="","",INDEX(NOTA[ID],MATCH(,INDIRECT(ADDRESS(ROW(NOTA[ID]),COLUMN(NOTA[ID]))&amp;":"&amp;ADDRESS(ROW(),COLUMN(NOTA[ID]))),-1)))</f>
        <v/>
      </c>
      <c r="E54" s="14"/>
      <c r="F54" s="16"/>
      <c r="G54" s="16"/>
      <c r="H54" s="20"/>
      <c r="I54" s="16"/>
      <c r="J54" s="37"/>
      <c r="K54" s="16"/>
      <c r="L54" s="16"/>
      <c r="M54" s="28"/>
      <c r="N54" s="16"/>
      <c r="O54" s="16"/>
      <c r="P54" s="35"/>
      <c r="Q54" s="38"/>
      <c r="R54" s="28"/>
      <c r="S54" s="39"/>
      <c r="T54" s="39"/>
      <c r="U54" s="40"/>
      <c r="V54" s="26"/>
      <c r="W54" s="40" t="str">
        <f>IF(NOTA[[#This Row],[HARGA/ CTN]]="",NOTA[[#This Row],[JUMLAH_H]],NOTA[[#This Row],[HARGA/ CTN]]*IF(NOTA[[#This Row],[C]]="",0,NOTA[[#This Row],[C]]))</f>
        <v/>
      </c>
      <c r="X54" s="40" t="str">
        <f>IF(NOTA[[#This Row],[JUMLAH]]="","",NOTA[[#This Row],[JUMLAH]]*NOTA[[#This Row],[DISC 1]])</f>
        <v/>
      </c>
      <c r="Y54" s="40" t="str">
        <f>IF(NOTA[[#This Row],[JUMLAH]]="","",(NOTA[[#This Row],[JUMLAH]]-NOTA[[#This Row],[DISC 1-]])*NOTA[[#This Row],[DISC 2]])</f>
        <v/>
      </c>
      <c r="Z54" s="40" t="str">
        <f>IF(NOTA[[#This Row],[JUMLAH]]="","",NOTA[[#This Row],[DISC 1-]]+NOTA[[#This Row],[DISC 2-]])</f>
        <v/>
      </c>
      <c r="AA54" s="40" t="str">
        <f>IF(NOTA[[#This Row],[JUMLAH]]="","",NOTA[[#This Row],[JUMLAH]]-NOTA[[#This Row],[DISC]])</f>
        <v/>
      </c>
      <c r="AB54" s="40"/>
      <c r="AC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" s="40" t="str">
        <f>IF(OR(NOTA[[#This Row],[QTY]]="",NOTA[[#This Row],[HARGA SATUAN]]="",),"",NOTA[[#This Row],[QTY]]*NOTA[[#This Row],[HARGA SATUAN]])</f>
        <v/>
      </c>
      <c r="AG54" s="37" t="str">
        <f ca="1">IF(NOTA[ID_H]="","",INDEX(NOTA[TANGGAL],MATCH(,INDIRECT(ADDRESS(ROW(NOTA[TANGGAL]),COLUMN(NOTA[TANGGAL]))&amp;":"&amp;ADDRESS(ROW(),COLUMN(NOTA[TANGGAL]))),-1)))</f>
        <v/>
      </c>
      <c r="AH54" s="51" t="str">
        <f ca="1">IF(NOTA[[#This Row],[NAMA BARANG]]="","",INDEX(NOTA[SUPPLIER],MATCH(,INDIRECT(ADDRESS(ROW(NOTA[ID]),COLUMN(NOTA[ID]))&amp;":"&amp;ADDRESS(ROW(),COLUMN(NOTA[ID]))),-1)))</f>
        <v/>
      </c>
      <c r="AI54" s="51" t="str">
        <f ca="1">IF(NOTA[[#This Row],[ID_H]]="","",IF(NOTA[[#This Row],[FAKTUR]]="",INDIRECT(ADDRESS(ROW()-1,COLUMN())),NOTA[[#This Row],[FAKTUR]]))</f>
        <v/>
      </c>
      <c r="AJ54" s="27" t="str">
        <f ca="1">IF(NOTA[[#This Row],[ID]]="","",COUNTIF(NOTA[ID_H],NOTA[[#This Row],[ID_H]]))</f>
        <v/>
      </c>
      <c r="AK54" s="27" t="str">
        <f ca="1">IF(NOTA[[#This Row],[TGL.NOTA]]="",IF(NOTA[[#This Row],[SUPPLIER_H]]="","",AK53),MONTH(NOTA[[#This Row],[TGL.NOTA]]))</f>
        <v/>
      </c>
      <c r="AL54" s="27" t="str">
        <f>LOWER(SUBSTITUTE(SUBSTITUTE(SUBSTITUTE(SUBSTITUTE(SUBSTITUTE(SUBSTITUTE(SUBSTITUTE(SUBSTITUTE(SUBSTITUTE(NOTA[NAMA BARANG]," ",),".",""),"-",""),"(",""),")",""),",",""),"/",""),"""",""),"+",""))</f>
        <v/>
      </c>
      <c r="AM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27" t="str">
        <f>IF(NOTA[[#This Row],[CONCAT4]]="","",_xlfn.IFNA(MATCH(NOTA[[#This Row],[CONCAT4]],[2]!RAW[CONCAT_H],0),FALSE))</f>
        <v/>
      </c>
      <c r="AQ54" s="145" t="str">
        <f>IF(NOTA[[#This Row],[CONCAT1]]="","",MATCH(NOTA[[#This Row],[CONCAT1]],[3]!db[NB NOTA_C],0)+1)</f>
        <v/>
      </c>
    </row>
    <row r="55" spans="1:43" ht="20.100000000000001" customHeight="1" x14ac:dyDescent="0.25">
      <c r="A55" s="35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PEL_0505_-5</v>
      </c>
      <c r="C55" s="36" t="e">
        <f ca="1">IF(NOTA[[#This Row],[ID_P]]="","",MATCH(NOTA[[#This Row],[ID_P]],[1]!B_MSK[N_ID],0))</f>
        <v>#REF!</v>
      </c>
      <c r="D55" s="36">
        <f ca="1">IF(NOTA[[#This Row],[NAMA BARANG]]="","",INDEX(NOTA[ID],MATCH(,INDIRECT(ADDRESS(ROW(NOTA[ID]),COLUMN(NOTA[ID]))&amp;":"&amp;ADDRESS(ROW(),COLUMN(NOTA[ID]))),-1)))</f>
        <v>10</v>
      </c>
      <c r="E55" s="14">
        <v>45051</v>
      </c>
      <c r="F55" s="16" t="s">
        <v>177</v>
      </c>
      <c r="G55" s="16" t="s">
        <v>112</v>
      </c>
      <c r="H55" s="20"/>
      <c r="I55" s="16"/>
      <c r="J55" s="37">
        <v>45048</v>
      </c>
      <c r="K55" s="16"/>
      <c r="L55" s="16" t="s">
        <v>178</v>
      </c>
      <c r="M55" s="28">
        <v>20</v>
      </c>
      <c r="N55" s="16">
        <v>200</v>
      </c>
      <c r="O55" s="16" t="s">
        <v>160</v>
      </c>
      <c r="P55" s="35">
        <v>57000</v>
      </c>
      <c r="Q55" s="38"/>
      <c r="R55" s="28" t="s">
        <v>179</v>
      </c>
      <c r="S55" s="39"/>
      <c r="T55" s="39"/>
      <c r="U55" s="40"/>
      <c r="V55" s="26" t="s">
        <v>180</v>
      </c>
      <c r="W55" s="40">
        <f>IF(NOTA[[#This Row],[HARGA/ CTN]]="",NOTA[[#This Row],[JUMLAH_H]],NOTA[[#This Row],[HARGA/ CTN]]*IF(NOTA[[#This Row],[C]]="",0,NOTA[[#This Row],[C]]))</f>
        <v>11400000</v>
      </c>
      <c r="X55" s="40">
        <f>IF(NOTA[[#This Row],[JUMLAH]]="","",NOTA[[#This Row],[JUMLAH]]*NOTA[[#This Row],[DISC 1]])</f>
        <v>0</v>
      </c>
      <c r="Y55" s="40">
        <f>IF(NOTA[[#This Row],[JUMLAH]]="","",(NOTA[[#This Row],[JUMLAH]]-NOTA[[#This Row],[DISC 1-]])*NOTA[[#This Row],[DISC 2]])</f>
        <v>0</v>
      </c>
      <c r="Z55" s="40">
        <f>IF(NOTA[[#This Row],[JUMLAH]]="","",NOTA[[#This Row],[DISC 1-]]+NOTA[[#This Row],[DISC 2-]])</f>
        <v>0</v>
      </c>
      <c r="AA55" s="40">
        <f>IF(NOTA[[#This Row],[JUMLAH]]="","",NOTA[[#This Row],[JUMLAH]]-NOTA[[#This Row],[DISC]])</f>
        <v>11400000</v>
      </c>
      <c r="AB55" s="40"/>
      <c r="AC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35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55" s="40">
        <f>IF(OR(NOTA[[#This Row],[QTY]]="",NOTA[[#This Row],[HARGA SATUAN]]="",),"",NOTA[[#This Row],[QTY]]*NOTA[[#This Row],[HARGA SATUAN]])</f>
        <v>11400000</v>
      </c>
      <c r="AG55" s="37">
        <f ca="1">IF(NOTA[ID_H]="","",INDEX(NOTA[TANGGAL],MATCH(,INDIRECT(ADDRESS(ROW(NOTA[TANGGAL]),COLUMN(NOTA[TANGGAL]))&amp;":"&amp;ADDRESS(ROW(),COLUMN(NOTA[TANGGAL]))),-1)))</f>
        <v>45051</v>
      </c>
      <c r="AH55" s="51" t="str">
        <f ca="1">IF(NOTA[[#This Row],[NAMA BARANG]]="","",INDEX(NOTA[SUPPLIER],MATCH(,INDIRECT(ADDRESS(ROW(NOTA[ID]),COLUMN(NOTA[ID]))&amp;":"&amp;ADDRESS(ROW(),COLUMN(NOTA[ID]))),-1)))</f>
        <v>PELNA</v>
      </c>
      <c r="AI55" s="51" t="str">
        <f ca="1">IF(NOTA[[#This Row],[ID_H]]="","",IF(NOTA[[#This Row],[FAKTUR]]="",INDIRECT(ADDRESS(ROW()-1,COLUMN())),NOTA[[#This Row],[FAKTUR]]))</f>
        <v>UNTANA</v>
      </c>
      <c r="AJ55" s="27">
        <f ca="1">IF(NOTA[[#This Row],[ID]]="","",COUNTIF(NOTA[ID_H],NOTA[[#This Row],[ID_H]]))</f>
        <v>5</v>
      </c>
      <c r="AK55" s="27">
        <f>IF(NOTA[[#This Row],[TGL.NOTA]]="",IF(NOTA[[#This Row],[SUPPLIER_H]]="","",AK54),MONTH(NOTA[[#This Row],[TGL.NOTA]]))</f>
        <v>5</v>
      </c>
      <c r="AL55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M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pelnalaptoptabel570000</v>
      </c>
      <c r="AN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pelnalaptoptabel570000</v>
      </c>
      <c r="AO55" s="27" t="str">
        <f>IF(NOTA[[#This Row],[SUPPLIER]]="","",NOTA[[#This Row],[SUPPLIER]]&amp;NOTA[[#This Row],[FAKTUR]]&amp;NOTA[[#This Row],[NO.NOTA]]&amp;NOTA[[#This Row],[NO.SJ]]&amp;NOTA[[#This Row],[TGL.NOTA]]&amp;NOTA[[#This Row],[CONCAT1]])</f>
        <v>PELNAUNTANA45048pelnalaptoptabel</v>
      </c>
      <c r="AP55" s="27" t="e">
        <f>IF(NOTA[[#This Row],[CONCAT4]]="","",_xlfn.IFNA(MATCH(NOTA[[#This Row],[CONCAT4]],[2]!RAW[CONCAT_H],0),FALSE))</f>
        <v>#REF!</v>
      </c>
      <c r="AQ55" s="145" t="e">
        <f>IF(NOTA[[#This Row],[CONCAT1]]="","",MATCH(NOTA[[#This Row],[CONCAT1]],[3]!db[NB NOTA_C],0)+1)</f>
        <v>#N/A</v>
      </c>
    </row>
    <row r="56" spans="1:43" ht="20.100000000000001" customHeight="1" x14ac:dyDescent="0.25">
      <c r="A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6" t="str">
        <f>IF(NOTA[[#This Row],[ID_P]]="","",MATCH(NOTA[[#This Row],[ID_P]],[1]!B_MSK[N_ID],0))</f>
        <v/>
      </c>
      <c r="D56" s="36">
        <f ca="1">IF(NOTA[[#This Row],[NAMA BARANG]]="","",INDEX(NOTA[ID],MATCH(,INDIRECT(ADDRESS(ROW(NOTA[ID]),COLUMN(NOTA[ID]))&amp;":"&amp;ADDRESS(ROW(),COLUMN(NOTA[ID]))),-1)))</f>
        <v>10</v>
      </c>
      <c r="E56" s="14"/>
      <c r="F56" s="16"/>
      <c r="G56" s="16"/>
      <c r="H56" s="20"/>
      <c r="I56" s="16"/>
      <c r="J56" s="37"/>
      <c r="K56" s="16"/>
      <c r="L56" s="16" t="s">
        <v>178</v>
      </c>
      <c r="M56" s="28">
        <v>1</v>
      </c>
      <c r="N56" s="16">
        <v>10</v>
      </c>
      <c r="O56" s="16" t="s">
        <v>160</v>
      </c>
      <c r="P56" s="35"/>
      <c r="Q56" s="38"/>
      <c r="R56" s="28" t="s">
        <v>179</v>
      </c>
      <c r="S56" s="39"/>
      <c r="T56" s="39"/>
      <c r="U56" s="40"/>
      <c r="V56" s="26" t="s">
        <v>181</v>
      </c>
      <c r="W56" s="40" t="str">
        <f>IF(NOTA[[#This Row],[HARGA/ CTN]]="",NOTA[[#This Row],[JUMLAH_H]],NOTA[[#This Row],[HARGA/ CTN]]*IF(NOTA[[#This Row],[C]]="",0,NOTA[[#This Row],[C]]))</f>
        <v/>
      </c>
      <c r="X56" s="40" t="str">
        <f>IF(NOTA[[#This Row],[JUMLAH]]="","",NOTA[[#This Row],[JUMLAH]]*NOTA[[#This Row],[DISC 1]])</f>
        <v/>
      </c>
      <c r="Y56" s="40" t="str">
        <f>IF(NOTA[[#This Row],[JUMLAH]]="","",(NOTA[[#This Row],[JUMLAH]]-NOTA[[#This Row],[DISC 1-]])*NOTA[[#This Row],[DISC 2]])</f>
        <v/>
      </c>
      <c r="Z56" s="40" t="str">
        <f>IF(NOTA[[#This Row],[JUMLAH]]="","",NOTA[[#This Row],[DISC 1-]]+NOTA[[#This Row],[DISC 2-]])</f>
        <v/>
      </c>
      <c r="AA56" s="40" t="str">
        <f>IF(NOTA[[#This Row],[JUMLAH]]="","",NOTA[[#This Row],[JUMLAH]]-NOTA[[#This Row],[DISC]])</f>
        <v/>
      </c>
      <c r="AB56" s="40"/>
      <c r="AC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6" s="40" t="str">
        <f>IF(OR(NOTA[[#This Row],[QTY]]="",NOTA[[#This Row],[HARGA SATUAN]]="",),"",NOTA[[#This Row],[QTY]]*NOTA[[#This Row],[HARGA SATUAN]])</f>
        <v/>
      </c>
      <c r="AG56" s="37">
        <f ca="1">IF(NOTA[ID_H]="","",INDEX(NOTA[TANGGAL],MATCH(,INDIRECT(ADDRESS(ROW(NOTA[TANGGAL]),COLUMN(NOTA[TANGGAL]))&amp;":"&amp;ADDRESS(ROW(),COLUMN(NOTA[TANGGAL]))),-1)))</f>
        <v>45051</v>
      </c>
      <c r="AH56" s="51" t="str">
        <f ca="1">IF(NOTA[[#This Row],[NAMA BARANG]]="","",INDEX(NOTA[SUPPLIER],MATCH(,INDIRECT(ADDRESS(ROW(NOTA[ID]),COLUMN(NOTA[ID]))&amp;":"&amp;ADDRESS(ROW(),COLUMN(NOTA[ID]))),-1)))</f>
        <v>PELNA</v>
      </c>
      <c r="AI56" s="51" t="str">
        <f ca="1">IF(NOTA[[#This Row],[ID_H]]="","",IF(NOTA[[#This Row],[FAKTUR]]="",INDIRECT(ADDRESS(ROW()-1,COLUMN())),NOTA[[#This Row],[FAKTUR]]))</f>
        <v>UNTANA</v>
      </c>
      <c r="AJ56" s="27" t="str">
        <f ca="1">IF(NOTA[[#This Row],[ID]]="","",COUNTIF(NOTA[ID_H],NOTA[[#This Row],[ID_H]]))</f>
        <v/>
      </c>
      <c r="AK56" s="27">
        <f ca="1">IF(NOTA[[#This Row],[TGL.NOTA]]="",IF(NOTA[[#This Row],[SUPPLIER_H]]="","",AK55),MONTH(NOTA[[#This Row],[TGL.NOTA]]))</f>
        <v>5</v>
      </c>
      <c r="AL56" s="27" t="str">
        <f>LOWER(SUBSTITUTE(SUBSTITUTE(SUBSTITUTE(SUBSTITUTE(SUBSTITUTE(SUBSTITUTE(SUBSTITUTE(SUBSTITUTE(SUBSTITUTE(NOTA[NAMA BARANG]," ",),".",""),"-",""),"(",""),")",""),",",""),"/",""),"""",""),"+",""))</f>
        <v>pelnalaptoptabel</v>
      </c>
      <c r="AM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pelnalaptoptabel0</v>
      </c>
      <c r="AN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pelnalaptoptabel0</v>
      </c>
      <c r="AO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" s="27" t="str">
        <f>IF(NOTA[[#This Row],[CONCAT4]]="","",_xlfn.IFNA(MATCH(NOTA[[#This Row],[CONCAT4]],[2]!RAW[CONCAT_H],0),FALSE))</f>
        <v/>
      </c>
      <c r="AQ56" s="145" t="e">
        <f>IF(NOTA[[#This Row],[CONCAT1]]="","",MATCH(NOTA[[#This Row],[CONCAT1]],[3]!db[NB NOTA_C],0)+1)</f>
        <v>#N/A</v>
      </c>
    </row>
    <row r="57" spans="1:43" ht="20.100000000000001" customHeight="1" x14ac:dyDescent="0.25">
      <c r="A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6" t="str">
        <f>IF(NOTA[[#This Row],[ID_P]]="","",MATCH(NOTA[[#This Row],[ID_P]],[1]!B_MSK[N_ID],0))</f>
        <v/>
      </c>
      <c r="D57" s="36">
        <f ca="1">IF(NOTA[[#This Row],[NAMA BARANG]]="","",INDEX(NOTA[ID],MATCH(,INDIRECT(ADDRESS(ROW(NOTA[ID]),COLUMN(NOTA[ID]))&amp;":"&amp;ADDRESS(ROW(),COLUMN(NOTA[ID]))),-1)))</f>
        <v>10</v>
      </c>
      <c r="E57" s="14"/>
      <c r="F57" s="16"/>
      <c r="G57" s="16"/>
      <c r="H57" s="20"/>
      <c r="I57" s="16"/>
      <c r="J57" s="37"/>
      <c r="K57" s="16"/>
      <c r="L57" s="16" t="s">
        <v>182</v>
      </c>
      <c r="M57" s="28">
        <v>1</v>
      </c>
      <c r="N57" s="16">
        <v>20</v>
      </c>
      <c r="O57" s="16" t="s">
        <v>183</v>
      </c>
      <c r="P57" s="35">
        <v>48000</v>
      </c>
      <c r="Q57" s="38"/>
      <c r="R57" s="28" t="s">
        <v>184</v>
      </c>
      <c r="S57" s="39"/>
      <c r="T57" s="39"/>
      <c r="U57" s="40"/>
      <c r="V57" s="26" t="s">
        <v>185</v>
      </c>
      <c r="W57" s="40">
        <f>IF(NOTA[[#This Row],[HARGA/ CTN]]="",NOTA[[#This Row],[JUMLAH_H]],NOTA[[#This Row],[HARGA/ CTN]]*IF(NOTA[[#This Row],[C]]="",0,NOTA[[#This Row],[C]]))</f>
        <v>960000</v>
      </c>
      <c r="X57" s="40">
        <f>IF(NOTA[[#This Row],[JUMLAH]]="","",NOTA[[#This Row],[JUMLAH]]*NOTA[[#This Row],[DISC 1]])</f>
        <v>0</v>
      </c>
      <c r="Y57" s="40">
        <f>IF(NOTA[[#This Row],[JUMLAH]]="","",(NOTA[[#This Row],[JUMLAH]]-NOTA[[#This Row],[DISC 1-]])*NOTA[[#This Row],[DISC 2]])</f>
        <v>0</v>
      </c>
      <c r="Z57" s="40">
        <f>IF(NOTA[[#This Row],[JUMLAH]]="","",NOTA[[#This Row],[DISC 1-]]+NOTA[[#This Row],[DISC 2-]])</f>
        <v>0</v>
      </c>
      <c r="AA57" s="40">
        <f>IF(NOTA[[#This Row],[JUMLAH]]="","",NOTA[[#This Row],[JUMLAH]]-NOTA[[#This Row],[DISC]])</f>
        <v>960000</v>
      </c>
      <c r="AB57" s="40"/>
      <c r="AC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7" s="40">
        <f>IF(OR(NOTA[[#This Row],[QTY]]="",NOTA[[#This Row],[HARGA SATUAN]]="",),"",NOTA[[#This Row],[QTY]]*NOTA[[#This Row],[HARGA SATUAN]])</f>
        <v>960000</v>
      </c>
      <c r="AG57" s="37">
        <f ca="1">IF(NOTA[ID_H]="","",INDEX(NOTA[TANGGAL],MATCH(,INDIRECT(ADDRESS(ROW(NOTA[TANGGAL]),COLUMN(NOTA[TANGGAL]))&amp;":"&amp;ADDRESS(ROW(),COLUMN(NOTA[TANGGAL]))),-1)))</f>
        <v>45051</v>
      </c>
      <c r="AH57" s="51" t="str">
        <f ca="1">IF(NOTA[[#This Row],[NAMA BARANG]]="","",INDEX(NOTA[SUPPLIER],MATCH(,INDIRECT(ADDRESS(ROW(NOTA[ID]),COLUMN(NOTA[ID]))&amp;":"&amp;ADDRESS(ROW(),COLUMN(NOTA[ID]))),-1)))</f>
        <v>PELNA</v>
      </c>
      <c r="AI57" s="51" t="str">
        <f ca="1">IF(NOTA[[#This Row],[ID_H]]="","",IF(NOTA[[#This Row],[FAKTUR]]="",INDIRECT(ADDRESS(ROW()-1,COLUMN())),NOTA[[#This Row],[FAKTUR]]))</f>
        <v>UNTANA</v>
      </c>
      <c r="AJ57" s="27" t="str">
        <f ca="1">IF(NOTA[[#This Row],[ID]]="","",COUNTIF(NOTA[ID_H],NOTA[[#This Row],[ID_H]]))</f>
        <v/>
      </c>
      <c r="AK57" s="27">
        <f ca="1">IF(NOTA[[#This Row],[TGL.NOTA]]="",IF(NOTA[[#This Row],[SUPPLIER_H]]="","",AK56),MONTH(NOTA[[#This Row],[TGL.NOTA]]))</f>
        <v>5</v>
      </c>
      <c r="AL57" s="27" t="str">
        <f>LOWER(SUBSTITUTE(SUBSTITUTE(SUBSTITUTE(SUBSTITUTE(SUBSTITUTE(SUBSTITUTE(SUBSTITUTE(SUBSTITUTE(SUBSTITUTE(NOTA[NAMA BARANG]," ",),".",""),"-",""),"(",""),")",""),",",""),"/",""),"""",""),"+",""))</f>
        <v>pelnax02hitam</v>
      </c>
      <c r="AM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27" t="str">
        <f>IF(NOTA[[#This Row],[CONCAT4]]="","",_xlfn.IFNA(MATCH(NOTA[[#This Row],[CONCAT4]],[2]!RAW[CONCAT_H],0),FALSE))</f>
        <v/>
      </c>
      <c r="AQ57" s="145">
        <f>IF(NOTA[[#This Row],[CONCAT1]]="","",MATCH(NOTA[[#This Row],[CONCAT1]],[3]!db[NB NOTA_C],0)+1)</f>
        <v>1878</v>
      </c>
    </row>
    <row r="58" spans="1:43" ht="20.100000000000001" customHeight="1" x14ac:dyDescent="0.25">
      <c r="A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6" t="str">
        <f>IF(NOTA[[#This Row],[ID_P]]="","",MATCH(NOTA[[#This Row],[ID_P]],[1]!B_MSK[N_ID],0))</f>
        <v/>
      </c>
      <c r="D58" s="36">
        <f ca="1">IF(NOTA[[#This Row],[NAMA BARANG]]="","",INDEX(NOTA[ID],MATCH(,INDIRECT(ADDRESS(ROW(NOTA[ID]),COLUMN(NOTA[ID]))&amp;":"&amp;ADDRESS(ROW(),COLUMN(NOTA[ID]))),-1)))</f>
        <v>10</v>
      </c>
      <c r="E58" s="14"/>
      <c r="F58" s="16"/>
      <c r="G58" s="16"/>
      <c r="H58" s="20"/>
      <c r="I58" s="16"/>
      <c r="J58" s="37"/>
      <c r="K58" s="16"/>
      <c r="L58" s="16" t="s">
        <v>186</v>
      </c>
      <c r="M58" s="28">
        <v>1</v>
      </c>
      <c r="N58" s="16">
        <v>20</v>
      </c>
      <c r="O58" s="16" t="s">
        <v>183</v>
      </c>
      <c r="P58" s="35">
        <v>48000</v>
      </c>
      <c r="Q58" s="38"/>
      <c r="R58" s="28" t="s">
        <v>184</v>
      </c>
      <c r="S58" s="39"/>
      <c r="T58" s="39"/>
      <c r="U58" s="40"/>
      <c r="V58" s="26" t="s">
        <v>185</v>
      </c>
      <c r="W58" s="40">
        <f>IF(NOTA[[#This Row],[HARGA/ CTN]]="",NOTA[[#This Row],[JUMLAH_H]],NOTA[[#This Row],[HARGA/ CTN]]*IF(NOTA[[#This Row],[C]]="",0,NOTA[[#This Row],[C]]))</f>
        <v>960000</v>
      </c>
      <c r="X58" s="40">
        <f>IF(NOTA[[#This Row],[JUMLAH]]="","",NOTA[[#This Row],[JUMLAH]]*NOTA[[#This Row],[DISC 1]])</f>
        <v>0</v>
      </c>
      <c r="Y58" s="40">
        <f>IF(NOTA[[#This Row],[JUMLAH]]="","",(NOTA[[#This Row],[JUMLAH]]-NOTA[[#This Row],[DISC 1-]])*NOTA[[#This Row],[DISC 2]])</f>
        <v>0</v>
      </c>
      <c r="Z58" s="40">
        <f>IF(NOTA[[#This Row],[JUMLAH]]="","",NOTA[[#This Row],[DISC 1-]]+NOTA[[#This Row],[DISC 2-]])</f>
        <v>0</v>
      </c>
      <c r="AA58" s="40">
        <f>IF(NOTA[[#This Row],[JUMLAH]]="","",NOTA[[#This Row],[JUMLAH]]-NOTA[[#This Row],[DISC]])</f>
        <v>960000</v>
      </c>
      <c r="AB58" s="40"/>
      <c r="AC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3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8" s="40">
        <f>IF(OR(NOTA[[#This Row],[QTY]]="",NOTA[[#This Row],[HARGA SATUAN]]="",),"",NOTA[[#This Row],[QTY]]*NOTA[[#This Row],[HARGA SATUAN]])</f>
        <v>960000</v>
      </c>
      <c r="AG58" s="37">
        <f ca="1">IF(NOTA[ID_H]="","",INDEX(NOTA[TANGGAL],MATCH(,INDIRECT(ADDRESS(ROW(NOTA[TANGGAL]),COLUMN(NOTA[TANGGAL]))&amp;":"&amp;ADDRESS(ROW(),COLUMN(NOTA[TANGGAL]))),-1)))</f>
        <v>45051</v>
      </c>
      <c r="AH58" s="51" t="str">
        <f ca="1">IF(NOTA[[#This Row],[NAMA BARANG]]="","",INDEX(NOTA[SUPPLIER],MATCH(,INDIRECT(ADDRESS(ROW(NOTA[ID]),COLUMN(NOTA[ID]))&amp;":"&amp;ADDRESS(ROW(),COLUMN(NOTA[ID]))),-1)))</f>
        <v>PELNA</v>
      </c>
      <c r="AI58" s="51" t="str">
        <f ca="1">IF(NOTA[[#This Row],[ID_H]]="","",IF(NOTA[[#This Row],[FAKTUR]]="",INDIRECT(ADDRESS(ROW()-1,COLUMN())),NOTA[[#This Row],[FAKTUR]]))</f>
        <v>UNTANA</v>
      </c>
      <c r="AJ58" s="27" t="str">
        <f ca="1">IF(NOTA[[#This Row],[ID]]="","",COUNTIF(NOTA[ID_H],NOTA[[#This Row],[ID_H]]))</f>
        <v/>
      </c>
      <c r="AK58" s="27">
        <f ca="1">IF(NOTA[[#This Row],[TGL.NOTA]]="",IF(NOTA[[#This Row],[SUPPLIER_H]]="","",AK57),MONTH(NOTA[[#This Row],[TGL.NOTA]]))</f>
        <v>5</v>
      </c>
      <c r="AL58" s="27" t="str">
        <f>LOWER(SUBSTITUTE(SUBSTITUTE(SUBSTITUTE(SUBSTITUTE(SUBSTITUTE(SUBSTITUTE(SUBSTITUTE(SUBSTITUTE(SUBSTITUTE(NOTA[NAMA BARANG]," ",),".",""),"-",""),"(",""),")",""),",",""),"/",""),"""",""),"+",""))</f>
        <v>pelnax03hitam</v>
      </c>
      <c r="AM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" s="27" t="str">
        <f>IF(NOTA[[#This Row],[CONCAT4]]="","",_xlfn.IFNA(MATCH(NOTA[[#This Row],[CONCAT4]],[2]!RAW[CONCAT_H],0),FALSE))</f>
        <v/>
      </c>
      <c r="AQ58" s="145">
        <f>IF(NOTA[[#This Row],[CONCAT1]]="","",MATCH(NOTA[[#This Row],[CONCAT1]],[3]!db[NB NOTA_C],0)+1)</f>
        <v>1879</v>
      </c>
    </row>
    <row r="59" spans="1:43" ht="20.100000000000001" customHeight="1" x14ac:dyDescent="0.25">
      <c r="A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6" t="str">
        <f>IF(NOTA[[#This Row],[ID_P]]="","",MATCH(NOTA[[#This Row],[ID_P]],[1]!B_MSK[N_ID],0))</f>
        <v/>
      </c>
      <c r="D59" s="36">
        <f ca="1">IF(NOTA[[#This Row],[NAMA BARANG]]="","",INDEX(NOTA[ID],MATCH(,INDIRECT(ADDRESS(ROW(NOTA[ID]),COLUMN(NOTA[ID]))&amp;":"&amp;ADDRESS(ROW(),COLUMN(NOTA[ID]))),-1)))</f>
        <v>10</v>
      </c>
      <c r="E59" s="14"/>
      <c r="F59" s="16"/>
      <c r="G59" s="16"/>
      <c r="H59" s="20"/>
      <c r="I59" s="16"/>
      <c r="J59" s="37"/>
      <c r="K59" s="16"/>
      <c r="L59" s="16" t="s">
        <v>187</v>
      </c>
      <c r="M59" s="28">
        <v>1</v>
      </c>
      <c r="N59" s="16">
        <v>12</v>
      </c>
      <c r="O59" s="16" t="s">
        <v>183</v>
      </c>
      <c r="P59" s="35">
        <v>114167</v>
      </c>
      <c r="Q59" s="38"/>
      <c r="R59" s="28" t="s">
        <v>150</v>
      </c>
      <c r="S59" s="39"/>
      <c r="T59" s="39"/>
      <c r="U59" s="40"/>
      <c r="V59" s="26" t="s">
        <v>188</v>
      </c>
      <c r="W59" s="40">
        <f>IF(NOTA[[#This Row],[HARGA/ CTN]]="",NOTA[[#This Row],[JUMLAH_H]],NOTA[[#This Row],[HARGA/ CTN]]*IF(NOTA[[#This Row],[C]]="",0,NOTA[[#This Row],[C]]))</f>
        <v>1370004</v>
      </c>
      <c r="X59" s="40">
        <f>IF(NOTA[[#This Row],[JUMLAH]]="","",NOTA[[#This Row],[JUMLAH]]*NOTA[[#This Row],[DISC 1]])</f>
        <v>0</v>
      </c>
      <c r="Y59" s="40">
        <f>IF(NOTA[[#This Row],[JUMLAH]]="","",(NOTA[[#This Row],[JUMLAH]]-NOTA[[#This Row],[DISC 1-]])*NOTA[[#This Row],[DISC 2]])</f>
        <v>0</v>
      </c>
      <c r="Z59" s="40">
        <f>IF(NOTA[[#This Row],[JUMLAH]]="","",NOTA[[#This Row],[DISC 1-]]+NOTA[[#This Row],[DISC 2-]])</f>
        <v>0</v>
      </c>
      <c r="AA59" s="40">
        <f>IF(NOTA[[#This Row],[JUMLAH]]="","",NOTA[[#This Row],[JUMLAH]]-NOTA[[#This Row],[DISC]])</f>
        <v>1370004</v>
      </c>
      <c r="AB59" s="40"/>
      <c r="AC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14690004</v>
      </c>
      <c r="AE59" s="35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59" s="40">
        <f>IF(OR(NOTA[[#This Row],[QTY]]="",NOTA[[#This Row],[HARGA SATUAN]]="",),"",NOTA[[#This Row],[QTY]]*NOTA[[#This Row],[HARGA SATUAN]])</f>
        <v>1370004</v>
      </c>
      <c r="AG59" s="37">
        <f ca="1">IF(NOTA[ID_H]="","",INDEX(NOTA[TANGGAL],MATCH(,INDIRECT(ADDRESS(ROW(NOTA[TANGGAL]),COLUMN(NOTA[TANGGAL]))&amp;":"&amp;ADDRESS(ROW(),COLUMN(NOTA[TANGGAL]))),-1)))</f>
        <v>45051</v>
      </c>
      <c r="AH59" s="51" t="str">
        <f ca="1">IF(NOTA[[#This Row],[NAMA BARANG]]="","",INDEX(NOTA[SUPPLIER],MATCH(,INDIRECT(ADDRESS(ROW(NOTA[ID]),COLUMN(NOTA[ID]))&amp;":"&amp;ADDRESS(ROW(),COLUMN(NOTA[ID]))),-1)))</f>
        <v>PELNA</v>
      </c>
      <c r="AI59" s="51" t="str">
        <f ca="1">IF(NOTA[[#This Row],[ID_H]]="","",IF(NOTA[[#This Row],[FAKTUR]]="",INDIRECT(ADDRESS(ROW()-1,COLUMN())),NOTA[[#This Row],[FAKTUR]]))</f>
        <v>UNTANA</v>
      </c>
      <c r="AJ59" s="27" t="str">
        <f ca="1">IF(NOTA[[#This Row],[ID]]="","",COUNTIF(NOTA[ID_H],NOTA[[#This Row],[ID_H]]))</f>
        <v/>
      </c>
      <c r="AK59" s="27">
        <f ca="1">IF(NOTA[[#This Row],[TGL.NOTA]]="",IF(NOTA[[#This Row],[SUPPLIER_H]]="","",AK58),MONTH(NOTA[[#This Row],[TGL.NOTA]]))</f>
        <v>5</v>
      </c>
      <c r="AL59" s="27" t="str">
        <f>LOWER(SUBSTITUTE(SUBSTITUTE(SUBSTITUTE(SUBSTITUTE(SUBSTITUTE(SUBSTITUTE(SUBSTITUTE(SUBSTITUTE(SUBSTITUTE(NOTA[NAMA BARANG]," ",),".",""),"-",""),"(",""),")",""),",",""),"/",""),"""",""),"+",""))</f>
        <v>pelna05</v>
      </c>
      <c r="AM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pelna051370004</v>
      </c>
      <c r="AN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pelna051370004</v>
      </c>
      <c r="AO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27" t="str">
        <f>IF(NOTA[[#This Row],[CONCAT4]]="","",_xlfn.IFNA(MATCH(NOTA[[#This Row],[CONCAT4]],[2]!RAW[CONCAT_H],0),FALSE))</f>
        <v/>
      </c>
      <c r="AQ59" s="145" t="e">
        <f>IF(NOTA[[#This Row],[CONCAT1]]="","",MATCH(NOTA[[#This Row],[CONCAT1]],[3]!db[NB NOTA_C],0)+1)</f>
        <v>#N/A</v>
      </c>
    </row>
    <row r="60" spans="1:43" ht="20.100000000000001" customHeight="1" x14ac:dyDescent="0.25">
      <c r="A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6" t="str">
        <f>IF(NOTA[[#This Row],[ID_P]]="","",MATCH(NOTA[[#This Row],[ID_P]],[1]!B_MSK[N_ID],0))</f>
        <v/>
      </c>
      <c r="D60" s="36" t="str">
        <f ca="1">IF(NOTA[[#This Row],[NAMA BARANG]]="","",INDEX(NOTA[ID],MATCH(,INDIRECT(ADDRESS(ROW(NOTA[ID]),COLUMN(NOTA[ID]))&amp;":"&amp;ADDRESS(ROW(),COLUMN(NOTA[ID]))),-1)))</f>
        <v/>
      </c>
      <c r="E60" s="14"/>
      <c r="F60" s="16"/>
      <c r="G60" s="16"/>
      <c r="H60" s="20"/>
      <c r="I60" s="16"/>
      <c r="J60" s="37"/>
      <c r="K60" s="16"/>
      <c r="L60" s="16"/>
      <c r="M60" s="28"/>
      <c r="N60" s="16"/>
      <c r="O60" s="16"/>
      <c r="P60" s="35"/>
      <c r="Q60" s="38"/>
      <c r="R60" s="28"/>
      <c r="S60" s="39"/>
      <c r="T60" s="39"/>
      <c r="U60" s="40"/>
      <c r="V60" s="26"/>
      <c r="W60" s="40" t="str">
        <f>IF(NOTA[[#This Row],[HARGA/ CTN]]="",NOTA[[#This Row],[JUMLAH_H]],NOTA[[#This Row],[HARGA/ CTN]]*IF(NOTA[[#This Row],[C]]="",0,NOTA[[#This Row],[C]]))</f>
        <v/>
      </c>
      <c r="X60" s="40" t="str">
        <f>IF(NOTA[[#This Row],[JUMLAH]]="","",NOTA[[#This Row],[JUMLAH]]*NOTA[[#This Row],[DISC 1]])</f>
        <v/>
      </c>
      <c r="Y60" s="40" t="str">
        <f>IF(NOTA[[#This Row],[JUMLAH]]="","",(NOTA[[#This Row],[JUMLAH]]-NOTA[[#This Row],[DISC 1-]])*NOTA[[#This Row],[DISC 2]])</f>
        <v/>
      </c>
      <c r="Z60" s="40" t="str">
        <f>IF(NOTA[[#This Row],[JUMLAH]]="","",NOTA[[#This Row],[DISC 1-]]+NOTA[[#This Row],[DISC 2-]])</f>
        <v/>
      </c>
      <c r="AA60" s="40" t="str">
        <f>IF(NOTA[[#This Row],[JUMLAH]]="","",NOTA[[#This Row],[JUMLAH]]-NOTA[[#This Row],[DISC]])</f>
        <v/>
      </c>
      <c r="AB60" s="40"/>
      <c r="AC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40" t="str">
        <f>IF(OR(NOTA[[#This Row],[QTY]]="",NOTA[[#This Row],[HARGA SATUAN]]="",),"",NOTA[[#This Row],[QTY]]*NOTA[[#This Row],[HARGA SATUAN]])</f>
        <v/>
      </c>
      <c r="AG60" s="37" t="str">
        <f ca="1">IF(NOTA[ID_H]="","",INDEX(NOTA[TANGGAL],MATCH(,INDIRECT(ADDRESS(ROW(NOTA[TANGGAL]),COLUMN(NOTA[TANGGAL]))&amp;":"&amp;ADDRESS(ROW(),COLUMN(NOTA[TANGGAL]))),-1)))</f>
        <v/>
      </c>
      <c r="AH60" s="51" t="str">
        <f ca="1">IF(NOTA[[#This Row],[NAMA BARANG]]="","",INDEX(NOTA[SUPPLIER],MATCH(,INDIRECT(ADDRESS(ROW(NOTA[ID]),COLUMN(NOTA[ID]))&amp;":"&amp;ADDRESS(ROW(),COLUMN(NOTA[ID]))),-1)))</f>
        <v/>
      </c>
      <c r="AI60" s="51" t="str">
        <f ca="1">IF(NOTA[[#This Row],[ID_H]]="","",IF(NOTA[[#This Row],[FAKTUR]]="",INDIRECT(ADDRESS(ROW()-1,COLUMN())),NOTA[[#This Row],[FAKTUR]]))</f>
        <v/>
      </c>
      <c r="AJ60" s="27" t="str">
        <f ca="1">IF(NOTA[[#This Row],[ID]]="","",COUNTIF(NOTA[ID_H],NOTA[[#This Row],[ID_H]]))</f>
        <v/>
      </c>
      <c r="AK60" s="27" t="str">
        <f ca="1">IF(NOTA[[#This Row],[TGL.NOTA]]="",IF(NOTA[[#This Row],[SUPPLIER_H]]="","",AK59),MONTH(NOTA[[#This Row],[TGL.NOTA]]))</f>
        <v/>
      </c>
      <c r="AL60" s="27" t="str">
        <f>LOWER(SUBSTITUTE(SUBSTITUTE(SUBSTITUTE(SUBSTITUTE(SUBSTITUTE(SUBSTITUTE(SUBSTITUTE(SUBSTITUTE(SUBSTITUTE(NOTA[NAMA BARANG]," ",),".",""),"-",""),"(",""),")",""),",",""),"/",""),"""",""),"+",""))</f>
        <v/>
      </c>
      <c r="AM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27" t="str">
        <f>IF(NOTA[[#This Row],[CONCAT4]]="","",_xlfn.IFNA(MATCH(NOTA[[#This Row],[CONCAT4]],[2]!RAW[CONCAT_H],0),FALSE))</f>
        <v/>
      </c>
      <c r="AQ60" s="145" t="str">
        <f>IF(NOTA[[#This Row],[CONCAT1]]="","",MATCH(NOTA[[#This Row],[CONCAT1]],[3]!db[NB NOTA_C],0)+1)</f>
        <v/>
      </c>
    </row>
    <row r="61" spans="1:43" ht="20.100000000000001" customHeight="1" x14ac:dyDescent="0.25">
      <c r="A61" s="35">
        <f ca="1">IF(INDIRECT(ADDRESS(ROW()-1,COLUMN(NOTA[[#Headers],[ID]])))="ID",1,IF(NOTA[[#This Row],[FAKTUR]]="","",COUNT(INDIRECT(ADDRESS(ROW(NOTA[ID]),COLUMN(NOTA[ID]))&amp;":"&amp;ADDRESS(ROW()-1,COLUMN(NOTA[ID]))))+1))</f>
        <v>11</v>
      </c>
      <c r="B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DBS_0805_023-14</v>
      </c>
      <c r="C61" s="36" t="e">
        <f ca="1">IF(NOTA[[#This Row],[ID_P]]="","",MATCH(NOTA[[#This Row],[ID_P]],[1]!B_MSK[N_ID],0))</f>
        <v>#REF!</v>
      </c>
      <c r="D61" s="36">
        <f ca="1">IF(NOTA[[#This Row],[NAMA BARANG]]="","",INDEX(NOTA[ID],MATCH(,INDIRECT(ADDRESS(ROW(NOTA[ID]),COLUMN(NOTA[ID]))&amp;":"&amp;ADDRESS(ROW(),COLUMN(NOTA[ID]))),-1)))</f>
        <v>11</v>
      </c>
      <c r="E61" s="14">
        <v>45054</v>
      </c>
      <c r="F61" s="16" t="s">
        <v>168</v>
      </c>
      <c r="G61" s="16" t="s">
        <v>112</v>
      </c>
      <c r="H61" s="20" t="s">
        <v>189</v>
      </c>
      <c r="I61" s="16"/>
      <c r="J61" s="37">
        <v>45051</v>
      </c>
      <c r="K61" s="16"/>
      <c r="L61" s="16" t="s">
        <v>190</v>
      </c>
      <c r="M61" s="28">
        <v>2</v>
      </c>
      <c r="N61" s="16">
        <v>240</v>
      </c>
      <c r="O61" s="16" t="s">
        <v>125</v>
      </c>
      <c r="P61" s="35">
        <v>18250</v>
      </c>
      <c r="Q61" s="38"/>
      <c r="R61" s="28" t="s">
        <v>173</v>
      </c>
      <c r="S61" s="39"/>
      <c r="T61" s="39"/>
      <c r="U61" s="40"/>
      <c r="V61" s="26"/>
      <c r="W61" s="40">
        <f>IF(NOTA[[#This Row],[HARGA/ CTN]]="",NOTA[[#This Row],[JUMLAH_H]],NOTA[[#This Row],[HARGA/ CTN]]*IF(NOTA[[#This Row],[C]]="",0,NOTA[[#This Row],[C]]))</f>
        <v>4380000</v>
      </c>
      <c r="X61" s="40">
        <f>IF(NOTA[[#This Row],[JUMLAH]]="","",NOTA[[#This Row],[JUMLAH]]*NOTA[[#This Row],[DISC 1]])</f>
        <v>0</v>
      </c>
      <c r="Y61" s="40">
        <f>IF(NOTA[[#This Row],[JUMLAH]]="","",(NOTA[[#This Row],[JUMLAH]]-NOTA[[#This Row],[DISC 1-]])*NOTA[[#This Row],[DISC 2]])</f>
        <v>0</v>
      </c>
      <c r="Z61" s="40">
        <f>IF(NOTA[[#This Row],[JUMLAH]]="","",NOTA[[#This Row],[DISC 1-]]+NOTA[[#This Row],[DISC 2-]])</f>
        <v>0</v>
      </c>
      <c r="AA61" s="40">
        <f>IF(NOTA[[#This Row],[JUMLAH]]="","",NOTA[[#This Row],[JUMLAH]]-NOTA[[#This Row],[DISC]])</f>
        <v>4380000</v>
      </c>
      <c r="AB61" s="40"/>
      <c r="AC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1" s="40">
        <f>IF(OR(NOTA[[#This Row],[QTY]]="",NOTA[[#This Row],[HARGA SATUAN]]="",),"",NOTA[[#This Row],[QTY]]*NOTA[[#This Row],[HARGA SATUAN]])</f>
        <v>4380000</v>
      </c>
      <c r="AG61" s="37">
        <f ca="1">IF(NOTA[ID_H]="","",INDEX(NOTA[TANGGAL],MATCH(,INDIRECT(ADDRESS(ROW(NOTA[TANGGAL]),COLUMN(NOTA[TANGGAL]))&amp;":"&amp;ADDRESS(ROW(),COLUMN(NOTA[TANGGAL]))),-1)))</f>
        <v>45054</v>
      </c>
      <c r="AH61" s="51" t="str">
        <f ca="1">IF(NOTA[[#This Row],[NAMA BARANG]]="","",INDEX(NOTA[SUPPLIER],MATCH(,INDIRECT(ADDRESS(ROW(NOTA[ID]),COLUMN(NOTA[ID]))&amp;":"&amp;ADDRESS(ROW(),COLUMN(NOTA[ID]))),-1)))</f>
        <v>DB STATIONERY</v>
      </c>
      <c r="AI61" s="51" t="str">
        <f ca="1">IF(NOTA[[#This Row],[ID_H]]="","",IF(NOTA[[#This Row],[FAKTUR]]="",INDIRECT(ADDRESS(ROW()-1,COLUMN())),NOTA[[#This Row],[FAKTUR]]))</f>
        <v>UNTANA</v>
      </c>
      <c r="AJ61" s="27">
        <f ca="1">IF(NOTA[[#This Row],[ID]]="","",COUNTIF(NOTA[ID_H],NOTA[[#This Row],[ID_H]]))</f>
        <v>14</v>
      </c>
      <c r="AK61" s="27">
        <f>IF(NOTA[[#This Row],[TGL.NOTA]]="",IF(NOTA[[#This Row],[SUPPLIER_H]]="","",AK60),MONTH(NOTA[[#This Row],[TGL.NOTA]]))</f>
        <v>5</v>
      </c>
      <c r="AL61" s="27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61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STATIONERYUNTANAJUE120/2345051gelzhixinrefillg5001</v>
      </c>
      <c r="AP61" s="27" t="e">
        <f>IF(NOTA[[#This Row],[CONCAT4]]="","",_xlfn.IFNA(MATCH(NOTA[[#This Row],[CONCAT4]],[2]!RAW[CONCAT_H],0),FALSE))</f>
        <v>#REF!</v>
      </c>
      <c r="AQ61" s="145">
        <f>IF(NOTA[[#This Row],[CONCAT1]]="","",MATCH(NOTA[[#This Row],[CONCAT1]],[3]!db[NB NOTA_C],0)+1)</f>
        <v>990</v>
      </c>
    </row>
    <row r="62" spans="1:43" ht="20.100000000000001" customHeight="1" x14ac:dyDescent="0.25">
      <c r="A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6" t="str">
        <f>IF(NOTA[[#This Row],[ID_P]]="","",MATCH(NOTA[[#This Row],[ID_P]],[1]!B_MSK[N_ID],0))</f>
        <v/>
      </c>
      <c r="D62" s="36">
        <f ca="1">IF(NOTA[[#This Row],[NAMA BARANG]]="","",INDEX(NOTA[ID],MATCH(,INDIRECT(ADDRESS(ROW(NOTA[ID]),COLUMN(NOTA[ID]))&amp;":"&amp;ADDRESS(ROW(),COLUMN(NOTA[ID]))),-1)))</f>
        <v>11</v>
      </c>
      <c r="E62" s="14"/>
      <c r="F62" s="16"/>
      <c r="G62" s="16"/>
      <c r="H62" s="20"/>
      <c r="I62" s="16"/>
      <c r="J62" s="37"/>
      <c r="K62" s="16"/>
      <c r="L62" s="16" t="s">
        <v>191</v>
      </c>
      <c r="M62" s="28">
        <v>2</v>
      </c>
      <c r="N62" s="16">
        <v>240</v>
      </c>
      <c r="O62" s="16" t="s">
        <v>125</v>
      </c>
      <c r="P62" s="35">
        <v>18250</v>
      </c>
      <c r="Q62" s="38"/>
      <c r="R62" s="28" t="s">
        <v>173</v>
      </c>
      <c r="S62" s="39"/>
      <c r="T62" s="39"/>
      <c r="U62" s="40"/>
      <c r="V62" s="26"/>
      <c r="W62" s="40">
        <f>IF(NOTA[[#This Row],[HARGA/ CTN]]="",NOTA[[#This Row],[JUMLAH_H]],NOTA[[#This Row],[HARGA/ CTN]]*IF(NOTA[[#This Row],[C]]="",0,NOTA[[#This Row],[C]]))</f>
        <v>4380000</v>
      </c>
      <c r="X62" s="40">
        <f>IF(NOTA[[#This Row],[JUMLAH]]="","",NOTA[[#This Row],[JUMLAH]]*NOTA[[#This Row],[DISC 1]])</f>
        <v>0</v>
      </c>
      <c r="Y62" s="40">
        <f>IF(NOTA[[#This Row],[JUMLAH]]="","",(NOTA[[#This Row],[JUMLAH]]-NOTA[[#This Row],[DISC 1-]])*NOTA[[#This Row],[DISC 2]])</f>
        <v>0</v>
      </c>
      <c r="Z62" s="40">
        <f>IF(NOTA[[#This Row],[JUMLAH]]="","",NOTA[[#This Row],[DISC 1-]]+NOTA[[#This Row],[DISC 2-]])</f>
        <v>0</v>
      </c>
      <c r="AA62" s="40">
        <f>IF(NOTA[[#This Row],[JUMLAH]]="","",NOTA[[#This Row],[JUMLAH]]-NOTA[[#This Row],[DISC]])</f>
        <v>4380000</v>
      </c>
      <c r="AB62" s="40"/>
      <c r="AC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2" s="40">
        <f>IF(OR(NOTA[[#This Row],[QTY]]="",NOTA[[#This Row],[HARGA SATUAN]]="",),"",NOTA[[#This Row],[QTY]]*NOTA[[#This Row],[HARGA SATUAN]])</f>
        <v>4380000</v>
      </c>
      <c r="AG62" s="37">
        <f ca="1">IF(NOTA[ID_H]="","",INDEX(NOTA[TANGGAL],MATCH(,INDIRECT(ADDRESS(ROW(NOTA[TANGGAL]),COLUMN(NOTA[TANGGAL]))&amp;":"&amp;ADDRESS(ROW(),COLUMN(NOTA[TANGGAL]))),-1)))</f>
        <v>45054</v>
      </c>
      <c r="AH62" s="51" t="str">
        <f ca="1">IF(NOTA[[#This Row],[NAMA BARANG]]="","",INDEX(NOTA[SUPPLIER],MATCH(,INDIRECT(ADDRESS(ROW(NOTA[ID]),COLUMN(NOTA[ID]))&amp;":"&amp;ADDRESS(ROW(),COLUMN(NOTA[ID]))),-1)))</f>
        <v>DB STATIONERY</v>
      </c>
      <c r="AI62" s="51" t="str">
        <f ca="1">IF(NOTA[[#This Row],[ID_H]]="","",IF(NOTA[[#This Row],[FAKTUR]]="",INDIRECT(ADDRESS(ROW()-1,COLUMN())),NOTA[[#This Row],[FAKTUR]]))</f>
        <v>UNTANA</v>
      </c>
      <c r="AJ62" s="27" t="str">
        <f ca="1">IF(NOTA[[#This Row],[ID]]="","",COUNTIF(NOTA[ID_H],NOTA[[#This Row],[ID_H]]))</f>
        <v/>
      </c>
      <c r="AK62" s="27">
        <f ca="1">IF(NOTA[[#This Row],[TGL.NOTA]]="",IF(NOTA[[#This Row],[SUPPLIER_H]]="","",AK61),MONTH(NOTA[[#This Row],[TGL.NOTA]]))</f>
        <v>5</v>
      </c>
      <c r="AL62" s="27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27" t="str">
        <f>IF(NOTA[[#This Row],[CONCAT4]]="","",_xlfn.IFNA(MATCH(NOTA[[#This Row],[CONCAT4]],[2]!RAW[CONCAT_H],0),FALSE))</f>
        <v/>
      </c>
      <c r="AQ62" s="145">
        <f>IF(NOTA[[#This Row],[CONCAT1]]="","",MATCH(NOTA[[#This Row],[CONCAT1]],[3]!db[NB NOTA_C],0)+1)</f>
        <v>991</v>
      </c>
    </row>
    <row r="63" spans="1:43" ht="20.100000000000001" customHeight="1" x14ac:dyDescent="0.25">
      <c r="A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6" t="str">
        <f>IF(NOTA[[#This Row],[ID_P]]="","",MATCH(NOTA[[#This Row],[ID_P]],[1]!B_MSK[N_ID],0))</f>
        <v/>
      </c>
      <c r="D63" s="36">
        <f ca="1">IF(NOTA[[#This Row],[NAMA BARANG]]="","",INDEX(NOTA[ID],MATCH(,INDIRECT(ADDRESS(ROW(NOTA[ID]),COLUMN(NOTA[ID]))&amp;":"&amp;ADDRESS(ROW(),COLUMN(NOTA[ID]))),-1)))</f>
        <v>11</v>
      </c>
      <c r="E63" s="14"/>
      <c r="F63" s="16"/>
      <c r="G63" s="16"/>
      <c r="H63" s="20"/>
      <c r="I63" s="16"/>
      <c r="J63" s="37"/>
      <c r="K63" s="16"/>
      <c r="L63" s="16" t="s">
        <v>192</v>
      </c>
      <c r="M63" s="28">
        <v>2</v>
      </c>
      <c r="N63" s="16">
        <v>240</v>
      </c>
      <c r="O63" s="16" t="s">
        <v>125</v>
      </c>
      <c r="P63" s="35">
        <v>18250</v>
      </c>
      <c r="Q63" s="38"/>
      <c r="R63" s="28" t="s">
        <v>173</v>
      </c>
      <c r="S63" s="39"/>
      <c r="T63" s="39"/>
      <c r="U63" s="40"/>
      <c r="V63" s="26"/>
      <c r="W63" s="40">
        <f>IF(NOTA[[#This Row],[HARGA/ CTN]]="",NOTA[[#This Row],[JUMLAH_H]],NOTA[[#This Row],[HARGA/ CTN]]*IF(NOTA[[#This Row],[C]]="",0,NOTA[[#This Row],[C]]))</f>
        <v>4380000</v>
      </c>
      <c r="X63" s="40">
        <f>IF(NOTA[[#This Row],[JUMLAH]]="","",NOTA[[#This Row],[JUMLAH]]*NOTA[[#This Row],[DISC 1]])</f>
        <v>0</v>
      </c>
      <c r="Y63" s="40">
        <f>IF(NOTA[[#This Row],[JUMLAH]]="","",(NOTA[[#This Row],[JUMLAH]]-NOTA[[#This Row],[DISC 1-]])*NOTA[[#This Row],[DISC 2]])</f>
        <v>0</v>
      </c>
      <c r="Z63" s="40">
        <f>IF(NOTA[[#This Row],[JUMLAH]]="","",NOTA[[#This Row],[DISC 1-]]+NOTA[[#This Row],[DISC 2-]])</f>
        <v>0</v>
      </c>
      <c r="AA63" s="40">
        <f>IF(NOTA[[#This Row],[JUMLAH]]="","",NOTA[[#This Row],[JUMLAH]]-NOTA[[#This Row],[DISC]])</f>
        <v>4380000</v>
      </c>
      <c r="AB63" s="40"/>
      <c r="AC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3" s="40">
        <f>IF(OR(NOTA[[#This Row],[QTY]]="",NOTA[[#This Row],[HARGA SATUAN]]="",),"",NOTA[[#This Row],[QTY]]*NOTA[[#This Row],[HARGA SATUAN]])</f>
        <v>4380000</v>
      </c>
      <c r="AG63" s="37">
        <f ca="1">IF(NOTA[ID_H]="","",INDEX(NOTA[TANGGAL],MATCH(,INDIRECT(ADDRESS(ROW(NOTA[TANGGAL]),COLUMN(NOTA[TANGGAL]))&amp;":"&amp;ADDRESS(ROW(),COLUMN(NOTA[TANGGAL]))),-1)))</f>
        <v>45054</v>
      </c>
      <c r="AH63" s="51" t="str">
        <f ca="1">IF(NOTA[[#This Row],[NAMA BARANG]]="","",INDEX(NOTA[SUPPLIER],MATCH(,INDIRECT(ADDRESS(ROW(NOTA[ID]),COLUMN(NOTA[ID]))&amp;":"&amp;ADDRESS(ROW(),COLUMN(NOTA[ID]))),-1)))</f>
        <v>DB STATIONERY</v>
      </c>
      <c r="AI63" s="51" t="str">
        <f ca="1">IF(NOTA[[#This Row],[ID_H]]="","",IF(NOTA[[#This Row],[FAKTUR]]="",INDIRECT(ADDRESS(ROW()-1,COLUMN())),NOTA[[#This Row],[FAKTUR]]))</f>
        <v>UNTANA</v>
      </c>
      <c r="AJ63" s="27" t="str">
        <f ca="1">IF(NOTA[[#This Row],[ID]]="","",COUNTIF(NOTA[ID_H],NOTA[[#This Row],[ID_H]]))</f>
        <v/>
      </c>
      <c r="AK63" s="27">
        <f ca="1">IF(NOTA[[#This Row],[TGL.NOTA]]="",IF(NOTA[[#This Row],[SUPPLIER_H]]="","",AK62),MONTH(NOTA[[#This Row],[TGL.NOTA]]))</f>
        <v>5</v>
      </c>
      <c r="AL63" s="27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" s="27" t="str">
        <f>IF(NOTA[[#This Row],[CONCAT4]]="","",_xlfn.IFNA(MATCH(NOTA[[#This Row],[CONCAT4]],[2]!RAW[CONCAT_H],0),FALSE))</f>
        <v/>
      </c>
      <c r="AQ63" s="145">
        <f>IF(NOTA[[#This Row],[CONCAT1]]="","",MATCH(NOTA[[#This Row],[CONCAT1]],[3]!db[NB NOTA_C],0)+1)</f>
        <v>993</v>
      </c>
    </row>
    <row r="64" spans="1:43" ht="20.100000000000001" customHeight="1" x14ac:dyDescent="0.25">
      <c r="A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6" t="str">
        <f>IF(NOTA[[#This Row],[ID_P]]="","",MATCH(NOTA[[#This Row],[ID_P]],[1]!B_MSK[N_ID],0))</f>
        <v/>
      </c>
      <c r="D64" s="36">
        <f ca="1">IF(NOTA[[#This Row],[NAMA BARANG]]="","",INDEX(NOTA[ID],MATCH(,INDIRECT(ADDRESS(ROW(NOTA[ID]),COLUMN(NOTA[ID]))&amp;":"&amp;ADDRESS(ROW(),COLUMN(NOTA[ID]))),-1)))</f>
        <v>11</v>
      </c>
      <c r="E64" s="14"/>
      <c r="F64" s="16"/>
      <c r="G64" s="16"/>
      <c r="H64" s="20"/>
      <c r="I64" s="16"/>
      <c r="J64" s="37"/>
      <c r="K64" s="16"/>
      <c r="L64" s="16" t="s">
        <v>193</v>
      </c>
      <c r="M64" s="28">
        <v>2</v>
      </c>
      <c r="N64" s="16">
        <v>240</v>
      </c>
      <c r="O64" s="16" t="s">
        <v>125</v>
      </c>
      <c r="P64" s="35">
        <v>18250</v>
      </c>
      <c r="Q64" s="38"/>
      <c r="R64" s="28" t="s">
        <v>173</v>
      </c>
      <c r="S64" s="39"/>
      <c r="T64" s="39"/>
      <c r="U64" s="40"/>
      <c r="V64" s="26"/>
      <c r="W64" s="40">
        <f>IF(NOTA[[#This Row],[HARGA/ CTN]]="",NOTA[[#This Row],[JUMLAH_H]],NOTA[[#This Row],[HARGA/ CTN]]*IF(NOTA[[#This Row],[C]]="",0,NOTA[[#This Row],[C]]))</f>
        <v>4380000</v>
      </c>
      <c r="X64" s="40">
        <f>IF(NOTA[[#This Row],[JUMLAH]]="","",NOTA[[#This Row],[JUMLAH]]*NOTA[[#This Row],[DISC 1]])</f>
        <v>0</v>
      </c>
      <c r="Y64" s="40">
        <f>IF(NOTA[[#This Row],[JUMLAH]]="","",(NOTA[[#This Row],[JUMLAH]]-NOTA[[#This Row],[DISC 1-]])*NOTA[[#This Row],[DISC 2]])</f>
        <v>0</v>
      </c>
      <c r="Z64" s="40">
        <f>IF(NOTA[[#This Row],[JUMLAH]]="","",NOTA[[#This Row],[DISC 1-]]+NOTA[[#This Row],[DISC 2-]])</f>
        <v>0</v>
      </c>
      <c r="AA64" s="40">
        <f>IF(NOTA[[#This Row],[JUMLAH]]="","",NOTA[[#This Row],[JUMLAH]]-NOTA[[#This Row],[DISC]])</f>
        <v>4380000</v>
      </c>
      <c r="AB64" s="40"/>
      <c r="AC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" s="40">
        <f>IF(OR(NOTA[[#This Row],[QTY]]="",NOTA[[#This Row],[HARGA SATUAN]]="",),"",NOTA[[#This Row],[QTY]]*NOTA[[#This Row],[HARGA SATUAN]])</f>
        <v>4380000</v>
      </c>
      <c r="AG64" s="37">
        <f ca="1">IF(NOTA[ID_H]="","",INDEX(NOTA[TANGGAL],MATCH(,INDIRECT(ADDRESS(ROW(NOTA[TANGGAL]),COLUMN(NOTA[TANGGAL]))&amp;":"&amp;ADDRESS(ROW(),COLUMN(NOTA[TANGGAL]))),-1)))</f>
        <v>45054</v>
      </c>
      <c r="AH64" s="51" t="str">
        <f ca="1">IF(NOTA[[#This Row],[NAMA BARANG]]="","",INDEX(NOTA[SUPPLIER],MATCH(,INDIRECT(ADDRESS(ROW(NOTA[ID]),COLUMN(NOTA[ID]))&amp;":"&amp;ADDRESS(ROW(),COLUMN(NOTA[ID]))),-1)))</f>
        <v>DB STATIONERY</v>
      </c>
      <c r="AI64" s="51" t="str">
        <f ca="1">IF(NOTA[[#This Row],[ID_H]]="","",IF(NOTA[[#This Row],[FAKTUR]]="",INDIRECT(ADDRESS(ROW()-1,COLUMN())),NOTA[[#This Row],[FAKTUR]]))</f>
        <v>UNTANA</v>
      </c>
      <c r="AJ64" s="27" t="str">
        <f ca="1">IF(NOTA[[#This Row],[ID]]="","",COUNTIF(NOTA[ID_H],NOTA[[#This Row],[ID_H]]))</f>
        <v/>
      </c>
      <c r="AK64" s="27">
        <f ca="1">IF(NOTA[[#This Row],[TGL.NOTA]]="",IF(NOTA[[#This Row],[SUPPLIER_H]]="","",AK63),MONTH(NOTA[[#This Row],[TGL.NOTA]]))</f>
        <v>5</v>
      </c>
      <c r="AL64" s="27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27" t="str">
        <f>IF(NOTA[[#This Row],[CONCAT4]]="","",_xlfn.IFNA(MATCH(NOTA[[#This Row],[CONCAT4]],[2]!RAW[CONCAT_H],0),FALSE))</f>
        <v/>
      </c>
      <c r="AQ64" s="145" t="e">
        <f>IF(NOTA[[#This Row],[CONCAT1]]="","",MATCH(NOTA[[#This Row],[CONCAT1]],[3]!db[NB NOTA_C],0)+1)</f>
        <v>#N/A</v>
      </c>
    </row>
    <row r="65" spans="1:43" ht="20.100000000000001" customHeight="1" x14ac:dyDescent="0.25">
      <c r="A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6" t="str">
        <f>IF(NOTA[[#This Row],[ID_P]]="","",MATCH(NOTA[[#This Row],[ID_P]],[1]!B_MSK[N_ID],0))</f>
        <v/>
      </c>
      <c r="D65" s="36">
        <f ca="1">IF(NOTA[[#This Row],[NAMA BARANG]]="","",INDEX(NOTA[ID],MATCH(,INDIRECT(ADDRESS(ROW(NOTA[ID]),COLUMN(NOTA[ID]))&amp;":"&amp;ADDRESS(ROW(),COLUMN(NOTA[ID]))),-1)))</f>
        <v>11</v>
      </c>
      <c r="E65" s="14"/>
      <c r="F65" s="16"/>
      <c r="G65" s="16"/>
      <c r="H65" s="20"/>
      <c r="I65" s="16"/>
      <c r="J65" s="37"/>
      <c r="K65" s="16"/>
      <c r="L65" s="16" t="s">
        <v>194</v>
      </c>
      <c r="M65" s="28">
        <v>2</v>
      </c>
      <c r="N65" s="16">
        <v>240</v>
      </c>
      <c r="O65" s="16" t="s">
        <v>125</v>
      </c>
      <c r="P65" s="35">
        <v>18250</v>
      </c>
      <c r="Q65" s="38"/>
      <c r="R65" s="28" t="s">
        <v>173</v>
      </c>
      <c r="S65" s="39"/>
      <c r="T65" s="39"/>
      <c r="U65" s="40"/>
      <c r="V65" s="26"/>
      <c r="W65" s="40">
        <f>IF(NOTA[[#This Row],[HARGA/ CTN]]="",NOTA[[#This Row],[JUMLAH_H]],NOTA[[#This Row],[HARGA/ CTN]]*IF(NOTA[[#This Row],[C]]="",0,NOTA[[#This Row],[C]]))</f>
        <v>4380000</v>
      </c>
      <c r="X65" s="40">
        <f>IF(NOTA[[#This Row],[JUMLAH]]="","",NOTA[[#This Row],[JUMLAH]]*NOTA[[#This Row],[DISC 1]])</f>
        <v>0</v>
      </c>
      <c r="Y65" s="40">
        <f>IF(NOTA[[#This Row],[JUMLAH]]="","",(NOTA[[#This Row],[JUMLAH]]-NOTA[[#This Row],[DISC 1-]])*NOTA[[#This Row],[DISC 2]])</f>
        <v>0</v>
      </c>
      <c r="Z65" s="40">
        <f>IF(NOTA[[#This Row],[JUMLAH]]="","",NOTA[[#This Row],[DISC 1-]]+NOTA[[#This Row],[DISC 2-]])</f>
        <v>0</v>
      </c>
      <c r="AA65" s="40">
        <f>IF(NOTA[[#This Row],[JUMLAH]]="","",NOTA[[#This Row],[JUMLAH]]-NOTA[[#This Row],[DISC]])</f>
        <v>4380000</v>
      </c>
      <c r="AB65" s="40"/>
      <c r="AC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5" s="40">
        <f>IF(OR(NOTA[[#This Row],[QTY]]="",NOTA[[#This Row],[HARGA SATUAN]]="",),"",NOTA[[#This Row],[QTY]]*NOTA[[#This Row],[HARGA SATUAN]])</f>
        <v>4380000</v>
      </c>
      <c r="AG65" s="37">
        <f ca="1">IF(NOTA[ID_H]="","",INDEX(NOTA[TANGGAL],MATCH(,INDIRECT(ADDRESS(ROW(NOTA[TANGGAL]),COLUMN(NOTA[TANGGAL]))&amp;":"&amp;ADDRESS(ROW(),COLUMN(NOTA[TANGGAL]))),-1)))</f>
        <v>45054</v>
      </c>
      <c r="AH65" s="51" t="str">
        <f ca="1">IF(NOTA[[#This Row],[NAMA BARANG]]="","",INDEX(NOTA[SUPPLIER],MATCH(,INDIRECT(ADDRESS(ROW(NOTA[ID]),COLUMN(NOTA[ID]))&amp;":"&amp;ADDRESS(ROW(),COLUMN(NOTA[ID]))),-1)))</f>
        <v>DB STATIONERY</v>
      </c>
      <c r="AI65" s="51" t="str">
        <f ca="1">IF(NOTA[[#This Row],[ID_H]]="","",IF(NOTA[[#This Row],[FAKTUR]]="",INDIRECT(ADDRESS(ROW()-1,COLUMN())),NOTA[[#This Row],[FAKTUR]]))</f>
        <v>UNTANA</v>
      </c>
      <c r="AJ65" s="27" t="str">
        <f ca="1">IF(NOTA[[#This Row],[ID]]="","",COUNTIF(NOTA[ID_H],NOTA[[#This Row],[ID_H]]))</f>
        <v/>
      </c>
      <c r="AK65" s="27">
        <f ca="1">IF(NOTA[[#This Row],[TGL.NOTA]]="",IF(NOTA[[#This Row],[SUPPLIER_H]]="","",AK64),MONTH(NOTA[[#This Row],[TGL.NOTA]]))</f>
        <v>5</v>
      </c>
      <c r="AL65" s="27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" s="27" t="str">
        <f>IF(NOTA[[#This Row],[CONCAT4]]="","",_xlfn.IFNA(MATCH(NOTA[[#This Row],[CONCAT4]],[2]!RAW[CONCAT_H],0),FALSE))</f>
        <v/>
      </c>
      <c r="AQ65" s="145" t="e">
        <f>IF(NOTA[[#This Row],[CONCAT1]]="","",MATCH(NOTA[[#This Row],[CONCAT1]],[3]!db[NB NOTA_C],0)+1)</f>
        <v>#N/A</v>
      </c>
    </row>
    <row r="66" spans="1:43" ht="20.100000000000001" customHeight="1" x14ac:dyDescent="0.25">
      <c r="A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6" t="str">
        <f>IF(NOTA[[#This Row],[ID_P]]="","",MATCH(NOTA[[#This Row],[ID_P]],[1]!B_MSK[N_ID],0))</f>
        <v/>
      </c>
      <c r="D66" s="36">
        <f ca="1">IF(NOTA[[#This Row],[NAMA BARANG]]="","",INDEX(NOTA[ID],MATCH(,INDIRECT(ADDRESS(ROW(NOTA[ID]),COLUMN(NOTA[ID]))&amp;":"&amp;ADDRESS(ROW(),COLUMN(NOTA[ID]))),-1)))</f>
        <v>11</v>
      </c>
      <c r="E66" s="14"/>
      <c r="F66" s="16"/>
      <c r="G66" s="16"/>
      <c r="H66" s="20"/>
      <c r="I66" s="16"/>
      <c r="J66" s="37"/>
      <c r="K66" s="16"/>
      <c r="L66" s="16" t="s">
        <v>195</v>
      </c>
      <c r="M66" s="28">
        <v>2</v>
      </c>
      <c r="N66" s="16">
        <v>240</v>
      </c>
      <c r="O66" s="16" t="s">
        <v>125</v>
      </c>
      <c r="P66" s="35">
        <v>18250</v>
      </c>
      <c r="Q66" s="38"/>
      <c r="R66" s="28" t="s">
        <v>173</v>
      </c>
      <c r="S66" s="39"/>
      <c r="T66" s="39"/>
      <c r="U66" s="40"/>
      <c r="V66" s="26"/>
      <c r="W66" s="40">
        <f>IF(NOTA[[#This Row],[HARGA/ CTN]]="",NOTA[[#This Row],[JUMLAH_H]],NOTA[[#This Row],[HARGA/ CTN]]*IF(NOTA[[#This Row],[C]]="",0,NOTA[[#This Row],[C]]))</f>
        <v>4380000</v>
      </c>
      <c r="X66" s="40">
        <f>IF(NOTA[[#This Row],[JUMLAH]]="","",NOTA[[#This Row],[JUMLAH]]*NOTA[[#This Row],[DISC 1]])</f>
        <v>0</v>
      </c>
      <c r="Y66" s="40">
        <f>IF(NOTA[[#This Row],[JUMLAH]]="","",(NOTA[[#This Row],[JUMLAH]]-NOTA[[#This Row],[DISC 1-]])*NOTA[[#This Row],[DISC 2]])</f>
        <v>0</v>
      </c>
      <c r="Z66" s="40">
        <f>IF(NOTA[[#This Row],[JUMLAH]]="","",NOTA[[#This Row],[DISC 1-]]+NOTA[[#This Row],[DISC 2-]])</f>
        <v>0</v>
      </c>
      <c r="AA66" s="40">
        <f>IF(NOTA[[#This Row],[JUMLAH]]="","",NOTA[[#This Row],[JUMLAH]]-NOTA[[#This Row],[DISC]])</f>
        <v>4380000</v>
      </c>
      <c r="AB66" s="40"/>
      <c r="AC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6" s="40">
        <f>IF(OR(NOTA[[#This Row],[QTY]]="",NOTA[[#This Row],[HARGA SATUAN]]="",),"",NOTA[[#This Row],[QTY]]*NOTA[[#This Row],[HARGA SATUAN]])</f>
        <v>4380000</v>
      </c>
      <c r="AG66" s="37">
        <f ca="1">IF(NOTA[ID_H]="","",INDEX(NOTA[TANGGAL],MATCH(,INDIRECT(ADDRESS(ROW(NOTA[TANGGAL]),COLUMN(NOTA[TANGGAL]))&amp;":"&amp;ADDRESS(ROW(),COLUMN(NOTA[TANGGAL]))),-1)))</f>
        <v>45054</v>
      </c>
      <c r="AH66" s="51" t="str">
        <f ca="1">IF(NOTA[[#This Row],[NAMA BARANG]]="","",INDEX(NOTA[SUPPLIER],MATCH(,INDIRECT(ADDRESS(ROW(NOTA[ID]),COLUMN(NOTA[ID]))&amp;":"&amp;ADDRESS(ROW(),COLUMN(NOTA[ID]))),-1)))</f>
        <v>DB STATIONERY</v>
      </c>
      <c r="AI66" s="51" t="str">
        <f ca="1">IF(NOTA[[#This Row],[ID_H]]="","",IF(NOTA[[#This Row],[FAKTUR]]="",INDIRECT(ADDRESS(ROW()-1,COLUMN())),NOTA[[#This Row],[FAKTUR]]))</f>
        <v>UNTANA</v>
      </c>
      <c r="AJ66" s="27" t="str">
        <f ca="1">IF(NOTA[[#This Row],[ID]]="","",COUNTIF(NOTA[ID_H],NOTA[[#This Row],[ID_H]]))</f>
        <v/>
      </c>
      <c r="AK66" s="27">
        <f ca="1">IF(NOTA[[#This Row],[TGL.NOTA]]="",IF(NOTA[[#This Row],[SUPPLIER_H]]="","",AK65),MONTH(NOTA[[#This Row],[TGL.NOTA]]))</f>
        <v>5</v>
      </c>
      <c r="AL66" s="27" t="str">
        <f>LOWER(SUBSTITUTE(SUBSTITUTE(SUBSTITUTE(SUBSTITUTE(SUBSTITUTE(SUBSTITUTE(SUBSTITUTE(SUBSTITUTE(SUBSTITUTE(NOTA[NAMA BARANG]," ",),".",""),"-",""),"(",""),")",""),",",""),"/",""),"""",""),"+",""))</f>
        <v>gelzhixinrefillg3108</v>
      </c>
      <c r="AM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gelzhixinrefillg31082190000</v>
      </c>
      <c r="AN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gelzhixinrefillg31082190000</v>
      </c>
      <c r="AO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27" t="str">
        <f>IF(NOTA[[#This Row],[CONCAT4]]="","",_xlfn.IFNA(MATCH(NOTA[[#This Row],[CONCAT4]],[2]!RAW[CONCAT_H],0),FALSE))</f>
        <v/>
      </c>
      <c r="AQ66" s="145">
        <f>IF(NOTA[[#This Row],[CONCAT1]]="","",MATCH(NOTA[[#This Row],[CONCAT1]],[3]!db[NB NOTA_C],0)+1)</f>
        <v>959</v>
      </c>
    </row>
    <row r="67" spans="1:43" ht="20.100000000000001" customHeight="1" x14ac:dyDescent="0.25">
      <c r="A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6" t="str">
        <f>IF(NOTA[[#This Row],[ID_P]]="","",MATCH(NOTA[[#This Row],[ID_P]],[1]!B_MSK[N_ID],0))</f>
        <v/>
      </c>
      <c r="D67" s="36">
        <f ca="1">IF(NOTA[[#This Row],[NAMA BARANG]]="","",INDEX(NOTA[ID],MATCH(,INDIRECT(ADDRESS(ROW(NOTA[ID]),COLUMN(NOTA[ID]))&amp;":"&amp;ADDRESS(ROW(),COLUMN(NOTA[ID]))),-1)))</f>
        <v>11</v>
      </c>
      <c r="E67" s="14"/>
      <c r="F67" s="16"/>
      <c r="G67" s="16"/>
      <c r="H67" s="20"/>
      <c r="I67" s="16"/>
      <c r="J67" s="37"/>
      <c r="K67" s="16"/>
      <c r="L67" s="16" t="s">
        <v>196</v>
      </c>
      <c r="M67" s="28">
        <v>2</v>
      </c>
      <c r="N67" s="16">
        <v>240</v>
      </c>
      <c r="O67" s="16" t="s">
        <v>125</v>
      </c>
      <c r="P67" s="35">
        <v>18250</v>
      </c>
      <c r="Q67" s="38"/>
      <c r="R67" s="28" t="s">
        <v>173</v>
      </c>
      <c r="S67" s="39"/>
      <c r="T67" s="39"/>
      <c r="U67" s="40"/>
      <c r="V67" s="26"/>
      <c r="W67" s="40">
        <f>IF(NOTA[[#This Row],[HARGA/ CTN]]="",NOTA[[#This Row],[JUMLAH_H]],NOTA[[#This Row],[HARGA/ CTN]]*IF(NOTA[[#This Row],[C]]="",0,NOTA[[#This Row],[C]]))</f>
        <v>4380000</v>
      </c>
      <c r="X67" s="40">
        <f>IF(NOTA[[#This Row],[JUMLAH]]="","",NOTA[[#This Row],[JUMLAH]]*NOTA[[#This Row],[DISC 1]])</f>
        <v>0</v>
      </c>
      <c r="Y67" s="40">
        <f>IF(NOTA[[#This Row],[JUMLAH]]="","",(NOTA[[#This Row],[JUMLAH]]-NOTA[[#This Row],[DISC 1-]])*NOTA[[#This Row],[DISC 2]])</f>
        <v>0</v>
      </c>
      <c r="Z67" s="40">
        <f>IF(NOTA[[#This Row],[JUMLAH]]="","",NOTA[[#This Row],[DISC 1-]]+NOTA[[#This Row],[DISC 2-]])</f>
        <v>0</v>
      </c>
      <c r="AA67" s="40">
        <f>IF(NOTA[[#This Row],[JUMLAH]]="","",NOTA[[#This Row],[JUMLAH]]-NOTA[[#This Row],[DISC]])</f>
        <v>4380000</v>
      </c>
      <c r="AB67" s="40"/>
      <c r="AC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7" s="40">
        <f>IF(OR(NOTA[[#This Row],[QTY]]="",NOTA[[#This Row],[HARGA SATUAN]]="",),"",NOTA[[#This Row],[QTY]]*NOTA[[#This Row],[HARGA SATUAN]])</f>
        <v>4380000</v>
      </c>
      <c r="AG67" s="37">
        <f ca="1">IF(NOTA[ID_H]="","",INDEX(NOTA[TANGGAL],MATCH(,INDIRECT(ADDRESS(ROW(NOTA[TANGGAL]),COLUMN(NOTA[TANGGAL]))&amp;":"&amp;ADDRESS(ROW(),COLUMN(NOTA[TANGGAL]))),-1)))</f>
        <v>45054</v>
      </c>
      <c r="AH67" s="51" t="str">
        <f ca="1">IF(NOTA[[#This Row],[NAMA BARANG]]="","",INDEX(NOTA[SUPPLIER],MATCH(,INDIRECT(ADDRESS(ROW(NOTA[ID]),COLUMN(NOTA[ID]))&amp;":"&amp;ADDRESS(ROW(),COLUMN(NOTA[ID]))),-1)))</f>
        <v>DB STATIONERY</v>
      </c>
      <c r="AI67" s="51" t="str">
        <f ca="1">IF(NOTA[[#This Row],[ID_H]]="","",IF(NOTA[[#This Row],[FAKTUR]]="",INDIRECT(ADDRESS(ROW()-1,COLUMN())),NOTA[[#This Row],[FAKTUR]]))</f>
        <v>UNTANA</v>
      </c>
      <c r="AJ67" s="27" t="str">
        <f ca="1">IF(NOTA[[#This Row],[ID]]="","",COUNTIF(NOTA[ID_H],NOTA[[#This Row],[ID_H]]))</f>
        <v/>
      </c>
      <c r="AK67" s="27">
        <f ca="1">IF(NOTA[[#This Row],[TGL.NOTA]]="",IF(NOTA[[#This Row],[SUPPLIER_H]]="","",AK66),MONTH(NOTA[[#This Row],[TGL.NOTA]]))</f>
        <v>5</v>
      </c>
      <c r="AL67" s="27" t="str">
        <f>LOWER(SUBSTITUTE(SUBSTITUTE(SUBSTITUTE(SUBSTITUTE(SUBSTITUTE(SUBSTITUTE(SUBSTITUTE(SUBSTITUTE(SUBSTITUTE(NOTA[NAMA BARANG]," ",),".",""),"-",""),"(",""),")",""),",",""),"/",""),"""",""),"+",""))</f>
        <v>gelzhixinrefillg3037</v>
      </c>
      <c r="AM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gelzhixinrefillg30372190000</v>
      </c>
      <c r="AN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gelzhixinrefillg30372190000</v>
      </c>
      <c r="AO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27" t="str">
        <f>IF(NOTA[[#This Row],[CONCAT4]]="","",_xlfn.IFNA(MATCH(NOTA[[#This Row],[CONCAT4]],[2]!RAW[CONCAT_H],0),FALSE))</f>
        <v/>
      </c>
      <c r="AQ67" s="145">
        <f>IF(NOTA[[#This Row],[CONCAT1]]="","",MATCH(NOTA[[#This Row],[CONCAT1]],[3]!db[NB NOTA_C],0)+1)</f>
        <v>931</v>
      </c>
    </row>
    <row r="68" spans="1:43" ht="20.100000000000001" customHeight="1" x14ac:dyDescent="0.25">
      <c r="A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6" t="str">
        <f>IF(NOTA[[#This Row],[ID_P]]="","",MATCH(NOTA[[#This Row],[ID_P]],[1]!B_MSK[N_ID],0))</f>
        <v/>
      </c>
      <c r="D68" s="36">
        <f ca="1">IF(NOTA[[#This Row],[NAMA BARANG]]="","",INDEX(NOTA[ID],MATCH(,INDIRECT(ADDRESS(ROW(NOTA[ID]),COLUMN(NOTA[ID]))&amp;":"&amp;ADDRESS(ROW(),COLUMN(NOTA[ID]))),-1)))</f>
        <v>11</v>
      </c>
      <c r="E68" s="14"/>
      <c r="F68" s="16"/>
      <c r="G68" s="16"/>
      <c r="H68" s="20"/>
      <c r="I68" s="16"/>
      <c r="J68" s="37"/>
      <c r="K68" s="16"/>
      <c r="L68" s="16" t="s">
        <v>197</v>
      </c>
      <c r="M68" s="28">
        <v>2</v>
      </c>
      <c r="N68" s="16">
        <v>240</v>
      </c>
      <c r="O68" s="16" t="s">
        <v>125</v>
      </c>
      <c r="P68" s="35">
        <v>18250</v>
      </c>
      <c r="Q68" s="38"/>
      <c r="R68" s="28" t="s">
        <v>173</v>
      </c>
      <c r="S68" s="39"/>
      <c r="T68" s="39"/>
      <c r="U68" s="40"/>
      <c r="V68" s="26"/>
      <c r="W68" s="40">
        <f>IF(NOTA[[#This Row],[HARGA/ CTN]]="",NOTA[[#This Row],[JUMLAH_H]],NOTA[[#This Row],[HARGA/ CTN]]*IF(NOTA[[#This Row],[C]]="",0,NOTA[[#This Row],[C]]))</f>
        <v>4380000</v>
      </c>
      <c r="X68" s="40">
        <f>IF(NOTA[[#This Row],[JUMLAH]]="","",NOTA[[#This Row],[JUMLAH]]*NOTA[[#This Row],[DISC 1]])</f>
        <v>0</v>
      </c>
      <c r="Y68" s="40">
        <f>IF(NOTA[[#This Row],[JUMLAH]]="","",(NOTA[[#This Row],[JUMLAH]]-NOTA[[#This Row],[DISC 1-]])*NOTA[[#This Row],[DISC 2]])</f>
        <v>0</v>
      </c>
      <c r="Z68" s="40">
        <f>IF(NOTA[[#This Row],[JUMLAH]]="","",NOTA[[#This Row],[DISC 1-]]+NOTA[[#This Row],[DISC 2-]])</f>
        <v>0</v>
      </c>
      <c r="AA68" s="40">
        <f>IF(NOTA[[#This Row],[JUMLAH]]="","",NOTA[[#This Row],[JUMLAH]]-NOTA[[#This Row],[DISC]])</f>
        <v>4380000</v>
      </c>
      <c r="AB68" s="40"/>
      <c r="AC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8" s="40">
        <f>IF(OR(NOTA[[#This Row],[QTY]]="",NOTA[[#This Row],[HARGA SATUAN]]="",),"",NOTA[[#This Row],[QTY]]*NOTA[[#This Row],[HARGA SATUAN]])</f>
        <v>4380000</v>
      </c>
      <c r="AG68" s="37">
        <f ca="1">IF(NOTA[ID_H]="","",INDEX(NOTA[TANGGAL],MATCH(,INDIRECT(ADDRESS(ROW(NOTA[TANGGAL]),COLUMN(NOTA[TANGGAL]))&amp;":"&amp;ADDRESS(ROW(),COLUMN(NOTA[TANGGAL]))),-1)))</f>
        <v>45054</v>
      </c>
      <c r="AH68" s="51" t="str">
        <f ca="1">IF(NOTA[[#This Row],[NAMA BARANG]]="","",INDEX(NOTA[SUPPLIER],MATCH(,INDIRECT(ADDRESS(ROW(NOTA[ID]),COLUMN(NOTA[ID]))&amp;":"&amp;ADDRESS(ROW(),COLUMN(NOTA[ID]))),-1)))</f>
        <v>DB STATIONERY</v>
      </c>
      <c r="AI68" s="51" t="str">
        <f ca="1">IF(NOTA[[#This Row],[ID_H]]="","",IF(NOTA[[#This Row],[FAKTUR]]="",INDIRECT(ADDRESS(ROW()-1,COLUMN())),NOTA[[#This Row],[FAKTUR]]))</f>
        <v>UNTANA</v>
      </c>
      <c r="AJ68" s="27" t="str">
        <f ca="1">IF(NOTA[[#This Row],[ID]]="","",COUNTIF(NOTA[ID_H],NOTA[[#This Row],[ID_H]]))</f>
        <v/>
      </c>
      <c r="AK68" s="27">
        <f ca="1">IF(NOTA[[#This Row],[TGL.NOTA]]="",IF(NOTA[[#This Row],[SUPPLIER_H]]="","",AK67),MONTH(NOTA[[#This Row],[TGL.NOTA]]))</f>
        <v>5</v>
      </c>
      <c r="AL68" s="27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27" t="str">
        <f>IF(NOTA[[#This Row],[CONCAT4]]="","",_xlfn.IFNA(MATCH(NOTA[[#This Row],[CONCAT4]],[2]!RAW[CONCAT_H],0),FALSE))</f>
        <v/>
      </c>
      <c r="AQ68" s="145">
        <f>IF(NOTA[[#This Row],[CONCAT1]]="","",MATCH(NOTA[[#This Row],[CONCAT1]],[3]!db[NB NOTA_C],0)+1)</f>
        <v>982</v>
      </c>
    </row>
    <row r="69" spans="1:43" ht="20.100000000000001" customHeight="1" x14ac:dyDescent="0.25">
      <c r="A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6" t="str">
        <f>IF(NOTA[[#This Row],[ID_P]]="","",MATCH(NOTA[[#This Row],[ID_P]],[1]!B_MSK[N_ID],0))</f>
        <v/>
      </c>
      <c r="D69" s="36">
        <f ca="1">IF(NOTA[[#This Row],[NAMA BARANG]]="","",INDEX(NOTA[ID],MATCH(,INDIRECT(ADDRESS(ROW(NOTA[ID]),COLUMN(NOTA[ID]))&amp;":"&amp;ADDRESS(ROW(),COLUMN(NOTA[ID]))),-1)))</f>
        <v>11</v>
      </c>
      <c r="E69" s="14"/>
      <c r="F69" s="16"/>
      <c r="G69" s="16"/>
      <c r="H69" s="20"/>
      <c r="I69" s="16"/>
      <c r="J69" s="37"/>
      <c r="K69" s="16"/>
      <c r="L69" s="16" t="s">
        <v>198</v>
      </c>
      <c r="M69" s="28">
        <v>2</v>
      </c>
      <c r="N69" s="16">
        <v>240</v>
      </c>
      <c r="O69" s="16" t="s">
        <v>125</v>
      </c>
      <c r="P69" s="35">
        <v>18250</v>
      </c>
      <c r="Q69" s="38"/>
      <c r="R69" s="28" t="s">
        <v>173</v>
      </c>
      <c r="S69" s="39"/>
      <c r="T69" s="39"/>
      <c r="U69" s="40"/>
      <c r="V69" s="26"/>
      <c r="W69" s="40">
        <f>IF(NOTA[[#This Row],[HARGA/ CTN]]="",NOTA[[#This Row],[JUMLAH_H]],NOTA[[#This Row],[HARGA/ CTN]]*IF(NOTA[[#This Row],[C]]="",0,NOTA[[#This Row],[C]]))</f>
        <v>4380000</v>
      </c>
      <c r="X69" s="40">
        <f>IF(NOTA[[#This Row],[JUMLAH]]="","",NOTA[[#This Row],[JUMLAH]]*NOTA[[#This Row],[DISC 1]])</f>
        <v>0</v>
      </c>
      <c r="Y69" s="40">
        <f>IF(NOTA[[#This Row],[JUMLAH]]="","",(NOTA[[#This Row],[JUMLAH]]-NOTA[[#This Row],[DISC 1-]])*NOTA[[#This Row],[DISC 2]])</f>
        <v>0</v>
      </c>
      <c r="Z69" s="40">
        <f>IF(NOTA[[#This Row],[JUMLAH]]="","",NOTA[[#This Row],[DISC 1-]]+NOTA[[#This Row],[DISC 2-]])</f>
        <v>0</v>
      </c>
      <c r="AA69" s="40">
        <f>IF(NOTA[[#This Row],[JUMLAH]]="","",NOTA[[#This Row],[JUMLAH]]-NOTA[[#This Row],[DISC]])</f>
        <v>4380000</v>
      </c>
      <c r="AB69" s="40"/>
      <c r="AC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9" s="40">
        <f>IF(OR(NOTA[[#This Row],[QTY]]="",NOTA[[#This Row],[HARGA SATUAN]]="",),"",NOTA[[#This Row],[QTY]]*NOTA[[#This Row],[HARGA SATUAN]])</f>
        <v>4380000</v>
      </c>
      <c r="AG69" s="37">
        <f ca="1">IF(NOTA[ID_H]="","",INDEX(NOTA[TANGGAL],MATCH(,INDIRECT(ADDRESS(ROW(NOTA[TANGGAL]),COLUMN(NOTA[TANGGAL]))&amp;":"&amp;ADDRESS(ROW(),COLUMN(NOTA[TANGGAL]))),-1)))</f>
        <v>45054</v>
      </c>
      <c r="AH69" s="51" t="str">
        <f ca="1">IF(NOTA[[#This Row],[NAMA BARANG]]="","",INDEX(NOTA[SUPPLIER],MATCH(,INDIRECT(ADDRESS(ROW(NOTA[ID]),COLUMN(NOTA[ID]))&amp;":"&amp;ADDRESS(ROW(),COLUMN(NOTA[ID]))),-1)))</f>
        <v>DB STATIONERY</v>
      </c>
      <c r="AI69" s="51" t="str">
        <f ca="1">IF(NOTA[[#This Row],[ID_H]]="","",IF(NOTA[[#This Row],[FAKTUR]]="",INDIRECT(ADDRESS(ROW()-1,COLUMN())),NOTA[[#This Row],[FAKTUR]]))</f>
        <v>UNTANA</v>
      </c>
      <c r="AJ69" s="27" t="str">
        <f ca="1">IF(NOTA[[#This Row],[ID]]="","",COUNTIF(NOTA[ID_H],NOTA[[#This Row],[ID_H]]))</f>
        <v/>
      </c>
      <c r="AK69" s="27">
        <f ca="1">IF(NOTA[[#This Row],[TGL.NOTA]]="",IF(NOTA[[#This Row],[SUPPLIER_H]]="","",AK68),MONTH(NOTA[[#This Row],[TGL.NOTA]]))</f>
        <v>5</v>
      </c>
      <c r="AL69" s="27" t="str">
        <f>LOWER(SUBSTITUTE(SUBSTITUTE(SUBSTITUTE(SUBSTITUTE(SUBSTITUTE(SUBSTITUTE(SUBSTITUTE(SUBSTITUTE(SUBSTITUTE(NOTA[NAMA BARANG]," ",),".",""),"-",""),"(",""),")",""),",",""),"/",""),"""",""),"+",""))</f>
        <v>gelzhixinrefillg3132</v>
      </c>
      <c r="AM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gelzhixinrefillg31322190000</v>
      </c>
      <c r="AN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gelzhixinrefillg31322190000</v>
      </c>
      <c r="AO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27" t="str">
        <f>IF(NOTA[[#This Row],[CONCAT4]]="","",_xlfn.IFNA(MATCH(NOTA[[#This Row],[CONCAT4]],[2]!RAW[CONCAT_H],0),FALSE))</f>
        <v/>
      </c>
      <c r="AQ69" s="145">
        <f>IF(NOTA[[#This Row],[CONCAT1]]="","",MATCH(NOTA[[#This Row],[CONCAT1]],[3]!db[NB NOTA_C],0)+1)</f>
        <v>983</v>
      </c>
    </row>
    <row r="70" spans="1:43" ht="20.100000000000001" customHeight="1" x14ac:dyDescent="0.25">
      <c r="A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6" t="str">
        <f>IF(NOTA[[#This Row],[ID_P]]="","",MATCH(NOTA[[#This Row],[ID_P]],[1]!B_MSK[N_ID],0))</f>
        <v/>
      </c>
      <c r="D70" s="36">
        <f ca="1">IF(NOTA[[#This Row],[NAMA BARANG]]="","",INDEX(NOTA[ID],MATCH(,INDIRECT(ADDRESS(ROW(NOTA[ID]),COLUMN(NOTA[ID]))&amp;":"&amp;ADDRESS(ROW(),COLUMN(NOTA[ID]))),-1)))</f>
        <v>11</v>
      </c>
      <c r="E70" s="14"/>
      <c r="F70" s="16"/>
      <c r="G70" s="16"/>
      <c r="H70" s="20"/>
      <c r="I70" s="16"/>
      <c r="J70" s="37"/>
      <c r="K70" s="16"/>
      <c r="L70" s="16" t="s">
        <v>202</v>
      </c>
      <c r="M70" s="28">
        <v>2</v>
      </c>
      <c r="N70" s="16">
        <v>240</v>
      </c>
      <c r="O70" s="16" t="s">
        <v>125</v>
      </c>
      <c r="P70" s="35">
        <v>18250</v>
      </c>
      <c r="Q70" s="38"/>
      <c r="R70" s="28" t="s">
        <v>173</v>
      </c>
      <c r="S70" s="39"/>
      <c r="T70" s="39"/>
      <c r="U70" s="40"/>
      <c r="V70" s="26"/>
      <c r="W70" s="40">
        <f>IF(NOTA[[#This Row],[HARGA/ CTN]]="",NOTA[[#This Row],[JUMLAH_H]],NOTA[[#This Row],[HARGA/ CTN]]*IF(NOTA[[#This Row],[C]]="",0,NOTA[[#This Row],[C]]))</f>
        <v>4380000</v>
      </c>
      <c r="X70" s="40">
        <f>IF(NOTA[[#This Row],[JUMLAH]]="","",NOTA[[#This Row],[JUMLAH]]*NOTA[[#This Row],[DISC 1]])</f>
        <v>0</v>
      </c>
      <c r="Y70" s="40">
        <f>IF(NOTA[[#This Row],[JUMLAH]]="","",(NOTA[[#This Row],[JUMLAH]]-NOTA[[#This Row],[DISC 1-]])*NOTA[[#This Row],[DISC 2]])</f>
        <v>0</v>
      </c>
      <c r="Z70" s="40">
        <f>IF(NOTA[[#This Row],[JUMLAH]]="","",NOTA[[#This Row],[DISC 1-]]+NOTA[[#This Row],[DISC 2-]])</f>
        <v>0</v>
      </c>
      <c r="AA70" s="40">
        <f>IF(NOTA[[#This Row],[JUMLAH]]="","",NOTA[[#This Row],[JUMLAH]]-NOTA[[#This Row],[DISC]])</f>
        <v>4380000</v>
      </c>
      <c r="AB70" s="40"/>
      <c r="AC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0" s="40">
        <f>IF(OR(NOTA[[#This Row],[QTY]]="",NOTA[[#This Row],[HARGA SATUAN]]="",),"",NOTA[[#This Row],[QTY]]*NOTA[[#This Row],[HARGA SATUAN]])</f>
        <v>4380000</v>
      </c>
      <c r="AG70" s="37">
        <f ca="1">IF(NOTA[ID_H]="","",INDEX(NOTA[TANGGAL],MATCH(,INDIRECT(ADDRESS(ROW(NOTA[TANGGAL]),COLUMN(NOTA[TANGGAL]))&amp;":"&amp;ADDRESS(ROW(),COLUMN(NOTA[TANGGAL]))),-1)))</f>
        <v>45054</v>
      </c>
      <c r="AH70" s="51" t="str">
        <f ca="1">IF(NOTA[[#This Row],[NAMA BARANG]]="","",INDEX(NOTA[SUPPLIER],MATCH(,INDIRECT(ADDRESS(ROW(NOTA[ID]),COLUMN(NOTA[ID]))&amp;":"&amp;ADDRESS(ROW(),COLUMN(NOTA[ID]))),-1)))</f>
        <v>DB STATIONERY</v>
      </c>
      <c r="AI70" s="51" t="str">
        <f ca="1">IF(NOTA[[#This Row],[ID_H]]="","",IF(NOTA[[#This Row],[FAKTUR]]="",INDIRECT(ADDRESS(ROW()-1,COLUMN())),NOTA[[#This Row],[FAKTUR]]))</f>
        <v>UNTANA</v>
      </c>
      <c r="AJ70" s="27" t="str">
        <f ca="1">IF(NOTA[[#This Row],[ID]]="","",COUNTIF(NOTA[ID_H],NOTA[[#This Row],[ID_H]]))</f>
        <v/>
      </c>
      <c r="AK70" s="27">
        <f ca="1">IF(NOTA[[#This Row],[TGL.NOTA]]="",IF(NOTA[[#This Row],[SUPPLIER_H]]="","",AK69),MONTH(NOTA[[#This Row],[TGL.NOTA]]))</f>
        <v>5</v>
      </c>
      <c r="AL70" s="27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27" t="str">
        <f>IF(NOTA[[#This Row],[CONCAT4]]="","",_xlfn.IFNA(MATCH(NOTA[[#This Row],[CONCAT4]],[2]!RAW[CONCAT_H],0),FALSE))</f>
        <v/>
      </c>
      <c r="AQ70" s="145">
        <f>IF(NOTA[[#This Row],[CONCAT1]]="","",MATCH(NOTA[[#This Row],[CONCAT1]],[3]!db[NB NOTA_C],0)+1)</f>
        <v>984</v>
      </c>
    </row>
    <row r="71" spans="1:43" ht="20.100000000000001" customHeight="1" x14ac:dyDescent="0.25">
      <c r="A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6" t="str">
        <f>IF(NOTA[[#This Row],[ID_P]]="","",MATCH(NOTA[[#This Row],[ID_P]],[1]!B_MSK[N_ID],0))</f>
        <v/>
      </c>
      <c r="D71" s="36">
        <f ca="1">IF(NOTA[[#This Row],[NAMA BARANG]]="","",INDEX(NOTA[ID],MATCH(,INDIRECT(ADDRESS(ROW(NOTA[ID]),COLUMN(NOTA[ID]))&amp;":"&amp;ADDRESS(ROW(),COLUMN(NOTA[ID]))),-1)))</f>
        <v>11</v>
      </c>
      <c r="E71" s="113"/>
      <c r="F71" s="16"/>
      <c r="G71" s="16"/>
      <c r="H71" s="14"/>
      <c r="I71" s="16"/>
      <c r="J71" s="37"/>
      <c r="K71" s="16"/>
      <c r="L71" s="16" t="s">
        <v>201</v>
      </c>
      <c r="M71" s="28">
        <v>2</v>
      </c>
      <c r="N71" s="16">
        <v>240</v>
      </c>
      <c r="O71" s="16" t="s">
        <v>125</v>
      </c>
      <c r="P71" s="35">
        <v>18250</v>
      </c>
      <c r="Q71" s="38"/>
      <c r="R71" s="28" t="s">
        <v>173</v>
      </c>
      <c r="S71" s="39"/>
      <c r="T71" s="39"/>
      <c r="U71" s="40"/>
      <c r="V71" s="26"/>
      <c r="W71" s="40">
        <f>IF(NOTA[[#This Row],[HARGA/ CTN]]="",NOTA[[#This Row],[JUMLAH_H]],NOTA[[#This Row],[HARGA/ CTN]]*IF(NOTA[[#This Row],[C]]="",0,NOTA[[#This Row],[C]]))</f>
        <v>4380000</v>
      </c>
      <c r="X71" s="40">
        <f>IF(NOTA[[#This Row],[JUMLAH]]="","",NOTA[[#This Row],[JUMLAH]]*NOTA[[#This Row],[DISC 1]])</f>
        <v>0</v>
      </c>
      <c r="Y71" s="40">
        <f>IF(NOTA[[#This Row],[JUMLAH]]="","",(NOTA[[#This Row],[JUMLAH]]-NOTA[[#This Row],[DISC 1-]])*NOTA[[#This Row],[DISC 2]])</f>
        <v>0</v>
      </c>
      <c r="Z71" s="40">
        <f>IF(NOTA[[#This Row],[JUMLAH]]="","",NOTA[[#This Row],[DISC 1-]]+NOTA[[#This Row],[DISC 2-]])</f>
        <v>0</v>
      </c>
      <c r="AA71" s="40">
        <f>IF(NOTA[[#This Row],[JUMLAH]]="","",NOTA[[#This Row],[JUMLAH]]-NOTA[[#This Row],[DISC]])</f>
        <v>4380000</v>
      </c>
      <c r="AB71" s="40"/>
      <c r="AC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1" s="40">
        <f>IF(OR(NOTA[[#This Row],[QTY]]="",NOTA[[#This Row],[HARGA SATUAN]]="",),"",NOTA[[#This Row],[QTY]]*NOTA[[#This Row],[HARGA SATUAN]])</f>
        <v>4380000</v>
      </c>
      <c r="AG71" s="37">
        <f ca="1">IF(NOTA[ID_H]="","",INDEX(NOTA[TANGGAL],MATCH(,INDIRECT(ADDRESS(ROW(NOTA[TANGGAL]),COLUMN(NOTA[TANGGAL]))&amp;":"&amp;ADDRESS(ROW(),COLUMN(NOTA[TANGGAL]))),-1)))</f>
        <v>45054</v>
      </c>
      <c r="AH71" s="51" t="str">
        <f ca="1">IF(NOTA[[#This Row],[NAMA BARANG]]="","",INDEX(NOTA[SUPPLIER],MATCH(,INDIRECT(ADDRESS(ROW(NOTA[ID]),COLUMN(NOTA[ID]))&amp;":"&amp;ADDRESS(ROW(),COLUMN(NOTA[ID]))),-1)))</f>
        <v>DB STATIONERY</v>
      </c>
      <c r="AI71" s="51" t="str">
        <f ca="1">IF(NOTA[[#This Row],[ID_H]]="","",IF(NOTA[[#This Row],[FAKTUR]]="",INDIRECT(ADDRESS(ROW()-1,COLUMN())),NOTA[[#This Row],[FAKTUR]]))</f>
        <v>UNTANA</v>
      </c>
      <c r="AJ71" s="27" t="str">
        <f ca="1">IF(NOTA[[#This Row],[ID]]="","",COUNTIF(NOTA[ID_H],NOTA[[#This Row],[ID_H]]))</f>
        <v/>
      </c>
      <c r="AK71" s="27">
        <f ca="1">IF(NOTA[[#This Row],[TGL.NOTA]]="",IF(NOTA[[#This Row],[SUPPLIER_H]]="","",AK69),MONTH(NOTA[[#This Row],[TGL.NOTA]]))</f>
        <v>5</v>
      </c>
      <c r="AL71" s="27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27" t="str">
        <f>IF(NOTA[[#This Row],[CONCAT4]]="","",_xlfn.IFNA(MATCH(NOTA[[#This Row],[CONCAT4]],[2]!RAW[CONCAT_H],0),FALSE))</f>
        <v/>
      </c>
      <c r="AQ71" s="145">
        <f>IF(NOTA[[#This Row],[CONCAT1]]="","",MATCH(NOTA[[#This Row],[CONCAT1]],[3]!db[NB NOTA_C],0)+1)</f>
        <v>985</v>
      </c>
    </row>
    <row r="72" spans="1:43" ht="20.100000000000001" customHeight="1" x14ac:dyDescent="0.25">
      <c r="A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6" t="str">
        <f>IF(NOTA[[#This Row],[ID_P]]="","",MATCH(NOTA[[#This Row],[ID_P]],[1]!B_MSK[N_ID],0))</f>
        <v/>
      </c>
      <c r="D72" s="36">
        <f ca="1">IF(NOTA[[#This Row],[NAMA BARANG]]="","",INDEX(NOTA[ID],MATCH(,INDIRECT(ADDRESS(ROW(NOTA[ID]),COLUMN(NOTA[ID]))&amp;":"&amp;ADDRESS(ROW(),COLUMN(NOTA[ID]))),-1)))</f>
        <v>11</v>
      </c>
      <c r="E72" s="14"/>
      <c r="F72" s="16"/>
      <c r="G72" s="16"/>
      <c r="H72" s="20"/>
      <c r="I72" s="16"/>
      <c r="J72" s="37"/>
      <c r="K72" s="16"/>
      <c r="L72" s="16" t="s">
        <v>200</v>
      </c>
      <c r="M72" s="28">
        <v>2</v>
      </c>
      <c r="N72" s="16">
        <v>240</v>
      </c>
      <c r="O72" s="16" t="s">
        <v>125</v>
      </c>
      <c r="P72" s="35">
        <v>18250</v>
      </c>
      <c r="Q72" s="38"/>
      <c r="R72" s="28" t="s">
        <v>173</v>
      </c>
      <c r="S72" s="39"/>
      <c r="T72" s="39"/>
      <c r="U72" s="40"/>
      <c r="V72" s="26"/>
      <c r="W72" s="40">
        <f>IF(NOTA[[#This Row],[HARGA/ CTN]]="",NOTA[[#This Row],[JUMLAH_H]],NOTA[[#This Row],[HARGA/ CTN]]*IF(NOTA[[#This Row],[C]]="",0,NOTA[[#This Row],[C]]))</f>
        <v>4380000</v>
      </c>
      <c r="X72" s="40">
        <f>IF(NOTA[[#This Row],[JUMLAH]]="","",NOTA[[#This Row],[JUMLAH]]*NOTA[[#This Row],[DISC 1]])</f>
        <v>0</v>
      </c>
      <c r="Y72" s="40">
        <f>IF(NOTA[[#This Row],[JUMLAH]]="","",(NOTA[[#This Row],[JUMLAH]]-NOTA[[#This Row],[DISC 1-]])*NOTA[[#This Row],[DISC 2]])</f>
        <v>0</v>
      </c>
      <c r="Z72" s="40">
        <f>IF(NOTA[[#This Row],[JUMLAH]]="","",NOTA[[#This Row],[DISC 1-]]+NOTA[[#This Row],[DISC 2-]])</f>
        <v>0</v>
      </c>
      <c r="AA72" s="40">
        <f>IF(NOTA[[#This Row],[JUMLAH]]="","",NOTA[[#This Row],[JUMLAH]]-NOTA[[#This Row],[DISC]])</f>
        <v>4380000</v>
      </c>
      <c r="AB72" s="40"/>
      <c r="AC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" s="40">
        <f>IF(OR(NOTA[[#This Row],[QTY]]="",NOTA[[#This Row],[HARGA SATUAN]]="",),"",NOTA[[#This Row],[QTY]]*NOTA[[#This Row],[HARGA SATUAN]])</f>
        <v>4380000</v>
      </c>
      <c r="AG72" s="37">
        <f ca="1">IF(NOTA[ID_H]="","",INDEX(NOTA[TANGGAL],MATCH(,INDIRECT(ADDRESS(ROW(NOTA[TANGGAL]),COLUMN(NOTA[TANGGAL]))&amp;":"&amp;ADDRESS(ROW(),COLUMN(NOTA[TANGGAL]))),-1)))</f>
        <v>45054</v>
      </c>
      <c r="AH72" s="51" t="str">
        <f ca="1">IF(NOTA[[#This Row],[NAMA BARANG]]="","",INDEX(NOTA[SUPPLIER],MATCH(,INDIRECT(ADDRESS(ROW(NOTA[ID]),COLUMN(NOTA[ID]))&amp;":"&amp;ADDRESS(ROW(),COLUMN(NOTA[ID]))),-1)))</f>
        <v>DB STATIONERY</v>
      </c>
      <c r="AI72" s="51" t="str">
        <f ca="1">IF(NOTA[[#This Row],[ID_H]]="","",IF(NOTA[[#This Row],[FAKTUR]]="",INDIRECT(ADDRESS(ROW()-1,COLUMN())),NOTA[[#This Row],[FAKTUR]]))</f>
        <v>UNTANA</v>
      </c>
      <c r="AJ72" s="27" t="str">
        <f ca="1">IF(NOTA[[#This Row],[ID]]="","",COUNTIF(NOTA[ID_H],NOTA[[#This Row],[ID_H]]))</f>
        <v/>
      </c>
      <c r="AK72" s="27">
        <f ca="1">IF(NOTA[[#This Row],[TGL.NOTA]]="",IF(NOTA[[#This Row],[SUPPLIER_H]]="","",AK71),MONTH(NOTA[[#This Row],[TGL.NOTA]]))</f>
        <v>5</v>
      </c>
      <c r="AL72" s="27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" s="27" t="str">
        <f>IF(NOTA[[#This Row],[CONCAT4]]="","",_xlfn.IFNA(MATCH(NOTA[[#This Row],[CONCAT4]],[2]!RAW[CONCAT_H],0),FALSE))</f>
        <v/>
      </c>
      <c r="AQ72" s="145">
        <f>IF(NOTA[[#This Row],[CONCAT1]]="","",MATCH(NOTA[[#This Row],[CONCAT1]],[3]!db[NB NOTA_C],0)+1)</f>
        <v>986</v>
      </c>
    </row>
    <row r="73" spans="1:43" ht="20.100000000000001" customHeight="1" x14ac:dyDescent="0.25">
      <c r="A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6" t="str">
        <f>IF(NOTA[[#This Row],[ID_P]]="","",MATCH(NOTA[[#This Row],[ID_P]],[1]!B_MSK[N_ID],0))</f>
        <v/>
      </c>
      <c r="D73" s="36">
        <f ca="1">IF(NOTA[[#This Row],[NAMA BARANG]]="","",INDEX(NOTA[ID],MATCH(,INDIRECT(ADDRESS(ROW(NOTA[ID]),COLUMN(NOTA[ID]))&amp;":"&amp;ADDRESS(ROW(),COLUMN(NOTA[ID]))),-1)))</f>
        <v>11</v>
      </c>
      <c r="E73" s="55"/>
      <c r="F73" s="16"/>
      <c r="G73" s="16"/>
      <c r="H73" s="20"/>
      <c r="I73" s="16"/>
      <c r="J73" s="56"/>
      <c r="K73" s="16"/>
      <c r="L73" s="16" t="s">
        <v>199</v>
      </c>
      <c r="M73" s="28">
        <v>1</v>
      </c>
      <c r="N73" s="16">
        <v>120</v>
      </c>
      <c r="O73" s="16" t="s">
        <v>125</v>
      </c>
      <c r="P73" s="35">
        <v>18250</v>
      </c>
      <c r="Q73" s="60"/>
      <c r="R73" s="28" t="s">
        <v>173</v>
      </c>
      <c r="S73" s="61"/>
      <c r="T73" s="61"/>
      <c r="U73" s="62"/>
      <c r="V73" s="26"/>
      <c r="W73" s="40">
        <f>IF(NOTA[[#This Row],[HARGA/ CTN]]="",NOTA[[#This Row],[JUMLAH_H]],NOTA[[#This Row],[HARGA/ CTN]]*IF(NOTA[[#This Row],[C]]="",0,NOTA[[#This Row],[C]]))</f>
        <v>2190000</v>
      </c>
      <c r="X73" s="40">
        <f>IF(NOTA[[#This Row],[JUMLAH]]="","",NOTA[[#This Row],[JUMLAH]]*NOTA[[#This Row],[DISC 1]])</f>
        <v>0</v>
      </c>
      <c r="Y73" s="40">
        <f>IF(NOTA[[#This Row],[JUMLAH]]="","",(NOTA[[#This Row],[JUMLAH]]-NOTA[[#This Row],[DISC 1-]])*NOTA[[#This Row],[DISC 2]])</f>
        <v>0</v>
      </c>
      <c r="Z73" s="40">
        <f>IF(NOTA[[#This Row],[JUMLAH]]="","",NOTA[[#This Row],[DISC 1-]]+NOTA[[#This Row],[DISC 2-]])</f>
        <v>0</v>
      </c>
      <c r="AA73" s="40">
        <f>IF(NOTA[[#This Row],[JUMLAH]]="","",NOTA[[#This Row],[JUMLAH]]-NOTA[[#This Row],[DISC]])</f>
        <v>2190000</v>
      </c>
      <c r="AB73" s="40"/>
      <c r="AC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3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" s="40">
        <f>IF(OR(NOTA[[#This Row],[QTY]]="",NOTA[[#This Row],[HARGA SATUAN]]="",),"",NOTA[[#This Row],[QTY]]*NOTA[[#This Row],[HARGA SATUAN]])</f>
        <v>2190000</v>
      </c>
      <c r="AG73" s="37">
        <f ca="1">IF(NOTA[ID_H]="","",INDEX(NOTA[TANGGAL],MATCH(,INDIRECT(ADDRESS(ROW(NOTA[TANGGAL]),COLUMN(NOTA[TANGGAL]))&amp;":"&amp;ADDRESS(ROW(),COLUMN(NOTA[TANGGAL]))),-1)))</f>
        <v>45054</v>
      </c>
      <c r="AH73" s="51" t="str">
        <f ca="1">IF(NOTA[[#This Row],[NAMA BARANG]]="","",INDEX(NOTA[SUPPLIER],MATCH(,INDIRECT(ADDRESS(ROW(NOTA[ID]),COLUMN(NOTA[ID]))&amp;":"&amp;ADDRESS(ROW(),COLUMN(NOTA[ID]))),-1)))</f>
        <v>DB STATIONERY</v>
      </c>
      <c r="AI73" s="51" t="str">
        <f ca="1">IF(NOTA[[#This Row],[ID_H]]="","",IF(NOTA[[#This Row],[FAKTUR]]="",INDIRECT(ADDRESS(ROW()-1,COLUMN())),NOTA[[#This Row],[FAKTUR]]))</f>
        <v>UNTANA</v>
      </c>
      <c r="AJ73" s="27" t="str">
        <f ca="1">IF(NOTA[[#This Row],[ID]]="","",COUNTIF(NOTA[ID_H],NOTA[[#This Row],[ID_H]]))</f>
        <v/>
      </c>
      <c r="AK73" s="27">
        <f ca="1">IF(NOTA[[#This Row],[TGL.NOTA]]="",IF(NOTA[[#This Row],[SUPPLIER_H]]="","",AK72),MONTH(NOTA[[#This Row],[TGL.NOTA]]))</f>
        <v>5</v>
      </c>
      <c r="AL73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27" t="str">
        <f>IF(NOTA[[#This Row],[CONCAT4]]="","",_xlfn.IFNA(MATCH(NOTA[[#This Row],[CONCAT4]],[2]!RAW[CONCAT_H],0),FALSE))</f>
        <v/>
      </c>
      <c r="AQ73" s="145" t="e">
        <f>IF(NOTA[[#This Row],[CONCAT1]]="","",MATCH(NOTA[[#This Row],[CONCAT1]],[3]!db[NB NOTA_C],0)+1)</f>
        <v>#N/A</v>
      </c>
    </row>
    <row r="74" spans="1:43" ht="20.100000000000001" customHeight="1" x14ac:dyDescent="0.25">
      <c r="A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6" t="str">
        <f>IF(NOTA[[#This Row],[ID_P]]="","",MATCH(NOTA[[#This Row],[ID_P]],[1]!B_MSK[N_ID],0))</f>
        <v/>
      </c>
      <c r="D74" s="36">
        <f ca="1">IF(NOTA[[#This Row],[NAMA BARANG]]="","",INDEX(NOTA[ID],MATCH(,INDIRECT(ADDRESS(ROW(NOTA[ID]),COLUMN(NOTA[ID]))&amp;":"&amp;ADDRESS(ROW(),COLUMN(NOTA[ID]))),-1)))</f>
        <v>11</v>
      </c>
      <c r="E74" s="55"/>
      <c r="F74" s="16"/>
      <c r="G74" s="16"/>
      <c r="H74" s="20"/>
      <c r="I74" s="57"/>
      <c r="J74" s="56"/>
      <c r="K74" s="16"/>
      <c r="L74" s="16" t="s">
        <v>199</v>
      </c>
      <c r="M74" s="28">
        <v>1</v>
      </c>
      <c r="N74" s="16">
        <v>120</v>
      </c>
      <c r="O74" s="16" t="s">
        <v>125</v>
      </c>
      <c r="P74" s="35">
        <v>0</v>
      </c>
      <c r="Q74" s="60"/>
      <c r="R74" s="28" t="s">
        <v>173</v>
      </c>
      <c r="S74" s="61"/>
      <c r="T74" s="61"/>
      <c r="U74" s="62"/>
      <c r="V74" s="26"/>
      <c r="W74" s="40">
        <f>IF(NOTA[[#This Row],[HARGA/ CTN]]="",NOTA[[#This Row],[JUMLAH_H]],NOTA[[#This Row],[HARGA/ CTN]]*IF(NOTA[[#This Row],[C]]="",0,NOTA[[#This Row],[C]]))</f>
        <v>0</v>
      </c>
      <c r="X74" s="40">
        <f>IF(NOTA[[#This Row],[JUMLAH]]="","",NOTA[[#This Row],[JUMLAH]]*NOTA[[#This Row],[DISC 1]])</f>
        <v>0</v>
      </c>
      <c r="Y74" s="40">
        <f>IF(NOTA[[#This Row],[JUMLAH]]="","",(NOTA[[#This Row],[JUMLAH]]-NOTA[[#This Row],[DISC 1-]])*NOTA[[#This Row],[DISC 2]])</f>
        <v>0</v>
      </c>
      <c r="Z74" s="40">
        <f>IF(NOTA[[#This Row],[JUMLAH]]="","",NOTA[[#This Row],[DISC 1-]]+NOTA[[#This Row],[DISC 2-]])</f>
        <v>0</v>
      </c>
      <c r="AA74" s="40">
        <f>IF(NOTA[[#This Row],[JUMLAH]]="","",NOTA[[#This Row],[JUMLAH]]-NOTA[[#This Row],[DISC]])</f>
        <v>0</v>
      </c>
      <c r="AB74" s="40"/>
      <c r="AC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" s="40">
        <f>IF(OR(NOTA[[#This Row],[QTY]]="",NOTA[[#This Row],[HARGA SATUAN]]="",),"",NOTA[[#This Row],[QTY]]*NOTA[[#This Row],[HARGA SATUAN]])</f>
        <v>0</v>
      </c>
      <c r="AG74" s="37">
        <f ca="1">IF(NOTA[ID_H]="","",INDEX(NOTA[TANGGAL],MATCH(,INDIRECT(ADDRESS(ROW(NOTA[TANGGAL]),COLUMN(NOTA[TANGGAL]))&amp;":"&amp;ADDRESS(ROW(),COLUMN(NOTA[TANGGAL]))),-1)))</f>
        <v>45054</v>
      </c>
      <c r="AH74" s="51" t="str">
        <f ca="1">IF(NOTA[[#This Row],[NAMA BARANG]]="","",INDEX(NOTA[SUPPLIER],MATCH(,INDIRECT(ADDRESS(ROW(NOTA[ID]),COLUMN(NOTA[ID]))&amp;":"&amp;ADDRESS(ROW(),COLUMN(NOTA[ID]))),-1)))</f>
        <v>DB STATIONERY</v>
      </c>
      <c r="AI74" s="51" t="str">
        <f ca="1">IF(NOTA[[#This Row],[ID_H]]="","",IF(NOTA[[#This Row],[FAKTUR]]="",INDIRECT(ADDRESS(ROW()-1,COLUMN())),NOTA[[#This Row],[FAKTUR]]))</f>
        <v>UNTANA</v>
      </c>
      <c r="AJ74" s="27" t="str">
        <f ca="1">IF(NOTA[[#This Row],[ID]]="","",COUNTIF(NOTA[ID_H],NOTA[[#This Row],[ID_H]]))</f>
        <v/>
      </c>
      <c r="AK74" s="27">
        <f ca="1">IF(NOTA[[#This Row],[TGL.NOTA]]="",IF(NOTA[[#This Row],[SUPPLIER_H]]="","",AK73),MONTH(NOTA[[#This Row],[TGL.NOTA]]))</f>
        <v>5</v>
      </c>
      <c r="AL74" s="27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27" t="str">
        <f>IF(NOTA[[#This Row],[CONCAT4]]="","",_xlfn.IFNA(MATCH(NOTA[[#This Row],[CONCAT4]],[2]!RAW[CONCAT_H],0),FALSE))</f>
        <v/>
      </c>
      <c r="AQ74" s="145" t="e">
        <f>IF(NOTA[[#This Row],[CONCAT1]]="","",MATCH(NOTA[[#This Row],[CONCAT1]],[3]!db[NB NOTA_C],0)+1)</f>
        <v>#N/A</v>
      </c>
    </row>
    <row r="75" spans="1:43" ht="20.100000000000001" customHeight="1" x14ac:dyDescent="0.25">
      <c r="A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6" t="str">
        <f>IF(NOTA[[#This Row],[ID_P]]="","",MATCH(NOTA[[#This Row],[ID_P]],[1]!B_MSK[N_ID],0))</f>
        <v/>
      </c>
      <c r="D75" s="36" t="str">
        <f ca="1">IF(NOTA[[#This Row],[NAMA BARANG]]="","",INDEX(NOTA[ID],MATCH(,INDIRECT(ADDRESS(ROW(NOTA[ID]),COLUMN(NOTA[ID]))&amp;":"&amp;ADDRESS(ROW(),COLUMN(NOTA[ID]))),-1)))</f>
        <v/>
      </c>
      <c r="E75" s="55"/>
      <c r="F75" s="16"/>
      <c r="G75" s="16"/>
      <c r="H75" s="20"/>
      <c r="I75" s="57"/>
      <c r="J75" s="56"/>
      <c r="K75" s="16"/>
      <c r="L75" s="16"/>
      <c r="M75" s="28"/>
      <c r="N75" s="16"/>
      <c r="O75" s="16"/>
      <c r="P75" s="35"/>
      <c r="Q75" s="60"/>
      <c r="R75" s="28"/>
      <c r="S75" s="61"/>
      <c r="T75" s="61"/>
      <c r="U75" s="62"/>
      <c r="V75" s="26"/>
      <c r="W75" s="40" t="str">
        <f>IF(NOTA[[#This Row],[HARGA/ CTN]]="",NOTA[[#This Row],[JUMLAH_H]],NOTA[[#This Row],[HARGA/ CTN]]*IF(NOTA[[#This Row],[C]]="",0,NOTA[[#This Row],[C]]))</f>
        <v/>
      </c>
      <c r="X75" s="40" t="str">
        <f>IF(NOTA[[#This Row],[JUMLAH]]="","",NOTA[[#This Row],[JUMLAH]]*NOTA[[#This Row],[DISC 1]])</f>
        <v/>
      </c>
      <c r="Y75" s="40" t="str">
        <f>IF(NOTA[[#This Row],[JUMLAH]]="","",(NOTA[[#This Row],[JUMLAH]]-NOTA[[#This Row],[DISC 1-]])*NOTA[[#This Row],[DISC 2]])</f>
        <v/>
      </c>
      <c r="Z75" s="40" t="str">
        <f>IF(NOTA[[#This Row],[JUMLAH]]="","",NOTA[[#This Row],[DISC 1-]]+NOTA[[#This Row],[DISC 2-]])</f>
        <v/>
      </c>
      <c r="AA75" s="40" t="str">
        <f>IF(NOTA[[#This Row],[JUMLAH]]="","",NOTA[[#This Row],[JUMLAH]]-NOTA[[#This Row],[DISC]])</f>
        <v/>
      </c>
      <c r="AB75" s="40"/>
      <c r="AC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40" t="str">
        <f>IF(OR(NOTA[[#This Row],[QTY]]="",NOTA[[#This Row],[HARGA SATUAN]]="",),"",NOTA[[#This Row],[QTY]]*NOTA[[#This Row],[HARGA SATUAN]])</f>
        <v/>
      </c>
      <c r="AG75" s="37" t="str">
        <f ca="1">IF(NOTA[ID_H]="","",INDEX(NOTA[TANGGAL],MATCH(,INDIRECT(ADDRESS(ROW(NOTA[TANGGAL]),COLUMN(NOTA[TANGGAL]))&amp;":"&amp;ADDRESS(ROW(),COLUMN(NOTA[TANGGAL]))),-1)))</f>
        <v/>
      </c>
      <c r="AH75" s="51" t="str">
        <f ca="1">IF(NOTA[[#This Row],[NAMA BARANG]]="","",INDEX(NOTA[SUPPLIER],MATCH(,INDIRECT(ADDRESS(ROW(NOTA[ID]),COLUMN(NOTA[ID]))&amp;":"&amp;ADDRESS(ROW(),COLUMN(NOTA[ID]))),-1)))</f>
        <v/>
      </c>
      <c r="AI75" s="51" t="str">
        <f ca="1">IF(NOTA[[#This Row],[ID_H]]="","",IF(NOTA[[#This Row],[FAKTUR]]="",INDIRECT(ADDRESS(ROW()-1,COLUMN())),NOTA[[#This Row],[FAKTUR]]))</f>
        <v/>
      </c>
      <c r="AJ75" s="27" t="str">
        <f ca="1">IF(NOTA[[#This Row],[ID]]="","",COUNTIF(NOTA[ID_H],NOTA[[#This Row],[ID_H]]))</f>
        <v/>
      </c>
      <c r="AK75" s="27" t="str">
        <f ca="1">IF(NOTA[[#This Row],[TGL.NOTA]]="",IF(NOTA[[#This Row],[SUPPLIER_H]]="","",AK74),MONTH(NOTA[[#This Row],[TGL.NOTA]]))</f>
        <v/>
      </c>
      <c r="AL75" s="27" t="str">
        <f>LOWER(SUBSTITUTE(SUBSTITUTE(SUBSTITUTE(SUBSTITUTE(SUBSTITUTE(SUBSTITUTE(SUBSTITUTE(SUBSTITUTE(SUBSTITUTE(NOTA[NAMA BARANG]," ",),".",""),"-",""),"(",""),")",""),",",""),"/",""),"""",""),"+",""))</f>
        <v/>
      </c>
      <c r="AM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" s="27" t="str">
        <f>IF(NOTA[[#This Row],[CONCAT4]]="","",_xlfn.IFNA(MATCH(NOTA[[#This Row],[CONCAT4]],[2]!RAW[CONCAT_H],0),FALSE))</f>
        <v/>
      </c>
      <c r="AQ75" s="145" t="str">
        <f>IF(NOTA[[#This Row],[CONCAT1]]="","",MATCH(NOTA[[#This Row],[CONCAT1]],[3]!db[NB NOTA_C],0)+1)</f>
        <v/>
      </c>
    </row>
    <row r="76" spans="1:43" ht="20.100000000000001" customHeight="1" x14ac:dyDescent="0.25">
      <c r="A76" s="35">
        <f ca="1">IF(INDIRECT(ADDRESS(ROW()-1,COLUMN(NOTA[[#Headers],[ID]])))="ID",1,IF(NOTA[[#This Row],[FAKTUR]]="","",COUNT(INDIRECT(ADDRESS(ROW(NOTA[ID]),COLUMN(NOTA[ID]))&amp;":"&amp;ADDRESS(ROW()-1,COLUMN(NOTA[ID]))))+1))</f>
        <v>12</v>
      </c>
      <c r="B7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DBS_0805_923-10</v>
      </c>
      <c r="C76" s="36" t="e">
        <f ca="1">IF(NOTA[[#This Row],[ID_P]]="","",MATCH(NOTA[[#This Row],[ID_P]],[1]!B_MSK[N_ID],0))</f>
        <v>#REF!</v>
      </c>
      <c r="D76" s="36">
        <f ca="1">IF(NOTA[[#This Row],[NAMA BARANG]]="","",INDEX(NOTA[ID],MATCH(,INDIRECT(ADDRESS(ROW(NOTA[ID]),COLUMN(NOTA[ID]))&amp;":"&amp;ADDRESS(ROW(),COLUMN(NOTA[ID]))),-1)))</f>
        <v>12</v>
      </c>
      <c r="E76" s="55"/>
      <c r="F76" s="16" t="s">
        <v>168</v>
      </c>
      <c r="G76" s="16" t="s">
        <v>112</v>
      </c>
      <c r="H76" s="20" t="s">
        <v>203</v>
      </c>
      <c r="I76" s="16"/>
      <c r="J76" s="56">
        <v>45051</v>
      </c>
      <c r="K76" s="16"/>
      <c r="L76" s="16" t="s">
        <v>205</v>
      </c>
      <c r="M76" s="28">
        <v>3</v>
      </c>
      <c r="N76" s="16">
        <v>432</v>
      </c>
      <c r="O76" s="16" t="s">
        <v>125</v>
      </c>
      <c r="P76" s="35">
        <v>18250</v>
      </c>
      <c r="Q76" s="60"/>
      <c r="R76" s="28" t="s">
        <v>171</v>
      </c>
      <c r="S76" s="61"/>
      <c r="T76" s="61"/>
      <c r="U76" s="62"/>
      <c r="V76" s="26"/>
      <c r="W76" s="40">
        <f>IF(NOTA[[#This Row],[HARGA/ CTN]]="",NOTA[[#This Row],[JUMLAH_H]],NOTA[[#This Row],[HARGA/ CTN]]*IF(NOTA[[#This Row],[C]]="",0,NOTA[[#This Row],[C]]))</f>
        <v>7884000</v>
      </c>
      <c r="X76" s="40">
        <f>IF(NOTA[[#This Row],[JUMLAH]]="","",NOTA[[#This Row],[JUMLAH]]*NOTA[[#This Row],[DISC 1]])</f>
        <v>0</v>
      </c>
      <c r="Y76" s="40">
        <f>IF(NOTA[[#This Row],[JUMLAH]]="","",(NOTA[[#This Row],[JUMLAH]]-NOTA[[#This Row],[DISC 1-]])*NOTA[[#This Row],[DISC 2]])</f>
        <v>0</v>
      </c>
      <c r="Z76" s="40">
        <f>IF(NOTA[[#This Row],[JUMLAH]]="","",NOTA[[#This Row],[DISC 1-]]+NOTA[[#This Row],[DISC 2-]])</f>
        <v>0</v>
      </c>
      <c r="AA76" s="40">
        <f>IF(NOTA[[#This Row],[JUMLAH]]="","",NOTA[[#This Row],[JUMLAH]]-NOTA[[#This Row],[DISC]])</f>
        <v>7884000</v>
      </c>
      <c r="AB76" s="40"/>
      <c r="AC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6" s="40">
        <f>IF(OR(NOTA[[#This Row],[QTY]]="",NOTA[[#This Row],[HARGA SATUAN]]="",),"",NOTA[[#This Row],[QTY]]*NOTA[[#This Row],[HARGA SATUAN]])</f>
        <v>7884000</v>
      </c>
      <c r="AG76" s="37">
        <f ca="1">IF(NOTA[ID_H]="","",INDEX(NOTA[TANGGAL],MATCH(,INDIRECT(ADDRESS(ROW(NOTA[TANGGAL]),COLUMN(NOTA[TANGGAL]))&amp;":"&amp;ADDRESS(ROW(),COLUMN(NOTA[TANGGAL]))),-1)))</f>
        <v>45054</v>
      </c>
      <c r="AH76" s="51" t="str">
        <f ca="1">IF(NOTA[[#This Row],[NAMA BARANG]]="","",INDEX(NOTA[SUPPLIER],MATCH(,INDIRECT(ADDRESS(ROW(NOTA[ID]),COLUMN(NOTA[ID]))&amp;":"&amp;ADDRESS(ROW(),COLUMN(NOTA[ID]))),-1)))</f>
        <v>DB STATIONERY</v>
      </c>
      <c r="AI76" s="51" t="str">
        <f ca="1">IF(NOTA[[#This Row],[ID_H]]="","",IF(NOTA[[#This Row],[FAKTUR]]="",INDIRECT(ADDRESS(ROW()-1,COLUMN())),NOTA[[#This Row],[FAKTUR]]))</f>
        <v>UNTANA</v>
      </c>
      <c r="AJ76" s="27">
        <f ca="1">IF(NOTA[[#This Row],[ID]]="","",COUNTIF(NOTA[ID_H],NOTA[[#This Row],[ID_H]]))</f>
        <v>10</v>
      </c>
      <c r="AK76" s="27">
        <f>IF(NOTA[[#This Row],[TGL.NOTA]]="",IF(NOTA[[#This Row],[SUPPLIER_H]]="","",AK75),MONTH(NOTA[[#This Row],[TGL.NOTA]]))</f>
        <v>5</v>
      </c>
      <c r="AL76" s="27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76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STATIONERYUNTANAJUE119/2345051geltizofancytg31037e</v>
      </c>
      <c r="AP76" s="27" t="e">
        <f>IF(NOTA[[#This Row],[CONCAT4]]="","",_xlfn.IFNA(MATCH(NOTA[[#This Row],[CONCAT4]],[2]!RAW[CONCAT_H],0),FALSE))</f>
        <v>#REF!</v>
      </c>
      <c r="AQ76" s="145">
        <f>IF(NOTA[[#This Row],[CONCAT1]]="","",MATCH(NOTA[[#This Row],[CONCAT1]],[3]!db[NB NOTA_C],0)+1)</f>
        <v>881</v>
      </c>
    </row>
    <row r="77" spans="1:43" ht="20.100000000000001" customHeight="1" x14ac:dyDescent="0.25">
      <c r="A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6" t="str">
        <f>IF(NOTA[[#This Row],[ID_P]]="","",MATCH(NOTA[[#This Row],[ID_P]],[1]!B_MSK[N_ID],0))</f>
        <v/>
      </c>
      <c r="D77" s="36">
        <f ca="1">IF(NOTA[[#This Row],[NAMA BARANG]]="","",INDEX(NOTA[ID],MATCH(,INDIRECT(ADDRESS(ROW(NOTA[ID]),COLUMN(NOTA[ID]))&amp;":"&amp;ADDRESS(ROW(),COLUMN(NOTA[ID]))),-1)))</f>
        <v>12</v>
      </c>
      <c r="E77" s="55"/>
      <c r="F77" s="16"/>
      <c r="G77" s="16"/>
      <c r="H77" s="20"/>
      <c r="I77" s="16"/>
      <c r="J77" s="56"/>
      <c r="K77" s="16"/>
      <c r="L77" s="16" t="s">
        <v>204</v>
      </c>
      <c r="M77" s="28">
        <v>2</v>
      </c>
      <c r="N77" s="16">
        <v>288</v>
      </c>
      <c r="O77" s="16" t="s">
        <v>125</v>
      </c>
      <c r="P77" s="35">
        <v>18250</v>
      </c>
      <c r="Q77" s="60"/>
      <c r="R77" s="28" t="s">
        <v>171</v>
      </c>
      <c r="S77" s="61"/>
      <c r="T77" s="61"/>
      <c r="U77" s="62"/>
      <c r="V77" s="26"/>
      <c r="W77" s="40">
        <f>IF(NOTA[[#This Row],[HARGA/ CTN]]="",NOTA[[#This Row],[JUMLAH_H]],NOTA[[#This Row],[HARGA/ CTN]]*IF(NOTA[[#This Row],[C]]="",0,NOTA[[#This Row],[C]]))</f>
        <v>5256000</v>
      </c>
      <c r="X77" s="40">
        <f>IF(NOTA[[#This Row],[JUMLAH]]="","",NOTA[[#This Row],[JUMLAH]]*NOTA[[#This Row],[DISC 1]])</f>
        <v>0</v>
      </c>
      <c r="Y77" s="40">
        <f>IF(NOTA[[#This Row],[JUMLAH]]="","",(NOTA[[#This Row],[JUMLAH]]-NOTA[[#This Row],[DISC 1-]])*NOTA[[#This Row],[DISC 2]])</f>
        <v>0</v>
      </c>
      <c r="Z77" s="40">
        <f>IF(NOTA[[#This Row],[JUMLAH]]="","",NOTA[[#This Row],[DISC 1-]]+NOTA[[#This Row],[DISC 2-]])</f>
        <v>0</v>
      </c>
      <c r="AA77" s="40">
        <f>IF(NOTA[[#This Row],[JUMLAH]]="","",NOTA[[#This Row],[JUMLAH]]-NOTA[[#This Row],[DISC]])</f>
        <v>5256000</v>
      </c>
      <c r="AB77" s="40"/>
      <c r="AC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7" s="40">
        <f>IF(OR(NOTA[[#This Row],[QTY]]="",NOTA[[#This Row],[HARGA SATUAN]]="",),"",NOTA[[#This Row],[QTY]]*NOTA[[#This Row],[HARGA SATUAN]])</f>
        <v>5256000</v>
      </c>
      <c r="AG77" s="37">
        <f ca="1">IF(NOTA[ID_H]="","",INDEX(NOTA[TANGGAL],MATCH(,INDIRECT(ADDRESS(ROW(NOTA[TANGGAL]),COLUMN(NOTA[TANGGAL]))&amp;":"&amp;ADDRESS(ROW(),COLUMN(NOTA[TANGGAL]))),-1)))</f>
        <v>45054</v>
      </c>
      <c r="AH77" s="51" t="str">
        <f ca="1">IF(NOTA[[#This Row],[NAMA BARANG]]="","",INDEX(NOTA[SUPPLIER],MATCH(,INDIRECT(ADDRESS(ROW(NOTA[ID]),COLUMN(NOTA[ID]))&amp;":"&amp;ADDRESS(ROW(),COLUMN(NOTA[ID]))),-1)))</f>
        <v>DB STATIONERY</v>
      </c>
      <c r="AI77" s="51" t="str">
        <f ca="1">IF(NOTA[[#This Row],[ID_H]]="","",IF(NOTA[[#This Row],[FAKTUR]]="",INDIRECT(ADDRESS(ROW()-1,COLUMN())),NOTA[[#This Row],[FAKTUR]]))</f>
        <v>UNTANA</v>
      </c>
      <c r="AJ77" s="27" t="str">
        <f ca="1">IF(NOTA[[#This Row],[ID]]="","",COUNTIF(NOTA[ID_H],NOTA[[#This Row],[ID_H]]))</f>
        <v/>
      </c>
      <c r="AK77" s="27">
        <f ca="1">IF(NOTA[[#This Row],[TGL.NOTA]]="",IF(NOTA[[#This Row],[SUPPLIER_H]]="","",AK76),MONTH(NOTA[[#This Row],[TGL.NOTA]]))</f>
        <v>5</v>
      </c>
      <c r="AL77" s="27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27" t="str">
        <f>IF(NOTA[[#This Row],[CONCAT4]]="","",_xlfn.IFNA(MATCH(NOTA[[#This Row],[CONCAT4]],[2]!RAW[CONCAT_H],0),FALSE))</f>
        <v/>
      </c>
      <c r="AQ77" s="145">
        <f>IF(NOTA[[#This Row],[CONCAT1]]="","",MATCH(NOTA[[#This Row],[CONCAT1]],[3]!db[NB NOTA_C],0)+1)</f>
        <v>902</v>
      </c>
    </row>
    <row r="78" spans="1:43" ht="20.100000000000001" customHeight="1" x14ac:dyDescent="0.25">
      <c r="A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6" t="str">
        <f>IF(NOTA[[#This Row],[ID_P]]="","",MATCH(NOTA[[#This Row],[ID_P]],[1]!B_MSK[N_ID],0))</f>
        <v/>
      </c>
      <c r="D78" s="36">
        <f ca="1">IF(NOTA[[#This Row],[NAMA BARANG]]="","",INDEX(NOTA[ID],MATCH(,INDIRECT(ADDRESS(ROW(NOTA[ID]),COLUMN(NOTA[ID]))&amp;":"&amp;ADDRESS(ROW(),COLUMN(NOTA[ID]))),-1)))</f>
        <v>12</v>
      </c>
      <c r="E78" s="55"/>
      <c r="F78" s="16"/>
      <c r="G78" s="16"/>
      <c r="H78" s="20"/>
      <c r="I78" s="16"/>
      <c r="J78" s="56"/>
      <c r="K78" s="16"/>
      <c r="L78" s="16" t="s">
        <v>206</v>
      </c>
      <c r="M78" s="28">
        <v>2</v>
      </c>
      <c r="N78" s="16">
        <v>288</v>
      </c>
      <c r="O78" s="16" t="s">
        <v>125</v>
      </c>
      <c r="P78" s="35">
        <v>18250</v>
      </c>
      <c r="Q78" s="60"/>
      <c r="R78" s="28" t="s">
        <v>171</v>
      </c>
      <c r="S78" s="61"/>
      <c r="T78" s="61"/>
      <c r="U78" s="62"/>
      <c r="V78" s="26"/>
      <c r="W78" s="40">
        <f>IF(NOTA[[#This Row],[HARGA/ CTN]]="",NOTA[[#This Row],[JUMLAH_H]],NOTA[[#This Row],[HARGA/ CTN]]*IF(NOTA[[#This Row],[C]]="",0,NOTA[[#This Row],[C]]))</f>
        <v>5256000</v>
      </c>
      <c r="X78" s="40">
        <f>IF(NOTA[[#This Row],[JUMLAH]]="","",NOTA[[#This Row],[JUMLAH]]*NOTA[[#This Row],[DISC 1]])</f>
        <v>0</v>
      </c>
      <c r="Y78" s="40">
        <f>IF(NOTA[[#This Row],[JUMLAH]]="","",(NOTA[[#This Row],[JUMLAH]]-NOTA[[#This Row],[DISC 1-]])*NOTA[[#This Row],[DISC 2]])</f>
        <v>0</v>
      </c>
      <c r="Z78" s="40">
        <f>IF(NOTA[[#This Row],[JUMLAH]]="","",NOTA[[#This Row],[DISC 1-]]+NOTA[[#This Row],[DISC 2-]])</f>
        <v>0</v>
      </c>
      <c r="AA78" s="40">
        <f>IF(NOTA[[#This Row],[JUMLAH]]="","",NOTA[[#This Row],[JUMLAH]]-NOTA[[#This Row],[DISC]])</f>
        <v>5256000</v>
      </c>
      <c r="AB78" s="40"/>
      <c r="AC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8" s="40">
        <f>IF(OR(NOTA[[#This Row],[QTY]]="",NOTA[[#This Row],[HARGA SATUAN]]="",),"",NOTA[[#This Row],[QTY]]*NOTA[[#This Row],[HARGA SATUAN]])</f>
        <v>5256000</v>
      </c>
      <c r="AG78" s="37">
        <f ca="1">IF(NOTA[ID_H]="","",INDEX(NOTA[TANGGAL],MATCH(,INDIRECT(ADDRESS(ROW(NOTA[TANGGAL]),COLUMN(NOTA[TANGGAL]))&amp;":"&amp;ADDRESS(ROW(),COLUMN(NOTA[TANGGAL]))),-1)))</f>
        <v>45054</v>
      </c>
      <c r="AH78" s="51" t="str">
        <f ca="1">IF(NOTA[[#This Row],[NAMA BARANG]]="","",INDEX(NOTA[SUPPLIER],MATCH(,INDIRECT(ADDRESS(ROW(NOTA[ID]),COLUMN(NOTA[ID]))&amp;":"&amp;ADDRESS(ROW(),COLUMN(NOTA[ID]))),-1)))</f>
        <v>DB STATIONERY</v>
      </c>
      <c r="AI78" s="51" t="str">
        <f ca="1">IF(NOTA[[#This Row],[ID_H]]="","",IF(NOTA[[#This Row],[FAKTUR]]="",INDIRECT(ADDRESS(ROW()-1,COLUMN())),NOTA[[#This Row],[FAKTUR]]))</f>
        <v>UNTANA</v>
      </c>
      <c r="AJ78" s="27" t="str">
        <f ca="1">IF(NOTA[[#This Row],[ID]]="","",COUNTIF(NOTA[ID_H],NOTA[[#This Row],[ID_H]]))</f>
        <v/>
      </c>
      <c r="AK78" s="27">
        <f ca="1">IF(NOTA[[#This Row],[TGL.NOTA]]="",IF(NOTA[[#This Row],[SUPPLIER_H]]="","",AK77),MONTH(NOTA[[#This Row],[TGL.NOTA]]))</f>
        <v>5</v>
      </c>
      <c r="AL78" s="27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27" t="str">
        <f>IF(NOTA[[#This Row],[CONCAT4]]="","",_xlfn.IFNA(MATCH(NOTA[[#This Row],[CONCAT4]],[2]!RAW[CONCAT_H],0),FALSE))</f>
        <v/>
      </c>
      <c r="AQ78" s="145">
        <f>IF(NOTA[[#This Row],[CONCAT1]]="","",MATCH(NOTA[[#This Row],[CONCAT1]],[3]!db[NB NOTA_C],0)+1)</f>
        <v>904</v>
      </c>
    </row>
    <row r="79" spans="1:43" ht="20.100000000000001" customHeight="1" x14ac:dyDescent="0.25">
      <c r="A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6" t="str">
        <f>IF(NOTA[[#This Row],[ID_P]]="","",MATCH(NOTA[[#This Row],[ID_P]],[1]!B_MSK[N_ID],0))</f>
        <v/>
      </c>
      <c r="D79" s="36">
        <f ca="1">IF(NOTA[[#This Row],[NAMA BARANG]]="","",INDEX(NOTA[ID],MATCH(,INDIRECT(ADDRESS(ROW(NOTA[ID]),COLUMN(NOTA[ID]))&amp;":"&amp;ADDRESS(ROW(),COLUMN(NOTA[ID]))),-1)))</f>
        <v>12</v>
      </c>
      <c r="E79" s="55"/>
      <c r="F79" s="57"/>
      <c r="G79" s="57"/>
      <c r="H79" s="63"/>
      <c r="I79" s="57"/>
      <c r="J79" s="56"/>
      <c r="K79" s="16"/>
      <c r="L79" s="16" t="s">
        <v>207</v>
      </c>
      <c r="M79" s="28">
        <v>2</v>
      </c>
      <c r="N79" s="16">
        <v>288</v>
      </c>
      <c r="O79" s="16" t="s">
        <v>125</v>
      </c>
      <c r="P79" s="35">
        <v>18250</v>
      </c>
      <c r="Q79" s="60"/>
      <c r="R79" s="28" t="s">
        <v>171</v>
      </c>
      <c r="S79" s="61"/>
      <c r="T79" s="61"/>
      <c r="U79" s="62"/>
      <c r="V79" s="26"/>
      <c r="W79" s="40">
        <f>IF(NOTA[[#This Row],[HARGA/ CTN]]="",NOTA[[#This Row],[JUMLAH_H]],NOTA[[#This Row],[HARGA/ CTN]]*IF(NOTA[[#This Row],[C]]="",0,NOTA[[#This Row],[C]]))</f>
        <v>5256000</v>
      </c>
      <c r="X79" s="40">
        <f>IF(NOTA[[#This Row],[JUMLAH]]="","",NOTA[[#This Row],[JUMLAH]]*NOTA[[#This Row],[DISC 1]])</f>
        <v>0</v>
      </c>
      <c r="Y79" s="40">
        <f>IF(NOTA[[#This Row],[JUMLAH]]="","",(NOTA[[#This Row],[JUMLAH]]-NOTA[[#This Row],[DISC 1-]])*NOTA[[#This Row],[DISC 2]])</f>
        <v>0</v>
      </c>
      <c r="Z79" s="40">
        <f>IF(NOTA[[#This Row],[JUMLAH]]="","",NOTA[[#This Row],[DISC 1-]]+NOTA[[#This Row],[DISC 2-]])</f>
        <v>0</v>
      </c>
      <c r="AA79" s="40">
        <f>IF(NOTA[[#This Row],[JUMLAH]]="","",NOTA[[#This Row],[JUMLAH]]-NOTA[[#This Row],[DISC]])</f>
        <v>5256000</v>
      </c>
      <c r="AB79" s="40"/>
      <c r="AC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9" s="40">
        <f>IF(OR(NOTA[[#This Row],[QTY]]="",NOTA[[#This Row],[HARGA SATUAN]]="",),"",NOTA[[#This Row],[QTY]]*NOTA[[#This Row],[HARGA SATUAN]])</f>
        <v>5256000</v>
      </c>
      <c r="AG79" s="37">
        <f ca="1">IF(NOTA[ID_H]="","",INDEX(NOTA[TANGGAL],MATCH(,INDIRECT(ADDRESS(ROW(NOTA[TANGGAL]),COLUMN(NOTA[TANGGAL]))&amp;":"&amp;ADDRESS(ROW(),COLUMN(NOTA[TANGGAL]))),-1)))</f>
        <v>45054</v>
      </c>
      <c r="AH79" s="51" t="str">
        <f ca="1">IF(NOTA[[#This Row],[NAMA BARANG]]="","",INDEX(NOTA[SUPPLIER],MATCH(,INDIRECT(ADDRESS(ROW(NOTA[ID]),COLUMN(NOTA[ID]))&amp;":"&amp;ADDRESS(ROW(),COLUMN(NOTA[ID]))),-1)))</f>
        <v>DB STATIONERY</v>
      </c>
      <c r="AI79" s="51" t="str">
        <f ca="1">IF(NOTA[[#This Row],[ID_H]]="","",IF(NOTA[[#This Row],[FAKTUR]]="",INDIRECT(ADDRESS(ROW()-1,COLUMN())),NOTA[[#This Row],[FAKTUR]]))</f>
        <v>UNTANA</v>
      </c>
      <c r="AJ79" s="27" t="str">
        <f ca="1">IF(NOTA[[#This Row],[ID]]="","",COUNTIF(NOTA[ID_H],NOTA[[#This Row],[ID_H]]))</f>
        <v/>
      </c>
      <c r="AK79" s="27">
        <f ca="1">IF(NOTA[[#This Row],[TGL.NOTA]]="",IF(NOTA[[#This Row],[SUPPLIER_H]]="","",AK78),MONTH(NOTA[[#This Row],[TGL.NOTA]]))</f>
        <v>5</v>
      </c>
      <c r="AL79" s="27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27" t="str">
        <f>IF(NOTA[[#This Row],[CONCAT4]]="","",_xlfn.IFNA(MATCH(NOTA[[#This Row],[CONCAT4]],[2]!RAW[CONCAT_H],0),FALSE))</f>
        <v/>
      </c>
      <c r="AQ79" s="145">
        <f>IF(NOTA[[#This Row],[CONCAT1]]="","",MATCH(NOTA[[#This Row],[CONCAT1]],[3]!db[NB NOTA_C],0)+1)</f>
        <v>896</v>
      </c>
    </row>
    <row r="80" spans="1:43" ht="20.100000000000001" customHeight="1" x14ac:dyDescent="0.25">
      <c r="A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6" t="str">
        <f>IF(NOTA[[#This Row],[ID_P]]="","",MATCH(NOTA[[#This Row],[ID_P]],[1]!B_MSK[N_ID],0))</f>
        <v/>
      </c>
      <c r="D80" s="36">
        <f ca="1">IF(NOTA[[#This Row],[NAMA BARANG]]="","",INDEX(NOTA[ID],MATCH(,INDIRECT(ADDRESS(ROW(NOTA[ID]),COLUMN(NOTA[ID]))&amp;":"&amp;ADDRESS(ROW(),COLUMN(NOTA[ID]))),-1)))</f>
        <v>12</v>
      </c>
      <c r="E80" s="55"/>
      <c r="F80" s="16"/>
      <c r="G80" s="16"/>
      <c r="H80" s="20"/>
      <c r="I80" s="16"/>
      <c r="J80" s="56"/>
      <c r="L80" s="16" t="s">
        <v>208</v>
      </c>
      <c r="M80" s="28">
        <v>2</v>
      </c>
      <c r="N80" s="16">
        <v>288</v>
      </c>
      <c r="O80" s="16" t="s">
        <v>125</v>
      </c>
      <c r="P80" s="35">
        <v>18250</v>
      </c>
      <c r="Q80" s="60"/>
      <c r="R80" s="28" t="s">
        <v>171</v>
      </c>
      <c r="S80" s="61"/>
      <c r="T80" s="61"/>
      <c r="U80" s="62"/>
      <c r="V80" s="26"/>
      <c r="W80" s="40">
        <f>IF(NOTA[[#This Row],[HARGA/ CTN]]="",NOTA[[#This Row],[JUMLAH_H]],NOTA[[#This Row],[HARGA/ CTN]]*IF(NOTA[[#This Row],[C]]="",0,NOTA[[#This Row],[C]]))</f>
        <v>5256000</v>
      </c>
      <c r="X80" s="40">
        <f>IF(NOTA[[#This Row],[JUMLAH]]="","",NOTA[[#This Row],[JUMLAH]]*NOTA[[#This Row],[DISC 1]])</f>
        <v>0</v>
      </c>
      <c r="Y80" s="40">
        <f>IF(NOTA[[#This Row],[JUMLAH]]="","",(NOTA[[#This Row],[JUMLAH]]-NOTA[[#This Row],[DISC 1-]])*NOTA[[#This Row],[DISC 2]])</f>
        <v>0</v>
      </c>
      <c r="Z80" s="40">
        <f>IF(NOTA[[#This Row],[JUMLAH]]="","",NOTA[[#This Row],[DISC 1-]]+NOTA[[#This Row],[DISC 2-]])</f>
        <v>0</v>
      </c>
      <c r="AA80" s="40">
        <f>IF(NOTA[[#This Row],[JUMLAH]]="","",NOTA[[#This Row],[JUMLAH]]-NOTA[[#This Row],[DISC]])</f>
        <v>5256000</v>
      </c>
      <c r="AB80" s="40"/>
      <c r="AC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0" s="40">
        <f>IF(OR(NOTA[[#This Row],[QTY]]="",NOTA[[#This Row],[HARGA SATUAN]]="",),"",NOTA[[#This Row],[QTY]]*NOTA[[#This Row],[HARGA SATUAN]])</f>
        <v>5256000</v>
      </c>
      <c r="AG80" s="37">
        <f ca="1">IF(NOTA[ID_H]="","",INDEX(NOTA[TANGGAL],MATCH(,INDIRECT(ADDRESS(ROW(NOTA[TANGGAL]),COLUMN(NOTA[TANGGAL]))&amp;":"&amp;ADDRESS(ROW(),COLUMN(NOTA[TANGGAL]))),-1)))</f>
        <v>45054</v>
      </c>
      <c r="AH80" s="51" t="str">
        <f ca="1">IF(NOTA[[#This Row],[NAMA BARANG]]="","",INDEX(NOTA[SUPPLIER],MATCH(,INDIRECT(ADDRESS(ROW(NOTA[ID]),COLUMN(NOTA[ID]))&amp;":"&amp;ADDRESS(ROW(),COLUMN(NOTA[ID]))),-1)))</f>
        <v>DB STATIONERY</v>
      </c>
      <c r="AI80" s="51" t="str">
        <f ca="1">IF(NOTA[[#This Row],[ID_H]]="","",IF(NOTA[[#This Row],[FAKTUR]]="",INDIRECT(ADDRESS(ROW()-1,COLUMN())),NOTA[[#This Row],[FAKTUR]]))</f>
        <v>UNTANA</v>
      </c>
      <c r="AJ80" s="27" t="str">
        <f ca="1">IF(NOTA[[#This Row],[ID]]="","",COUNTIF(NOTA[ID_H],NOTA[[#This Row],[ID_H]]))</f>
        <v/>
      </c>
      <c r="AK80" s="27">
        <f ca="1">IF(NOTA[[#This Row],[TGL.NOTA]]="",IF(NOTA[[#This Row],[SUPPLIER_H]]="","",AK79),MONTH(NOTA[[#This Row],[TGL.NOTA]]))</f>
        <v>5</v>
      </c>
      <c r="AL80" s="27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" s="27" t="str">
        <f>IF(NOTA[[#This Row],[CONCAT4]]="","",_xlfn.IFNA(MATCH(NOTA[[#This Row],[CONCAT4]],[2]!RAW[CONCAT_H],0),FALSE))</f>
        <v/>
      </c>
      <c r="AQ80" s="145">
        <f>IF(NOTA[[#This Row],[CONCAT1]]="","",MATCH(NOTA[[#This Row],[CONCAT1]],[3]!db[NB NOTA_C],0)+1)</f>
        <v>865</v>
      </c>
    </row>
    <row r="81" spans="1:43" ht="20.100000000000001" customHeight="1" x14ac:dyDescent="0.25">
      <c r="A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6" t="str">
        <f>IF(NOTA[[#This Row],[ID_P]]="","",MATCH(NOTA[[#This Row],[ID_P]],[1]!B_MSK[N_ID],0))</f>
        <v/>
      </c>
      <c r="D81" s="36">
        <f ca="1">IF(NOTA[[#This Row],[NAMA BARANG]]="","",INDEX(NOTA[ID],MATCH(,INDIRECT(ADDRESS(ROW(NOTA[ID]),COLUMN(NOTA[ID]))&amp;":"&amp;ADDRESS(ROW(),COLUMN(NOTA[ID]))),-1)))</f>
        <v>12</v>
      </c>
      <c r="E81" s="55"/>
      <c r="F81" s="16"/>
      <c r="G81" s="16"/>
      <c r="H81" s="20"/>
      <c r="I81" s="16"/>
      <c r="J81" s="56"/>
      <c r="K81" s="16"/>
      <c r="L81" s="16" t="s">
        <v>209</v>
      </c>
      <c r="M81" s="28">
        <v>1</v>
      </c>
      <c r="N81" s="16">
        <v>144</v>
      </c>
      <c r="O81" s="16" t="s">
        <v>125</v>
      </c>
      <c r="P81" s="35">
        <v>18250</v>
      </c>
      <c r="Q81" s="60"/>
      <c r="R81" s="28" t="s">
        <v>171</v>
      </c>
      <c r="S81" s="61"/>
      <c r="T81" s="61"/>
      <c r="U81" s="62"/>
      <c r="V81" s="26"/>
      <c r="W81" s="40">
        <f>IF(NOTA[[#This Row],[HARGA/ CTN]]="",NOTA[[#This Row],[JUMLAH_H]],NOTA[[#This Row],[HARGA/ CTN]]*IF(NOTA[[#This Row],[C]]="",0,NOTA[[#This Row],[C]]))</f>
        <v>2628000</v>
      </c>
      <c r="X81" s="40">
        <f>IF(NOTA[[#This Row],[JUMLAH]]="","",NOTA[[#This Row],[JUMLAH]]*NOTA[[#This Row],[DISC 1]])</f>
        <v>0</v>
      </c>
      <c r="Y81" s="40">
        <f>IF(NOTA[[#This Row],[JUMLAH]]="","",(NOTA[[#This Row],[JUMLAH]]-NOTA[[#This Row],[DISC 1-]])*NOTA[[#This Row],[DISC 2]])</f>
        <v>0</v>
      </c>
      <c r="Z81" s="40">
        <f>IF(NOTA[[#This Row],[JUMLAH]]="","",NOTA[[#This Row],[DISC 1-]]+NOTA[[#This Row],[DISC 2-]])</f>
        <v>0</v>
      </c>
      <c r="AA81" s="40">
        <f>IF(NOTA[[#This Row],[JUMLAH]]="","",NOTA[[#This Row],[JUMLAH]]-NOTA[[#This Row],[DISC]])</f>
        <v>2628000</v>
      </c>
      <c r="AB81" s="40"/>
      <c r="AC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1" s="40">
        <f>IF(OR(NOTA[[#This Row],[QTY]]="",NOTA[[#This Row],[HARGA SATUAN]]="",),"",NOTA[[#This Row],[QTY]]*NOTA[[#This Row],[HARGA SATUAN]])</f>
        <v>2628000</v>
      </c>
      <c r="AG81" s="37">
        <f ca="1">IF(NOTA[ID_H]="","",INDEX(NOTA[TANGGAL],MATCH(,INDIRECT(ADDRESS(ROW(NOTA[TANGGAL]),COLUMN(NOTA[TANGGAL]))&amp;":"&amp;ADDRESS(ROW(),COLUMN(NOTA[TANGGAL]))),-1)))</f>
        <v>45054</v>
      </c>
      <c r="AH81" s="51" t="str">
        <f ca="1">IF(NOTA[[#This Row],[NAMA BARANG]]="","",INDEX(NOTA[SUPPLIER],MATCH(,INDIRECT(ADDRESS(ROW(NOTA[ID]),COLUMN(NOTA[ID]))&amp;":"&amp;ADDRESS(ROW(),COLUMN(NOTA[ID]))),-1)))</f>
        <v>DB STATIONERY</v>
      </c>
      <c r="AI81" s="51" t="str">
        <f ca="1">IF(NOTA[[#This Row],[ID_H]]="","",IF(NOTA[[#This Row],[FAKTUR]]="",INDIRECT(ADDRESS(ROW()-1,COLUMN())),NOTA[[#This Row],[FAKTUR]]))</f>
        <v>UNTANA</v>
      </c>
      <c r="AJ81" s="27" t="str">
        <f ca="1">IF(NOTA[[#This Row],[ID]]="","",COUNTIF(NOTA[ID_H],NOTA[[#This Row],[ID_H]]))</f>
        <v/>
      </c>
      <c r="AK81" s="27">
        <f ca="1">IF(NOTA[[#This Row],[TGL.NOTA]]="",IF(NOTA[[#This Row],[SUPPLIER_H]]="","",AK80),MONTH(NOTA[[#This Row],[TGL.NOTA]]))</f>
        <v>5</v>
      </c>
      <c r="AL81" s="27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27" t="str">
        <f>IF(NOTA[[#This Row],[CONCAT4]]="","",_xlfn.IFNA(MATCH(NOTA[[#This Row],[CONCAT4]],[2]!RAW[CONCAT_H],0),FALSE))</f>
        <v/>
      </c>
      <c r="AQ81" s="145">
        <f>IF(NOTA[[#This Row],[CONCAT1]]="","",MATCH(NOTA[[#This Row],[CONCAT1]],[3]!db[NB NOTA_C],0)+1)</f>
        <v>899</v>
      </c>
    </row>
    <row r="82" spans="1:43" ht="20.100000000000001" customHeight="1" x14ac:dyDescent="0.25">
      <c r="A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6" t="str">
        <f>IF(NOTA[[#This Row],[ID_P]]="","",MATCH(NOTA[[#This Row],[ID_P]],[1]!B_MSK[N_ID],0))</f>
        <v/>
      </c>
      <c r="D82" s="36">
        <f ca="1">IF(NOTA[[#This Row],[NAMA BARANG]]="","",INDEX(NOTA[ID],MATCH(,INDIRECT(ADDRESS(ROW(NOTA[ID]),COLUMN(NOTA[ID]))&amp;":"&amp;ADDRESS(ROW(),COLUMN(NOTA[ID]))),-1)))</f>
        <v>12</v>
      </c>
      <c r="E82" s="55"/>
      <c r="F82" s="16"/>
      <c r="G82" s="16"/>
      <c r="H82" s="20"/>
      <c r="I82" s="16"/>
      <c r="J82" s="56"/>
      <c r="K82" s="16"/>
      <c r="L82" s="16" t="s">
        <v>210</v>
      </c>
      <c r="M82" s="28">
        <v>1</v>
      </c>
      <c r="N82" s="16">
        <v>144</v>
      </c>
      <c r="O82" s="16" t="s">
        <v>125</v>
      </c>
      <c r="P82" s="35">
        <v>18250</v>
      </c>
      <c r="Q82" s="60"/>
      <c r="R82" s="28" t="s">
        <v>171</v>
      </c>
      <c r="S82" s="61"/>
      <c r="T82" s="61"/>
      <c r="U82" s="62"/>
      <c r="V82" s="26"/>
      <c r="W82" s="40">
        <f>IF(NOTA[[#This Row],[HARGA/ CTN]]="",NOTA[[#This Row],[JUMLAH_H]],NOTA[[#This Row],[HARGA/ CTN]]*IF(NOTA[[#This Row],[C]]="",0,NOTA[[#This Row],[C]]))</f>
        <v>2628000</v>
      </c>
      <c r="X82" s="40">
        <f>IF(NOTA[[#This Row],[JUMLAH]]="","",NOTA[[#This Row],[JUMLAH]]*NOTA[[#This Row],[DISC 1]])</f>
        <v>0</v>
      </c>
      <c r="Y82" s="40">
        <f>IF(NOTA[[#This Row],[JUMLAH]]="","",(NOTA[[#This Row],[JUMLAH]]-NOTA[[#This Row],[DISC 1-]])*NOTA[[#This Row],[DISC 2]])</f>
        <v>0</v>
      </c>
      <c r="Z82" s="40">
        <f>IF(NOTA[[#This Row],[JUMLAH]]="","",NOTA[[#This Row],[DISC 1-]]+NOTA[[#This Row],[DISC 2-]])</f>
        <v>0</v>
      </c>
      <c r="AA82" s="40">
        <f>IF(NOTA[[#This Row],[JUMLAH]]="","",NOTA[[#This Row],[JUMLAH]]-NOTA[[#This Row],[DISC]])</f>
        <v>2628000</v>
      </c>
      <c r="AB82" s="40"/>
      <c r="AC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2" s="40">
        <f>IF(OR(NOTA[[#This Row],[QTY]]="",NOTA[[#This Row],[HARGA SATUAN]]="",),"",NOTA[[#This Row],[QTY]]*NOTA[[#This Row],[HARGA SATUAN]])</f>
        <v>2628000</v>
      </c>
      <c r="AG82" s="37">
        <f ca="1">IF(NOTA[ID_H]="","",INDEX(NOTA[TANGGAL],MATCH(,INDIRECT(ADDRESS(ROW(NOTA[TANGGAL]),COLUMN(NOTA[TANGGAL]))&amp;":"&amp;ADDRESS(ROW(),COLUMN(NOTA[TANGGAL]))),-1)))</f>
        <v>45054</v>
      </c>
      <c r="AH82" s="51" t="str">
        <f ca="1">IF(NOTA[[#This Row],[NAMA BARANG]]="","",INDEX(NOTA[SUPPLIER],MATCH(,INDIRECT(ADDRESS(ROW(NOTA[ID]),COLUMN(NOTA[ID]))&amp;":"&amp;ADDRESS(ROW(),COLUMN(NOTA[ID]))),-1)))</f>
        <v>DB STATIONERY</v>
      </c>
      <c r="AI82" s="51" t="str">
        <f ca="1">IF(NOTA[[#This Row],[ID_H]]="","",IF(NOTA[[#This Row],[FAKTUR]]="",INDIRECT(ADDRESS(ROW()-1,COLUMN())),NOTA[[#This Row],[FAKTUR]]))</f>
        <v>UNTANA</v>
      </c>
      <c r="AJ82" s="27" t="str">
        <f ca="1">IF(NOTA[[#This Row],[ID]]="","",COUNTIF(NOTA[ID_H],NOTA[[#This Row],[ID_H]]))</f>
        <v/>
      </c>
      <c r="AK82" s="27">
        <f ca="1">IF(NOTA[[#This Row],[TGL.NOTA]]="",IF(NOTA[[#This Row],[SUPPLIER_H]]="","",AK81),MONTH(NOTA[[#This Row],[TGL.NOTA]]))</f>
        <v>5</v>
      </c>
      <c r="AL82" s="27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27" t="str">
        <f>IF(NOTA[[#This Row],[CONCAT4]]="","",_xlfn.IFNA(MATCH(NOTA[[#This Row],[CONCAT4]],[2]!RAW[CONCAT_H],0),FALSE))</f>
        <v/>
      </c>
      <c r="AQ82" s="145">
        <f>IF(NOTA[[#This Row],[CONCAT1]]="","",MATCH(NOTA[[#This Row],[CONCAT1]],[3]!db[NB NOTA_C],0)+1)</f>
        <v>906</v>
      </c>
    </row>
    <row r="83" spans="1:43" ht="20.100000000000001" customHeight="1" x14ac:dyDescent="0.25">
      <c r="A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6" t="str">
        <f>IF(NOTA[[#This Row],[ID_P]]="","",MATCH(NOTA[[#This Row],[ID_P]],[1]!B_MSK[N_ID],0))</f>
        <v/>
      </c>
      <c r="D83" s="36">
        <f ca="1">IF(NOTA[[#This Row],[NAMA BARANG]]="","",INDEX(NOTA[ID],MATCH(,INDIRECT(ADDRESS(ROW(NOTA[ID]),COLUMN(NOTA[ID]))&amp;":"&amp;ADDRESS(ROW(),COLUMN(NOTA[ID]))),-1)))</f>
        <v>12</v>
      </c>
      <c r="E83" s="55"/>
      <c r="F83" s="16"/>
      <c r="G83" s="16"/>
      <c r="H83" s="20"/>
      <c r="I83" s="57"/>
      <c r="J83" s="56"/>
      <c r="K83" s="16"/>
      <c r="L83" s="16" t="s">
        <v>211</v>
      </c>
      <c r="M83" s="28">
        <v>1</v>
      </c>
      <c r="N83" s="16">
        <v>144</v>
      </c>
      <c r="O83" s="16" t="s">
        <v>125</v>
      </c>
      <c r="P83" s="35">
        <v>18250</v>
      </c>
      <c r="Q83" s="60"/>
      <c r="R83" s="28" t="s">
        <v>171</v>
      </c>
      <c r="S83" s="61"/>
      <c r="T83" s="61"/>
      <c r="U83" s="62"/>
      <c r="V83" s="26"/>
      <c r="W83" s="40">
        <f>IF(NOTA[[#This Row],[HARGA/ CTN]]="",NOTA[[#This Row],[JUMLAH_H]],NOTA[[#This Row],[HARGA/ CTN]]*IF(NOTA[[#This Row],[C]]="",0,NOTA[[#This Row],[C]]))</f>
        <v>2628000</v>
      </c>
      <c r="X83" s="40">
        <f>IF(NOTA[[#This Row],[JUMLAH]]="","",NOTA[[#This Row],[JUMLAH]]*NOTA[[#This Row],[DISC 1]])</f>
        <v>0</v>
      </c>
      <c r="Y83" s="40">
        <f>IF(NOTA[[#This Row],[JUMLAH]]="","",(NOTA[[#This Row],[JUMLAH]]-NOTA[[#This Row],[DISC 1-]])*NOTA[[#This Row],[DISC 2]])</f>
        <v>0</v>
      </c>
      <c r="Z83" s="40">
        <f>IF(NOTA[[#This Row],[JUMLAH]]="","",NOTA[[#This Row],[DISC 1-]]+NOTA[[#This Row],[DISC 2-]])</f>
        <v>0</v>
      </c>
      <c r="AA83" s="40">
        <f>IF(NOTA[[#This Row],[JUMLAH]]="","",NOTA[[#This Row],[JUMLAH]]-NOTA[[#This Row],[DISC]])</f>
        <v>2628000</v>
      </c>
      <c r="AB83" s="40"/>
      <c r="AC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3" s="40">
        <f>IF(OR(NOTA[[#This Row],[QTY]]="",NOTA[[#This Row],[HARGA SATUAN]]="",),"",NOTA[[#This Row],[QTY]]*NOTA[[#This Row],[HARGA SATUAN]])</f>
        <v>2628000</v>
      </c>
      <c r="AG83" s="37">
        <f ca="1">IF(NOTA[ID_H]="","",INDEX(NOTA[TANGGAL],MATCH(,INDIRECT(ADDRESS(ROW(NOTA[TANGGAL]),COLUMN(NOTA[TANGGAL]))&amp;":"&amp;ADDRESS(ROW(),COLUMN(NOTA[TANGGAL]))),-1)))</f>
        <v>45054</v>
      </c>
      <c r="AH83" s="51" t="str">
        <f ca="1">IF(NOTA[[#This Row],[NAMA BARANG]]="","",INDEX(NOTA[SUPPLIER],MATCH(,INDIRECT(ADDRESS(ROW(NOTA[ID]),COLUMN(NOTA[ID]))&amp;":"&amp;ADDRESS(ROW(),COLUMN(NOTA[ID]))),-1)))</f>
        <v>DB STATIONERY</v>
      </c>
      <c r="AI83" s="51" t="str">
        <f ca="1">IF(NOTA[[#This Row],[ID_H]]="","",IF(NOTA[[#This Row],[FAKTUR]]="",INDIRECT(ADDRESS(ROW()-1,COLUMN())),NOTA[[#This Row],[FAKTUR]]))</f>
        <v>UNTANA</v>
      </c>
      <c r="AJ83" s="27" t="str">
        <f ca="1">IF(NOTA[[#This Row],[ID]]="","",COUNTIF(NOTA[ID_H],NOTA[[#This Row],[ID_H]]))</f>
        <v/>
      </c>
      <c r="AK83" s="27">
        <f ca="1">IF(NOTA[[#This Row],[TGL.NOTA]]="",IF(NOTA[[#This Row],[SUPPLIER_H]]="","",AK82),MONTH(NOTA[[#This Row],[TGL.NOTA]]))</f>
        <v>5</v>
      </c>
      <c r="AL83" s="27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27" t="str">
        <f>IF(NOTA[[#This Row],[CONCAT4]]="","",_xlfn.IFNA(MATCH(NOTA[[#This Row],[CONCAT4]],[2]!RAW[CONCAT_H],0),FALSE))</f>
        <v/>
      </c>
      <c r="AQ83" s="145">
        <f>IF(NOTA[[#This Row],[CONCAT1]]="","",MATCH(NOTA[[#This Row],[CONCAT1]],[3]!db[NB NOTA_C],0)+1)</f>
        <v>874</v>
      </c>
    </row>
    <row r="84" spans="1:43" ht="20.100000000000001" customHeight="1" x14ac:dyDescent="0.25">
      <c r="A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6" t="str">
        <f>IF(NOTA[[#This Row],[ID_P]]="","",MATCH(NOTA[[#This Row],[ID_P]],[1]!B_MSK[N_ID],0))</f>
        <v/>
      </c>
      <c r="D84" s="36">
        <f ca="1">IF(NOTA[[#This Row],[NAMA BARANG]]="","",INDEX(NOTA[ID],MATCH(,INDIRECT(ADDRESS(ROW(NOTA[ID]),COLUMN(NOTA[ID]))&amp;":"&amp;ADDRESS(ROW(),COLUMN(NOTA[ID]))),-1)))</f>
        <v>12</v>
      </c>
      <c r="E84" s="55"/>
      <c r="F84" s="16"/>
      <c r="G84" s="16"/>
      <c r="H84" s="20"/>
      <c r="I84" s="16"/>
      <c r="J84" s="56"/>
      <c r="K84" s="16"/>
      <c r="L84" s="16" t="s">
        <v>212</v>
      </c>
      <c r="M84" s="28">
        <v>1</v>
      </c>
      <c r="N84" s="16">
        <v>144</v>
      </c>
      <c r="O84" s="16" t="s">
        <v>125</v>
      </c>
      <c r="P84" s="35">
        <v>18250</v>
      </c>
      <c r="Q84" s="60"/>
      <c r="R84" s="28" t="s">
        <v>171</v>
      </c>
      <c r="S84" s="61"/>
      <c r="T84" s="61"/>
      <c r="U84" s="62"/>
      <c r="V84" s="26"/>
      <c r="W84" s="40">
        <f>IF(NOTA[[#This Row],[HARGA/ CTN]]="",NOTA[[#This Row],[JUMLAH_H]],NOTA[[#This Row],[HARGA/ CTN]]*IF(NOTA[[#This Row],[C]]="",0,NOTA[[#This Row],[C]]))</f>
        <v>2628000</v>
      </c>
      <c r="X84" s="40">
        <f>IF(NOTA[[#This Row],[JUMLAH]]="","",NOTA[[#This Row],[JUMLAH]]*NOTA[[#This Row],[DISC 1]])</f>
        <v>0</v>
      </c>
      <c r="Y84" s="40">
        <f>IF(NOTA[[#This Row],[JUMLAH]]="","",(NOTA[[#This Row],[JUMLAH]]-NOTA[[#This Row],[DISC 1-]])*NOTA[[#This Row],[DISC 2]])</f>
        <v>0</v>
      </c>
      <c r="Z84" s="40">
        <f>IF(NOTA[[#This Row],[JUMLAH]]="","",NOTA[[#This Row],[DISC 1-]]+NOTA[[#This Row],[DISC 2-]])</f>
        <v>0</v>
      </c>
      <c r="AA84" s="40">
        <f>IF(NOTA[[#This Row],[JUMLAH]]="","",NOTA[[#This Row],[JUMLAH]]-NOTA[[#This Row],[DISC]])</f>
        <v>2628000</v>
      </c>
      <c r="AB84" s="40"/>
      <c r="AC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3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84" s="40">
        <f>IF(OR(NOTA[[#This Row],[QTY]]="",NOTA[[#This Row],[HARGA SATUAN]]="",),"",NOTA[[#This Row],[QTY]]*NOTA[[#This Row],[HARGA SATUAN]])</f>
        <v>2628000</v>
      </c>
      <c r="AG84" s="37">
        <f ca="1">IF(NOTA[ID_H]="","",INDEX(NOTA[TANGGAL],MATCH(,INDIRECT(ADDRESS(ROW(NOTA[TANGGAL]),COLUMN(NOTA[TANGGAL]))&amp;":"&amp;ADDRESS(ROW(),COLUMN(NOTA[TANGGAL]))),-1)))</f>
        <v>45054</v>
      </c>
      <c r="AH84" s="51" t="str">
        <f ca="1">IF(NOTA[[#This Row],[NAMA BARANG]]="","",INDEX(NOTA[SUPPLIER],MATCH(,INDIRECT(ADDRESS(ROW(NOTA[ID]),COLUMN(NOTA[ID]))&amp;":"&amp;ADDRESS(ROW(),COLUMN(NOTA[ID]))),-1)))</f>
        <v>DB STATIONERY</v>
      </c>
      <c r="AI84" s="51" t="str">
        <f ca="1">IF(NOTA[[#This Row],[ID_H]]="","",IF(NOTA[[#This Row],[FAKTUR]]="",INDIRECT(ADDRESS(ROW()-1,COLUMN())),NOTA[[#This Row],[FAKTUR]]))</f>
        <v>UNTANA</v>
      </c>
      <c r="AJ84" s="27" t="str">
        <f ca="1">IF(NOTA[[#This Row],[ID]]="","",COUNTIF(NOTA[ID_H],NOTA[[#This Row],[ID_H]]))</f>
        <v/>
      </c>
      <c r="AK84" s="27">
        <f ca="1">IF(NOTA[[#This Row],[TGL.NOTA]]="",IF(NOTA[[#This Row],[SUPPLIER_H]]="","",AK83),MONTH(NOTA[[#This Row],[TGL.NOTA]]))</f>
        <v>5</v>
      </c>
      <c r="AL84" s="27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27" t="str">
        <f>IF(NOTA[[#This Row],[CONCAT4]]="","",_xlfn.IFNA(MATCH(NOTA[[#This Row],[CONCAT4]],[2]!RAW[CONCAT_H],0),FALSE))</f>
        <v/>
      </c>
      <c r="AQ84" s="145">
        <f>IF(NOTA[[#This Row],[CONCAT1]]="","",MATCH(NOTA[[#This Row],[CONCAT1]],[3]!db[NB NOTA_C],0)+1)</f>
        <v>858</v>
      </c>
    </row>
    <row r="85" spans="1:43" ht="20.100000000000001" customHeight="1" x14ac:dyDescent="0.25">
      <c r="A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6" t="str">
        <f>IF(NOTA[[#This Row],[ID_P]]="","",MATCH(NOTA[[#This Row],[ID_P]],[1]!B_MSK[N_ID],0))</f>
        <v/>
      </c>
      <c r="D85" s="36">
        <f ca="1">IF(NOTA[[#This Row],[NAMA BARANG]]="","",INDEX(NOTA[ID],MATCH(,INDIRECT(ADDRESS(ROW(NOTA[ID]),COLUMN(NOTA[ID]))&amp;":"&amp;ADDRESS(ROW(),COLUMN(NOTA[ID]))),-1)))</f>
        <v>12</v>
      </c>
      <c r="E85" s="55"/>
      <c r="F85" s="16"/>
      <c r="G85" s="16"/>
      <c r="H85" s="20"/>
      <c r="I85" s="57"/>
      <c r="J85" s="56"/>
      <c r="K85" s="16"/>
      <c r="L85" s="16" t="s">
        <v>213</v>
      </c>
      <c r="M85" s="28">
        <v>1</v>
      </c>
      <c r="N85" s="16">
        <v>144</v>
      </c>
      <c r="O85" s="16" t="s">
        <v>125</v>
      </c>
      <c r="P85" s="35">
        <v>0</v>
      </c>
      <c r="Q85" s="60"/>
      <c r="R85" s="28" t="s">
        <v>171</v>
      </c>
      <c r="S85" s="61"/>
      <c r="T85" s="61"/>
      <c r="U85" s="62"/>
      <c r="V85" s="26"/>
      <c r="W85" s="40">
        <f>IF(NOTA[[#This Row],[HARGA/ CTN]]="",NOTA[[#This Row],[JUMLAH_H]],NOTA[[#This Row],[HARGA/ CTN]]*IF(NOTA[[#This Row],[C]]="",0,NOTA[[#This Row],[C]]))</f>
        <v>0</v>
      </c>
      <c r="X85" s="40">
        <f>IF(NOTA[[#This Row],[JUMLAH]]="","",NOTA[[#This Row],[JUMLAH]]*NOTA[[#This Row],[DISC 1]])</f>
        <v>0</v>
      </c>
      <c r="Y85" s="40">
        <f>IF(NOTA[[#This Row],[JUMLAH]]="","",(NOTA[[#This Row],[JUMLAH]]-NOTA[[#This Row],[DISC 1-]])*NOTA[[#This Row],[DISC 2]])</f>
        <v>0</v>
      </c>
      <c r="Z85" s="40">
        <f>IF(NOTA[[#This Row],[JUMLAH]]="","",NOTA[[#This Row],[DISC 1-]]+NOTA[[#This Row],[DISC 2-]])</f>
        <v>0</v>
      </c>
      <c r="AA85" s="40">
        <f>IF(NOTA[[#This Row],[JUMLAH]]="","",NOTA[[#This Row],[JUMLAH]]-NOTA[[#This Row],[DISC]])</f>
        <v>0</v>
      </c>
      <c r="AB85" s="40"/>
      <c r="AC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8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5" s="40">
        <f>IF(OR(NOTA[[#This Row],[QTY]]="",NOTA[[#This Row],[HARGA SATUAN]]="",),"",NOTA[[#This Row],[QTY]]*NOTA[[#This Row],[HARGA SATUAN]])</f>
        <v>0</v>
      </c>
      <c r="AG85" s="37">
        <f ca="1">IF(NOTA[ID_H]="","",INDEX(NOTA[TANGGAL],MATCH(,INDIRECT(ADDRESS(ROW(NOTA[TANGGAL]),COLUMN(NOTA[TANGGAL]))&amp;":"&amp;ADDRESS(ROW(),COLUMN(NOTA[TANGGAL]))),-1)))</f>
        <v>45054</v>
      </c>
      <c r="AH85" s="51" t="str">
        <f ca="1">IF(NOTA[[#This Row],[NAMA BARANG]]="","",INDEX(NOTA[SUPPLIER],MATCH(,INDIRECT(ADDRESS(ROW(NOTA[ID]),COLUMN(NOTA[ID]))&amp;":"&amp;ADDRESS(ROW(),COLUMN(NOTA[ID]))),-1)))</f>
        <v>DB STATIONERY</v>
      </c>
      <c r="AI85" s="51" t="str">
        <f ca="1">IF(NOTA[[#This Row],[ID_H]]="","",IF(NOTA[[#This Row],[FAKTUR]]="",INDIRECT(ADDRESS(ROW()-1,COLUMN())),NOTA[[#This Row],[FAKTUR]]))</f>
        <v>UNTANA</v>
      </c>
      <c r="AJ85" s="27" t="str">
        <f ca="1">IF(NOTA[[#This Row],[ID]]="","",COUNTIF(NOTA[ID_H],NOTA[[#This Row],[ID_H]]))</f>
        <v/>
      </c>
      <c r="AK85" s="27">
        <f ca="1">IF(NOTA[[#This Row],[TGL.NOTA]]="",IF(NOTA[[#This Row],[SUPPLIER_H]]="","",AK84),MONTH(NOTA[[#This Row],[TGL.NOTA]]))</f>
        <v>5</v>
      </c>
      <c r="AL85" s="27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geltizofancytg30541e0</v>
      </c>
      <c r="AN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geltizofancytg30541e0</v>
      </c>
      <c r="AO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27" t="str">
        <f>IF(NOTA[[#This Row],[CONCAT4]]="","",_xlfn.IFNA(MATCH(NOTA[[#This Row],[CONCAT4]],[2]!RAW[CONCAT_H],0),FALSE))</f>
        <v/>
      </c>
      <c r="AQ85" s="145">
        <f>IF(NOTA[[#This Row],[CONCAT1]]="","",MATCH(NOTA[[#This Row],[CONCAT1]],[3]!db[NB NOTA_C],0)+1)</f>
        <v>854</v>
      </c>
    </row>
    <row r="86" spans="1:43" ht="20.100000000000001" customHeight="1" x14ac:dyDescent="0.25">
      <c r="A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6" t="str">
        <f>IF(NOTA[[#This Row],[ID_P]]="","",MATCH(NOTA[[#This Row],[ID_P]],[1]!B_MSK[N_ID],0))</f>
        <v/>
      </c>
      <c r="D86" s="36" t="str">
        <f ca="1">IF(NOTA[[#This Row],[NAMA BARANG]]="","",INDEX(NOTA[ID],MATCH(,INDIRECT(ADDRESS(ROW(NOTA[ID]),COLUMN(NOTA[ID]))&amp;":"&amp;ADDRESS(ROW(),COLUMN(NOTA[ID]))),-1)))</f>
        <v/>
      </c>
      <c r="E86" s="55"/>
      <c r="F86" s="16"/>
      <c r="G86" s="16"/>
      <c r="H86" s="20"/>
      <c r="I86" s="57"/>
      <c r="J86" s="56"/>
      <c r="K86" s="16"/>
      <c r="L86" s="16"/>
      <c r="M86" s="58"/>
      <c r="N86" s="57"/>
      <c r="O86" s="16"/>
      <c r="P86" s="59"/>
      <c r="Q86" s="60"/>
      <c r="R86" s="28"/>
      <c r="S86" s="61"/>
      <c r="T86" s="61"/>
      <c r="U86" s="62"/>
      <c r="V86" s="26"/>
      <c r="W86" s="40" t="str">
        <f>IF(NOTA[[#This Row],[HARGA/ CTN]]="",NOTA[[#This Row],[JUMLAH_H]],NOTA[[#This Row],[HARGA/ CTN]]*IF(NOTA[[#This Row],[C]]="",0,NOTA[[#This Row],[C]]))</f>
        <v/>
      </c>
      <c r="X86" s="40" t="str">
        <f>IF(NOTA[[#This Row],[JUMLAH]]="","",NOTA[[#This Row],[JUMLAH]]*NOTA[[#This Row],[DISC 1]])</f>
        <v/>
      </c>
      <c r="Y86" s="40" t="str">
        <f>IF(NOTA[[#This Row],[JUMLAH]]="","",(NOTA[[#This Row],[JUMLAH]]-NOTA[[#This Row],[DISC 1-]])*NOTA[[#This Row],[DISC 2]])</f>
        <v/>
      </c>
      <c r="Z86" s="40" t="str">
        <f>IF(NOTA[[#This Row],[JUMLAH]]="","",NOTA[[#This Row],[DISC 1-]]+NOTA[[#This Row],[DISC 2-]])</f>
        <v/>
      </c>
      <c r="AA86" s="40" t="str">
        <f>IF(NOTA[[#This Row],[JUMLAH]]="","",NOTA[[#This Row],[JUMLAH]]-NOTA[[#This Row],[DISC]])</f>
        <v/>
      </c>
      <c r="AB86" s="40"/>
      <c r="AC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" s="40" t="str">
        <f>IF(OR(NOTA[[#This Row],[QTY]]="",NOTA[[#This Row],[HARGA SATUAN]]="",),"",NOTA[[#This Row],[QTY]]*NOTA[[#This Row],[HARGA SATUAN]])</f>
        <v/>
      </c>
      <c r="AG86" s="37" t="str">
        <f ca="1">IF(NOTA[ID_H]="","",INDEX(NOTA[TANGGAL],MATCH(,INDIRECT(ADDRESS(ROW(NOTA[TANGGAL]),COLUMN(NOTA[TANGGAL]))&amp;":"&amp;ADDRESS(ROW(),COLUMN(NOTA[TANGGAL]))),-1)))</f>
        <v/>
      </c>
      <c r="AH86" s="51" t="str">
        <f ca="1">IF(NOTA[[#This Row],[NAMA BARANG]]="","",INDEX(NOTA[SUPPLIER],MATCH(,INDIRECT(ADDRESS(ROW(NOTA[ID]),COLUMN(NOTA[ID]))&amp;":"&amp;ADDRESS(ROW(),COLUMN(NOTA[ID]))),-1)))</f>
        <v/>
      </c>
      <c r="AI86" s="51" t="str">
        <f ca="1">IF(NOTA[[#This Row],[ID_H]]="","",IF(NOTA[[#This Row],[FAKTUR]]="",INDIRECT(ADDRESS(ROW()-1,COLUMN())),NOTA[[#This Row],[FAKTUR]]))</f>
        <v/>
      </c>
      <c r="AJ86" s="27" t="str">
        <f ca="1">IF(NOTA[[#This Row],[ID]]="","",COUNTIF(NOTA[ID_H],NOTA[[#This Row],[ID_H]]))</f>
        <v/>
      </c>
      <c r="AK86" s="27" t="str">
        <f ca="1">IF(NOTA[[#This Row],[TGL.NOTA]]="",IF(NOTA[[#This Row],[SUPPLIER_H]]="","",AK85),MONTH(NOTA[[#This Row],[TGL.NOTA]]))</f>
        <v/>
      </c>
      <c r="AL86" s="27" t="str">
        <f>LOWER(SUBSTITUTE(SUBSTITUTE(SUBSTITUTE(SUBSTITUTE(SUBSTITUTE(SUBSTITUTE(SUBSTITUTE(SUBSTITUTE(SUBSTITUTE(NOTA[NAMA BARANG]," ",),".",""),"-",""),"(",""),")",""),",",""),"/",""),"""",""),"+",""))</f>
        <v/>
      </c>
      <c r="AM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27" t="str">
        <f>IF(NOTA[[#This Row],[CONCAT4]]="","",_xlfn.IFNA(MATCH(NOTA[[#This Row],[CONCAT4]],[2]!RAW[CONCAT_H],0),FALSE))</f>
        <v/>
      </c>
      <c r="AQ86" s="145" t="str">
        <f>IF(NOTA[[#This Row],[CONCAT1]]="","",MATCH(NOTA[[#This Row],[CONCAT1]],[3]!db[NB NOTA_C],0)+1)</f>
        <v/>
      </c>
    </row>
    <row r="87" spans="1:43" ht="20.100000000000001" customHeight="1" x14ac:dyDescent="0.25">
      <c r="A87" s="35">
        <f ca="1">IF(INDIRECT(ADDRESS(ROW()-1,COLUMN(NOTA[[#Headers],[ID]])))="ID",1,IF(NOTA[[#This Row],[FAKTUR]]="","",COUNT(INDIRECT(ADDRESS(ROW(NOTA[ID]),COLUMN(NOTA[ID]))&amp;":"&amp;ADDRESS(ROW()-1,COLUMN(NOTA[ID]))))+1))</f>
        <v>13</v>
      </c>
      <c r="B8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PAR_0805_-1</v>
      </c>
      <c r="C87" s="36" t="e">
        <f ca="1">IF(NOTA[[#This Row],[ID_P]]="","",MATCH(NOTA[[#This Row],[ID_P]],[1]!B_MSK[N_ID],0))</f>
        <v>#REF!</v>
      </c>
      <c r="D87" s="36">
        <f ca="1">IF(NOTA[[#This Row],[NAMA BARANG]]="","",INDEX(NOTA[ID],MATCH(,INDIRECT(ADDRESS(ROW(NOTA[ID]),COLUMN(NOTA[ID]))&amp;":"&amp;ADDRESS(ROW(),COLUMN(NOTA[ID]))),-1)))</f>
        <v>13</v>
      </c>
      <c r="E87" s="55"/>
      <c r="F87" s="16" t="s">
        <v>214</v>
      </c>
      <c r="G87" s="16" t="s">
        <v>112</v>
      </c>
      <c r="H87" s="20"/>
      <c r="I87" s="57"/>
      <c r="J87" s="56">
        <v>45050</v>
      </c>
      <c r="K87" s="16"/>
      <c r="L87" s="16" t="s">
        <v>215</v>
      </c>
      <c r="M87" s="58">
        <v>10</v>
      </c>
      <c r="N87" s="57">
        <v>1800</v>
      </c>
      <c r="O87" s="16" t="s">
        <v>160</v>
      </c>
      <c r="P87" s="59">
        <f>1359900/180</f>
        <v>7555</v>
      </c>
      <c r="Q87" s="60">
        <v>1359900</v>
      </c>
      <c r="R87" s="28" t="s">
        <v>216</v>
      </c>
      <c r="S87" s="61">
        <v>0.1</v>
      </c>
      <c r="T87" s="61">
        <v>0.1</v>
      </c>
      <c r="U87" s="62"/>
      <c r="V87" s="26"/>
      <c r="W87" s="40">
        <f>IF(NOTA[[#This Row],[HARGA/ CTN]]="",NOTA[[#This Row],[JUMLAH_H]],NOTA[[#This Row],[HARGA/ CTN]]*IF(NOTA[[#This Row],[C]]="",0,NOTA[[#This Row],[C]]))</f>
        <v>13599000</v>
      </c>
      <c r="X87" s="40">
        <f>IF(NOTA[[#This Row],[JUMLAH]]="","",NOTA[[#This Row],[JUMLAH]]*NOTA[[#This Row],[DISC 1]])</f>
        <v>1359900</v>
      </c>
      <c r="Y87" s="40">
        <f>IF(NOTA[[#This Row],[JUMLAH]]="","",(NOTA[[#This Row],[JUMLAH]]-NOTA[[#This Row],[DISC 1-]])*NOTA[[#This Row],[DISC 2]])</f>
        <v>1223910</v>
      </c>
      <c r="Z87" s="40">
        <f>IF(NOTA[[#This Row],[JUMLAH]]="","",NOTA[[#This Row],[DISC 1-]]+NOTA[[#This Row],[DISC 2-]])</f>
        <v>2583810</v>
      </c>
      <c r="AA87" s="40">
        <f>IF(NOTA[[#This Row],[JUMLAH]]="","",NOTA[[#This Row],[JUMLAH]]-NOTA[[#This Row],[DISC]])</f>
        <v>11015190</v>
      </c>
      <c r="AB87" s="40"/>
      <c r="AC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2583810</v>
      </c>
      <c r="AD8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11015190</v>
      </c>
      <c r="AE87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87" s="40">
        <f>IF(OR(NOTA[[#This Row],[QTY]]="",NOTA[[#This Row],[HARGA SATUAN]]="",),"",NOTA[[#This Row],[QTY]]*NOTA[[#This Row],[HARGA SATUAN]])</f>
        <v>13599000</v>
      </c>
      <c r="AG87" s="37">
        <f ca="1">IF(NOTA[ID_H]="","",INDEX(NOTA[TANGGAL],MATCH(,INDIRECT(ADDRESS(ROW(NOTA[TANGGAL]),COLUMN(NOTA[TANGGAL]))&amp;":"&amp;ADDRESS(ROW(),COLUMN(NOTA[TANGGAL]))),-1)))</f>
        <v>45054</v>
      </c>
      <c r="AH87" s="51" t="str">
        <f ca="1">IF(NOTA[[#This Row],[NAMA BARANG]]="","",INDEX(NOTA[SUPPLIER],MATCH(,INDIRECT(ADDRESS(ROW(NOTA[ID]),COLUMN(NOTA[ID]))&amp;":"&amp;ADDRESS(ROW(),COLUMN(NOTA[ID]))),-1)))</f>
        <v>PARAMA</v>
      </c>
      <c r="AI87" s="51" t="str">
        <f ca="1">IF(NOTA[[#This Row],[ID_H]]="","",IF(NOTA[[#This Row],[FAKTUR]]="",INDIRECT(ADDRESS(ROW()-1,COLUMN())),NOTA[[#This Row],[FAKTUR]]))</f>
        <v>UNTANA</v>
      </c>
      <c r="AJ87" s="27">
        <f ca="1">IF(NOTA[[#This Row],[ID]]="","",COUNTIF(NOTA[ID_H],NOTA[[#This Row],[ID_H]]))</f>
        <v>1</v>
      </c>
      <c r="AK87" s="27">
        <f>IF(NOTA[[#This Row],[TGL.NOTA]]="",IF(NOTA[[#This Row],[SUPPLIER_H]]="","",AK86),MONTH(NOTA[[#This Row],[TGL.NOTA]]))</f>
        <v>5</v>
      </c>
      <c r="AL87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87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PARAMAUNTANA45050sampulsamsonboxybatik</v>
      </c>
      <c r="AP87" s="27" t="e">
        <f>IF(NOTA[[#This Row],[CONCAT4]]="","",_xlfn.IFNA(MATCH(NOTA[[#This Row],[CONCAT4]],[2]!RAW[CONCAT_H],0),FALSE))</f>
        <v>#REF!</v>
      </c>
      <c r="AQ87" s="145">
        <f>IF(NOTA[[#This Row],[CONCAT1]]="","",MATCH(NOTA[[#This Row],[CONCAT1]],[3]!db[NB NOTA_C],0)+1)</f>
        <v>2095</v>
      </c>
    </row>
    <row r="88" spans="1:43" ht="20.100000000000001" customHeight="1" x14ac:dyDescent="0.25">
      <c r="A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6" t="str">
        <f>IF(NOTA[[#This Row],[ID_P]]="","",MATCH(NOTA[[#This Row],[ID_P]],[1]!B_MSK[N_ID],0))</f>
        <v/>
      </c>
      <c r="D88" s="36" t="str">
        <f ca="1">IF(NOTA[[#This Row],[NAMA BARANG]]="","",INDEX(NOTA[ID],MATCH(,INDIRECT(ADDRESS(ROW(NOTA[ID]),COLUMN(NOTA[ID]))&amp;":"&amp;ADDRESS(ROW(),COLUMN(NOTA[ID]))),-1)))</f>
        <v/>
      </c>
      <c r="E88" s="55"/>
      <c r="F88" s="16"/>
      <c r="G88" s="16"/>
      <c r="H88" s="20"/>
      <c r="I88" s="16"/>
      <c r="J88" s="56"/>
      <c r="K88" s="16"/>
      <c r="L88" s="16"/>
      <c r="M88" s="58"/>
      <c r="N88" s="57"/>
      <c r="O88" s="16"/>
      <c r="P88" s="59"/>
      <c r="Q88" s="60"/>
      <c r="R88" s="28"/>
      <c r="S88" s="61"/>
      <c r="T88" s="61"/>
      <c r="U88" s="62"/>
      <c r="V88" s="26"/>
      <c r="W88" s="40" t="str">
        <f>IF(NOTA[[#This Row],[HARGA/ CTN]]="",NOTA[[#This Row],[JUMLAH_H]],NOTA[[#This Row],[HARGA/ CTN]]*IF(NOTA[[#This Row],[C]]="",0,NOTA[[#This Row],[C]]))</f>
        <v/>
      </c>
      <c r="X88" s="40" t="str">
        <f>IF(NOTA[[#This Row],[JUMLAH]]="","",NOTA[[#This Row],[JUMLAH]]*NOTA[[#This Row],[DISC 1]])</f>
        <v/>
      </c>
      <c r="Y88" s="40" t="str">
        <f>IF(NOTA[[#This Row],[JUMLAH]]="","",(NOTA[[#This Row],[JUMLAH]]-NOTA[[#This Row],[DISC 1-]])*NOTA[[#This Row],[DISC 2]])</f>
        <v/>
      </c>
      <c r="Z88" s="40" t="str">
        <f>IF(NOTA[[#This Row],[JUMLAH]]="","",NOTA[[#This Row],[DISC 1-]]+NOTA[[#This Row],[DISC 2-]])</f>
        <v/>
      </c>
      <c r="AA88" s="40" t="str">
        <f>IF(NOTA[[#This Row],[JUMLAH]]="","",NOTA[[#This Row],[JUMLAH]]-NOTA[[#This Row],[DISC]])</f>
        <v/>
      </c>
      <c r="AB88" s="40"/>
      <c r="AC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" s="40" t="str">
        <f>IF(OR(NOTA[[#This Row],[QTY]]="",NOTA[[#This Row],[HARGA SATUAN]]="",),"",NOTA[[#This Row],[QTY]]*NOTA[[#This Row],[HARGA SATUAN]])</f>
        <v/>
      </c>
      <c r="AG88" s="37" t="str">
        <f ca="1">IF(NOTA[ID_H]="","",INDEX(NOTA[TANGGAL],MATCH(,INDIRECT(ADDRESS(ROW(NOTA[TANGGAL]),COLUMN(NOTA[TANGGAL]))&amp;":"&amp;ADDRESS(ROW(),COLUMN(NOTA[TANGGAL]))),-1)))</f>
        <v/>
      </c>
      <c r="AH88" s="51" t="str">
        <f ca="1">IF(NOTA[[#This Row],[NAMA BARANG]]="","",INDEX(NOTA[SUPPLIER],MATCH(,INDIRECT(ADDRESS(ROW(NOTA[ID]),COLUMN(NOTA[ID]))&amp;":"&amp;ADDRESS(ROW(),COLUMN(NOTA[ID]))),-1)))</f>
        <v/>
      </c>
      <c r="AI88" s="51" t="str">
        <f ca="1">IF(NOTA[[#This Row],[ID_H]]="","",IF(NOTA[[#This Row],[FAKTUR]]="",INDIRECT(ADDRESS(ROW()-1,COLUMN())),NOTA[[#This Row],[FAKTUR]]))</f>
        <v/>
      </c>
      <c r="AJ88" s="27" t="str">
        <f ca="1">IF(NOTA[[#This Row],[ID]]="","",COUNTIF(NOTA[ID_H],NOTA[[#This Row],[ID_H]]))</f>
        <v/>
      </c>
      <c r="AK88" s="27" t="str">
        <f ca="1">IF(NOTA[[#This Row],[TGL.NOTA]]="",IF(NOTA[[#This Row],[SUPPLIER_H]]="","",AK87),MONTH(NOTA[[#This Row],[TGL.NOTA]]))</f>
        <v/>
      </c>
      <c r="AL88" s="27" t="str">
        <f>LOWER(SUBSTITUTE(SUBSTITUTE(SUBSTITUTE(SUBSTITUTE(SUBSTITUTE(SUBSTITUTE(SUBSTITUTE(SUBSTITUTE(SUBSTITUTE(NOTA[NAMA BARANG]," ",),".",""),"-",""),"(",""),")",""),",",""),"/",""),"""",""),"+",""))</f>
        <v/>
      </c>
      <c r="AM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27" t="str">
        <f>IF(NOTA[[#This Row],[CONCAT4]]="","",_xlfn.IFNA(MATCH(NOTA[[#This Row],[CONCAT4]],[2]!RAW[CONCAT_H],0),FALSE))</f>
        <v/>
      </c>
      <c r="AQ88" s="145" t="str">
        <f>IF(NOTA[[#This Row],[CONCAT1]]="","",MATCH(NOTA[[#This Row],[CONCAT1]],[3]!db[NB NOTA_C],0)+1)</f>
        <v/>
      </c>
    </row>
    <row r="89" spans="1:43" ht="20.100000000000001" customHeight="1" x14ac:dyDescent="0.25">
      <c r="A89" s="35">
        <f ca="1">IF(INDIRECT(ADDRESS(ROW()-1,COLUMN(NOTA[[#Headers],[ID]])))="ID",1,IF(NOTA[[#This Row],[FAKTUR]]="","",COUNT(INDIRECT(ADDRESS(ROW(NOTA[ID]),COLUMN(NOTA[ID]))&amp;":"&amp;ADDRESS(ROW()-1,COLUMN(NOTA[ID]))))+1))</f>
        <v>14</v>
      </c>
      <c r="B8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KEN_0605_215-8</v>
      </c>
      <c r="C89" s="36" t="e">
        <f ca="1">IF(NOTA[[#This Row],[ID_P]]="","",MATCH(NOTA[[#This Row],[ID_P]],[1]!B_MSK[N_ID],0))</f>
        <v>#REF!</v>
      </c>
      <c r="D89" s="36">
        <f ca="1">IF(NOTA[[#This Row],[NAMA BARANG]]="","",INDEX(NOTA[ID],MATCH(,INDIRECT(ADDRESS(ROW(NOTA[ID]),COLUMN(NOTA[ID]))&amp;":"&amp;ADDRESS(ROW(),COLUMN(NOTA[ID]))),-1)))</f>
        <v>14</v>
      </c>
      <c r="E89" s="55">
        <v>45052</v>
      </c>
      <c r="F89" s="16" t="s">
        <v>23</v>
      </c>
      <c r="G89" s="16" t="s">
        <v>24</v>
      </c>
      <c r="H89" s="20" t="s">
        <v>217</v>
      </c>
      <c r="I89" s="16" t="s">
        <v>233</v>
      </c>
      <c r="J89" s="37">
        <v>45049</v>
      </c>
      <c r="K89" s="16"/>
      <c r="L89" s="16" t="s">
        <v>218</v>
      </c>
      <c r="M89" s="58">
        <v>2</v>
      </c>
      <c r="N89" s="57"/>
      <c r="O89" s="16"/>
      <c r="P89" s="59"/>
      <c r="Q89" s="60">
        <v>2088000</v>
      </c>
      <c r="R89" s="28" t="s">
        <v>234</v>
      </c>
      <c r="S89" s="61">
        <v>0.17</v>
      </c>
      <c r="T89" s="61"/>
      <c r="U89" s="62"/>
      <c r="V89" s="26"/>
      <c r="W89" s="40">
        <f>IF(NOTA[[#This Row],[HARGA/ CTN]]="",NOTA[[#This Row],[JUMLAH_H]],NOTA[[#This Row],[HARGA/ CTN]]*IF(NOTA[[#This Row],[C]]="",0,NOTA[[#This Row],[C]]))</f>
        <v>4176000</v>
      </c>
      <c r="X89" s="40">
        <f>IF(NOTA[[#This Row],[JUMLAH]]="","",NOTA[[#This Row],[JUMLAH]]*NOTA[[#This Row],[DISC 1]])</f>
        <v>709920</v>
      </c>
      <c r="Y89" s="40">
        <f>IF(NOTA[[#This Row],[JUMLAH]]="","",(NOTA[[#This Row],[JUMLAH]]-NOTA[[#This Row],[DISC 1-]])*NOTA[[#This Row],[DISC 2]])</f>
        <v>0</v>
      </c>
      <c r="Z89" s="40">
        <f>IF(NOTA[[#This Row],[JUMLAH]]="","",NOTA[[#This Row],[DISC 1-]]+NOTA[[#This Row],[DISC 2-]])</f>
        <v>709920</v>
      </c>
      <c r="AA89" s="40">
        <f>IF(NOTA[[#This Row],[JUMLAH]]="","",NOTA[[#This Row],[JUMLAH]]-NOTA[[#This Row],[DISC]])</f>
        <v>3466080</v>
      </c>
      <c r="AB89" s="40"/>
      <c r="AC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89" s="40" t="str">
        <f>IF(OR(NOTA[[#This Row],[QTY]]="",NOTA[[#This Row],[HARGA SATUAN]]="",),"",NOTA[[#This Row],[QTY]]*NOTA[[#This Row],[HARGA SATUAN]])</f>
        <v/>
      </c>
      <c r="AG89" s="37">
        <f ca="1">IF(NOTA[ID_H]="","",INDEX(NOTA[TANGGAL],MATCH(,INDIRECT(ADDRESS(ROW(NOTA[TANGGAL]),COLUMN(NOTA[TANGGAL]))&amp;":"&amp;ADDRESS(ROW(),COLUMN(NOTA[TANGGAL]))),-1)))</f>
        <v>45052</v>
      </c>
      <c r="AH89" s="51" t="str">
        <f ca="1">IF(NOTA[[#This Row],[NAMA BARANG]]="","",INDEX(NOTA[SUPPLIER],MATCH(,INDIRECT(ADDRESS(ROW(NOTA[ID]),COLUMN(NOTA[ID]))&amp;":"&amp;ADDRESS(ROW(),COLUMN(NOTA[ID]))),-1)))</f>
        <v>KENKO SINAR INDONESIA</v>
      </c>
      <c r="AI89" s="51" t="str">
        <f ca="1">IF(NOTA[[#This Row],[ID_H]]="","",IF(NOTA[[#This Row],[FAKTUR]]="",INDIRECT(ADDRESS(ROW()-1,COLUMN())),NOTA[[#This Row],[FAKTUR]]))</f>
        <v>ARTO MORO</v>
      </c>
      <c r="AJ89" s="27">
        <f ca="1">IF(NOTA[[#This Row],[ID]]="","",COUNTIF(NOTA[ID_H],NOTA[[#This Row],[ID_H]]))</f>
        <v>8</v>
      </c>
      <c r="AK89" s="27">
        <f>IF(NOTA[[#This Row],[TGL.NOTA]]="",IF(NOTA[[#This Row],[SUPPLIER_H]]="","",AK88),MONTH(NOTA[[#This Row],[TGL.NOTA]]))</f>
        <v>5</v>
      </c>
      <c r="AL89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8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MORO23050215SA 4126145049titi12coloroilpasteltip12s</v>
      </c>
      <c r="AP89" s="27" t="e">
        <f>IF(NOTA[[#This Row],[CONCAT4]]="","",_xlfn.IFNA(MATCH(NOTA[[#This Row],[CONCAT4]],[2]!RAW[CONCAT_H],0),FALSE))</f>
        <v>#REF!</v>
      </c>
      <c r="AQ89" s="145">
        <f>IF(NOTA[[#This Row],[CONCAT1]]="","",MATCH(NOTA[[#This Row],[CONCAT1]],[3]!db[NB NOTA_C],0)+1)</f>
        <v>2264</v>
      </c>
    </row>
    <row r="90" spans="1:43" ht="20.100000000000001" customHeight="1" x14ac:dyDescent="0.25">
      <c r="A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6" t="str">
        <f>IF(NOTA[[#This Row],[ID_P]]="","",MATCH(NOTA[[#This Row],[ID_P]],[1]!B_MSK[N_ID],0))</f>
        <v/>
      </c>
      <c r="D90" s="36">
        <f ca="1">IF(NOTA[[#This Row],[NAMA BARANG]]="","",INDEX(NOTA[ID],MATCH(,INDIRECT(ADDRESS(ROW(NOTA[ID]),COLUMN(NOTA[ID]))&amp;":"&amp;ADDRESS(ROW(),COLUMN(NOTA[ID]))),-1)))</f>
        <v>14</v>
      </c>
      <c r="E90" s="55"/>
      <c r="H90" s="54"/>
      <c r="I90" s="57"/>
      <c r="J90" s="56"/>
      <c r="K90" s="16"/>
      <c r="L90" s="16" t="s">
        <v>219</v>
      </c>
      <c r="M90" s="58">
        <v>1</v>
      </c>
      <c r="N90" s="57"/>
      <c r="O90" s="16"/>
      <c r="P90" s="59"/>
      <c r="Q90" s="60">
        <v>1188000</v>
      </c>
      <c r="R90" s="28" t="s">
        <v>235</v>
      </c>
      <c r="S90" s="39">
        <v>0.17</v>
      </c>
      <c r="T90" s="61"/>
      <c r="U90" s="62"/>
      <c r="V90" s="26"/>
      <c r="W90" s="40">
        <f>IF(NOTA[[#This Row],[HARGA/ CTN]]="",NOTA[[#This Row],[JUMLAH_H]],NOTA[[#This Row],[HARGA/ CTN]]*IF(NOTA[[#This Row],[C]]="",0,NOTA[[#This Row],[C]]))</f>
        <v>1188000</v>
      </c>
      <c r="X90" s="40">
        <f>IF(NOTA[[#This Row],[JUMLAH]]="","",NOTA[[#This Row],[JUMLAH]]*NOTA[[#This Row],[DISC 1]])</f>
        <v>201960</v>
      </c>
      <c r="Y90" s="40">
        <f>IF(NOTA[[#This Row],[JUMLAH]]="","",(NOTA[[#This Row],[JUMLAH]]-NOTA[[#This Row],[DISC 1-]])*NOTA[[#This Row],[DISC 2]])</f>
        <v>0</v>
      </c>
      <c r="Z90" s="40">
        <f>IF(NOTA[[#This Row],[JUMLAH]]="","",NOTA[[#This Row],[DISC 1-]]+NOTA[[#This Row],[DISC 2-]])</f>
        <v>201960</v>
      </c>
      <c r="AA90" s="40">
        <f>IF(NOTA[[#This Row],[JUMLAH]]="","",NOTA[[#This Row],[JUMLAH]]-NOTA[[#This Row],[DISC]])</f>
        <v>986040</v>
      </c>
      <c r="AB90" s="40"/>
      <c r="AC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90" s="40" t="str">
        <f>IF(OR(NOTA[[#This Row],[QTY]]="",NOTA[[#This Row],[HARGA SATUAN]]="",),"",NOTA[[#This Row],[QTY]]*NOTA[[#This Row],[HARGA SATUAN]])</f>
        <v/>
      </c>
      <c r="AG90" s="37">
        <f ca="1">IF(NOTA[ID_H]="","",INDEX(NOTA[TANGGAL],MATCH(,INDIRECT(ADDRESS(ROW(NOTA[TANGGAL]),COLUMN(NOTA[TANGGAL]))&amp;":"&amp;ADDRESS(ROW(),COLUMN(NOTA[TANGGAL]))),-1)))</f>
        <v>45052</v>
      </c>
      <c r="AH90" s="51" t="str">
        <f ca="1">IF(NOTA[[#This Row],[NAMA BARANG]]="","",INDEX(NOTA[SUPPLIER],MATCH(,INDIRECT(ADDRESS(ROW(NOTA[ID]),COLUMN(NOTA[ID]))&amp;":"&amp;ADDRESS(ROW(),COLUMN(NOTA[ID]))),-1)))</f>
        <v>KENKO SINAR INDONESIA</v>
      </c>
      <c r="AI90" s="51" t="str">
        <f ca="1">IF(NOTA[[#This Row],[ID_H]]="","",IF(NOTA[[#This Row],[FAKTUR]]="",INDIRECT(ADDRESS(ROW()-1,COLUMN())),NOTA[[#This Row],[FAKTUR]]))</f>
        <v>ARTO MORO</v>
      </c>
      <c r="AJ90" s="27" t="str">
        <f ca="1">IF(NOTA[[#This Row],[ID]]="","",COUNTIF(NOTA[ID_H],NOTA[[#This Row],[ID_H]]))</f>
        <v/>
      </c>
      <c r="AK90" s="27">
        <f ca="1">IF(NOTA[[#This Row],[TGL.NOTA]]="",IF(NOTA[[#This Row],[SUPPLIER_H]]="","",AK89),MONTH(NOTA[[#This Row],[TGL.NOTA]]))</f>
        <v>5</v>
      </c>
      <c r="AL90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27" t="str">
        <f>IF(NOTA[[#This Row],[CONCAT4]]="","",_xlfn.IFNA(MATCH(NOTA[[#This Row],[CONCAT4]],[2]!RAW[CONCAT_H],0),FALSE))</f>
        <v/>
      </c>
      <c r="AQ90" s="145">
        <f>IF(NOTA[[#This Row],[CONCAT1]]="","",MATCH(NOTA[[#This Row],[CONCAT1]],[3]!db[NB NOTA_C],0)+1)</f>
        <v>1383</v>
      </c>
    </row>
    <row r="91" spans="1:43" ht="20.100000000000001" customHeight="1" x14ac:dyDescent="0.25">
      <c r="A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6" t="str">
        <f>IF(NOTA[[#This Row],[ID_P]]="","",MATCH(NOTA[[#This Row],[ID_P]],[1]!B_MSK[N_ID],0))</f>
        <v/>
      </c>
      <c r="D91" s="36">
        <f ca="1">IF(NOTA[[#This Row],[NAMA BARANG]]="","",INDEX(NOTA[ID],MATCH(,INDIRECT(ADDRESS(ROW(NOTA[ID]),COLUMN(NOTA[ID]))&amp;":"&amp;ADDRESS(ROW(),COLUMN(NOTA[ID]))),-1)))</f>
        <v>14</v>
      </c>
      <c r="E91" s="55"/>
      <c r="F91" s="16"/>
      <c r="G91" s="16"/>
      <c r="H91" s="20"/>
      <c r="I91" s="57"/>
      <c r="J91" s="56"/>
      <c r="K91" s="16"/>
      <c r="L91" s="16" t="s">
        <v>224</v>
      </c>
      <c r="M91" s="58">
        <v>1</v>
      </c>
      <c r="N91" s="57"/>
      <c r="O91" s="16"/>
      <c r="P91" s="59"/>
      <c r="Q91" s="60">
        <v>372000</v>
      </c>
      <c r="R91" s="28" t="s">
        <v>236</v>
      </c>
      <c r="S91" s="61">
        <v>0.17</v>
      </c>
      <c r="T91" s="61"/>
      <c r="U91" s="62"/>
      <c r="V91" s="26"/>
      <c r="W91" s="40">
        <f>IF(NOTA[[#This Row],[HARGA/ CTN]]="",NOTA[[#This Row],[JUMLAH_H]],NOTA[[#This Row],[HARGA/ CTN]]*IF(NOTA[[#This Row],[C]]="",0,NOTA[[#This Row],[C]]))</f>
        <v>372000</v>
      </c>
      <c r="X91" s="40">
        <f>IF(NOTA[[#This Row],[JUMLAH]]="","",NOTA[[#This Row],[JUMLAH]]*NOTA[[#This Row],[DISC 1]])</f>
        <v>63240.000000000007</v>
      </c>
      <c r="Y91" s="40">
        <f>IF(NOTA[[#This Row],[JUMLAH]]="","",(NOTA[[#This Row],[JUMLAH]]-NOTA[[#This Row],[DISC 1-]])*NOTA[[#This Row],[DISC 2]])</f>
        <v>0</v>
      </c>
      <c r="Z91" s="40">
        <f>IF(NOTA[[#This Row],[JUMLAH]]="","",NOTA[[#This Row],[DISC 1-]]+NOTA[[#This Row],[DISC 2-]])</f>
        <v>63240.000000000007</v>
      </c>
      <c r="AA91" s="40">
        <f>IF(NOTA[[#This Row],[JUMLAH]]="","",NOTA[[#This Row],[JUMLAH]]-NOTA[[#This Row],[DISC]])</f>
        <v>308760</v>
      </c>
      <c r="AB91" s="40"/>
      <c r="AC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35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91" s="40" t="str">
        <f>IF(OR(NOTA[[#This Row],[QTY]]="",NOTA[[#This Row],[HARGA SATUAN]]="",),"",NOTA[[#This Row],[QTY]]*NOTA[[#This Row],[HARGA SATUAN]])</f>
        <v/>
      </c>
      <c r="AG91" s="37">
        <f ca="1">IF(NOTA[ID_H]="","",INDEX(NOTA[TANGGAL],MATCH(,INDIRECT(ADDRESS(ROW(NOTA[TANGGAL]),COLUMN(NOTA[TANGGAL]))&amp;":"&amp;ADDRESS(ROW(),COLUMN(NOTA[TANGGAL]))),-1)))</f>
        <v>45052</v>
      </c>
      <c r="AH91" s="51" t="str">
        <f ca="1">IF(NOTA[[#This Row],[NAMA BARANG]]="","",INDEX(NOTA[SUPPLIER],MATCH(,INDIRECT(ADDRESS(ROW(NOTA[ID]),COLUMN(NOTA[ID]))&amp;":"&amp;ADDRESS(ROW(),COLUMN(NOTA[ID]))),-1)))</f>
        <v>KENKO SINAR INDONESIA</v>
      </c>
      <c r="AI91" s="51" t="str">
        <f ca="1">IF(NOTA[[#This Row],[ID_H]]="","",IF(NOTA[[#This Row],[FAKTUR]]="",INDIRECT(ADDRESS(ROW()-1,COLUMN())),NOTA[[#This Row],[FAKTUR]]))</f>
        <v>ARTO MORO</v>
      </c>
      <c r="AJ91" s="27" t="str">
        <f ca="1">IF(NOTA[[#This Row],[ID]]="","",COUNTIF(NOTA[ID_H],NOTA[[#This Row],[ID_H]]))</f>
        <v/>
      </c>
      <c r="AK91" s="27">
        <f ca="1">IF(NOTA[[#This Row],[TGL.NOTA]]="",IF(NOTA[[#This Row],[SUPPLIER_H]]="","",AK90),MONTH(NOTA[[#This Row],[TGL.NOTA]]))</f>
        <v>5</v>
      </c>
      <c r="AL91" s="27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M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N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O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27" t="str">
        <f>IF(NOTA[[#This Row],[CONCAT4]]="","",_xlfn.IFNA(MATCH(NOTA[[#This Row],[CONCAT4]],[2]!RAW[CONCAT_H],0),FALSE))</f>
        <v/>
      </c>
      <c r="AQ91" s="145">
        <f>IF(NOTA[[#This Row],[CONCAT1]]="","",MATCH(NOTA[[#This Row],[CONCAT1]],[3]!db[NB NOTA_C],0)+1)</f>
        <v>1419</v>
      </c>
    </row>
    <row r="92" spans="1:43" ht="20.100000000000001" customHeight="1" x14ac:dyDescent="0.25">
      <c r="A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6" t="str">
        <f>IF(NOTA[[#This Row],[ID_P]]="","",MATCH(NOTA[[#This Row],[ID_P]],[1]!B_MSK[N_ID],0))</f>
        <v/>
      </c>
      <c r="D92" s="36">
        <f ca="1">IF(NOTA[[#This Row],[NAMA BARANG]]="","",INDEX(NOTA[ID],MATCH(,INDIRECT(ADDRESS(ROW(NOTA[ID]),COLUMN(NOTA[ID]))&amp;":"&amp;ADDRESS(ROW(),COLUMN(NOTA[ID]))),-1)))</f>
        <v>14</v>
      </c>
      <c r="E92" s="55"/>
      <c r="F92" s="16"/>
      <c r="G92" s="16"/>
      <c r="H92" s="20"/>
      <c r="I92" s="16"/>
      <c r="J92" s="56"/>
      <c r="K92" s="16"/>
      <c r="L92" s="16" t="s">
        <v>220</v>
      </c>
      <c r="M92" s="58">
        <v>1</v>
      </c>
      <c r="N92" s="57"/>
      <c r="O92" s="16"/>
      <c r="P92" s="59"/>
      <c r="Q92" s="60">
        <v>342000</v>
      </c>
      <c r="R92" s="28" t="s">
        <v>237</v>
      </c>
      <c r="S92" s="39">
        <v>0.17</v>
      </c>
      <c r="T92" s="61"/>
      <c r="U92" s="62"/>
      <c r="V92" s="26"/>
      <c r="W92" s="40">
        <f>IF(NOTA[[#This Row],[HARGA/ CTN]]="",NOTA[[#This Row],[JUMLAH_H]],NOTA[[#This Row],[HARGA/ CTN]]*IF(NOTA[[#This Row],[C]]="",0,NOTA[[#This Row],[C]]))</f>
        <v>342000</v>
      </c>
      <c r="X92" s="40">
        <f>IF(NOTA[[#This Row],[JUMLAH]]="","",NOTA[[#This Row],[JUMLAH]]*NOTA[[#This Row],[DISC 1]])</f>
        <v>58140.000000000007</v>
      </c>
      <c r="Y92" s="40">
        <f>IF(NOTA[[#This Row],[JUMLAH]]="","",(NOTA[[#This Row],[JUMLAH]]-NOTA[[#This Row],[DISC 1-]])*NOTA[[#This Row],[DISC 2]])</f>
        <v>0</v>
      </c>
      <c r="Z92" s="40">
        <f>IF(NOTA[[#This Row],[JUMLAH]]="","",NOTA[[#This Row],[DISC 1-]]+NOTA[[#This Row],[DISC 2-]])</f>
        <v>58140.000000000007</v>
      </c>
      <c r="AA92" s="40">
        <f>IF(NOTA[[#This Row],[JUMLAH]]="","",NOTA[[#This Row],[JUMLAH]]-NOTA[[#This Row],[DISC]])</f>
        <v>283860</v>
      </c>
      <c r="AB92" s="40"/>
      <c r="AC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3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92" s="40" t="str">
        <f>IF(OR(NOTA[[#This Row],[QTY]]="",NOTA[[#This Row],[HARGA SATUAN]]="",),"",NOTA[[#This Row],[QTY]]*NOTA[[#This Row],[HARGA SATUAN]])</f>
        <v/>
      </c>
      <c r="AG92" s="37">
        <f ca="1">IF(NOTA[ID_H]="","",INDEX(NOTA[TANGGAL],MATCH(,INDIRECT(ADDRESS(ROW(NOTA[TANGGAL]),COLUMN(NOTA[TANGGAL]))&amp;":"&amp;ADDRESS(ROW(),COLUMN(NOTA[TANGGAL]))),-1)))</f>
        <v>45052</v>
      </c>
      <c r="AH92" s="51" t="str">
        <f ca="1">IF(NOTA[[#This Row],[NAMA BARANG]]="","",INDEX(NOTA[SUPPLIER],MATCH(,INDIRECT(ADDRESS(ROW(NOTA[ID]),COLUMN(NOTA[ID]))&amp;":"&amp;ADDRESS(ROW(),COLUMN(NOTA[ID]))),-1)))</f>
        <v>KENKO SINAR INDONESIA</v>
      </c>
      <c r="AI92" s="51" t="str">
        <f ca="1">IF(NOTA[[#This Row],[ID_H]]="","",IF(NOTA[[#This Row],[FAKTUR]]="",INDIRECT(ADDRESS(ROW()-1,COLUMN())),NOTA[[#This Row],[FAKTUR]]))</f>
        <v>ARTO MORO</v>
      </c>
      <c r="AJ92" s="27" t="str">
        <f ca="1">IF(NOTA[[#This Row],[ID]]="","",COUNTIF(NOTA[ID_H],NOTA[[#This Row],[ID_H]]))</f>
        <v/>
      </c>
      <c r="AK92" s="27">
        <f ca="1">IF(NOTA[[#This Row],[TGL.NOTA]]="",IF(NOTA[[#This Row],[SUPPLIER_H]]="","",AK91),MONTH(NOTA[[#This Row],[TGL.NOTA]]))</f>
        <v>5</v>
      </c>
      <c r="AL92" s="27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27" t="str">
        <f>IF(NOTA[[#This Row],[CONCAT4]]="","",_xlfn.IFNA(MATCH(NOTA[[#This Row],[CONCAT4]],[2]!RAW[CONCAT_H],0),FALSE))</f>
        <v/>
      </c>
      <c r="AQ92" s="145">
        <f>IF(NOTA[[#This Row],[CONCAT1]]="","",MATCH(NOTA[[#This Row],[CONCAT1]],[3]!db[NB NOTA_C],0)+1)</f>
        <v>1423</v>
      </c>
    </row>
    <row r="93" spans="1:43" ht="20.100000000000001" customHeight="1" x14ac:dyDescent="0.25">
      <c r="A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6" t="str">
        <f>IF(NOTA[[#This Row],[ID_P]]="","",MATCH(NOTA[[#This Row],[ID_P]],[1]!B_MSK[N_ID],0))</f>
        <v/>
      </c>
      <c r="D93" s="36">
        <f ca="1">IF(NOTA[[#This Row],[NAMA BARANG]]="","",INDEX(NOTA[ID],MATCH(,INDIRECT(ADDRESS(ROW(NOTA[ID]),COLUMN(NOTA[ID]))&amp;":"&amp;ADDRESS(ROW(),COLUMN(NOTA[ID]))),-1)))</f>
        <v>14</v>
      </c>
      <c r="E93" s="55"/>
      <c r="F93" s="16"/>
      <c r="G93" s="16"/>
      <c r="H93" s="20"/>
      <c r="I93" s="57"/>
      <c r="J93" s="56"/>
      <c r="K93" s="16"/>
      <c r="L93" s="16" t="s">
        <v>221</v>
      </c>
      <c r="M93" s="58">
        <v>1</v>
      </c>
      <c r="N93" s="57"/>
      <c r="O93" s="16"/>
      <c r="P93" s="59"/>
      <c r="Q93" s="60">
        <v>348000</v>
      </c>
      <c r="R93" s="28" t="s">
        <v>237</v>
      </c>
      <c r="S93" s="61">
        <v>0.17</v>
      </c>
      <c r="T93" s="61"/>
      <c r="U93" s="62"/>
      <c r="V93" s="26"/>
      <c r="W93" s="40">
        <f>IF(NOTA[[#This Row],[HARGA/ CTN]]="",NOTA[[#This Row],[JUMLAH_H]],NOTA[[#This Row],[HARGA/ CTN]]*IF(NOTA[[#This Row],[C]]="",0,NOTA[[#This Row],[C]]))</f>
        <v>348000</v>
      </c>
      <c r="X93" s="40">
        <f>IF(NOTA[[#This Row],[JUMLAH]]="","",NOTA[[#This Row],[JUMLAH]]*NOTA[[#This Row],[DISC 1]])</f>
        <v>59160.000000000007</v>
      </c>
      <c r="Y93" s="40">
        <f>IF(NOTA[[#This Row],[JUMLAH]]="","",(NOTA[[#This Row],[JUMLAH]]-NOTA[[#This Row],[DISC 1-]])*NOTA[[#This Row],[DISC 2]])</f>
        <v>0</v>
      </c>
      <c r="Z93" s="40">
        <f>IF(NOTA[[#This Row],[JUMLAH]]="","",NOTA[[#This Row],[DISC 1-]]+NOTA[[#This Row],[DISC 2-]])</f>
        <v>59160.000000000007</v>
      </c>
      <c r="AA93" s="40">
        <f>IF(NOTA[[#This Row],[JUMLAH]]="","",NOTA[[#This Row],[JUMLAH]]-NOTA[[#This Row],[DISC]])</f>
        <v>288840</v>
      </c>
      <c r="AB93" s="40"/>
      <c r="AC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35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93" s="40" t="str">
        <f>IF(OR(NOTA[[#This Row],[QTY]]="",NOTA[[#This Row],[HARGA SATUAN]]="",),"",NOTA[[#This Row],[QTY]]*NOTA[[#This Row],[HARGA SATUAN]])</f>
        <v/>
      </c>
      <c r="AG93" s="37">
        <f ca="1">IF(NOTA[ID_H]="","",INDEX(NOTA[TANGGAL],MATCH(,INDIRECT(ADDRESS(ROW(NOTA[TANGGAL]),COLUMN(NOTA[TANGGAL]))&amp;":"&amp;ADDRESS(ROW(),COLUMN(NOTA[TANGGAL]))),-1)))</f>
        <v>45052</v>
      </c>
      <c r="AH93" s="51" t="str">
        <f ca="1">IF(NOTA[[#This Row],[NAMA BARANG]]="","",INDEX(NOTA[SUPPLIER],MATCH(,INDIRECT(ADDRESS(ROW(NOTA[ID]),COLUMN(NOTA[ID]))&amp;":"&amp;ADDRESS(ROW(),COLUMN(NOTA[ID]))),-1)))</f>
        <v>KENKO SINAR INDONESIA</v>
      </c>
      <c r="AI93" s="51" t="str">
        <f ca="1">IF(NOTA[[#This Row],[ID_H]]="","",IF(NOTA[[#This Row],[FAKTUR]]="",INDIRECT(ADDRESS(ROW()-1,COLUMN())),NOTA[[#This Row],[FAKTUR]]))</f>
        <v>ARTO MORO</v>
      </c>
      <c r="AJ93" s="27" t="str">
        <f ca="1">IF(NOTA[[#This Row],[ID]]="","",COUNTIF(NOTA[ID_H],NOTA[[#This Row],[ID_H]]))</f>
        <v/>
      </c>
      <c r="AK93" s="27">
        <f ca="1">IF(NOTA[[#This Row],[TGL.NOTA]]="",IF(NOTA[[#This Row],[SUPPLIER_H]]="","",AK92),MONTH(NOTA[[#This Row],[TGL.NOTA]]))</f>
        <v>5</v>
      </c>
      <c r="AL93" s="27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" s="27" t="str">
        <f>IF(NOTA[[#This Row],[CONCAT4]]="","",_xlfn.IFNA(MATCH(NOTA[[#This Row],[CONCAT4]],[2]!RAW[CONCAT_H],0),FALSE))</f>
        <v/>
      </c>
      <c r="AQ93" s="145">
        <f>IF(NOTA[[#This Row],[CONCAT1]]="","",MATCH(NOTA[[#This Row],[CONCAT1]],[3]!db[NB NOTA_C],0)+1)</f>
        <v>1424</v>
      </c>
    </row>
    <row r="94" spans="1:43" ht="20.100000000000001" customHeight="1" x14ac:dyDescent="0.25">
      <c r="A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6" t="str">
        <f>IF(NOTA[[#This Row],[ID_P]]="","",MATCH(NOTA[[#This Row],[ID_P]],[1]!B_MSK[N_ID],0))</f>
        <v/>
      </c>
      <c r="D94" s="36">
        <f ca="1">IF(NOTA[[#This Row],[NAMA BARANG]]="","",INDEX(NOTA[ID],MATCH(,INDIRECT(ADDRESS(ROW(NOTA[ID]),COLUMN(NOTA[ID]))&amp;":"&amp;ADDRESS(ROW(),COLUMN(NOTA[ID]))),-1)))</f>
        <v>14</v>
      </c>
      <c r="E94" s="14"/>
      <c r="F94" s="16"/>
      <c r="G94" s="16"/>
      <c r="H94" s="20"/>
      <c r="I94" s="16"/>
      <c r="J94" s="37"/>
      <c r="K94" s="16"/>
      <c r="L94" s="16" t="s">
        <v>222</v>
      </c>
      <c r="M94" s="58">
        <v>1</v>
      </c>
      <c r="N94" s="57"/>
      <c r="O94" s="16"/>
      <c r="P94" s="59"/>
      <c r="Q94" s="38">
        <v>1440000</v>
      </c>
      <c r="R94" s="28" t="s">
        <v>238</v>
      </c>
      <c r="S94" s="39">
        <v>0.17</v>
      </c>
      <c r="T94" s="39"/>
      <c r="U94" s="40"/>
      <c r="V94" s="26"/>
      <c r="W94" s="40">
        <f>IF(NOTA[[#This Row],[HARGA/ CTN]]="",NOTA[[#This Row],[JUMLAH_H]],NOTA[[#This Row],[HARGA/ CTN]]*IF(NOTA[[#This Row],[C]]="",0,NOTA[[#This Row],[C]]))</f>
        <v>1440000</v>
      </c>
      <c r="X94" s="40">
        <f>IF(NOTA[[#This Row],[JUMLAH]]="","",NOTA[[#This Row],[JUMLAH]]*NOTA[[#This Row],[DISC 1]])</f>
        <v>244800.00000000003</v>
      </c>
      <c r="Y94" s="40">
        <f>IF(NOTA[[#This Row],[JUMLAH]]="","",(NOTA[[#This Row],[JUMLAH]]-NOTA[[#This Row],[DISC 1-]])*NOTA[[#This Row],[DISC 2]])</f>
        <v>0</v>
      </c>
      <c r="Z94" s="40">
        <f>IF(NOTA[[#This Row],[JUMLAH]]="","",NOTA[[#This Row],[DISC 1-]]+NOTA[[#This Row],[DISC 2-]])</f>
        <v>244800.00000000003</v>
      </c>
      <c r="AA94" s="40">
        <f>IF(NOTA[[#This Row],[JUMLAH]]="","",NOTA[[#This Row],[JUMLAH]]-NOTA[[#This Row],[DISC]])</f>
        <v>1195200</v>
      </c>
      <c r="AB94" s="40"/>
      <c r="AC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94" s="40" t="str">
        <f>IF(OR(NOTA[[#This Row],[QTY]]="",NOTA[[#This Row],[HARGA SATUAN]]="",),"",NOTA[[#This Row],[QTY]]*NOTA[[#This Row],[HARGA SATUAN]])</f>
        <v/>
      </c>
      <c r="AG94" s="37">
        <f ca="1">IF(NOTA[ID_H]="","",INDEX(NOTA[TANGGAL],MATCH(,INDIRECT(ADDRESS(ROW(NOTA[TANGGAL]),COLUMN(NOTA[TANGGAL]))&amp;":"&amp;ADDRESS(ROW(),COLUMN(NOTA[TANGGAL]))),-1)))</f>
        <v>45052</v>
      </c>
      <c r="AH94" s="51" t="str">
        <f ca="1">IF(NOTA[[#This Row],[NAMA BARANG]]="","",INDEX(NOTA[SUPPLIER],MATCH(,INDIRECT(ADDRESS(ROW(NOTA[ID]),COLUMN(NOTA[ID]))&amp;":"&amp;ADDRESS(ROW(),COLUMN(NOTA[ID]))),-1)))</f>
        <v>KENKO SINAR INDONESIA</v>
      </c>
      <c r="AI94" s="51" t="str">
        <f ca="1">IF(NOTA[[#This Row],[ID_H]]="","",IF(NOTA[[#This Row],[FAKTUR]]="",INDIRECT(ADDRESS(ROW()-1,COLUMN())),NOTA[[#This Row],[FAKTUR]]))</f>
        <v>ARTO MORO</v>
      </c>
      <c r="AJ94" s="27" t="str">
        <f ca="1">IF(NOTA[[#This Row],[ID]]="","",COUNTIF(NOTA[ID_H],NOTA[[#This Row],[ID_H]]))</f>
        <v/>
      </c>
      <c r="AK94" s="27">
        <f ca="1">IF(NOTA[[#This Row],[TGL.NOTA]]="",IF(NOTA[[#This Row],[SUPPLIER_H]]="","",AK93),MONTH(NOTA[[#This Row],[TGL.NOTA]]))</f>
        <v>5</v>
      </c>
      <c r="AL94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27" t="str">
        <f>IF(NOTA[[#This Row],[CONCAT4]]="","",_xlfn.IFNA(MATCH(NOTA[[#This Row],[CONCAT4]],[2]!RAW[CONCAT_H],0),FALSE))</f>
        <v/>
      </c>
      <c r="AQ94" s="145">
        <f>IF(NOTA[[#This Row],[CONCAT1]]="","",MATCH(NOTA[[#This Row],[CONCAT1]],[3]!db[NB NOTA_C],0)+1)</f>
        <v>1372</v>
      </c>
    </row>
    <row r="95" spans="1:43" ht="20.100000000000001" customHeight="1" x14ac:dyDescent="0.25">
      <c r="A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6" t="str">
        <f>IF(NOTA[[#This Row],[ID_P]]="","",MATCH(NOTA[[#This Row],[ID_P]],[1]!B_MSK[N_ID],0))</f>
        <v/>
      </c>
      <c r="D95" s="36">
        <f ca="1">IF(NOTA[[#This Row],[NAMA BARANG]]="","",INDEX(NOTA[ID],MATCH(,INDIRECT(ADDRESS(ROW(NOTA[ID]),COLUMN(NOTA[ID]))&amp;":"&amp;ADDRESS(ROW(),COLUMN(NOTA[ID]))),-1)))</f>
        <v>14</v>
      </c>
      <c r="E95" s="14"/>
      <c r="F95" s="16"/>
      <c r="G95" s="16"/>
      <c r="H95" s="20"/>
      <c r="I95" s="16"/>
      <c r="J95" s="37"/>
      <c r="K95" s="16"/>
      <c r="L95" s="16" t="s">
        <v>223</v>
      </c>
      <c r="M95" s="58">
        <v>1</v>
      </c>
      <c r="N95" s="57"/>
      <c r="O95" s="16"/>
      <c r="P95" s="59"/>
      <c r="Q95" s="38">
        <v>1536000</v>
      </c>
      <c r="R95" s="28" t="s">
        <v>239</v>
      </c>
      <c r="S95" s="39">
        <v>0.17</v>
      </c>
      <c r="T95" s="39"/>
      <c r="U95" s="40"/>
      <c r="V95" s="26"/>
      <c r="W95" s="40">
        <f>IF(NOTA[[#This Row],[HARGA/ CTN]]="",NOTA[[#This Row],[JUMLAH_H]],NOTA[[#This Row],[HARGA/ CTN]]*IF(NOTA[[#This Row],[C]]="",0,NOTA[[#This Row],[C]]))</f>
        <v>1536000</v>
      </c>
      <c r="X95" s="40">
        <f>IF(NOTA[[#This Row],[JUMLAH]]="","",NOTA[[#This Row],[JUMLAH]]*NOTA[[#This Row],[DISC 1]])</f>
        <v>261120.00000000003</v>
      </c>
      <c r="Y95" s="40">
        <f>IF(NOTA[[#This Row],[JUMLAH]]="","",(NOTA[[#This Row],[JUMLAH]]-NOTA[[#This Row],[DISC 1-]])*NOTA[[#This Row],[DISC 2]])</f>
        <v>0</v>
      </c>
      <c r="Z95" s="40">
        <f>IF(NOTA[[#This Row],[JUMLAH]]="","",NOTA[[#This Row],[DISC 1-]]+NOTA[[#This Row],[DISC 2-]])</f>
        <v>261120.00000000003</v>
      </c>
      <c r="AA95" s="40">
        <f>IF(NOTA[[#This Row],[JUMLAH]]="","",NOTA[[#This Row],[JUMLAH]]-NOTA[[#This Row],[DISC]])</f>
        <v>1274880</v>
      </c>
      <c r="AB95" s="40"/>
      <c r="AC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3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5" s="40" t="str">
        <f>IF(OR(NOTA[[#This Row],[QTY]]="",NOTA[[#This Row],[HARGA SATUAN]]="",),"",NOTA[[#This Row],[QTY]]*NOTA[[#This Row],[HARGA SATUAN]])</f>
        <v/>
      </c>
      <c r="AG95" s="37">
        <f ca="1">IF(NOTA[ID_H]="","",INDEX(NOTA[TANGGAL],MATCH(,INDIRECT(ADDRESS(ROW(NOTA[TANGGAL]),COLUMN(NOTA[TANGGAL]))&amp;":"&amp;ADDRESS(ROW(),COLUMN(NOTA[TANGGAL]))),-1)))</f>
        <v>45052</v>
      </c>
      <c r="AH95" s="35" t="str">
        <f ca="1">IF(NOTA[[#This Row],[NAMA BARANG]]="","",INDEX(NOTA[SUPPLIER],MATCH(,INDIRECT(ADDRESS(ROW(NOTA[ID]),COLUMN(NOTA[ID]))&amp;":"&amp;ADDRESS(ROW(),COLUMN(NOTA[ID]))),-1)))</f>
        <v>KENKO SINAR INDONESIA</v>
      </c>
      <c r="AI95" s="35" t="str">
        <f ca="1">IF(NOTA[[#This Row],[ID_H]]="","",IF(NOTA[[#This Row],[FAKTUR]]="",INDIRECT(ADDRESS(ROW()-1,COLUMN())),NOTA[[#This Row],[FAKTUR]]))</f>
        <v>ARTO MORO</v>
      </c>
      <c r="AJ95" s="27" t="str">
        <f ca="1">IF(NOTA[[#This Row],[ID]]="","",COUNTIF(NOTA[ID_H],NOTA[[#This Row],[ID_H]]))</f>
        <v/>
      </c>
      <c r="AK95" s="27">
        <f ca="1">IF(NOTA[[#This Row],[TGL.NOTA]]="",IF(NOTA[[#This Row],[SUPPLIER_H]]="","",AK94),MONTH(NOTA[[#This Row],[TGL.NOTA]]))</f>
        <v>5</v>
      </c>
      <c r="AL95" s="27" t="str">
        <f>LOWER(SUBSTITUTE(SUBSTITUTE(SUBSTITUTE(SUBSTITUTE(SUBSTITUTE(SUBSTITUTE(SUBSTITUTE(SUBSTITUTE(SUBSTITUTE(NOTA[NAMA BARANG]," ",),".",""),"-",""),"(",""),")",""),",",""),"/",""),"""",""),"+",""))</f>
        <v>kenkopunchno40xl</v>
      </c>
      <c r="AM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N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O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" s="27" t="str">
        <f>IF(NOTA[[#This Row],[CONCAT4]]="","",_xlfn.IFNA(MATCH(NOTA[[#This Row],[CONCAT4]],[2]!RAW[CONCAT_H],0),FALSE))</f>
        <v/>
      </c>
      <c r="AQ95" s="145">
        <f>IF(NOTA[[#This Row],[CONCAT1]]="","",MATCH(NOTA[[#This Row],[CONCAT1]],[3]!db[NB NOTA_C],0)+1)</f>
        <v>1374</v>
      </c>
    </row>
    <row r="96" spans="1:43" ht="20.100000000000001" customHeight="1" x14ac:dyDescent="0.25">
      <c r="A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6" t="str">
        <f>IF(NOTA[[#This Row],[ID_P]]="","",MATCH(NOTA[[#This Row],[ID_P]],[1]!B_MSK[N_ID],0))</f>
        <v/>
      </c>
      <c r="D96" s="36">
        <f ca="1">IF(NOTA[[#This Row],[NAMA BARANG]]="","",INDEX(NOTA[ID],MATCH(,INDIRECT(ADDRESS(ROW(NOTA[ID]),COLUMN(NOTA[ID]))&amp;":"&amp;ADDRESS(ROW(),COLUMN(NOTA[ID]))),-1)))</f>
        <v>14</v>
      </c>
      <c r="E96" s="14"/>
      <c r="F96" s="16"/>
      <c r="G96" s="16"/>
      <c r="H96" s="20"/>
      <c r="I96" s="16"/>
      <c r="J96" s="37"/>
      <c r="K96" s="16"/>
      <c r="L96" s="16" t="s">
        <v>96</v>
      </c>
      <c r="M96" s="58">
        <v>1</v>
      </c>
      <c r="N96" s="57"/>
      <c r="O96" s="16"/>
      <c r="P96" s="59"/>
      <c r="Q96" s="38">
        <v>2764800</v>
      </c>
      <c r="R96" s="28" t="s">
        <v>150</v>
      </c>
      <c r="S96" s="39">
        <v>0.17</v>
      </c>
      <c r="T96" s="39"/>
      <c r="U96" s="40"/>
      <c r="V96" s="26"/>
      <c r="W96" s="40">
        <f>IF(NOTA[[#This Row],[HARGA/ CTN]]="",NOTA[[#This Row],[JUMLAH_H]],NOTA[[#This Row],[HARGA/ CTN]]*IF(NOTA[[#This Row],[C]]="",0,NOTA[[#This Row],[C]]))</f>
        <v>2764800</v>
      </c>
      <c r="X96" s="40">
        <f>IF(NOTA[[#This Row],[JUMLAH]]="","",NOTA[[#This Row],[JUMLAH]]*NOTA[[#This Row],[DISC 1]])</f>
        <v>470016.00000000006</v>
      </c>
      <c r="Y96" s="40">
        <f>IF(NOTA[[#This Row],[JUMLAH]]="","",(NOTA[[#This Row],[JUMLAH]]-NOTA[[#This Row],[DISC 1-]])*NOTA[[#This Row],[DISC 2]])</f>
        <v>0</v>
      </c>
      <c r="Z96" s="40">
        <f>IF(NOTA[[#This Row],[JUMLAH]]="","",NOTA[[#This Row],[DISC 1-]]+NOTA[[#This Row],[DISC 2-]])</f>
        <v>470016.00000000006</v>
      </c>
      <c r="AA96" s="40">
        <f>IF(NOTA[[#This Row],[JUMLAH]]="","",NOTA[[#This Row],[JUMLAH]]-NOTA[[#This Row],[DISC]])</f>
        <v>2294784</v>
      </c>
      <c r="AB96" s="40"/>
      <c r="AC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2068356</v>
      </c>
      <c r="AD9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10098444</v>
      </c>
      <c r="AE96" s="3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96" s="40" t="str">
        <f>IF(OR(NOTA[[#This Row],[QTY]]="",NOTA[[#This Row],[HARGA SATUAN]]="",),"",NOTA[[#This Row],[QTY]]*NOTA[[#This Row],[HARGA SATUAN]])</f>
        <v/>
      </c>
      <c r="AG96" s="37">
        <f ca="1">IF(NOTA[ID_H]="","",INDEX(NOTA[TANGGAL],MATCH(,INDIRECT(ADDRESS(ROW(NOTA[TANGGAL]),COLUMN(NOTA[TANGGAL]))&amp;":"&amp;ADDRESS(ROW(),COLUMN(NOTA[TANGGAL]))),-1)))</f>
        <v>45052</v>
      </c>
      <c r="AH96" s="35" t="str">
        <f ca="1">IF(NOTA[[#This Row],[NAMA BARANG]]="","",INDEX(NOTA[SUPPLIER],MATCH(,INDIRECT(ADDRESS(ROW(NOTA[ID]),COLUMN(NOTA[ID]))&amp;":"&amp;ADDRESS(ROW(),COLUMN(NOTA[ID]))),-1)))</f>
        <v>KENKO SINAR INDONESIA</v>
      </c>
      <c r="AI96" s="35" t="str">
        <f ca="1">IF(NOTA[[#This Row],[ID_H]]="","",IF(NOTA[[#This Row],[FAKTUR]]="",INDIRECT(ADDRESS(ROW()-1,COLUMN())),NOTA[[#This Row],[FAKTUR]]))</f>
        <v>ARTO MORO</v>
      </c>
      <c r="AJ96" s="27" t="str">
        <f ca="1">IF(NOTA[[#This Row],[ID]]="","",COUNTIF(NOTA[ID_H],NOTA[[#This Row],[ID_H]]))</f>
        <v/>
      </c>
      <c r="AK96" s="27">
        <f ca="1">IF(NOTA[[#This Row],[TGL.NOTA]]="",IF(NOTA[[#This Row],[SUPPLIER_H]]="","",AK95),MONTH(NOTA[[#This Row],[TGL.NOTA]]))</f>
        <v>5</v>
      </c>
      <c r="AL96" s="27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M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N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O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27" t="str">
        <f>IF(NOTA[[#This Row],[CONCAT4]]="","",_xlfn.IFNA(MATCH(NOTA[[#This Row],[CONCAT4]],[2]!RAW[CONCAT_H],0),FALSE))</f>
        <v/>
      </c>
      <c r="AQ96" s="145">
        <f>IF(NOTA[[#This Row],[CONCAT1]]="","",MATCH(NOTA[[#This Row],[CONCAT1]],[3]!db[NB NOTA_C],0)+1)</f>
        <v>1276</v>
      </c>
    </row>
    <row r="97" spans="1:43" ht="20.100000000000001" customHeight="1" x14ac:dyDescent="0.25">
      <c r="A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6" t="str">
        <f>IF(NOTA[[#This Row],[ID_P]]="","",MATCH(NOTA[[#This Row],[ID_P]],[1]!B_MSK[N_ID],0))</f>
        <v/>
      </c>
      <c r="D97" s="36" t="str">
        <f ca="1">IF(NOTA[[#This Row],[NAMA BARANG]]="","",INDEX(NOTA[ID],MATCH(,INDIRECT(ADDRESS(ROW(NOTA[ID]),COLUMN(NOTA[ID]))&amp;":"&amp;ADDRESS(ROW(),COLUMN(NOTA[ID]))),-1)))</f>
        <v/>
      </c>
      <c r="E97" s="14"/>
      <c r="F97" s="16"/>
      <c r="G97" s="16"/>
      <c r="H97" s="20"/>
      <c r="I97" s="16"/>
      <c r="J97" s="37"/>
      <c r="K97" s="37"/>
      <c r="L97" s="16"/>
      <c r="M97" s="58"/>
      <c r="N97" s="57"/>
      <c r="O97" s="16"/>
      <c r="P97" s="59"/>
      <c r="Q97" s="38"/>
      <c r="R97" s="28"/>
      <c r="S97" s="39"/>
      <c r="T97" s="39"/>
      <c r="U97" s="40"/>
      <c r="V97" s="26"/>
      <c r="W97" s="40" t="str">
        <f>IF(NOTA[[#This Row],[HARGA/ CTN]]="",NOTA[[#This Row],[JUMLAH_H]],NOTA[[#This Row],[HARGA/ CTN]]*IF(NOTA[[#This Row],[C]]="",0,NOTA[[#This Row],[C]]))</f>
        <v/>
      </c>
      <c r="X97" s="40" t="str">
        <f>IF(NOTA[[#This Row],[JUMLAH]]="","",NOTA[[#This Row],[JUMLAH]]*NOTA[[#This Row],[DISC 1]])</f>
        <v/>
      </c>
      <c r="Y97" s="40" t="str">
        <f>IF(NOTA[[#This Row],[JUMLAH]]="","",(NOTA[[#This Row],[JUMLAH]]-NOTA[[#This Row],[DISC 1-]])*NOTA[[#This Row],[DISC 2]])</f>
        <v/>
      </c>
      <c r="Z97" s="40" t="str">
        <f>IF(NOTA[[#This Row],[JUMLAH]]="","",NOTA[[#This Row],[DISC 1-]]+NOTA[[#This Row],[DISC 2-]])</f>
        <v/>
      </c>
      <c r="AA97" s="40" t="str">
        <f>IF(NOTA[[#This Row],[JUMLAH]]="","",NOTA[[#This Row],[JUMLAH]]-NOTA[[#This Row],[DISC]])</f>
        <v/>
      </c>
      <c r="AB97" s="40"/>
      <c r="AC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7" s="40" t="str">
        <f>IF(OR(NOTA[[#This Row],[QTY]]="",NOTA[[#This Row],[HARGA SATUAN]]="",),"",NOTA[[#This Row],[QTY]]*NOTA[[#This Row],[HARGA SATUAN]])</f>
        <v/>
      </c>
      <c r="AG97" s="37" t="str">
        <f ca="1">IF(NOTA[ID_H]="","",INDEX(NOTA[TANGGAL],MATCH(,INDIRECT(ADDRESS(ROW(NOTA[TANGGAL]),COLUMN(NOTA[TANGGAL]))&amp;":"&amp;ADDRESS(ROW(),COLUMN(NOTA[TANGGAL]))),-1)))</f>
        <v/>
      </c>
      <c r="AH97" s="35" t="str">
        <f ca="1">IF(NOTA[[#This Row],[NAMA BARANG]]="","",INDEX(NOTA[SUPPLIER],MATCH(,INDIRECT(ADDRESS(ROW(NOTA[ID]),COLUMN(NOTA[ID]))&amp;":"&amp;ADDRESS(ROW(),COLUMN(NOTA[ID]))),-1)))</f>
        <v/>
      </c>
      <c r="AI97" s="35" t="str">
        <f ca="1">IF(NOTA[[#This Row],[ID_H]]="","",IF(NOTA[[#This Row],[FAKTUR]]="",INDIRECT(ADDRESS(ROW()-1,COLUMN())),NOTA[[#This Row],[FAKTUR]]))</f>
        <v/>
      </c>
      <c r="AJ97" s="27" t="str">
        <f ca="1">IF(NOTA[[#This Row],[ID]]="","",COUNTIF(NOTA[ID_H],NOTA[[#This Row],[ID_H]]))</f>
        <v/>
      </c>
      <c r="AK97" s="27" t="str">
        <f ca="1">IF(NOTA[[#This Row],[TGL.NOTA]]="",IF(NOTA[[#This Row],[SUPPLIER_H]]="","",AK96),MONTH(NOTA[[#This Row],[TGL.NOTA]]))</f>
        <v/>
      </c>
      <c r="AL97" s="27" t="str">
        <f>LOWER(SUBSTITUTE(SUBSTITUTE(SUBSTITUTE(SUBSTITUTE(SUBSTITUTE(SUBSTITUTE(SUBSTITUTE(SUBSTITUTE(SUBSTITUTE(NOTA[NAMA BARANG]," ",),".",""),"-",""),"(",""),")",""),",",""),"/",""),"""",""),"+",""))</f>
        <v/>
      </c>
      <c r="AM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" s="27" t="str">
        <f>IF(NOTA[[#This Row],[CONCAT4]]="","",_xlfn.IFNA(MATCH(NOTA[[#This Row],[CONCAT4]],[2]!RAW[CONCAT_H],0),FALSE))</f>
        <v/>
      </c>
      <c r="AQ97" s="145" t="str">
        <f>IF(NOTA[[#This Row],[CONCAT1]]="","",MATCH(NOTA[[#This Row],[CONCAT1]],[3]!db[NB NOTA_C],0)+1)</f>
        <v/>
      </c>
    </row>
    <row r="98" spans="1:43" ht="20.100000000000001" customHeight="1" x14ac:dyDescent="0.25">
      <c r="A98" s="35">
        <f ca="1">IF(INDIRECT(ADDRESS(ROW()-1,COLUMN(NOTA[[#Headers],[ID]])))="ID",1,IF(NOTA[[#This Row],[FAKTUR]]="","",COUNT(INDIRECT(ADDRESS(ROW(NOTA[ID]),COLUMN(NOTA[ID]))&amp;":"&amp;ADDRESS(ROW()-1,COLUMN(NOTA[ID]))))+1))</f>
        <v>15</v>
      </c>
      <c r="B9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KEN_0605_231-4</v>
      </c>
      <c r="C98" s="36" t="e">
        <f ca="1">IF(NOTA[[#This Row],[ID_P]]="","",MATCH(NOTA[[#This Row],[ID_P]],[1]!B_MSK[N_ID],0))</f>
        <v>#REF!</v>
      </c>
      <c r="D98" s="36">
        <f ca="1">IF(NOTA[[#This Row],[NAMA BARANG]]="","",INDEX(NOTA[ID],MATCH(,INDIRECT(ADDRESS(ROW(NOTA[ID]),COLUMN(NOTA[ID]))&amp;":"&amp;ADDRESS(ROW(),COLUMN(NOTA[ID]))),-1)))</f>
        <v>15</v>
      </c>
      <c r="E98" s="14"/>
      <c r="F98" s="16" t="s">
        <v>23</v>
      </c>
      <c r="G98" s="16" t="s">
        <v>24</v>
      </c>
      <c r="H98" s="20" t="s">
        <v>225</v>
      </c>
      <c r="I98" s="16" t="s">
        <v>229</v>
      </c>
      <c r="J98" s="37">
        <v>45049</v>
      </c>
      <c r="K98" s="16"/>
      <c r="L98" s="16" t="s">
        <v>218</v>
      </c>
      <c r="M98" s="28">
        <v>2</v>
      </c>
      <c r="N98" s="16"/>
      <c r="O98" s="16"/>
      <c r="P98" s="35"/>
      <c r="Q98" s="38">
        <v>2088000</v>
      </c>
      <c r="R98" s="28" t="s">
        <v>230</v>
      </c>
      <c r="S98" s="39">
        <v>0.17</v>
      </c>
      <c r="T98" s="39"/>
      <c r="U98" s="40"/>
      <c r="V98" s="26"/>
      <c r="W98" s="40">
        <f>IF(NOTA[[#This Row],[HARGA/ CTN]]="",NOTA[[#This Row],[JUMLAH_H]],NOTA[[#This Row],[HARGA/ CTN]]*IF(NOTA[[#This Row],[C]]="",0,NOTA[[#This Row],[C]]))</f>
        <v>4176000</v>
      </c>
      <c r="X98" s="40">
        <f>IF(NOTA[[#This Row],[JUMLAH]]="","",NOTA[[#This Row],[JUMLAH]]*NOTA[[#This Row],[DISC 1]])</f>
        <v>709920</v>
      </c>
      <c r="Y98" s="40">
        <f>IF(NOTA[[#This Row],[JUMLAH]]="","",(NOTA[[#This Row],[JUMLAH]]-NOTA[[#This Row],[DISC 1-]])*NOTA[[#This Row],[DISC 2]])</f>
        <v>0</v>
      </c>
      <c r="Z98" s="40">
        <f>IF(NOTA[[#This Row],[JUMLAH]]="","",NOTA[[#This Row],[DISC 1-]]+NOTA[[#This Row],[DISC 2-]])</f>
        <v>709920</v>
      </c>
      <c r="AA98" s="40">
        <f>IF(NOTA[[#This Row],[JUMLAH]]="","",NOTA[[#This Row],[JUMLAH]]-NOTA[[#This Row],[DISC]])</f>
        <v>3466080</v>
      </c>
      <c r="AB98" s="40"/>
      <c r="AC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98" s="40" t="str">
        <f>IF(OR(NOTA[[#This Row],[QTY]]="",NOTA[[#This Row],[HARGA SATUAN]]="",),"",NOTA[[#This Row],[QTY]]*NOTA[[#This Row],[HARGA SATUAN]])</f>
        <v/>
      </c>
      <c r="AG98" s="37">
        <f ca="1">IF(NOTA[ID_H]="","",INDEX(NOTA[TANGGAL],MATCH(,INDIRECT(ADDRESS(ROW(NOTA[TANGGAL]),COLUMN(NOTA[TANGGAL]))&amp;":"&amp;ADDRESS(ROW(),COLUMN(NOTA[TANGGAL]))),-1)))</f>
        <v>45052</v>
      </c>
      <c r="AH98" s="35" t="str">
        <f ca="1">IF(NOTA[[#This Row],[NAMA BARANG]]="","",INDEX(NOTA[SUPPLIER],MATCH(,INDIRECT(ADDRESS(ROW(NOTA[ID]),COLUMN(NOTA[ID]))&amp;":"&amp;ADDRESS(ROW(),COLUMN(NOTA[ID]))),-1)))</f>
        <v>KENKO SINAR INDONESIA</v>
      </c>
      <c r="AI98" s="35" t="str">
        <f ca="1">IF(NOTA[[#This Row],[ID_H]]="","",IF(NOTA[[#This Row],[FAKTUR]]="",INDIRECT(ADDRESS(ROW()-1,COLUMN())),NOTA[[#This Row],[FAKTUR]]))</f>
        <v>ARTO MORO</v>
      </c>
      <c r="AJ98" s="27">
        <f ca="1">IF(NOTA[[#This Row],[ID]]="","",COUNTIF(NOTA[ID_H],NOTA[[#This Row],[ID_H]]))</f>
        <v>4</v>
      </c>
      <c r="AK98" s="27">
        <f>IF(NOTA[[#This Row],[TGL.NOTA]]="",IF(NOTA[[#This Row],[SUPPLIER_H]]="","",AK97),MONTH(NOTA[[#This Row],[TGL.NOTA]]))</f>
        <v>5</v>
      </c>
      <c r="AL98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9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MORO23050231SA 4129045049titi12coloroilpasteltip12s</v>
      </c>
      <c r="AP98" s="27" t="e">
        <f>IF(NOTA[[#This Row],[CONCAT4]]="","",_xlfn.IFNA(MATCH(NOTA[[#This Row],[CONCAT4]],[2]!RAW[CONCAT_H],0),FALSE))</f>
        <v>#REF!</v>
      </c>
      <c r="AQ98" s="145">
        <f>IF(NOTA[[#This Row],[CONCAT1]]="","",MATCH(NOTA[[#This Row],[CONCAT1]],[3]!db[NB NOTA_C],0)+1)</f>
        <v>2264</v>
      </c>
    </row>
    <row r="99" spans="1:43" ht="20.100000000000001" customHeight="1" x14ac:dyDescent="0.25">
      <c r="A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6" t="str">
        <f>IF(NOTA[[#This Row],[ID_P]]="","",MATCH(NOTA[[#This Row],[ID_P]],[1]!B_MSK[N_ID],0))</f>
        <v/>
      </c>
      <c r="D99" s="36">
        <f ca="1">IF(NOTA[[#This Row],[NAMA BARANG]]="","",INDEX(NOTA[ID],MATCH(,INDIRECT(ADDRESS(ROW(NOTA[ID]),COLUMN(NOTA[ID]))&amp;":"&amp;ADDRESS(ROW(),COLUMN(NOTA[ID]))),-1)))</f>
        <v>15</v>
      </c>
      <c r="E99" s="14"/>
      <c r="F99" s="16"/>
      <c r="G99" s="16"/>
      <c r="H99" s="20"/>
      <c r="I99" s="16"/>
      <c r="J99" s="37"/>
      <c r="K99" s="16"/>
      <c r="L99" s="16" t="s">
        <v>226</v>
      </c>
      <c r="M99" s="28">
        <v>8</v>
      </c>
      <c r="N99" s="16"/>
      <c r="O99" s="16"/>
      <c r="P99" s="35"/>
      <c r="Q99" s="38">
        <v>3888000</v>
      </c>
      <c r="R99" s="28" t="s">
        <v>231</v>
      </c>
      <c r="S99" s="39">
        <v>0.17</v>
      </c>
      <c r="T99" s="39"/>
      <c r="U99" s="40"/>
      <c r="V99" s="26"/>
      <c r="W99" s="40">
        <f>IF(NOTA[[#This Row],[HARGA/ CTN]]="",NOTA[[#This Row],[JUMLAH_H]],NOTA[[#This Row],[HARGA/ CTN]]*IF(NOTA[[#This Row],[C]]="",0,NOTA[[#This Row],[C]]))</f>
        <v>31104000</v>
      </c>
      <c r="X99" s="40">
        <f>IF(NOTA[[#This Row],[JUMLAH]]="","",NOTA[[#This Row],[JUMLAH]]*NOTA[[#This Row],[DISC 1]])</f>
        <v>5287680</v>
      </c>
      <c r="Y99" s="40">
        <f>IF(NOTA[[#This Row],[JUMLAH]]="","",(NOTA[[#This Row],[JUMLAH]]-NOTA[[#This Row],[DISC 1-]])*NOTA[[#This Row],[DISC 2]])</f>
        <v>0</v>
      </c>
      <c r="Z99" s="40">
        <f>IF(NOTA[[#This Row],[JUMLAH]]="","",NOTA[[#This Row],[DISC 1-]]+NOTA[[#This Row],[DISC 2-]])</f>
        <v>5287680</v>
      </c>
      <c r="AA99" s="40">
        <f>IF(NOTA[[#This Row],[JUMLAH]]="","",NOTA[[#This Row],[JUMLAH]]-NOTA[[#This Row],[DISC]])</f>
        <v>25816320</v>
      </c>
      <c r="AB99" s="40"/>
      <c r="AC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99" s="40" t="str">
        <f>IF(OR(NOTA[[#This Row],[QTY]]="",NOTA[[#This Row],[HARGA SATUAN]]="",),"",NOTA[[#This Row],[QTY]]*NOTA[[#This Row],[HARGA SATUAN]])</f>
        <v/>
      </c>
      <c r="AG99" s="37">
        <f ca="1">IF(NOTA[ID_H]="","",INDEX(NOTA[TANGGAL],MATCH(,INDIRECT(ADDRESS(ROW(NOTA[TANGGAL]),COLUMN(NOTA[TANGGAL]))&amp;":"&amp;ADDRESS(ROW(),COLUMN(NOTA[TANGGAL]))),-1)))</f>
        <v>45052</v>
      </c>
      <c r="AH99" s="35" t="str">
        <f ca="1">IF(NOTA[[#This Row],[NAMA BARANG]]="","",INDEX(NOTA[SUPPLIER],MATCH(,INDIRECT(ADDRESS(ROW(NOTA[ID]),COLUMN(NOTA[ID]))&amp;":"&amp;ADDRESS(ROW(),COLUMN(NOTA[ID]))),-1)))</f>
        <v>KENKO SINAR INDONESIA</v>
      </c>
      <c r="AI99" s="35" t="str">
        <f ca="1">IF(NOTA[[#This Row],[ID_H]]="","",IF(NOTA[[#This Row],[FAKTUR]]="",INDIRECT(ADDRESS(ROW()-1,COLUMN())),NOTA[[#This Row],[FAKTUR]]))</f>
        <v>ARTO MORO</v>
      </c>
      <c r="AJ99" s="27" t="str">
        <f ca="1">IF(NOTA[[#This Row],[ID]]="","",COUNTIF(NOTA[ID_H],NOTA[[#This Row],[ID_H]]))</f>
        <v/>
      </c>
      <c r="AK99" s="27">
        <f ca="1">IF(NOTA[[#This Row],[TGL.NOTA]]="",IF(NOTA[[#This Row],[SUPPLIER_H]]="","",AK98),MONTH(NOTA[[#This Row],[TGL.NOTA]]))</f>
        <v>5</v>
      </c>
      <c r="AL99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27" t="str">
        <f>IF(NOTA[[#This Row],[CONCAT4]]="","",_xlfn.IFNA(MATCH(NOTA[[#This Row],[CONCAT4]],[2]!RAW[CONCAT_H],0),FALSE))</f>
        <v/>
      </c>
      <c r="AQ99" s="145">
        <f>IF(NOTA[[#This Row],[CONCAT1]]="","",MATCH(NOTA[[#This Row],[CONCAT1]],[3]!db[NB NOTA_C],0)+1)</f>
        <v>1236</v>
      </c>
    </row>
    <row r="100" spans="1:43" ht="20.100000000000001" customHeight="1" x14ac:dyDescent="0.25">
      <c r="A1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6" t="str">
        <f>IF(NOTA[[#This Row],[ID_P]]="","",MATCH(NOTA[[#This Row],[ID_P]],[1]!B_MSK[N_ID],0))</f>
        <v/>
      </c>
      <c r="D100" s="36">
        <f ca="1">IF(NOTA[[#This Row],[NAMA BARANG]]="","",INDEX(NOTA[ID],MATCH(,INDIRECT(ADDRESS(ROW(NOTA[ID]),COLUMN(NOTA[ID]))&amp;":"&amp;ADDRESS(ROW(),COLUMN(NOTA[ID]))),-1)))</f>
        <v>15</v>
      </c>
      <c r="E100" s="14"/>
      <c r="F100" s="16"/>
      <c r="G100" s="16"/>
      <c r="H100" s="20"/>
      <c r="I100" s="16"/>
      <c r="J100" s="37"/>
      <c r="K100" s="16"/>
      <c r="L100" s="16" t="s">
        <v>227</v>
      </c>
      <c r="M100" s="28">
        <v>5</v>
      </c>
      <c r="N100" s="16"/>
      <c r="O100" s="16"/>
      <c r="P100" s="35"/>
      <c r="Q100" s="38">
        <v>504000</v>
      </c>
      <c r="R100" s="28" t="s">
        <v>232</v>
      </c>
      <c r="S100" s="39">
        <v>0.17</v>
      </c>
      <c r="T100" s="39"/>
      <c r="U100" s="40"/>
      <c r="V100" s="26"/>
      <c r="W100" s="40">
        <f>IF(NOTA[[#This Row],[HARGA/ CTN]]="",NOTA[[#This Row],[JUMLAH_H]],NOTA[[#This Row],[HARGA/ CTN]]*IF(NOTA[[#This Row],[C]]="",0,NOTA[[#This Row],[C]]))</f>
        <v>2520000</v>
      </c>
      <c r="X100" s="40">
        <f>IF(NOTA[[#This Row],[JUMLAH]]="","",NOTA[[#This Row],[JUMLAH]]*NOTA[[#This Row],[DISC 1]])</f>
        <v>428400.00000000006</v>
      </c>
      <c r="Y100" s="40">
        <f>IF(NOTA[[#This Row],[JUMLAH]]="","",(NOTA[[#This Row],[JUMLAH]]-NOTA[[#This Row],[DISC 1-]])*NOTA[[#This Row],[DISC 2]])</f>
        <v>0</v>
      </c>
      <c r="Z100" s="40">
        <f>IF(NOTA[[#This Row],[JUMLAH]]="","",NOTA[[#This Row],[DISC 1-]]+NOTA[[#This Row],[DISC 2-]])</f>
        <v>428400.00000000006</v>
      </c>
      <c r="AA100" s="40">
        <f>IF(NOTA[[#This Row],[JUMLAH]]="","",NOTA[[#This Row],[JUMLAH]]-NOTA[[#This Row],[DISC]])</f>
        <v>2091600</v>
      </c>
      <c r="AB100" s="40"/>
      <c r="AC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00" s="40" t="str">
        <f>IF(OR(NOTA[[#This Row],[QTY]]="",NOTA[[#This Row],[HARGA SATUAN]]="",),"",NOTA[[#This Row],[QTY]]*NOTA[[#This Row],[HARGA SATUAN]])</f>
        <v/>
      </c>
      <c r="AG100" s="37">
        <f ca="1">IF(NOTA[ID_H]="","",INDEX(NOTA[TANGGAL],MATCH(,INDIRECT(ADDRESS(ROW(NOTA[TANGGAL]),COLUMN(NOTA[TANGGAL]))&amp;":"&amp;ADDRESS(ROW(),COLUMN(NOTA[TANGGAL]))),-1)))</f>
        <v>45052</v>
      </c>
      <c r="AH100" s="35" t="str">
        <f ca="1">IF(NOTA[[#This Row],[NAMA BARANG]]="","",INDEX(NOTA[SUPPLIER],MATCH(,INDIRECT(ADDRESS(ROW(NOTA[ID]),COLUMN(NOTA[ID]))&amp;":"&amp;ADDRESS(ROW(),COLUMN(NOTA[ID]))),-1)))</f>
        <v>KENKO SINAR INDONESIA</v>
      </c>
      <c r="AI100" s="35" t="str">
        <f ca="1">IF(NOTA[[#This Row],[ID_H]]="","",IF(NOTA[[#This Row],[FAKTUR]]="",INDIRECT(ADDRESS(ROW()-1,COLUMN())),NOTA[[#This Row],[FAKTUR]]))</f>
        <v>ARTO MORO</v>
      </c>
      <c r="AJ100" s="27" t="str">
        <f ca="1">IF(NOTA[[#This Row],[ID]]="","",COUNTIF(NOTA[ID_H],NOTA[[#This Row],[ID_H]]))</f>
        <v/>
      </c>
      <c r="AK100" s="27">
        <f ca="1">IF(NOTA[[#This Row],[TGL.NOTA]]="",IF(NOTA[[#This Row],[SUPPLIER_H]]="","",AK99),MONTH(NOTA[[#This Row],[TGL.NOTA]]))</f>
        <v>5</v>
      </c>
      <c r="AL100" s="27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1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1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1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" s="27" t="str">
        <f>IF(NOTA[[#This Row],[CONCAT4]]="","",_xlfn.IFNA(MATCH(NOTA[[#This Row],[CONCAT4]],[2]!RAW[CONCAT_H],0),FALSE))</f>
        <v/>
      </c>
      <c r="AQ100" s="145">
        <f>IF(NOTA[[#This Row],[CONCAT1]]="","",MATCH(NOTA[[#This Row],[CONCAT1]],[3]!db[NB NOTA_C],0)+1)</f>
        <v>1323</v>
      </c>
    </row>
    <row r="101" spans="1:43" ht="20.100000000000001" customHeight="1" x14ac:dyDescent="0.25">
      <c r="A1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6" t="str">
        <f>IF(NOTA[[#This Row],[ID_P]]="","",MATCH(NOTA[[#This Row],[ID_P]],[1]!B_MSK[N_ID],0))</f>
        <v/>
      </c>
      <c r="D101" s="36">
        <f ca="1">IF(NOTA[[#This Row],[NAMA BARANG]]="","",INDEX(NOTA[ID],MATCH(,INDIRECT(ADDRESS(ROW(NOTA[ID]),COLUMN(NOTA[ID]))&amp;":"&amp;ADDRESS(ROW(),COLUMN(NOTA[ID]))),-1)))</f>
        <v>15</v>
      </c>
      <c r="E101" s="14"/>
      <c r="F101" s="16"/>
      <c r="G101" s="16"/>
      <c r="H101" s="20"/>
      <c r="I101" s="16"/>
      <c r="J101" s="37"/>
      <c r="K101" s="16"/>
      <c r="L101" s="16" t="s">
        <v>228</v>
      </c>
      <c r="M101" s="28">
        <v>3</v>
      </c>
      <c r="N101" s="16"/>
      <c r="O101" s="16"/>
      <c r="P101" s="35"/>
      <c r="Q101" s="38">
        <v>2880000</v>
      </c>
      <c r="R101" s="28" t="s">
        <v>151</v>
      </c>
      <c r="S101" s="39">
        <v>0.17</v>
      </c>
      <c r="T101" s="39"/>
      <c r="U101" s="40"/>
      <c r="V101" s="26"/>
      <c r="W101" s="40">
        <f>IF(NOTA[[#This Row],[HARGA/ CTN]]="",NOTA[[#This Row],[JUMLAH_H]],NOTA[[#This Row],[HARGA/ CTN]]*IF(NOTA[[#This Row],[C]]="",0,NOTA[[#This Row],[C]]))</f>
        <v>8640000</v>
      </c>
      <c r="X101" s="40">
        <f>IF(NOTA[[#This Row],[JUMLAH]]="","",NOTA[[#This Row],[JUMLAH]]*NOTA[[#This Row],[DISC 1]])</f>
        <v>1468800</v>
      </c>
      <c r="Y101" s="40">
        <f>IF(NOTA[[#This Row],[JUMLAH]]="","",(NOTA[[#This Row],[JUMLAH]]-NOTA[[#This Row],[DISC 1-]])*NOTA[[#This Row],[DISC 2]])</f>
        <v>0</v>
      </c>
      <c r="Z101" s="40">
        <f>IF(NOTA[[#This Row],[JUMLAH]]="","",NOTA[[#This Row],[DISC 1-]]+NOTA[[#This Row],[DISC 2-]])</f>
        <v>1468800</v>
      </c>
      <c r="AA101" s="40">
        <f>IF(NOTA[[#This Row],[JUMLAH]]="","",NOTA[[#This Row],[JUMLAH]]-NOTA[[#This Row],[DISC]])</f>
        <v>7171200</v>
      </c>
      <c r="AB101" s="40"/>
      <c r="AC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7894800</v>
      </c>
      <c r="AD1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38545200</v>
      </c>
      <c r="AE101" s="3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101" s="40" t="str">
        <f>IF(OR(NOTA[[#This Row],[QTY]]="",NOTA[[#This Row],[HARGA SATUAN]]="",),"",NOTA[[#This Row],[QTY]]*NOTA[[#This Row],[HARGA SATUAN]])</f>
        <v/>
      </c>
      <c r="AG101" s="37">
        <f ca="1">IF(NOTA[ID_H]="","",INDEX(NOTA[TANGGAL],MATCH(,INDIRECT(ADDRESS(ROW(NOTA[TANGGAL]),COLUMN(NOTA[TANGGAL]))&amp;":"&amp;ADDRESS(ROW(),COLUMN(NOTA[TANGGAL]))),-1)))</f>
        <v>45052</v>
      </c>
      <c r="AH101" s="35" t="str">
        <f ca="1">IF(NOTA[[#This Row],[NAMA BARANG]]="","",INDEX(NOTA[SUPPLIER],MATCH(,INDIRECT(ADDRESS(ROW(NOTA[ID]),COLUMN(NOTA[ID]))&amp;":"&amp;ADDRESS(ROW(),COLUMN(NOTA[ID]))),-1)))</f>
        <v>KENKO SINAR INDONESIA</v>
      </c>
      <c r="AI101" s="35" t="str">
        <f ca="1">IF(NOTA[[#This Row],[ID_H]]="","",IF(NOTA[[#This Row],[FAKTUR]]="",INDIRECT(ADDRESS(ROW()-1,COLUMN())),NOTA[[#This Row],[FAKTUR]]))</f>
        <v>ARTO MORO</v>
      </c>
      <c r="AJ101" s="27" t="str">
        <f ca="1">IF(NOTA[[#This Row],[ID]]="","",COUNTIF(NOTA[ID_H],NOTA[[#This Row],[ID_H]]))</f>
        <v/>
      </c>
      <c r="AK101" s="27">
        <f ca="1">IF(NOTA[[#This Row],[TGL.NOTA]]="",IF(NOTA[[#This Row],[SUPPLIER_H]]="","",AK100),MONTH(NOTA[[#This Row],[TGL.NOTA]]))</f>
        <v>5</v>
      </c>
      <c r="AL101" s="27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1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1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1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27" t="str">
        <f>IF(NOTA[[#This Row],[CONCAT4]]="","",_xlfn.IFNA(MATCH(NOTA[[#This Row],[CONCAT4]],[2]!RAW[CONCAT_H],0),FALSE))</f>
        <v/>
      </c>
      <c r="AQ101" s="145">
        <f>IF(NOTA[[#This Row],[CONCAT1]]="","",MATCH(NOTA[[#This Row],[CONCAT1]],[3]!db[NB NOTA_C],0)+1)</f>
        <v>1225</v>
      </c>
    </row>
    <row r="102" spans="1:43" ht="20.100000000000001" customHeight="1" x14ac:dyDescent="0.25">
      <c r="A1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6" t="str">
        <f>IF(NOTA[[#This Row],[ID_P]]="","",MATCH(NOTA[[#This Row],[ID_P]],[1]!B_MSK[N_ID],0))</f>
        <v/>
      </c>
      <c r="D102" s="36" t="str">
        <f ca="1">IF(NOTA[[#This Row],[NAMA BARANG]]="","",INDEX(NOTA[ID],MATCH(,INDIRECT(ADDRESS(ROW(NOTA[ID]),COLUMN(NOTA[ID]))&amp;":"&amp;ADDRESS(ROW(),COLUMN(NOTA[ID]))),-1)))</f>
        <v/>
      </c>
      <c r="E102" s="14"/>
      <c r="F102" s="16"/>
      <c r="G102" s="16"/>
      <c r="H102" s="20"/>
      <c r="I102" s="16"/>
      <c r="J102" s="37"/>
      <c r="K102" s="16"/>
      <c r="L102" s="16"/>
      <c r="M102" s="28"/>
      <c r="N102" s="16"/>
      <c r="O102" s="16"/>
      <c r="P102" s="35"/>
      <c r="Q102" s="38"/>
      <c r="R102" s="28"/>
      <c r="S102" s="39"/>
      <c r="T102" s="39"/>
      <c r="U102" s="40"/>
      <c r="V102" s="26"/>
      <c r="W102" s="40" t="str">
        <f>IF(NOTA[[#This Row],[HARGA/ CTN]]="",NOTA[[#This Row],[JUMLAH_H]],NOTA[[#This Row],[HARGA/ CTN]]*IF(NOTA[[#This Row],[C]]="",0,NOTA[[#This Row],[C]]))</f>
        <v/>
      </c>
      <c r="X102" s="40" t="str">
        <f>IF(NOTA[[#This Row],[JUMLAH]]="","",NOTA[[#This Row],[JUMLAH]]*NOTA[[#This Row],[DISC 1]])</f>
        <v/>
      </c>
      <c r="Y102" s="40" t="str">
        <f>IF(NOTA[[#This Row],[JUMLAH]]="","",(NOTA[[#This Row],[JUMLAH]]-NOTA[[#This Row],[DISC 1-]])*NOTA[[#This Row],[DISC 2]])</f>
        <v/>
      </c>
      <c r="Z102" s="40" t="str">
        <f>IF(NOTA[[#This Row],[JUMLAH]]="","",NOTA[[#This Row],[DISC 1-]]+NOTA[[#This Row],[DISC 2-]])</f>
        <v/>
      </c>
      <c r="AA102" s="40" t="str">
        <f>IF(NOTA[[#This Row],[JUMLAH]]="","",NOTA[[#This Row],[JUMLAH]]-NOTA[[#This Row],[DISC]])</f>
        <v/>
      </c>
      <c r="AB102" s="40"/>
      <c r="AC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" s="40" t="str">
        <f>IF(OR(NOTA[[#This Row],[QTY]]="",NOTA[[#This Row],[HARGA SATUAN]]="",),"",NOTA[[#This Row],[QTY]]*NOTA[[#This Row],[HARGA SATUAN]])</f>
        <v/>
      </c>
      <c r="AG102" s="37" t="str">
        <f ca="1">IF(NOTA[ID_H]="","",INDEX(NOTA[TANGGAL],MATCH(,INDIRECT(ADDRESS(ROW(NOTA[TANGGAL]),COLUMN(NOTA[TANGGAL]))&amp;":"&amp;ADDRESS(ROW(),COLUMN(NOTA[TANGGAL]))),-1)))</f>
        <v/>
      </c>
      <c r="AH102" s="35" t="str">
        <f ca="1">IF(NOTA[[#This Row],[NAMA BARANG]]="","",INDEX(NOTA[SUPPLIER],MATCH(,INDIRECT(ADDRESS(ROW(NOTA[ID]),COLUMN(NOTA[ID]))&amp;":"&amp;ADDRESS(ROW(),COLUMN(NOTA[ID]))),-1)))</f>
        <v/>
      </c>
      <c r="AI102" s="35" t="str">
        <f ca="1">IF(NOTA[[#This Row],[ID_H]]="","",IF(NOTA[[#This Row],[FAKTUR]]="",INDIRECT(ADDRESS(ROW()-1,COLUMN())),NOTA[[#This Row],[FAKTUR]]))</f>
        <v/>
      </c>
      <c r="AJ102" s="27" t="str">
        <f ca="1">IF(NOTA[[#This Row],[ID]]="","",COUNTIF(NOTA[ID_H],NOTA[[#This Row],[ID_H]]))</f>
        <v/>
      </c>
      <c r="AK102" s="27" t="str">
        <f ca="1">IF(NOTA[[#This Row],[TGL.NOTA]]="",IF(NOTA[[#This Row],[SUPPLIER_H]]="","",AK101),MONTH(NOTA[[#This Row],[TGL.NOTA]]))</f>
        <v/>
      </c>
      <c r="AL102" s="27" t="str">
        <f>LOWER(SUBSTITUTE(SUBSTITUTE(SUBSTITUTE(SUBSTITUTE(SUBSTITUTE(SUBSTITUTE(SUBSTITUTE(SUBSTITUTE(SUBSTITUTE(NOTA[NAMA BARANG]," ",),".",""),"-",""),"(",""),")",""),",",""),"/",""),"""",""),"+",""))</f>
        <v/>
      </c>
      <c r="AM1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" s="27" t="str">
        <f>IF(NOTA[[#This Row],[CONCAT4]]="","",_xlfn.IFNA(MATCH(NOTA[[#This Row],[CONCAT4]],[2]!RAW[CONCAT_H],0),FALSE))</f>
        <v/>
      </c>
      <c r="AQ102" s="145" t="str">
        <f>IF(NOTA[[#This Row],[CONCAT1]]="","",MATCH(NOTA[[#This Row],[CONCAT1]],[3]!db[NB NOTA_C],0)+1)</f>
        <v/>
      </c>
    </row>
    <row r="103" spans="1:43" ht="20.100000000000001" customHeight="1" x14ac:dyDescent="0.25">
      <c r="A103" s="35">
        <f ca="1">IF(INDIRECT(ADDRESS(ROW()-1,COLUMN(NOTA[[#Headers],[ID]])))="ID",1,IF(NOTA[[#This Row],[FAKTUR]]="","",COUNT(INDIRECT(ADDRESS(ROW(NOTA[ID]),COLUMN(NOTA[ID]))&amp;":"&amp;ADDRESS(ROW()-1,COLUMN(NOTA[ID]))))+1))</f>
        <v>16</v>
      </c>
      <c r="B1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JAY_0605_424-6</v>
      </c>
      <c r="C103" s="36" t="e">
        <f ca="1">IF(NOTA[[#This Row],[ID_P]]="","",MATCH(NOTA[[#This Row],[ID_P]],[1]!B_MSK[N_ID],0))</f>
        <v>#REF!</v>
      </c>
      <c r="D103" s="36">
        <f ca="1">IF(NOTA[[#This Row],[NAMA BARANG]]="","",INDEX(NOTA[ID],MATCH(,INDIRECT(ADDRESS(ROW(NOTA[ID]),COLUMN(NOTA[ID]))&amp;":"&amp;ADDRESS(ROW(),COLUMN(NOTA[ID]))),-1)))</f>
        <v>16</v>
      </c>
      <c r="E103" s="14"/>
      <c r="F103" s="16" t="s">
        <v>240</v>
      </c>
      <c r="G103" s="16" t="s">
        <v>112</v>
      </c>
      <c r="H103" s="20" t="s">
        <v>241</v>
      </c>
      <c r="I103" s="16"/>
      <c r="J103" s="37">
        <v>45049</v>
      </c>
      <c r="K103" s="16"/>
      <c r="L103" s="16" t="s">
        <v>242</v>
      </c>
      <c r="M103" s="28"/>
      <c r="N103" s="16">
        <v>120</v>
      </c>
      <c r="O103" s="16" t="s">
        <v>160</v>
      </c>
      <c r="P103" s="35">
        <v>12000</v>
      </c>
      <c r="Q103" s="38"/>
      <c r="R103" s="28"/>
      <c r="S103" s="39"/>
      <c r="T103" s="39"/>
      <c r="U103" s="40"/>
      <c r="V103" s="26"/>
      <c r="W103" s="40">
        <f>IF(NOTA[[#This Row],[HARGA/ CTN]]="",NOTA[[#This Row],[JUMLAH_H]],NOTA[[#This Row],[HARGA/ CTN]]*IF(NOTA[[#This Row],[C]]="",0,NOTA[[#This Row],[C]]))</f>
        <v>1440000</v>
      </c>
      <c r="X103" s="40">
        <f>IF(NOTA[[#This Row],[JUMLAH]]="","",NOTA[[#This Row],[JUMLAH]]*NOTA[[#This Row],[DISC 1]])</f>
        <v>0</v>
      </c>
      <c r="Y103" s="40">
        <f>IF(NOTA[[#This Row],[JUMLAH]]="","",(NOTA[[#This Row],[JUMLAH]]-NOTA[[#This Row],[DISC 1-]])*NOTA[[#This Row],[DISC 2]])</f>
        <v>0</v>
      </c>
      <c r="Z103" s="40">
        <f>IF(NOTA[[#This Row],[JUMLAH]]="","",NOTA[[#This Row],[DISC 1-]]+NOTA[[#This Row],[DISC 2-]])</f>
        <v>0</v>
      </c>
      <c r="AA103" s="40">
        <f>IF(NOTA[[#This Row],[JUMLAH]]="","",NOTA[[#This Row],[JUMLAH]]-NOTA[[#This Row],[DISC]])</f>
        <v>1440000</v>
      </c>
      <c r="AB103" s="40"/>
      <c r="AC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3" s="40">
        <f>IF(OR(NOTA[[#This Row],[QTY]]="",NOTA[[#This Row],[HARGA SATUAN]]="",),"",NOTA[[#This Row],[QTY]]*NOTA[[#This Row],[HARGA SATUAN]])</f>
        <v>1440000</v>
      </c>
      <c r="AG103" s="37">
        <f ca="1">IF(NOTA[ID_H]="","",INDEX(NOTA[TANGGAL],MATCH(,INDIRECT(ADDRESS(ROW(NOTA[TANGGAL]),COLUMN(NOTA[TANGGAL]))&amp;":"&amp;ADDRESS(ROW(),COLUMN(NOTA[TANGGAL]))),-1)))</f>
        <v>45052</v>
      </c>
      <c r="AH103" s="35" t="str">
        <f ca="1">IF(NOTA[[#This Row],[NAMA BARANG]]="","",INDEX(NOTA[SUPPLIER],MATCH(,INDIRECT(ADDRESS(ROW(NOTA[ID]),COLUMN(NOTA[ID]))&amp;":"&amp;ADDRESS(ROW(),COLUMN(NOTA[ID]))),-1)))</f>
        <v>JAYA MAKMUR</v>
      </c>
      <c r="AI103" s="35" t="str">
        <f ca="1">IF(NOTA[[#This Row],[ID_H]]="","",IF(NOTA[[#This Row],[FAKTUR]]="",INDIRECT(ADDRESS(ROW()-1,COLUMN())),NOTA[[#This Row],[FAKTUR]]))</f>
        <v>UNTANA</v>
      </c>
      <c r="AJ103" s="27">
        <f ca="1">IF(NOTA[[#This Row],[ID]]="","",COUNTIF(NOTA[ID_H],NOTA[[#This Row],[ID_H]]))</f>
        <v>6</v>
      </c>
      <c r="AK103" s="27">
        <f>IF(NOTA[[#This Row],[TGL.NOTA]]="",IF(NOTA[[#This Row],[SUPPLIER_H]]="","",AK102),MONTH(NOTA[[#This Row],[TGL.NOTA]]))</f>
        <v>5</v>
      </c>
      <c r="AL103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1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1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103" s="27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1342445049tapedispenser805merah</v>
      </c>
      <c r="AP103" s="27" t="e">
        <f>IF(NOTA[[#This Row],[CONCAT4]]="","",_xlfn.IFNA(MATCH(NOTA[[#This Row],[CONCAT4]],[2]!RAW[CONCAT_H],0),FALSE))</f>
        <v>#REF!</v>
      </c>
      <c r="AQ103" s="145">
        <f>IF(NOTA[[#This Row],[CONCAT1]]="","",MATCH(NOTA[[#This Row],[CONCAT1]],[3]!db[NB NOTA_C],0)+1)</f>
        <v>2231</v>
      </c>
    </row>
    <row r="104" spans="1:43" ht="20.100000000000001" customHeight="1" x14ac:dyDescent="0.25">
      <c r="A1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6" t="str">
        <f>IF(NOTA[[#This Row],[ID_P]]="","",MATCH(NOTA[[#This Row],[ID_P]],[1]!B_MSK[N_ID],0))</f>
        <v/>
      </c>
      <c r="D104" s="36">
        <f ca="1">IF(NOTA[[#This Row],[NAMA BARANG]]="","",INDEX(NOTA[ID],MATCH(,INDIRECT(ADDRESS(ROW(NOTA[ID]),COLUMN(NOTA[ID]))&amp;":"&amp;ADDRESS(ROW(),COLUMN(NOTA[ID]))),-1)))</f>
        <v>16</v>
      </c>
      <c r="E104" s="14"/>
      <c r="F104" s="16"/>
      <c r="G104" s="16"/>
      <c r="H104" s="20"/>
      <c r="I104" s="16"/>
      <c r="J104" s="37"/>
      <c r="K104" s="16"/>
      <c r="L104" s="16" t="s">
        <v>243</v>
      </c>
      <c r="M104" s="28"/>
      <c r="N104" s="16">
        <v>120</v>
      </c>
      <c r="O104" s="16" t="s">
        <v>160</v>
      </c>
      <c r="P104" s="35">
        <v>12000</v>
      </c>
      <c r="Q104" s="38"/>
      <c r="R104" s="28"/>
      <c r="S104" s="39"/>
      <c r="T104" s="39"/>
      <c r="U104" s="40"/>
      <c r="V104" s="26"/>
      <c r="W104" s="40">
        <f>IF(NOTA[[#This Row],[HARGA/ CTN]]="",NOTA[[#This Row],[JUMLAH_H]],NOTA[[#This Row],[HARGA/ CTN]]*IF(NOTA[[#This Row],[C]]="",0,NOTA[[#This Row],[C]]))</f>
        <v>1440000</v>
      </c>
      <c r="X104" s="40">
        <f>IF(NOTA[[#This Row],[JUMLAH]]="","",NOTA[[#This Row],[JUMLAH]]*NOTA[[#This Row],[DISC 1]])</f>
        <v>0</v>
      </c>
      <c r="Y104" s="40">
        <f>IF(NOTA[[#This Row],[JUMLAH]]="","",(NOTA[[#This Row],[JUMLAH]]-NOTA[[#This Row],[DISC 1-]])*NOTA[[#This Row],[DISC 2]])</f>
        <v>0</v>
      </c>
      <c r="Z104" s="40">
        <f>IF(NOTA[[#This Row],[JUMLAH]]="","",NOTA[[#This Row],[DISC 1-]]+NOTA[[#This Row],[DISC 2-]])</f>
        <v>0</v>
      </c>
      <c r="AA104" s="40">
        <f>IF(NOTA[[#This Row],[JUMLAH]]="","",NOTA[[#This Row],[JUMLAH]]-NOTA[[#This Row],[DISC]])</f>
        <v>1440000</v>
      </c>
      <c r="AB104" s="40"/>
      <c r="AC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4" s="40">
        <f>IF(OR(NOTA[[#This Row],[QTY]]="",NOTA[[#This Row],[HARGA SATUAN]]="",),"",NOTA[[#This Row],[QTY]]*NOTA[[#This Row],[HARGA SATUAN]])</f>
        <v>1440000</v>
      </c>
      <c r="AG104" s="37">
        <f ca="1">IF(NOTA[ID_H]="","",INDEX(NOTA[TANGGAL],MATCH(,INDIRECT(ADDRESS(ROW(NOTA[TANGGAL]),COLUMN(NOTA[TANGGAL]))&amp;":"&amp;ADDRESS(ROW(),COLUMN(NOTA[TANGGAL]))),-1)))</f>
        <v>45052</v>
      </c>
      <c r="AH104" s="35" t="str">
        <f ca="1">IF(NOTA[[#This Row],[NAMA BARANG]]="","",INDEX(NOTA[SUPPLIER],MATCH(,INDIRECT(ADDRESS(ROW(NOTA[ID]),COLUMN(NOTA[ID]))&amp;":"&amp;ADDRESS(ROW(),COLUMN(NOTA[ID]))),-1)))</f>
        <v>JAYA MAKMUR</v>
      </c>
      <c r="AI104" s="35" t="str">
        <f ca="1">IF(NOTA[[#This Row],[ID_H]]="","",IF(NOTA[[#This Row],[FAKTUR]]="",INDIRECT(ADDRESS(ROW()-1,COLUMN())),NOTA[[#This Row],[FAKTUR]]))</f>
        <v>UNTANA</v>
      </c>
      <c r="AJ104" s="27" t="str">
        <f ca="1">IF(NOTA[[#This Row],[ID]]="","",COUNTIF(NOTA[ID_H],NOTA[[#This Row],[ID_H]]))</f>
        <v/>
      </c>
      <c r="AK104" s="27">
        <f ca="1">IF(NOTA[[#This Row],[TGL.NOTA]]="",IF(NOTA[[#This Row],[SUPPLIER_H]]="","",AK103),MONTH(NOTA[[#This Row],[TGL.NOTA]]))</f>
        <v>5</v>
      </c>
      <c r="AL104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1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1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1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27" t="str">
        <f>IF(NOTA[[#This Row],[CONCAT4]]="","",_xlfn.IFNA(MATCH(NOTA[[#This Row],[CONCAT4]],[2]!RAW[CONCAT_H],0),FALSE))</f>
        <v/>
      </c>
      <c r="AQ104" s="145">
        <f>IF(NOTA[[#This Row],[CONCAT1]]="","",MATCH(NOTA[[#This Row],[CONCAT1]],[3]!db[NB NOTA_C],0)+1)</f>
        <v>2230</v>
      </c>
    </row>
    <row r="105" spans="1:43" ht="20.100000000000001" customHeight="1" x14ac:dyDescent="0.25">
      <c r="A1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6" t="str">
        <f>IF(NOTA[[#This Row],[ID_P]]="","",MATCH(NOTA[[#This Row],[ID_P]],[1]!B_MSK[N_ID],0))</f>
        <v/>
      </c>
      <c r="D105" s="36">
        <f ca="1">IF(NOTA[[#This Row],[NAMA BARANG]]="","",INDEX(NOTA[ID],MATCH(,INDIRECT(ADDRESS(ROW(NOTA[ID]),COLUMN(NOTA[ID]))&amp;":"&amp;ADDRESS(ROW(),COLUMN(NOTA[ID]))),-1)))</f>
        <v>16</v>
      </c>
      <c r="E105" s="14"/>
      <c r="F105" s="16"/>
      <c r="G105" s="16"/>
      <c r="H105" s="20"/>
      <c r="I105" s="16"/>
      <c r="J105" s="37"/>
      <c r="K105" s="16"/>
      <c r="L105" s="16" t="s">
        <v>244</v>
      </c>
      <c r="M105" s="28"/>
      <c r="N105" s="16">
        <v>120</v>
      </c>
      <c r="O105" s="16" t="s">
        <v>160</v>
      </c>
      <c r="P105" s="35">
        <v>12000</v>
      </c>
      <c r="Q105" s="38"/>
      <c r="R105" s="28"/>
      <c r="S105" s="39"/>
      <c r="T105" s="39"/>
      <c r="U105" s="40"/>
      <c r="V105" s="26"/>
      <c r="W105" s="40">
        <f>IF(NOTA[[#This Row],[HARGA/ CTN]]="",NOTA[[#This Row],[JUMLAH_H]],NOTA[[#This Row],[HARGA/ CTN]]*IF(NOTA[[#This Row],[C]]="",0,NOTA[[#This Row],[C]]))</f>
        <v>1440000</v>
      </c>
      <c r="X105" s="40">
        <f>IF(NOTA[[#This Row],[JUMLAH]]="","",NOTA[[#This Row],[JUMLAH]]*NOTA[[#This Row],[DISC 1]])</f>
        <v>0</v>
      </c>
      <c r="Y105" s="40">
        <f>IF(NOTA[[#This Row],[JUMLAH]]="","",(NOTA[[#This Row],[JUMLAH]]-NOTA[[#This Row],[DISC 1-]])*NOTA[[#This Row],[DISC 2]])</f>
        <v>0</v>
      </c>
      <c r="Z105" s="40">
        <f>IF(NOTA[[#This Row],[JUMLAH]]="","",NOTA[[#This Row],[DISC 1-]]+NOTA[[#This Row],[DISC 2-]])</f>
        <v>0</v>
      </c>
      <c r="AA105" s="40">
        <f>IF(NOTA[[#This Row],[JUMLAH]]="","",NOTA[[#This Row],[JUMLAH]]-NOTA[[#This Row],[DISC]])</f>
        <v>1440000</v>
      </c>
      <c r="AB105" s="40"/>
      <c r="AC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5" s="40">
        <f>IF(OR(NOTA[[#This Row],[QTY]]="",NOTA[[#This Row],[HARGA SATUAN]]="",),"",NOTA[[#This Row],[QTY]]*NOTA[[#This Row],[HARGA SATUAN]])</f>
        <v>1440000</v>
      </c>
      <c r="AG105" s="37">
        <f ca="1">IF(NOTA[ID_H]="","",INDEX(NOTA[TANGGAL],MATCH(,INDIRECT(ADDRESS(ROW(NOTA[TANGGAL]),COLUMN(NOTA[TANGGAL]))&amp;":"&amp;ADDRESS(ROW(),COLUMN(NOTA[TANGGAL]))),-1)))</f>
        <v>45052</v>
      </c>
      <c r="AH105" s="35" t="str">
        <f ca="1">IF(NOTA[[#This Row],[NAMA BARANG]]="","",INDEX(NOTA[SUPPLIER],MATCH(,INDIRECT(ADDRESS(ROW(NOTA[ID]),COLUMN(NOTA[ID]))&amp;":"&amp;ADDRESS(ROW(),COLUMN(NOTA[ID]))),-1)))</f>
        <v>JAYA MAKMUR</v>
      </c>
      <c r="AI105" s="35" t="str">
        <f ca="1">IF(NOTA[[#This Row],[ID_H]]="","",IF(NOTA[[#This Row],[FAKTUR]]="",INDIRECT(ADDRESS(ROW()-1,COLUMN())),NOTA[[#This Row],[FAKTUR]]))</f>
        <v>UNTANA</v>
      </c>
      <c r="AJ105" s="27" t="str">
        <f ca="1">IF(NOTA[[#This Row],[ID]]="","",COUNTIF(NOTA[ID_H],NOTA[[#This Row],[ID_H]]))</f>
        <v/>
      </c>
      <c r="AK105" s="27">
        <f ca="1">IF(NOTA[[#This Row],[TGL.NOTA]]="",IF(NOTA[[#This Row],[SUPPLIER_H]]="","",AK104),MONTH(NOTA[[#This Row],[TGL.NOTA]]))</f>
        <v>5</v>
      </c>
      <c r="AL105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1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1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1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27" t="str">
        <f>IF(NOTA[[#This Row],[CONCAT4]]="","",_xlfn.IFNA(MATCH(NOTA[[#This Row],[CONCAT4]],[2]!RAW[CONCAT_H],0),FALSE))</f>
        <v/>
      </c>
      <c r="AQ105" s="145">
        <f>IF(NOTA[[#This Row],[CONCAT1]]="","",MATCH(NOTA[[#This Row],[CONCAT1]],[3]!db[NB NOTA_C],0)+1)</f>
        <v>2232</v>
      </c>
    </row>
    <row r="106" spans="1:43" ht="20.100000000000001" customHeight="1" x14ac:dyDescent="0.25">
      <c r="A1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6" t="str">
        <f>IF(NOTA[[#This Row],[ID_P]]="","",MATCH(NOTA[[#This Row],[ID_P]],[1]!B_MSK[N_ID],0))</f>
        <v/>
      </c>
      <c r="D106" s="36">
        <f ca="1">IF(NOTA[[#This Row],[NAMA BARANG]]="","",INDEX(NOTA[ID],MATCH(,INDIRECT(ADDRESS(ROW(NOTA[ID]),COLUMN(NOTA[ID]))&amp;":"&amp;ADDRESS(ROW(),COLUMN(NOTA[ID]))),-1)))</f>
        <v>16</v>
      </c>
      <c r="E106" s="14"/>
      <c r="F106" s="16"/>
      <c r="G106" s="16"/>
      <c r="H106" s="20"/>
      <c r="I106" s="16"/>
      <c r="J106" s="37"/>
      <c r="K106" s="16"/>
      <c r="L106" s="16" t="s">
        <v>242</v>
      </c>
      <c r="M106" s="28"/>
      <c r="N106" s="16">
        <v>12</v>
      </c>
      <c r="O106" s="16" t="s">
        <v>160</v>
      </c>
      <c r="P106" s="35"/>
      <c r="Q106" s="38"/>
      <c r="R106" s="28"/>
      <c r="S106" s="39"/>
      <c r="T106" s="39"/>
      <c r="U106" s="40"/>
      <c r="V106" s="26"/>
      <c r="W106" s="40" t="str">
        <f>IF(NOTA[[#This Row],[HARGA/ CTN]]="",NOTA[[#This Row],[JUMLAH_H]],NOTA[[#This Row],[HARGA/ CTN]]*IF(NOTA[[#This Row],[C]]="",0,NOTA[[#This Row],[C]]))</f>
        <v/>
      </c>
      <c r="X106" s="40" t="str">
        <f>IF(NOTA[[#This Row],[JUMLAH]]="","",NOTA[[#This Row],[JUMLAH]]*NOTA[[#This Row],[DISC 1]])</f>
        <v/>
      </c>
      <c r="Y106" s="40" t="str">
        <f>IF(NOTA[[#This Row],[JUMLAH]]="","",(NOTA[[#This Row],[JUMLAH]]-NOTA[[#This Row],[DISC 1-]])*NOTA[[#This Row],[DISC 2]])</f>
        <v/>
      </c>
      <c r="Z106" s="40" t="str">
        <f>IF(NOTA[[#This Row],[JUMLAH]]="","",NOTA[[#This Row],[DISC 1-]]+NOTA[[#This Row],[DISC 2-]])</f>
        <v/>
      </c>
      <c r="AA106" s="40" t="str">
        <f>IF(NOTA[[#This Row],[JUMLAH]]="","",NOTA[[#This Row],[JUMLAH]]-NOTA[[#This Row],[DISC]])</f>
        <v/>
      </c>
      <c r="AB106" s="40"/>
      <c r="AC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6" s="40" t="str">
        <f>IF(OR(NOTA[[#This Row],[QTY]]="",NOTA[[#This Row],[HARGA SATUAN]]="",),"",NOTA[[#This Row],[QTY]]*NOTA[[#This Row],[HARGA SATUAN]])</f>
        <v/>
      </c>
      <c r="AG106" s="37">
        <f ca="1">IF(NOTA[ID_H]="","",INDEX(NOTA[TANGGAL],MATCH(,INDIRECT(ADDRESS(ROW(NOTA[TANGGAL]),COLUMN(NOTA[TANGGAL]))&amp;":"&amp;ADDRESS(ROW(),COLUMN(NOTA[TANGGAL]))),-1)))</f>
        <v>45052</v>
      </c>
      <c r="AH106" s="35" t="str">
        <f ca="1">IF(NOTA[[#This Row],[NAMA BARANG]]="","",INDEX(NOTA[SUPPLIER],MATCH(,INDIRECT(ADDRESS(ROW(NOTA[ID]),COLUMN(NOTA[ID]))&amp;":"&amp;ADDRESS(ROW(),COLUMN(NOTA[ID]))),-1)))</f>
        <v>JAYA MAKMUR</v>
      </c>
      <c r="AI106" s="35" t="str">
        <f ca="1">IF(NOTA[[#This Row],[ID_H]]="","",IF(NOTA[[#This Row],[FAKTUR]]="",INDIRECT(ADDRESS(ROW()-1,COLUMN())),NOTA[[#This Row],[FAKTUR]]))</f>
        <v>UNTANA</v>
      </c>
      <c r="AJ106" s="27" t="str">
        <f ca="1">IF(NOTA[[#This Row],[ID]]="","",COUNTIF(NOTA[ID_H],NOTA[[#This Row],[ID_H]]))</f>
        <v/>
      </c>
      <c r="AK106" s="27">
        <f ca="1">IF(NOTA[[#This Row],[TGL.NOTA]]="",IF(NOTA[[#This Row],[SUPPLIER_H]]="","",AK105),MONTH(NOTA[[#This Row],[TGL.NOTA]]))</f>
        <v>5</v>
      </c>
      <c r="AL106" s="27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1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1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1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27" t="str">
        <f>IF(NOTA[[#This Row],[CONCAT4]]="","",_xlfn.IFNA(MATCH(NOTA[[#This Row],[CONCAT4]],[2]!RAW[CONCAT_H],0),FALSE))</f>
        <v/>
      </c>
      <c r="AQ106" s="145">
        <f>IF(NOTA[[#This Row],[CONCAT1]]="","",MATCH(NOTA[[#This Row],[CONCAT1]],[3]!db[NB NOTA_C],0)+1)</f>
        <v>2231</v>
      </c>
    </row>
    <row r="107" spans="1:43" ht="20.100000000000001" customHeight="1" x14ac:dyDescent="0.25">
      <c r="A1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6" t="str">
        <f>IF(NOTA[[#This Row],[ID_P]]="","",MATCH(NOTA[[#This Row],[ID_P]],[1]!B_MSK[N_ID],0))</f>
        <v/>
      </c>
      <c r="D107" s="36">
        <f ca="1">IF(NOTA[[#This Row],[NAMA BARANG]]="","",INDEX(NOTA[ID],MATCH(,INDIRECT(ADDRESS(ROW(NOTA[ID]),COLUMN(NOTA[ID]))&amp;":"&amp;ADDRESS(ROW(),COLUMN(NOTA[ID]))),-1)))</f>
        <v>16</v>
      </c>
      <c r="E107" s="14"/>
      <c r="F107" s="16"/>
      <c r="G107" s="16"/>
      <c r="H107" s="20"/>
      <c r="I107" s="16"/>
      <c r="J107" s="37"/>
      <c r="K107" s="16"/>
      <c r="L107" s="143" t="s">
        <v>243</v>
      </c>
      <c r="M107" s="28"/>
      <c r="N107" s="16">
        <v>12</v>
      </c>
      <c r="O107" s="16" t="s">
        <v>160</v>
      </c>
      <c r="P107" s="35"/>
      <c r="Q107" s="38"/>
      <c r="R107" s="28"/>
      <c r="S107" s="39"/>
      <c r="T107" s="39"/>
      <c r="U107" s="40"/>
      <c r="V107" s="26"/>
      <c r="W107" s="40" t="str">
        <f>IF(NOTA[[#This Row],[HARGA/ CTN]]="",NOTA[[#This Row],[JUMLAH_H]],NOTA[[#This Row],[HARGA/ CTN]]*IF(NOTA[[#This Row],[C]]="",0,NOTA[[#This Row],[C]]))</f>
        <v/>
      </c>
      <c r="X107" s="40" t="str">
        <f>IF(NOTA[[#This Row],[JUMLAH]]="","",NOTA[[#This Row],[JUMLAH]]*NOTA[[#This Row],[DISC 1]])</f>
        <v/>
      </c>
      <c r="Y107" s="40" t="str">
        <f>IF(NOTA[[#This Row],[JUMLAH]]="","",(NOTA[[#This Row],[JUMLAH]]-NOTA[[#This Row],[DISC 1-]])*NOTA[[#This Row],[DISC 2]])</f>
        <v/>
      </c>
      <c r="Z107" s="40" t="str">
        <f>IF(NOTA[[#This Row],[JUMLAH]]="","",NOTA[[#This Row],[DISC 1-]]+NOTA[[#This Row],[DISC 2-]])</f>
        <v/>
      </c>
      <c r="AA107" s="40" t="str">
        <f>IF(NOTA[[#This Row],[JUMLAH]]="","",NOTA[[#This Row],[JUMLAH]]-NOTA[[#This Row],[DISC]])</f>
        <v/>
      </c>
      <c r="AB107" s="40"/>
      <c r="AC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7" s="40" t="str">
        <f>IF(OR(NOTA[[#This Row],[QTY]]="",NOTA[[#This Row],[HARGA SATUAN]]="",),"",NOTA[[#This Row],[QTY]]*NOTA[[#This Row],[HARGA SATUAN]])</f>
        <v/>
      </c>
      <c r="AG107" s="37">
        <f ca="1">IF(NOTA[ID_H]="","",INDEX(NOTA[TANGGAL],MATCH(,INDIRECT(ADDRESS(ROW(NOTA[TANGGAL]),COLUMN(NOTA[TANGGAL]))&amp;":"&amp;ADDRESS(ROW(),COLUMN(NOTA[TANGGAL]))),-1)))</f>
        <v>45052</v>
      </c>
      <c r="AH107" s="35" t="str">
        <f ca="1">IF(NOTA[[#This Row],[NAMA BARANG]]="","",INDEX(NOTA[SUPPLIER],MATCH(,INDIRECT(ADDRESS(ROW(NOTA[ID]),COLUMN(NOTA[ID]))&amp;":"&amp;ADDRESS(ROW(),COLUMN(NOTA[ID]))),-1)))</f>
        <v>JAYA MAKMUR</v>
      </c>
      <c r="AI107" s="35" t="str">
        <f ca="1">IF(NOTA[[#This Row],[ID_H]]="","",IF(NOTA[[#This Row],[FAKTUR]]="",INDIRECT(ADDRESS(ROW()-1,COLUMN())),NOTA[[#This Row],[FAKTUR]]))</f>
        <v>UNTANA</v>
      </c>
      <c r="AJ107" s="27" t="str">
        <f ca="1">IF(NOTA[[#This Row],[ID]]="","",COUNTIF(NOTA[ID_H],NOTA[[#This Row],[ID_H]]))</f>
        <v/>
      </c>
      <c r="AK107" s="27">
        <f ca="1">IF(NOTA[[#This Row],[TGL.NOTA]]="",IF(NOTA[[#This Row],[SUPPLIER_H]]="","",AK106),MONTH(NOTA[[#This Row],[TGL.NOTA]]))</f>
        <v>5</v>
      </c>
      <c r="AL107" s="27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1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1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1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27" t="str">
        <f>IF(NOTA[[#This Row],[CONCAT4]]="","",_xlfn.IFNA(MATCH(NOTA[[#This Row],[CONCAT4]],[2]!RAW[CONCAT_H],0),FALSE))</f>
        <v/>
      </c>
      <c r="AQ107" s="145">
        <f>IF(NOTA[[#This Row],[CONCAT1]]="","",MATCH(NOTA[[#This Row],[CONCAT1]],[3]!db[NB NOTA_C],0)+1)</f>
        <v>2230</v>
      </c>
    </row>
    <row r="108" spans="1:43" ht="20.100000000000001" customHeight="1" x14ac:dyDescent="0.25">
      <c r="A1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6" t="str">
        <f>IF(NOTA[[#This Row],[ID_P]]="","",MATCH(NOTA[[#This Row],[ID_P]],[1]!B_MSK[N_ID],0))</f>
        <v/>
      </c>
      <c r="D108" s="36">
        <f ca="1">IF(NOTA[[#This Row],[NAMA BARANG]]="","",INDEX(NOTA[ID],MATCH(,INDIRECT(ADDRESS(ROW(NOTA[ID]),COLUMN(NOTA[ID]))&amp;":"&amp;ADDRESS(ROW(),COLUMN(NOTA[ID]))),-1)))</f>
        <v>16</v>
      </c>
      <c r="E108" s="14"/>
      <c r="F108" s="16"/>
      <c r="G108" s="16"/>
      <c r="H108" s="20"/>
      <c r="I108" s="16"/>
      <c r="J108" s="37"/>
      <c r="K108" s="16"/>
      <c r="L108" s="16" t="s">
        <v>244</v>
      </c>
      <c r="M108" s="28"/>
      <c r="N108" s="16">
        <v>12</v>
      </c>
      <c r="O108" s="16" t="s">
        <v>160</v>
      </c>
      <c r="P108" s="35"/>
      <c r="Q108" s="38"/>
      <c r="R108" s="28"/>
      <c r="S108" s="39"/>
      <c r="T108" s="39"/>
      <c r="U108" s="40"/>
      <c r="V108" s="26"/>
      <c r="W108" s="40" t="str">
        <f>IF(NOTA[[#This Row],[HARGA/ CTN]]="",NOTA[[#This Row],[JUMLAH_H]],NOTA[[#This Row],[HARGA/ CTN]]*IF(NOTA[[#This Row],[C]]="",0,NOTA[[#This Row],[C]]))</f>
        <v/>
      </c>
      <c r="X108" s="40" t="str">
        <f>IF(NOTA[[#This Row],[JUMLAH]]="","",NOTA[[#This Row],[JUMLAH]]*NOTA[[#This Row],[DISC 1]])</f>
        <v/>
      </c>
      <c r="Y108" s="40" t="str">
        <f>IF(NOTA[[#This Row],[JUMLAH]]="","",(NOTA[[#This Row],[JUMLAH]]-NOTA[[#This Row],[DISC 1-]])*NOTA[[#This Row],[DISC 2]])</f>
        <v/>
      </c>
      <c r="Z108" s="40" t="str">
        <f>IF(NOTA[[#This Row],[JUMLAH]]="","",NOTA[[#This Row],[DISC 1-]]+NOTA[[#This Row],[DISC 2-]])</f>
        <v/>
      </c>
      <c r="AA108" s="40" t="str">
        <f>IF(NOTA[[#This Row],[JUMLAH]]="","",NOTA[[#This Row],[JUMLAH]]-NOTA[[#This Row],[DISC]])</f>
        <v/>
      </c>
      <c r="AB108" s="40"/>
      <c r="AC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108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8" s="40" t="str">
        <f>IF(OR(NOTA[[#This Row],[QTY]]="",NOTA[[#This Row],[HARGA SATUAN]]="",),"",NOTA[[#This Row],[QTY]]*NOTA[[#This Row],[HARGA SATUAN]])</f>
        <v/>
      </c>
      <c r="AG108" s="37">
        <f ca="1">IF(NOTA[ID_H]="","",INDEX(NOTA[TANGGAL],MATCH(,INDIRECT(ADDRESS(ROW(NOTA[TANGGAL]),COLUMN(NOTA[TANGGAL]))&amp;":"&amp;ADDRESS(ROW(),COLUMN(NOTA[TANGGAL]))),-1)))</f>
        <v>45052</v>
      </c>
      <c r="AH108" s="35" t="str">
        <f ca="1">IF(NOTA[[#This Row],[NAMA BARANG]]="","",INDEX(NOTA[SUPPLIER],MATCH(,INDIRECT(ADDRESS(ROW(NOTA[ID]),COLUMN(NOTA[ID]))&amp;":"&amp;ADDRESS(ROW(),COLUMN(NOTA[ID]))),-1)))</f>
        <v>JAYA MAKMUR</v>
      </c>
      <c r="AI108" s="35" t="str">
        <f ca="1">IF(NOTA[[#This Row],[ID_H]]="","",IF(NOTA[[#This Row],[FAKTUR]]="",INDIRECT(ADDRESS(ROW()-1,COLUMN())),NOTA[[#This Row],[FAKTUR]]))</f>
        <v>UNTANA</v>
      </c>
      <c r="AJ108" s="27" t="str">
        <f ca="1">IF(NOTA[[#This Row],[ID]]="","",COUNTIF(NOTA[ID_H],NOTA[[#This Row],[ID_H]]))</f>
        <v/>
      </c>
      <c r="AK108" s="27">
        <f ca="1">IF(NOTA[[#This Row],[TGL.NOTA]]="",IF(NOTA[[#This Row],[SUPPLIER_H]]="","",AK107),MONTH(NOTA[[#This Row],[TGL.NOTA]]))</f>
        <v>5</v>
      </c>
      <c r="AL108" s="27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1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1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1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27" t="str">
        <f>IF(NOTA[[#This Row],[CONCAT4]]="","",_xlfn.IFNA(MATCH(NOTA[[#This Row],[CONCAT4]],[2]!RAW[CONCAT_H],0),FALSE))</f>
        <v/>
      </c>
      <c r="AQ108" s="145">
        <f>IF(NOTA[[#This Row],[CONCAT1]]="","",MATCH(NOTA[[#This Row],[CONCAT1]],[3]!db[NB NOTA_C],0)+1)</f>
        <v>2232</v>
      </c>
    </row>
    <row r="109" spans="1:43" ht="20.100000000000001" customHeight="1" x14ac:dyDescent="0.25">
      <c r="A1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6" t="str">
        <f>IF(NOTA[[#This Row],[ID_P]]="","",MATCH(NOTA[[#This Row],[ID_P]],[1]!B_MSK[N_ID],0))</f>
        <v/>
      </c>
      <c r="D109" s="36" t="str">
        <f ca="1">IF(NOTA[[#This Row],[NAMA BARANG]]="","",INDEX(NOTA[ID],MATCH(,INDIRECT(ADDRESS(ROW(NOTA[ID]),COLUMN(NOTA[ID]))&amp;":"&amp;ADDRESS(ROW(),COLUMN(NOTA[ID]))),-1)))</f>
        <v/>
      </c>
      <c r="E109" s="14"/>
      <c r="F109" s="16"/>
      <c r="G109" s="16"/>
      <c r="H109" s="20"/>
      <c r="I109" s="16"/>
      <c r="J109" s="37"/>
      <c r="K109" s="16"/>
      <c r="L109" s="16"/>
      <c r="M109" s="28"/>
      <c r="N109" s="16"/>
      <c r="O109" s="16"/>
      <c r="P109" s="35"/>
      <c r="Q109" s="38"/>
      <c r="R109" s="28"/>
      <c r="S109" s="39"/>
      <c r="T109" s="39"/>
      <c r="U109" s="40"/>
      <c r="V109" s="26"/>
      <c r="W109" s="40" t="str">
        <f>IF(NOTA[[#This Row],[HARGA/ CTN]]="",NOTA[[#This Row],[JUMLAH_H]],NOTA[[#This Row],[HARGA/ CTN]]*IF(NOTA[[#This Row],[C]]="",0,NOTA[[#This Row],[C]]))</f>
        <v/>
      </c>
      <c r="X109" s="40" t="str">
        <f>IF(NOTA[[#This Row],[JUMLAH]]="","",NOTA[[#This Row],[JUMLAH]]*NOTA[[#This Row],[DISC 1]])</f>
        <v/>
      </c>
      <c r="Y109" s="40" t="str">
        <f>IF(NOTA[[#This Row],[JUMLAH]]="","",(NOTA[[#This Row],[JUMLAH]]-NOTA[[#This Row],[DISC 1-]])*NOTA[[#This Row],[DISC 2]])</f>
        <v/>
      </c>
      <c r="Z109" s="40" t="str">
        <f>IF(NOTA[[#This Row],[JUMLAH]]="","",NOTA[[#This Row],[DISC 1-]]+NOTA[[#This Row],[DISC 2-]])</f>
        <v/>
      </c>
      <c r="AA109" s="40" t="str">
        <f>IF(NOTA[[#This Row],[JUMLAH]]="","",NOTA[[#This Row],[JUMLAH]]-NOTA[[#This Row],[DISC]])</f>
        <v/>
      </c>
      <c r="AB109" s="40"/>
      <c r="AC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" s="40" t="str">
        <f>IF(OR(NOTA[[#This Row],[QTY]]="",NOTA[[#This Row],[HARGA SATUAN]]="",),"",NOTA[[#This Row],[QTY]]*NOTA[[#This Row],[HARGA SATUAN]])</f>
        <v/>
      </c>
      <c r="AG109" s="37" t="str">
        <f ca="1">IF(NOTA[ID_H]="","",INDEX(NOTA[TANGGAL],MATCH(,INDIRECT(ADDRESS(ROW(NOTA[TANGGAL]),COLUMN(NOTA[TANGGAL]))&amp;":"&amp;ADDRESS(ROW(),COLUMN(NOTA[TANGGAL]))),-1)))</f>
        <v/>
      </c>
      <c r="AH109" s="35" t="str">
        <f ca="1">IF(NOTA[[#This Row],[NAMA BARANG]]="","",INDEX(NOTA[SUPPLIER],MATCH(,INDIRECT(ADDRESS(ROW(NOTA[ID]),COLUMN(NOTA[ID]))&amp;":"&amp;ADDRESS(ROW(),COLUMN(NOTA[ID]))),-1)))</f>
        <v/>
      </c>
      <c r="AI109" s="35" t="str">
        <f ca="1">IF(NOTA[[#This Row],[ID_H]]="","",IF(NOTA[[#This Row],[FAKTUR]]="",INDIRECT(ADDRESS(ROW()-1,COLUMN())),NOTA[[#This Row],[FAKTUR]]))</f>
        <v/>
      </c>
      <c r="AJ109" s="27" t="str">
        <f ca="1">IF(NOTA[[#This Row],[ID]]="","",COUNTIF(NOTA[ID_H],NOTA[[#This Row],[ID_H]]))</f>
        <v/>
      </c>
      <c r="AK109" s="27" t="str">
        <f ca="1">IF(NOTA[[#This Row],[TGL.NOTA]]="",IF(NOTA[[#This Row],[SUPPLIER_H]]="","",AK108),MONTH(NOTA[[#This Row],[TGL.NOTA]]))</f>
        <v/>
      </c>
      <c r="AL109" s="27" t="str">
        <f>LOWER(SUBSTITUTE(SUBSTITUTE(SUBSTITUTE(SUBSTITUTE(SUBSTITUTE(SUBSTITUTE(SUBSTITUTE(SUBSTITUTE(SUBSTITUTE(NOTA[NAMA BARANG]," ",),".",""),"-",""),"(",""),")",""),",",""),"/",""),"""",""),"+",""))</f>
        <v/>
      </c>
      <c r="AM1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" s="27" t="str">
        <f>IF(NOTA[[#This Row],[CONCAT4]]="","",_xlfn.IFNA(MATCH(NOTA[[#This Row],[CONCAT4]],[2]!RAW[CONCAT_H],0),FALSE))</f>
        <v/>
      </c>
      <c r="AQ109" s="145" t="str">
        <f>IF(NOTA[[#This Row],[CONCAT1]]="","",MATCH(NOTA[[#This Row],[CONCAT1]],[3]!db[NB NOTA_C],0)+1)</f>
        <v/>
      </c>
    </row>
    <row r="110" spans="1:43" ht="20.100000000000001" customHeight="1" x14ac:dyDescent="0.25">
      <c r="A110" s="35">
        <f ca="1">IF(INDIRECT(ADDRESS(ROW()-1,COLUMN(NOTA[[#Headers],[ID]])))="ID",1,IF(NOTA[[#This Row],[FAKTUR]]="","",COUNT(INDIRECT(ADDRESS(ROW(NOTA[ID]),COLUMN(NOTA[ID]))&amp;":"&amp;ADDRESS(ROW()-1,COLUMN(NOTA[ID]))))+1))</f>
        <v>17</v>
      </c>
      <c r="B11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DBS_0605_823-1</v>
      </c>
      <c r="C110" s="36" t="e">
        <f ca="1">IF(NOTA[[#This Row],[ID_P]]="","",MATCH(NOTA[[#This Row],[ID_P]],[1]!B_MSK[N_ID],0))</f>
        <v>#REF!</v>
      </c>
      <c r="D110" s="36">
        <f ca="1">IF(NOTA[[#This Row],[NAMA BARANG]]="","",INDEX(NOTA[ID],MATCH(,INDIRECT(ADDRESS(ROW(NOTA[ID]),COLUMN(NOTA[ID]))&amp;":"&amp;ADDRESS(ROW(),COLUMN(NOTA[ID]))),-1)))</f>
        <v>17</v>
      </c>
      <c r="E110" s="14"/>
      <c r="F110" s="16" t="s">
        <v>168</v>
      </c>
      <c r="G110" s="16" t="s">
        <v>112</v>
      </c>
      <c r="H110" s="20" t="s">
        <v>245</v>
      </c>
      <c r="I110" s="16"/>
      <c r="J110" s="37">
        <v>45028</v>
      </c>
      <c r="K110" s="16"/>
      <c r="L110" s="143" t="s">
        <v>246</v>
      </c>
      <c r="M110" s="28">
        <v>1</v>
      </c>
      <c r="N110" s="16">
        <v>144</v>
      </c>
      <c r="O110" s="16" t="s">
        <v>125</v>
      </c>
      <c r="P110" s="35">
        <v>13250</v>
      </c>
      <c r="Q110" s="38"/>
      <c r="R110" s="28" t="s">
        <v>171</v>
      </c>
      <c r="S110" s="39"/>
      <c r="T110" s="39"/>
      <c r="U110" s="40"/>
      <c r="V110" s="26"/>
      <c r="W110" s="40">
        <f>IF(NOTA[[#This Row],[HARGA/ CTN]]="",NOTA[[#This Row],[JUMLAH_H]],NOTA[[#This Row],[HARGA/ CTN]]*IF(NOTA[[#This Row],[C]]="",0,NOTA[[#This Row],[C]]))</f>
        <v>1908000</v>
      </c>
      <c r="X110" s="40">
        <f>IF(NOTA[[#This Row],[JUMLAH]]="","",NOTA[[#This Row],[JUMLAH]]*NOTA[[#This Row],[DISC 1]])</f>
        <v>0</v>
      </c>
      <c r="Y110" s="40">
        <f>IF(NOTA[[#This Row],[JUMLAH]]="","",(NOTA[[#This Row],[JUMLAH]]-NOTA[[#This Row],[DISC 1-]])*NOTA[[#This Row],[DISC 2]])</f>
        <v>0</v>
      </c>
      <c r="Z110" s="40">
        <f>IF(NOTA[[#This Row],[JUMLAH]]="","",NOTA[[#This Row],[DISC 1-]]+NOTA[[#This Row],[DISC 2-]])</f>
        <v>0</v>
      </c>
      <c r="AA110" s="40">
        <f>IF(NOTA[[#This Row],[JUMLAH]]="","",NOTA[[#This Row],[JUMLAH]]-NOTA[[#This Row],[DISC]])</f>
        <v>1908000</v>
      </c>
      <c r="AB110" s="40"/>
      <c r="AC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1908000</v>
      </c>
      <c r="AE110" s="3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110" s="40">
        <f>IF(OR(NOTA[[#This Row],[QTY]]="",NOTA[[#This Row],[HARGA SATUAN]]="",),"",NOTA[[#This Row],[QTY]]*NOTA[[#This Row],[HARGA SATUAN]])</f>
        <v>1908000</v>
      </c>
      <c r="AG110" s="37">
        <f ca="1">IF(NOTA[ID_H]="","",INDEX(NOTA[TANGGAL],MATCH(,INDIRECT(ADDRESS(ROW(NOTA[TANGGAL]),COLUMN(NOTA[TANGGAL]))&amp;":"&amp;ADDRESS(ROW(),COLUMN(NOTA[TANGGAL]))),-1)))</f>
        <v>45052</v>
      </c>
      <c r="AH110" s="35" t="str">
        <f ca="1">IF(NOTA[[#This Row],[NAMA BARANG]]="","",INDEX(NOTA[SUPPLIER],MATCH(,INDIRECT(ADDRESS(ROW(NOTA[ID]),COLUMN(NOTA[ID]))&amp;":"&amp;ADDRESS(ROW(),COLUMN(NOTA[ID]))),-1)))</f>
        <v>DB STATIONERY</v>
      </c>
      <c r="AI110" s="35" t="str">
        <f ca="1">IF(NOTA[[#This Row],[ID_H]]="","",IF(NOTA[[#This Row],[FAKTUR]]="",INDIRECT(ADDRESS(ROW()-1,COLUMN())),NOTA[[#This Row],[FAKTUR]]))</f>
        <v>UNTANA</v>
      </c>
      <c r="AJ110" s="27">
        <f ca="1">IF(NOTA[[#This Row],[ID]]="","",COUNTIF(NOTA[ID_H],NOTA[[#This Row],[ID_H]]))</f>
        <v>1</v>
      </c>
      <c r="AK110" s="27">
        <f>IF(NOTA[[#This Row],[TGL.NOTA]]="",IF(NOTA[[#This Row],[SUPPLIER_H]]="","",AK109),MONTH(NOTA[[#This Row],[TGL.NOTA]]))</f>
        <v>4</v>
      </c>
      <c r="AL110" s="27" t="str">
        <f>LOWER(SUBSTITUTE(SUBSTITUTE(SUBSTITUTE(SUBSTITUTE(SUBSTITUTE(SUBSTITUTE(SUBSTITUTE(SUBSTITUTE(SUBSTITUTE(NOTA[NAMA BARANG]," ",),".",""),"-",""),"(",""),")",""),",",""),"/",""),"""",""),"+",""))</f>
        <v>mekpensiltizog9001</v>
      </c>
      <c r="AM1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mekpensiltizog90011908000</v>
      </c>
      <c r="AN1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mekpensiltizog90011908000</v>
      </c>
      <c r="AO110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STATIONERYUNTANAJUD238/2345028mekpensiltizog9001</v>
      </c>
      <c r="AP110" s="27" t="e">
        <f>IF(NOTA[[#This Row],[CONCAT4]]="","",_xlfn.IFNA(MATCH(NOTA[[#This Row],[CONCAT4]],[2]!RAW[CONCAT_H],0),FALSE))</f>
        <v>#REF!</v>
      </c>
      <c r="AQ110" s="145">
        <f>IF(NOTA[[#This Row],[CONCAT1]]="","",MATCH(NOTA[[#This Row],[CONCAT1]],[3]!db[NB NOTA_C],0)+1)</f>
        <v>1660</v>
      </c>
    </row>
    <row r="111" spans="1:43" ht="20.100000000000001" customHeight="1" x14ac:dyDescent="0.25">
      <c r="A1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6" t="str">
        <f>IF(NOTA[[#This Row],[ID_P]]="","",MATCH(NOTA[[#This Row],[ID_P]],[1]!B_MSK[N_ID],0))</f>
        <v/>
      </c>
      <c r="D111" s="36" t="str">
        <f ca="1">IF(NOTA[[#This Row],[NAMA BARANG]]="","",INDEX(NOTA[ID],MATCH(,INDIRECT(ADDRESS(ROW(NOTA[ID]),COLUMN(NOTA[ID]))&amp;":"&amp;ADDRESS(ROW(),COLUMN(NOTA[ID]))),-1)))</f>
        <v/>
      </c>
      <c r="E111" s="14"/>
      <c r="F111" s="16"/>
      <c r="G111" s="16"/>
      <c r="H111" s="20"/>
      <c r="I111" s="16"/>
      <c r="J111" s="37"/>
      <c r="K111" s="16"/>
      <c r="L111" s="143"/>
      <c r="M111" s="28"/>
      <c r="N111" s="16"/>
      <c r="O111" s="16"/>
      <c r="P111" s="35"/>
      <c r="Q111" s="38"/>
      <c r="R111" s="28"/>
      <c r="S111" s="39"/>
      <c r="T111" s="39"/>
      <c r="U111" s="40"/>
      <c r="V111" s="26"/>
      <c r="W111" s="40" t="str">
        <f>IF(NOTA[[#This Row],[HARGA/ CTN]]="",NOTA[[#This Row],[JUMLAH_H]],NOTA[[#This Row],[HARGA/ CTN]]*IF(NOTA[[#This Row],[C]]="",0,NOTA[[#This Row],[C]]))</f>
        <v/>
      </c>
      <c r="X111" s="40" t="str">
        <f>IF(NOTA[[#This Row],[JUMLAH]]="","",NOTA[[#This Row],[JUMLAH]]*NOTA[[#This Row],[DISC 1]])</f>
        <v/>
      </c>
      <c r="Y111" s="40" t="str">
        <f>IF(NOTA[[#This Row],[JUMLAH]]="","",(NOTA[[#This Row],[JUMLAH]]-NOTA[[#This Row],[DISC 1-]])*NOTA[[#This Row],[DISC 2]])</f>
        <v/>
      </c>
      <c r="Z111" s="40" t="str">
        <f>IF(NOTA[[#This Row],[JUMLAH]]="","",NOTA[[#This Row],[DISC 1-]]+NOTA[[#This Row],[DISC 2-]])</f>
        <v/>
      </c>
      <c r="AA111" s="40" t="str">
        <f>IF(NOTA[[#This Row],[JUMLAH]]="","",NOTA[[#This Row],[JUMLAH]]-NOTA[[#This Row],[DISC]])</f>
        <v/>
      </c>
      <c r="AB111" s="40"/>
      <c r="AC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" s="40" t="str">
        <f>IF(OR(NOTA[[#This Row],[QTY]]="",NOTA[[#This Row],[HARGA SATUAN]]="",),"",NOTA[[#This Row],[QTY]]*NOTA[[#This Row],[HARGA SATUAN]])</f>
        <v/>
      </c>
      <c r="AG111" s="37" t="str">
        <f ca="1">IF(NOTA[ID_H]="","",INDEX(NOTA[TANGGAL],MATCH(,INDIRECT(ADDRESS(ROW(NOTA[TANGGAL]),COLUMN(NOTA[TANGGAL]))&amp;":"&amp;ADDRESS(ROW(),COLUMN(NOTA[TANGGAL]))),-1)))</f>
        <v/>
      </c>
      <c r="AH111" s="35" t="str">
        <f ca="1">IF(NOTA[[#This Row],[NAMA BARANG]]="","",INDEX(NOTA[SUPPLIER],MATCH(,INDIRECT(ADDRESS(ROW(NOTA[ID]),COLUMN(NOTA[ID]))&amp;":"&amp;ADDRESS(ROW(),COLUMN(NOTA[ID]))),-1)))</f>
        <v/>
      </c>
      <c r="AI111" s="35" t="str">
        <f ca="1">IF(NOTA[[#This Row],[ID_H]]="","",IF(NOTA[[#This Row],[FAKTUR]]="",INDIRECT(ADDRESS(ROW()-1,COLUMN())),NOTA[[#This Row],[FAKTUR]]))</f>
        <v/>
      </c>
      <c r="AJ111" s="27" t="str">
        <f ca="1">IF(NOTA[[#This Row],[ID]]="","",COUNTIF(NOTA[ID_H],NOTA[[#This Row],[ID_H]]))</f>
        <v/>
      </c>
      <c r="AK111" s="27" t="str">
        <f ca="1">IF(NOTA[[#This Row],[TGL.NOTA]]="",IF(NOTA[[#This Row],[SUPPLIER_H]]="","",AK110),MONTH(NOTA[[#This Row],[TGL.NOTA]]))</f>
        <v/>
      </c>
      <c r="AL111" s="27" t="str">
        <f>LOWER(SUBSTITUTE(SUBSTITUTE(SUBSTITUTE(SUBSTITUTE(SUBSTITUTE(SUBSTITUTE(SUBSTITUTE(SUBSTITUTE(SUBSTITUTE(NOTA[NAMA BARANG]," ",),".",""),"-",""),"(",""),")",""),",",""),"/",""),"""",""),"+",""))</f>
        <v/>
      </c>
      <c r="AM1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" s="27" t="str">
        <f>IF(NOTA[[#This Row],[CONCAT4]]="","",_xlfn.IFNA(MATCH(NOTA[[#This Row],[CONCAT4]],[2]!RAW[CONCAT_H],0),FALSE))</f>
        <v/>
      </c>
      <c r="AQ111" s="145" t="str">
        <f>IF(NOTA[[#This Row],[CONCAT1]]="","",MATCH(NOTA[[#This Row],[CONCAT1]],[3]!db[NB NOTA_C],0)+1)</f>
        <v/>
      </c>
    </row>
    <row r="112" spans="1:43" ht="20.100000000000001" customHeight="1" x14ac:dyDescent="0.25">
      <c r="A112" s="59">
        <f ca="1">IF(INDIRECT(ADDRESS(ROW()-1,COLUMN(NOTA[[#Headers],[ID]])))="ID",1,IF(NOTA[[#This Row],[FAKTUR]]="","",COUNT(INDIRECT(ADDRESS(ROW(NOTA[ID]),COLUMN(NOTA[ID]))&amp;":"&amp;ADDRESS(ROW()-1,COLUMN(NOTA[ID]))))+1))</f>
        <v>18</v>
      </c>
      <c r="B11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GRA_0605_042-3</v>
      </c>
      <c r="C112" s="67" t="e">
        <f ca="1">IF(NOTA[[#This Row],[ID_P]]="","",MATCH(NOTA[[#This Row],[ID_P]],[1]!B_MSK[N_ID],0))</f>
        <v>#REF!</v>
      </c>
      <c r="D112" s="67">
        <f ca="1">IF(NOTA[[#This Row],[NAMA BARANG]]="","",INDEX(NOTA[ID],MATCH(,INDIRECT(ADDRESS(ROW(NOTA[ID]),COLUMN(NOTA[ID]))&amp;":"&amp;ADDRESS(ROW(),COLUMN(NOTA[ID]))),-1)))</f>
        <v>18</v>
      </c>
      <c r="E112" s="55"/>
      <c r="F112" s="16" t="s">
        <v>124</v>
      </c>
      <c r="G112" s="16" t="s">
        <v>112</v>
      </c>
      <c r="H112" s="20" t="s">
        <v>247</v>
      </c>
      <c r="I112" s="16"/>
      <c r="J112" s="56">
        <v>45049</v>
      </c>
      <c r="K112" s="57"/>
      <c r="L112" s="16" t="s">
        <v>129</v>
      </c>
      <c r="M112" s="58">
        <v>1</v>
      </c>
      <c r="N112" s="57">
        <v>50</v>
      </c>
      <c r="O112" s="16" t="s">
        <v>125</v>
      </c>
      <c r="P112" s="59">
        <v>16000</v>
      </c>
      <c r="Q112" s="60"/>
      <c r="R112" s="28" t="s">
        <v>137</v>
      </c>
      <c r="S112" s="39"/>
      <c r="T112" s="39"/>
      <c r="U112" s="62"/>
      <c r="V112" s="26"/>
      <c r="W112" s="62">
        <f>IF(NOTA[[#This Row],[HARGA/ CTN]]="",NOTA[[#This Row],[JUMLAH_H]],NOTA[[#This Row],[HARGA/ CTN]]*IF(NOTA[[#This Row],[C]]="",0,NOTA[[#This Row],[C]]))</f>
        <v>800000</v>
      </c>
      <c r="X112" s="62">
        <f>IF(NOTA[[#This Row],[JUMLAH]]="","",NOTA[[#This Row],[JUMLAH]]*NOTA[[#This Row],[DISC 1]])</f>
        <v>0</v>
      </c>
      <c r="Y112" s="62">
        <f>IF(NOTA[[#This Row],[JUMLAH]]="","",(NOTA[[#This Row],[JUMLAH]]-NOTA[[#This Row],[DISC 1-]])*NOTA[[#This Row],[DISC 2]])</f>
        <v>0</v>
      </c>
      <c r="Z112" s="62">
        <f>IF(NOTA[[#This Row],[JUMLAH]]="","",NOTA[[#This Row],[DISC 1-]]+NOTA[[#This Row],[DISC 2-]])</f>
        <v>0</v>
      </c>
      <c r="AA112" s="62">
        <f>IF(NOTA[[#This Row],[JUMLAH]]="","",NOTA[[#This Row],[JUMLAH]]-NOTA[[#This Row],[DISC]])</f>
        <v>800000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112" s="62">
        <f>IF(OR(NOTA[[#This Row],[QTY]]="",NOTA[[#This Row],[HARGA SATUAN]]="",),"",NOTA[[#This Row],[QTY]]*NOTA[[#This Row],[HARGA SATUAN]])</f>
        <v>800000</v>
      </c>
      <c r="AG112" s="56">
        <f ca="1">IF(NOTA[ID_H]="","",INDEX(NOTA[TANGGAL],MATCH(,INDIRECT(ADDRESS(ROW(NOTA[TANGGAL]),COLUMN(NOTA[TANGGAL]))&amp;":"&amp;ADDRESS(ROW(),COLUMN(NOTA[TANGGAL]))),-1)))</f>
        <v>45052</v>
      </c>
      <c r="AH112" s="59" t="str">
        <f ca="1">IF(NOTA[[#This Row],[NAMA BARANG]]="","",INDEX(NOTA[SUPPLIER],MATCH(,INDIRECT(ADDRESS(ROW(NOTA[ID]),COLUMN(NOTA[ID]))&amp;":"&amp;ADDRESS(ROW(),COLUMN(NOTA[ID]))),-1)))</f>
        <v>GRAFINDO</v>
      </c>
      <c r="AI112" s="59" t="str">
        <f ca="1">IF(NOTA[[#This Row],[ID_H]]="","",IF(NOTA[[#This Row],[FAKTUR]]="",INDIRECT(ADDRESS(ROW()-1,COLUMN())),NOTA[[#This Row],[FAKTUR]]))</f>
        <v>UNTANA</v>
      </c>
      <c r="AJ112" s="27">
        <f ca="1">IF(NOTA[[#This Row],[ID]]="","",COUNTIF(NOTA[ID_H],NOTA[[#This Row],[ID_H]]))</f>
        <v>3</v>
      </c>
      <c r="AK112" s="27">
        <f>IF(NOTA[[#This Row],[TGL.NOTA]]="",IF(NOTA[[#This Row],[SUPPLIER_H]]="","",AK111),MONTH(NOTA[[#This Row],[TGL.NOTA]]))</f>
        <v>5</v>
      </c>
      <c r="AL112" s="27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M1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maptalisikaac06biru800000</v>
      </c>
      <c r="AN1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maptalisikaac06biru800000</v>
      </c>
      <c r="AO112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GRAFINDOUNTANAGA-23-05-004245049maptalisikaac06biru</v>
      </c>
      <c r="AP112" s="27" t="e">
        <f>IF(NOTA[[#This Row],[CONCAT4]]="","",_xlfn.IFNA(MATCH(NOTA[[#This Row],[CONCAT4]],[2]!RAW[CONCAT_H],0),FALSE))</f>
        <v>#REF!</v>
      </c>
      <c r="AQ112" s="145">
        <f>IF(NOTA[[#This Row],[CONCAT1]]="","",MATCH(NOTA[[#This Row],[CONCAT1]],[3]!db[NB NOTA_C],0)+1)</f>
        <v>1594</v>
      </c>
    </row>
    <row r="113" spans="1:43" ht="20.100000000000001" customHeight="1" x14ac:dyDescent="0.25">
      <c r="A11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67" t="str">
        <f>IF(NOTA[[#This Row],[ID_P]]="","",MATCH(NOTA[[#This Row],[ID_P]],[1]!B_MSK[N_ID],0))</f>
        <v/>
      </c>
      <c r="D113" s="67">
        <f ca="1">IF(NOTA[[#This Row],[NAMA BARANG]]="","",INDEX(NOTA[ID],MATCH(,INDIRECT(ADDRESS(ROW(NOTA[ID]),COLUMN(NOTA[ID]))&amp;":"&amp;ADDRESS(ROW(),COLUMN(NOTA[ID]))),-1)))</f>
        <v>18</v>
      </c>
      <c r="E113" s="14"/>
      <c r="F113" s="16"/>
      <c r="G113" s="16"/>
      <c r="H113" s="20"/>
      <c r="I113" s="57"/>
      <c r="J113" s="56"/>
      <c r="K113" s="57"/>
      <c r="L113" s="16" t="s">
        <v>131</v>
      </c>
      <c r="M113" s="58">
        <v>3</v>
      </c>
      <c r="N113" s="57">
        <v>150</v>
      </c>
      <c r="O113" s="16" t="s">
        <v>125</v>
      </c>
      <c r="P113" s="59">
        <v>16000</v>
      </c>
      <c r="Q113" s="60"/>
      <c r="R113" s="28" t="s">
        <v>137</v>
      </c>
      <c r="S113" s="39"/>
      <c r="T113" s="39"/>
      <c r="U113" s="62"/>
      <c r="V113" s="26"/>
      <c r="W113" s="62">
        <f>IF(NOTA[[#This Row],[HARGA/ CTN]]="",NOTA[[#This Row],[JUMLAH_H]],NOTA[[#This Row],[HARGA/ CTN]]*IF(NOTA[[#This Row],[C]]="",0,NOTA[[#This Row],[C]]))</f>
        <v>2400000</v>
      </c>
      <c r="X113" s="62">
        <f>IF(NOTA[[#This Row],[JUMLAH]]="","",NOTA[[#This Row],[JUMLAH]]*NOTA[[#This Row],[DISC 1]])</f>
        <v>0</v>
      </c>
      <c r="Y113" s="62">
        <f>IF(NOTA[[#This Row],[JUMLAH]]="","",(NOTA[[#This Row],[JUMLAH]]-NOTA[[#This Row],[DISC 1-]])*NOTA[[#This Row],[DISC 2]])</f>
        <v>0</v>
      </c>
      <c r="Z113" s="62">
        <f>IF(NOTA[[#This Row],[JUMLAH]]="","",NOTA[[#This Row],[DISC 1-]]+NOTA[[#This Row],[DISC 2-]])</f>
        <v>0</v>
      </c>
      <c r="AA113" s="62">
        <f>IF(NOTA[[#This Row],[JUMLAH]]="","",NOTA[[#This Row],[JUMLAH]]-NOTA[[#This Row],[DISC]])</f>
        <v>2400000</v>
      </c>
      <c r="AB113" s="62"/>
      <c r="AC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113" s="62">
        <f>IF(OR(NOTA[[#This Row],[QTY]]="",NOTA[[#This Row],[HARGA SATUAN]]="",),"",NOTA[[#This Row],[QTY]]*NOTA[[#This Row],[HARGA SATUAN]])</f>
        <v>2400000</v>
      </c>
      <c r="AG113" s="56">
        <f ca="1">IF(NOTA[ID_H]="","",INDEX(NOTA[TANGGAL],MATCH(,INDIRECT(ADDRESS(ROW(NOTA[TANGGAL]),COLUMN(NOTA[TANGGAL]))&amp;":"&amp;ADDRESS(ROW(),COLUMN(NOTA[TANGGAL]))),-1)))</f>
        <v>45052</v>
      </c>
      <c r="AH113" s="59" t="str">
        <f ca="1">IF(NOTA[[#This Row],[NAMA BARANG]]="","",INDEX(NOTA[SUPPLIER],MATCH(,INDIRECT(ADDRESS(ROW(NOTA[ID]),COLUMN(NOTA[ID]))&amp;":"&amp;ADDRESS(ROW(),COLUMN(NOTA[ID]))),-1)))</f>
        <v>GRAFINDO</v>
      </c>
      <c r="AI113" s="59" t="str">
        <f ca="1">IF(NOTA[[#This Row],[ID_H]]="","",IF(NOTA[[#This Row],[FAKTUR]]="",INDIRECT(ADDRESS(ROW()-1,COLUMN())),NOTA[[#This Row],[FAKTUR]]))</f>
        <v>UNTANA</v>
      </c>
      <c r="AJ113" s="27" t="str">
        <f ca="1">IF(NOTA[[#This Row],[ID]]="","",COUNTIF(NOTA[ID_H],NOTA[[#This Row],[ID_H]]))</f>
        <v/>
      </c>
      <c r="AK113" s="27">
        <f ca="1">IF(NOTA[[#This Row],[TGL.NOTA]]="",IF(NOTA[[#This Row],[SUPPLIER_H]]="","",AK112),MONTH(NOTA[[#This Row],[TGL.NOTA]]))</f>
        <v>5</v>
      </c>
      <c r="AL113" s="27" t="str">
        <f>LOWER(SUBSTITUTE(SUBSTITUTE(SUBSTITUTE(SUBSTITUTE(SUBSTITUTE(SUBSTITUTE(SUBSTITUTE(SUBSTITUTE(SUBSTITUTE(NOTA[NAMA BARANG]," ",),".",""),"-",""),"(",""),")",""),",",""),"/",""),"""",""),"+",""))</f>
        <v>maptalisikaac06putih</v>
      </c>
      <c r="AM1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maptalisikaac06putih800000</v>
      </c>
      <c r="AN1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maptalisikaac06putih800000</v>
      </c>
      <c r="AO1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" s="27" t="str">
        <f>IF(NOTA[[#This Row],[CONCAT4]]="","",_xlfn.IFNA(MATCH(NOTA[[#This Row],[CONCAT4]],[2]!RAW[CONCAT_H],0),FALSE))</f>
        <v/>
      </c>
      <c r="AQ113" s="145" t="e">
        <f>IF(NOTA[[#This Row],[CONCAT1]]="","",MATCH(NOTA[[#This Row],[CONCAT1]],[3]!db[NB NOTA_C],0)+1)</f>
        <v>#N/A</v>
      </c>
    </row>
    <row r="114" spans="1:43" ht="20.100000000000001" customHeight="1" x14ac:dyDescent="0.25">
      <c r="A11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67" t="str">
        <f>IF(NOTA[[#This Row],[ID_P]]="","",MATCH(NOTA[[#This Row],[ID_P]],[1]!B_MSK[N_ID],0))</f>
        <v/>
      </c>
      <c r="D114" s="67">
        <f ca="1">IF(NOTA[[#This Row],[NAMA BARANG]]="","",INDEX(NOTA[ID],MATCH(,INDIRECT(ADDRESS(ROW(NOTA[ID]),COLUMN(NOTA[ID]))&amp;":"&amp;ADDRESS(ROW(),COLUMN(NOTA[ID]))),-1)))</f>
        <v>18</v>
      </c>
      <c r="E114" s="55"/>
      <c r="F114" s="57"/>
      <c r="G114" s="57"/>
      <c r="H114" s="63"/>
      <c r="I114" s="57"/>
      <c r="J114" s="56"/>
      <c r="K114" s="57"/>
      <c r="L114" s="143" t="s">
        <v>248</v>
      </c>
      <c r="M114" s="58">
        <v>5</v>
      </c>
      <c r="N114" s="57">
        <v>250</v>
      </c>
      <c r="O114" s="16" t="s">
        <v>125</v>
      </c>
      <c r="P114" s="59">
        <v>16000</v>
      </c>
      <c r="Q114" s="60"/>
      <c r="R114" s="28" t="s">
        <v>137</v>
      </c>
      <c r="S114" s="39"/>
      <c r="T114" s="39"/>
      <c r="U114" s="62"/>
      <c r="V114" s="26"/>
      <c r="W114" s="62">
        <f>IF(NOTA[[#This Row],[HARGA/ CTN]]="",NOTA[[#This Row],[JUMLAH_H]],NOTA[[#This Row],[HARGA/ CTN]]*IF(NOTA[[#This Row],[C]]="",0,NOTA[[#This Row],[C]]))</f>
        <v>4000000</v>
      </c>
      <c r="X114" s="62">
        <f>IF(NOTA[[#This Row],[JUMLAH]]="","",NOTA[[#This Row],[JUMLAH]]*NOTA[[#This Row],[DISC 1]])</f>
        <v>0</v>
      </c>
      <c r="Y114" s="62">
        <f>IF(NOTA[[#This Row],[JUMLAH]]="","",(NOTA[[#This Row],[JUMLAH]]-NOTA[[#This Row],[DISC 1-]])*NOTA[[#This Row],[DISC 2]])</f>
        <v>0</v>
      </c>
      <c r="Z114" s="62">
        <f>IF(NOTA[[#This Row],[JUMLAH]]="","",NOTA[[#This Row],[DISC 1-]]+NOTA[[#This Row],[DISC 2-]])</f>
        <v>0</v>
      </c>
      <c r="AA114" s="62">
        <f>IF(NOTA[[#This Row],[JUMLAH]]="","",NOTA[[#This Row],[JUMLAH]]-NOTA[[#This Row],[DISC]])</f>
        <v>4000000</v>
      </c>
      <c r="AB114" s="62"/>
      <c r="AC1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114" s="5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114" s="62">
        <f>IF(OR(NOTA[[#This Row],[QTY]]="",NOTA[[#This Row],[HARGA SATUAN]]="",),"",NOTA[[#This Row],[QTY]]*NOTA[[#This Row],[HARGA SATUAN]])</f>
        <v>4000000</v>
      </c>
      <c r="AG114" s="56">
        <f ca="1">IF(NOTA[ID_H]="","",INDEX(NOTA[TANGGAL],MATCH(,INDIRECT(ADDRESS(ROW(NOTA[TANGGAL]),COLUMN(NOTA[TANGGAL]))&amp;":"&amp;ADDRESS(ROW(),COLUMN(NOTA[TANGGAL]))),-1)))</f>
        <v>45052</v>
      </c>
      <c r="AH114" s="59" t="str">
        <f ca="1">IF(NOTA[[#This Row],[NAMA BARANG]]="","",INDEX(NOTA[SUPPLIER],MATCH(,INDIRECT(ADDRESS(ROW(NOTA[ID]),COLUMN(NOTA[ID]))&amp;":"&amp;ADDRESS(ROW(),COLUMN(NOTA[ID]))),-1)))</f>
        <v>GRAFINDO</v>
      </c>
      <c r="AI114" s="59" t="str">
        <f ca="1">IF(NOTA[[#This Row],[ID_H]]="","",IF(NOTA[[#This Row],[FAKTUR]]="",INDIRECT(ADDRESS(ROW()-1,COLUMN())),NOTA[[#This Row],[FAKTUR]]))</f>
        <v>UNTANA</v>
      </c>
      <c r="AJ114" s="27" t="str">
        <f ca="1">IF(NOTA[[#This Row],[ID]]="","",COUNTIF(NOTA[ID_H],NOTA[[#This Row],[ID_H]]))</f>
        <v/>
      </c>
      <c r="AK114" s="27">
        <f ca="1">IF(NOTA[[#This Row],[TGL.NOTA]]="",IF(NOTA[[#This Row],[SUPPLIER_H]]="","",AK113),MONTH(NOTA[[#This Row],[TGL.NOTA]]))</f>
        <v>5</v>
      </c>
      <c r="AL114" s="27" t="str">
        <f>LOWER(SUBSTITUTE(SUBSTITUTE(SUBSTITUTE(SUBSTITUTE(SUBSTITUTE(SUBSTITUTE(SUBSTITUTE(SUBSTITUTE(SUBSTITUTE(NOTA[NAMA BARANG]," ",),".",""),"-",""),"(",""),")",""),",",""),"/",""),"""",""),"+",""))</f>
        <v>maptalisikaac06kuning</v>
      </c>
      <c r="AM1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maptalisikaac06kuning800000</v>
      </c>
      <c r="AN1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maptalisikaac06kuning800000</v>
      </c>
      <c r="AO1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27" t="str">
        <f>IF(NOTA[[#This Row],[CONCAT4]]="","",_xlfn.IFNA(MATCH(NOTA[[#This Row],[CONCAT4]],[2]!RAW[CONCAT_H],0),FALSE))</f>
        <v/>
      </c>
      <c r="AQ114" s="145" t="e">
        <f>IF(NOTA[[#This Row],[CONCAT1]]="","",MATCH(NOTA[[#This Row],[CONCAT1]],[3]!db[NB NOTA_C],0)+1)</f>
        <v>#N/A</v>
      </c>
    </row>
    <row r="115" spans="1:43" ht="20.100000000000001" customHeight="1" x14ac:dyDescent="0.25">
      <c r="A11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67" t="str">
        <f>IF(NOTA[[#This Row],[ID_P]]="","",MATCH(NOTA[[#This Row],[ID_P]],[1]!B_MSK[N_ID],0))</f>
        <v/>
      </c>
      <c r="D115" s="67" t="str">
        <f ca="1">IF(NOTA[[#This Row],[NAMA BARANG]]="","",INDEX(NOTA[ID],MATCH(,INDIRECT(ADDRESS(ROW(NOTA[ID]),COLUMN(NOTA[ID]))&amp;":"&amp;ADDRESS(ROW(),COLUMN(NOTA[ID]))),-1)))</f>
        <v/>
      </c>
      <c r="E115" s="55"/>
      <c r="F115" s="16"/>
      <c r="G115" s="16"/>
      <c r="H115" s="20"/>
      <c r="I115" s="57"/>
      <c r="J115" s="56"/>
      <c r="K115" s="57"/>
      <c r="L115" s="16"/>
      <c r="M115" s="58"/>
      <c r="N115" s="57"/>
      <c r="O115" s="16"/>
      <c r="P115" s="59"/>
      <c r="Q115" s="60"/>
      <c r="R115" s="28"/>
      <c r="S115" s="39"/>
      <c r="T115" s="39"/>
      <c r="U115" s="62"/>
      <c r="V115" s="26"/>
      <c r="W115" s="62" t="str">
        <f>IF(NOTA[[#This Row],[HARGA/ CTN]]="",NOTA[[#This Row],[JUMLAH_H]],NOTA[[#This Row],[HARGA/ CTN]]*IF(NOTA[[#This Row],[C]]="",0,NOTA[[#This Row],[C]]))</f>
        <v/>
      </c>
      <c r="X115" s="62" t="str">
        <f>IF(NOTA[[#This Row],[JUMLAH]]="","",NOTA[[#This Row],[JUMLAH]]*NOTA[[#This Row],[DISC 1]])</f>
        <v/>
      </c>
      <c r="Y115" s="62" t="str">
        <f>IF(NOTA[[#This Row],[JUMLAH]]="","",(NOTA[[#This Row],[JUMLAH]]-NOTA[[#This Row],[DISC 1-]])*NOTA[[#This Row],[DISC 2]])</f>
        <v/>
      </c>
      <c r="Z115" s="62" t="str">
        <f>IF(NOTA[[#This Row],[JUMLAH]]="","",NOTA[[#This Row],[DISC 1-]]+NOTA[[#This Row],[DISC 2-]])</f>
        <v/>
      </c>
      <c r="AA115" s="62" t="str">
        <f>IF(NOTA[[#This Row],[JUMLAH]]="","",NOTA[[#This Row],[JUMLAH]]-NOTA[[#This Row],[DISC]])</f>
        <v/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" s="62" t="str">
        <f>IF(OR(NOTA[[#This Row],[QTY]]="",NOTA[[#This Row],[HARGA SATUAN]]="",),"",NOTA[[#This Row],[QTY]]*NOTA[[#This Row],[HARGA SATUAN]])</f>
        <v/>
      </c>
      <c r="AG115" s="56" t="str">
        <f ca="1">IF(NOTA[ID_H]="","",INDEX(NOTA[TANGGAL],MATCH(,INDIRECT(ADDRESS(ROW(NOTA[TANGGAL]),COLUMN(NOTA[TANGGAL]))&amp;":"&amp;ADDRESS(ROW(),COLUMN(NOTA[TANGGAL]))),-1)))</f>
        <v/>
      </c>
      <c r="AH115" s="59" t="str">
        <f ca="1">IF(NOTA[[#This Row],[NAMA BARANG]]="","",INDEX(NOTA[SUPPLIER],MATCH(,INDIRECT(ADDRESS(ROW(NOTA[ID]),COLUMN(NOTA[ID]))&amp;":"&amp;ADDRESS(ROW(),COLUMN(NOTA[ID]))),-1)))</f>
        <v/>
      </c>
      <c r="AI115" s="59" t="str">
        <f ca="1">IF(NOTA[[#This Row],[ID_H]]="","",IF(NOTA[[#This Row],[FAKTUR]]="",INDIRECT(ADDRESS(ROW()-1,COLUMN())),NOTA[[#This Row],[FAKTUR]]))</f>
        <v/>
      </c>
      <c r="AJ115" s="27" t="str">
        <f ca="1">IF(NOTA[[#This Row],[ID]]="","",COUNTIF(NOTA[ID_H],NOTA[[#This Row],[ID_H]]))</f>
        <v/>
      </c>
      <c r="AK115" s="27" t="str">
        <f ca="1">IF(NOTA[[#This Row],[TGL.NOTA]]="",IF(NOTA[[#This Row],[SUPPLIER_H]]="","",AK114),MONTH(NOTA[[#This Row],[TGL.NOTA]]))</f>
        <v/>
      </c>
      <c r="AL115" s="27" t="str">
        <f>LOWER(SUBSTITUTE(SUBSTITUTE(SUBSTITUTE(SUBSTITUTE(SUBSTITUTE(SUBSTITUTE(SUBSTITUTE(SUBSTITUTE(SUBSTITUTE(NOTA[NAMA BARANG]," ",),".",""),"-",""),"(",""),")",""),",",""),"/",""),"""",""),"+",""))</f>
        <v/>
      </c>
      <c r="AM1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" s="27" t="str">
        <f>IF(NOTA[[#This Row],[CONCAT4]]="","",_xlfn.IFNA(MATCH(NOTA[[#This Row],[CONCAT4]],[2]!RAW[CONCAT_H],0),FALSE))</f>
        <v/>
      </c>
      <c r="AQ115" s="145" t="str">
        <f>IF(NOTA[[#This Row],[CONCAT1]]="","",MATCH(NOTA[[#This Row],[CONCAT1]],[3]!db[NB NOTA_C],0)+1)</f>
        <v/>
      </c>
    </row>
    <row r="116" spans="1:43" ht="20.100000000000001" customHeight="1" x14ac:dyDescent="0.25">
      <c r="A116" s="59">
        <f ca="1">IF(INDIRECT(ADDRESS(ROW()-1,COLUMN(NOTA[[#Headers],[ID]])))="ID",1,IF(NOTA[[#This Row],[FAKTUR]]="","",COUNT(INDIRECT(ADDRESS(ROW(NOTA[ID]),COLUMN(NOTA[ID]))&amp;":"&amp;ADDRESS(ROW()-1,COLUMN(NOTA[ID]))))+1))</f>
        <v>19</v>
      </c>
      <c r="B11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DUT_0605_23H-5</v>
      </c>
      <c r="C116" s="67" t="e">
        <f ca="1">IF(NOTA[[#This Row],[ID_P]]="","",MATCH(NOTA[[#This Row],[ID_P]],[1]!B_MSK[N_ID],0))</f>
        <v>#REF!</v>
      </c>
      <c r="D116" s="67">
        <f ca="1">IF(NOTA[[#This Row],[NAMA BARANG]]="","",INDEX(NOTA[ID],MATCH(,INDIRECT(ADDRESS(ROW(NOTA[ID]),COLUMN(NOTA[ID]))&amp;":"&amp;ADDRESS(ROW(),COLUMN(NOTA[ID]))),-1)))</f>
        <v>19</v>
      </c>
      <c r="E116" s="55"/>
      <c r="F116" s="16" t="s">
        <v>249</v>
      </c>
      <c r="G116" s="16" t="s">
        <v>112</v>
      </c>
      <c r="H116" s="20" t="s">
        <v>250</v>
      </c>
      <c r="I116" s="57"/>
      <c r="J116" s="56">
        <v>45049</v>
      </c>
      <c r="K116" s="57"/>
      <c r="L116" s="16" t="s">
        <v>251</v>
      </c>
      <c r="M116" s="58">
        <v>3</v>
      </c>
      <c r="N116" s="57">
        <v>216</v>
      </c>
      <c r="O116" s="16" t="s">
        <v>252</v>
      </c>
      <c r="P116" s="59">
        <v>17000</v>
      </c>
      <c r="Q116" s="60"/>
      <c r="R116" s="28" t="s">
        <v>253</v>
      </c>
      <c r="S116" s="61">
        <v>0.03</v>
      </c>
      <c r="T116" s="61"/>
      <c r="U116" s="62"/>
      <c r="V116" s="26"/>
      <c r="W116" s="62">
        <f>IF(NOTA[[#This Row],[HARGA/ CTN]]="",NOTA[[#This Row],[JUMLAH_H]],NOTA[[#This Row],[HARGA/ CTN]]*IF(NOTA[[#This Row],[C]]="",0,NOTA[[#This Row],[C]]))</f>
        <v>3672000</v>
      </c>
      <c r="X116" s="62">
        <f>IF(NOTA[[#This Row],[JUMLAH]]="","",NOTA[[#This Row],[JUMLAH]]*NOTA[[#This Row],[DISC 1]])</f>
        <v>110160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110160</v>
      </c>
      <c r="AA116" s="62">
        <f>IF(NOTA[[#This Row],[JUMLAH]]="","",NOTA[[#This Row],[JUMLAH]]-NOTA[[#This Row],[DISC]])</f>
        <v>3561840</v>
      </c>
      <c r="AB116" s="62"/>
      <c r="AC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5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116" s="62">
        <f>IF(OR(NOTA[[#This Row],[QTY]]="",NOTA[[#This Row],[HARGA SATUAN]]="",),"",NOTA[[#This Row],[QTY]]*NOTA[[#This Row],[HARGA SATUAN]])</f>
        <v>3672000</v>
      </c>
      <c r="AG116" s="56">
        <f ca="1">IF(NOTA[ID_H]="","",INDEX(NOTA[TANGGAL],MATCH(,INDIRECT(ADDRESS(ROW(NOTA[TANGGAL]),COLUMN(NOTA[TANGGAL]))&amp;":"&amp;ADDRESS(ROW(),COLUMN(NOTA[TANGGAL]))),-1)))</f>
        <v>45052</v>
      </c>
      <c r="AH116" s="59" t="str">
        <f ca="1">IF(NOTA[[#This Row],[NAMA BARANG]]="","",INDEX(NOTA[SUPPLIER],MATCH(,INDIRECT(ADDRESS(ROW(NOTA[ID]),COLUMN(NOTA[ID]))&amp;":"&amp;ADDRESS(ROW(),COLUMN(NOTA[ID]))),-1)))</f>
        <v>DUTA BUANA</v>
      </c>
      <c r="AI116" s="59" t="str">
        <f ca="1">IF(NOTA[[#This Row],[ID_H]]="","",IF(NOTA[[#This Row],[FAKTUR]]="",INDIRECT(ADDRESS(ROW()-1,COLUMN())),NOTA[[#This Row],[FAKTUR]]))</f>
        <v>UNTANA</v>
      </c>
      <c r="AJ116" s="27">
        <f ca="1">IF(NOTA[[#This Row],[ID]]="","",COUNTIF(NOTA[ID_H],NOTA[[#This Row],[ID_H]]))</f>
        <v>5</v>
      </c>
      <c r="AK116" s="27">
        <f>IF(NOTA[[#This Row],[TGL.NOTA]]="",IF(NOTA[[#This Row],[SUPPLIER_H]]="","",AK115),MONTH(NOTA[[#This Row],[TGL.NOTA]]))</f>
        <v>5</v>
      </c>
      <c r="AL116" s="27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1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1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116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BUANAUNTANAHM/118/05-23H45049acryliccolourtfac005p12x6mlpastel</v>
      </c>
      <c r="AP116" s="27" t="e">
        <f>IF(NOTA[[#This Row],[CONCAT4]]="","",_xlfn.IFNA(MATCH(NOTA[[#This Row],[CONCAT4]],[2]!RAW[CONCAT_H],0),FALSE))</f>
        <v>#REF!</v>
      </c>
      <c r="AQ116" s="145" t="e">
        <f>IF(NOTA[[#This Row],[CONCAT1]]="","",MATCH(NOTA[[#This Row],[CONCAT1]],[3]!db[NB NOTA_C],0)+1)</f>
        <v>#N/A</v>
      </c>
    </row>
    <row r="117" spans="1:43" ht="20.100000000000001" customHeight="1" x14ac:dyDescent="0.25">
      <c r="A11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67" t="str">
        <f>IF(NOTA[[#This Row],[ID_P]]="","",MATCH(NOTA[[#This Row],[ID_P]],[1]!B_MSK[N_ID],0))</f>
        <v/>
      </c>
      <c r="D117" s="67">
        <f ca="1">IF(NOTA[[#This Row],[NAMA BARANG]]="","",INDEX(NOTA[ID],MATCH(,INDIRECT(ADDRESS(ROW(NOTA[ID]),COLUMN(NOTA[ID]))&amp;":"&amp;ADDRESS(ROW(),COLUMN(NOTA[ID]))),-1)))</f>
        <v>19</v>
      </c>
      <c r="E117" s="55"/>
      <c r="F117" s="16"/>
      <c r="G117" s="16"/>
      <c r="H117" s="20"/>
      <c r="I117" s="57"/>
      <c r="J117" s="56"/>
      <c r="K117" s="57"/>
      <c r="L117" s="16" t="s">
        <v>254</v>
      </c>
      <c r="M117" s="58">
        <v>4</v>
      </c>
      <c r="N117" s="57">
        <v>288</v>
      </c>
      <c r="O117" s="16" t="s">
        <v>252</v>
      </c>
      <c r="P117" s="59">
        <v>19000</v>
      </c>
      <c r="Q117" s="60"/>
      <c r="R117" s="28" t="s">
        <v>253</v>
      </c>
      <c r="S117" s="61">
        <v>0.03</v>
      </c>
      <c r="T117" s="61"/>
      <c r="U117" s="62"/>
      <c r="V117" s="26"/>
      <c r="W117" s="62">
        <f>IF(NOTA[[#This Row],[HARGA/ CTN]]="",NOTA[[#This Row],[JUMLAH_H]],NOTA[[#This Row],[HARGA/ CTN]]*IF(NOTA[[#This Row],[C]]="",0,NOTA[[#This Row],[C]]))</f>
        <v>5472000</v>
      </c>
      <c r="X117" s="62">
        <f>IF(NOTA[[#This Row],[JUMLAH]]="","",NOTA[[#This Row],[JUMLAH]]*NOTA[[#This Row],[DISC 1]])</f>
        <v>164160</v>
      </c>
      <c r="Y117" s="62">
        <f>IF(NOTA[[#This Row],[JUMLAH]]="","",(NOTA[[#This Row],[JUMLAH]]-NOTA[[#This Row],[DISC 1-]])*NOTA[[#This Row],[DISC 2]])</f>
        <v>0</v>
      </c>
      <c r="Z117" s="62">
        <f>IF(NOTA[[#This Row],[JUMLAH]]="","",NOTA[[#This Row],[DISC 1-]]+NOTA[[#This Row],[DISC 2-]])</f>
        <v>164160</v>
      </c>
      <c r="AA117" s="62">
        <f>IF(NOTA[[#This Row],[JUMLAH]]="","",NOTA[[#This Row],[JUMLAH]]-NOTA[[#This Row],[DISC]])</f>
        <v>5307840</v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117" s="62">
        <f>IF(OR(NOTA[[#This Row],[QTY]]="",NOTA[[#This Row],[HARGA SATUAN]]="",),"",NOTA[[#This Row],[QTY]]*NOTA[[#This Row],[HARGA SATUAN]])</f>
        <v>5472000</v>
      </c>
      <c r="AG117" s="56">
        <f ca="1">IF(NOTA[ID_H]="","",INDEX(NOTA[TANGGAL],MATCH(,INDIRECT(ADDRESS(ROW(NOTA[TANGGAL]),COLUMN(NOTA[TANGGAL]))&amp;":"&amp;ADDRESS(ROW(),COLUMN(NOTA[TANGGAL]))),-1)))</f>
        <v>45052</v>
      </c>
      <c r="AH117" s="59" t="str">
        <f ca="1">IF(NOTA[[#This Row],[NAMA BARANG]]="","",INDEX(NOTA[SUPPLIER],MATCH(,INDIRECT(ADDRESS(ROW(NOTA[ID]),COLUMN(NOTA[ID]))&amp;":"&amp;ADDRESS(ROW(),COLUMN(NOTA[ID]))),-1)))</f>
        <v>DUTA BUANA</v>
      </c>
      <c r="AI117" s="59" t="str">
        <f ca="1">IF(NOTA[[#This Row],[ID_H]]="","",IF(NOTA[[#This Row],[FAKTUR]]="",INDIRECT(ADDRESS(ROW()-1,COLUMN())),NOTA[[#This Row],[FAKTUR]]))</f>
        <v>UNTANA</v>
      </c>
      <c r="AJ117" s="27" t="str">
        <f ca="1">IF(NOTA[[#This Row],[ID]]="","",COUNTIF(NOTA[ID_H],NOTA[[#This Row],[ID_H]]))</f>
        <v/>
      </c>
      <c r="AK117" s="27">
        <f ca="1">IF(NOTA[[#This Row],[TGL.NOTA]]="",IF(NOTA[[#This Row],[SUPPLIER_H]]="","",AK116),MONTH(NOTA[[#This Row],[TGL.NOTA]]))</f>
        <v>5</v>
      </c>
      <c r="AL117" s="27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1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1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1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27" t="str">
        <f>IF(NOTA[[#This Row],[CONCAT4]]="","",_xlfn.IFNA(MATCH(NOTA[[#This Row],[CONCAT4]],[2]!RAW[CONCAT_H],0),FALSE))</f>
        <v/>
      </c>
      <c r="AQ117" s="145" t="e">
        <f>IF(NOTA[[#This Row],[CONCAT1]]="","",MATCH(NOTA[[#This Row],[CONCAT1]],[3]!db[NB NOTA_C],0)+1)</f>
        <v>#N/A</v>
      </c>
    </row>
    <row r="118" spans="1:43" ht="20.100000000000001" customHeight="1" x14ac:dyDescent="0.25">
      <c r="A11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67" t="str">
        <f>IF(NOTA[[#This Row],[ID_P]]="","",MATCH(NOTA[[#This Row],[ID_P]],[1]!B_MSK[N_ID],0))</f>
        <v/>
      </c>
      <c r="D118" s="67">
        <f ca="1">IF(NOTA[[#This Row],[NAMA BARANG]]="","",INDEX(NOTA[ID],MATCH(,INDIRECT(ADDRESS(ROW(NOTA[ID]),COLUMN(NOTA[ID]))&amp;":"&amp;ADDRESS(ROW(),COLUMN(NOTA[ID]))),-1)))</f>
        <v>19</v>
      </c>
      <c r="E118" s="55"/>
      <c r="F118" s="16"/>
      <c r="G118" s="16"/>
      <c r="H118" s="20"/>
      <c r="J118" s="56"/>
      <c r="K118" s="57"/>
      <c r="L118" s="16" t="s">
        <v>255</v>
      </c>
      <c r="M118" s="58">
        <v>3</v>
      </c>
      <c r="N118" s="57">
        <v>216</v>
      </c>
      <c r="O118" s="16" t="s">
        <v>252</v>
      </c>
      <c r="P118" s="59">
        <v>19000</v>
      </c>
      <c r="Q118" s="60"/>
      <c r="R118" s="28" t="s">
        <v>253</v>
      </c>
      <c r="S118" s="61">
        <v>0.03</v>
      </c>
      <c r="T118" s="61"/>
      <c r="U118" s="62"/>
      <c r="V118" s="26"/>
      <c r="W118" s="62">
        <f>IF(NOTA[[#This Row],[HARGA/ CTN]]="",NOTA[[#This Row],[JUMLAH_H]],NOTA[[#This Row],[HARGA/ CTN]]*IF(NOTA[[#This Row],[C]]="",0,NOTA[[#This Row],[C]]))</f>
        <v>4104000</v>
      </c>
      <c r="X118" s="62">
        <f>IF(NOTA[[#This Row],[JUMLAH]]="","",NOTA[[#This Row],[JUMLAH]]*NOTA[[#This Row],[DISC 1]])</f>
        <v>123120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123120</v>
      </c>
      <c r="AA118" s="62">
        <f>IF(NOTA[[#This Row],[JUMLAH]]="","",NOTA[[#This Row],[JUMLAH]]-NOTA[[#This Row],[DISC]])</f>
        <v>3980880</v>
      </c>
      <c r="AB118" s="62"/>
      <c r="AC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5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118" s="62">
        <f>IF(OR(NOTA[[#This Row],[QTY]]="",NOTA[[#This Row],[HARGA SATUAN]]="",),"",NOTA[[#This Row],[QTY]]*NOTA[[#This Row],[HARGA SATUAN]])</f>
        <v>4104000</v>
      </c>
      <c r="AG118" s="56">
        <f ca="1">IF(NOTA[ID_H]="","",INDEX(NOTA[TANGGAL],MATCH(,INDIRECT(ADDRESS(ROW(NOTA[TANGGAL]),COLUMN(NOTA[TANGGAL]))&amp;":"&amp;ADDRESS(ROW(),COLUMN(NOTA[TANGGAL]))),-1)))</f>
        <v>45052</v>
      </c>
      <c r="AH118" s="59" t="str">
        <f ca="1">IF(NOTA[[#This Row],[NAMA BARANG]]="","",INDEX(NOTA[SUPPLIER],MATCH(,INDIRECT(ADDRESS(ROW(NOTA[ID]),COLUMN(NOTA[ID]))&amp;":"&amp;ADDRESS(ROW(),COLUMN(NOTA[ID]))),-1)))</f>
        <v>DUTA BUANA</v>
      </c>
      <c r="AI118" s="59" t="str">
        <f ca="1">IF(NOTA[[#This Row],[ID_H]]="","",IF(NOTA[[#This Row],[FAKTUR]]="",INDIRECT(ADDRESS(ROW()-1,COLUMN())),NOTA[[#This Row],[FAKTUR]]))</f>
        <v>UNTANA</v>
      </c>
      <c r="AJ118" s="27" t="str">
        <f ca="1">IF(NOTA[[#This Row],[ID]]="","",COUNTIF(NOTA[ID_H],NOTA[[#This Row],[ID_H]]))</f>
        <v/>
      </c>
      <c r="AK118" s="27">
        <f ca="1">IF(NOTA[[#This Row],[TGL.NOTA]]="",IF(NOTA[[#This Row],[SUPPLIER_H]]="","",AK117),MONTH(NOTA[[#This Row],[TGL.NOTA]]))</f>
        <v>5</v>
      </c>
      <c r="AL118" s="27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1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1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1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27" t="str">
        <f>IF(NOTA[[#This Row],[CONCAT4]]="","",_xlfn.IFNA(MATCH(NOTA[[#This Row],[CONCAT4]],[2]!RAW[CONCAT_H],0),FALSE))</f>
        <v/>
      </c>
      <c r="AQ118" s="145">
        <f>IF(NOTA[[#This Row],[CONCAT1]]="","",MATCH(NOTA[[#This Row],[CONCAT1]],[3]!db[NB NOTA_C],0)+1)</f>
        <v>29</v>
      </c>
    </row>
    <row r="119" spans="1:43" ht="20.100000000000001" customHeight="1" x14ac:dyDescent="0.25">
      <c r="A11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67" t="str">
        <f>IF(NOTA[[#This Row],[ID_P]]="","",MATCH(NOTA[[#This Row],[ID_P]],[1]!B_MSK[N_ID],0))</f>
        <v/>
      </c>
      <c r="D119" s="67">
        <f ca="1">IF(NOTA[[#This Row],[NAMA BARANG]]="","",INDEX(NOTA[ID],MATCH(,INDIRECT(ADDRESS(ROW(NOTA[ID]),COLUMN(NOTA[ID]))&amp;":"&amp;ADDRESS(ROW(),COLUMN(NOTA[ID]))),-1)))</f>
        <v>19</v>
      </c>
      <c r="E119" s="68"/>
      <c r="H119" s="54"/>
      <c r="J119" s="69"/>
      <c r="K119" s="70"/>
      <c r="L119" s="27" t="s">
        <v>256</v>
      </c>
      <c r="M119" s="71"/>
      <c r="N119" s="70">
        <v>72</v>
      </c>
      <c r="O119" s="27" t="s">
        <v>125</v>
      </c>
      <c r="P119" s="72"/>
      <c r="Q119" s="73"/>
      <c r="R119" s="42"/>
      <c r="S119" s="74"/>
      <c r="T119" s="75"/>
      <c r="U119" s="76"/>
      <c r="V119" s="77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9" s="62" t="str">
        <f>IF(OR(NOTA[[#This Row],[QTY]]="",NOTA[[#This Row],[HARGA SATUAN]]="",),"",NOTA[[#This Row],[QTY]]*NOTA[[#This Row],[HARGA SATUAN]])</f>
        <v/>
      </c>
      <c r="AG119" s="56">
        <f ca="1">IF(NOTA[ID_H]="","",INDEX(NOTA[TANGGAL],MATCH(,INDIRECT(ADDRESS(ROW(NOTA[TANGGAL]),COLUMN(NOTA[TANGGAL]))&amp;":"&amp;ADDRESS(ROW(),COLUMN(NOTA[TANGGAL]))),-1)))</f>
        <v>45052</v>
      </c>
      <c r="AH119" s="59" t="str">
        <f ca="1">IF(NOTA[[#This Row],[NAMA BARANG]]="","",INDEX(NOTA[SUPPLIER],MATCH(,INDIRECT(ADDRESS(ROW(NOTA[ID]),COLUMN(NOTA[ID]))&amp;":"&amp;ADDRESS(ROW(),COLUMN(NOTA[ID]))),-1)))</f>
        <v>DUTA BUANA</v>
      </c>
      <c r="AI119" s="59" t="str">
        <f ca="1">IF(NOTA[[#This Row],[ID_H]]="","",IF(NOTA[[#This Row],[FAKTUR]]="",INDIRECT(ADDRESS(ROW()-1,COLUMN())),NOTA[[#This Row],[FAKTUR]]))</f>
        <v>UNTANA</v>
      </c>
      <c r="AJ119" s="27" t="str">
        <f ca="1">IF(NOTA[[#This Row],[ID]]="","",COUNTIF(NOTA[ID_H],NOTA[[#This Row],[ID_H]]))</f>
        <v/>
      </c>
      <c r="AK119" s="27">
        <f ca="1">IF(NOTA[[#This Row],[TGL.NOTA]]="",IF(NOTA[[#This Row],[SUPPLIER_H]]="","",AK118),MONTH(NOTA[[#This Row],[TGL.NOTA]]))</f>
        <v>5</v>
      </c>
      <c r="AL119" s="27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1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1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1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27" t="str">
        <f>IF(NOTA[[#This Row],[CONCAT4]]="","",_xlfn.IFNA(MATCH(NOTA[[#This Row],[CONCAT4]],[2]!RAW[CONCAT_H],0),FALSE))</f>
        <v/>
      </c>
      <c r="AQ119" s="145" t="e">
        <f>IF(NOTA[[#This Row],[CONCAT1]]="","",MATCH(NOTA[[#This Row],[CONCAT1]],[3]!db[NB NOTA_C],0)+1)</f>
        <v>#N/A</v>
      </c>
    </row>
    <row r="120" spans="1:43" ht="20.100000000000001" customHeight="1" x14ac:dyDescent="0.25">
      <c r="A120" s="1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1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153" t="str">
        <f>IF(NOTA[[#This Row],[ID_P]]="","",MATCH(NOTA[[#This Row],[ID_P]],[1]!B_MSK[N_ID],0))</f>
        <v/>
      </c>
      <c r="D120" s="153">
        <f ca="1">IF(NOTA[[#This Row],[NAMA BARANG]]="","",INDEX(NOTA[ID],MATCH(,INDIRECT(ADDRESS(ROW(NOTA[ID]),COLUMN(NOTA[ID]))&amp;":"&amp;ADDRESS(ROW(),COLUMN(NOTA[ID]))),-1)))</f>
        <v>19</v>
      </c>
      <c r="E120" s="154"/>
      <c r="F120" s="155"/>
      <c r="G120" s="155"/>
      <c r="H120" s="156"/>
      <c r="I120" s="155"/>
      <c r="J120" s="157"/>
      <c r="K120" s="155"/>
      <c r="L120" s="27" t="s">
        <v>257</v>
      </c>
      <c r="M120" s="158">
        <v>3</v>
      </c>
      <c r="N120" s="159">
        <v>432</v>
      </c>
      <c r="O120" s="27" t="s">
        <v>125</v>
      </c>
      <c r="P120" s="160">
        <v>24375</v>
      </c>
      <c r="Q120" s="161"/>
      <c r="R120" s="42" t="s">
        <v>171</v>
      </c>
      <c r="S120" s="162">
        <v>0.03</v>
      </c>
      <c r="T120" s="163"/>
      <c r="U120" s="164"/>
      <c r="V120" s="77" t="s">
        <v>258</v>
      </c>
      <c r="W120" s="165">
        <f>IF(NOTA[[#This Row],[HARGA/ CTN]]="",NOTA[[#This Row],[JUMLAH_H]],NOTA[[#This Row],[HARGA/ CTN]]*IF(NOTA[[#This Row],[C]]="",0,NOTA[[#This Row],[C]]))</f>
        <v>10530000</v>
      </c>
      <c r="X120" s="165">
        <f>IF(NOTA[[#This Row],[JUMLAH]]="","",NOTA[[#This Row],[JUMLAH]]*NOTA[[#This Row],[DISC 1]])</f>
        <v>315900</v>
      </c>
      <c r="Y120" s="165">
        <f>IF(NOTA[[#This Row],[JUMLAH]]="","",(NOTA[[#This Row],[JUMLAH]]-NOTA[[#This Row],[DISC 1-]])*NOTA[[#This Row],[DISC 2]])</f>
        <v>0</v>
      </c>
      <c r="Z120" s="165">
        <f>IF(NOTA[[#This Row],[JUMLAH]]="","",NOTA[[#This Row],[DISC 1-]]+NOTA[[#This Row],[DISC 2-]])</f>
        <v>315900</v>
      </c>
      <c r="AA120" s="165">
        <f>IF(NOTA[[#This Row],[JUMLAH]]="","",NOTA[[#This Row],[JUMLAH]]-NOTA[[#This Row],[DISC]])</f>
        <v>10214100</v>
      </c>
      <c r="AB120" s="165"/>
      <c r="AC120" s="16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713340</v>
      </c>
      <c r="AD120" s="16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23064660</v>
      </c>
      <c r="AE120" s="152">
        <f>IF(NOTA[[#This Row],[NAMA BARANG]]="","",IF(NOTA[[#This Row],[JUMLAH_H]]="",NOTA[[#This Row],[HARGA/ CTN]],NOTA[[#This Row],[QTY]]*NOTA[[#This Row],[HARGA SATUAN]]/IF(ISNUMBER(NOTA[[#This Row],[C]]),NOTA[[#This Row],[C]],1)))</f>
        <v>3510000</v>
      </c>
      <c r="AF120" s="166">
        <f>IF(OR(NOTA[[#This Row],[QTY]]="",NOTA[[#This Row],[HARGA SATUAN]]="",),"",NOTA[[#This Row],[QTY]]*NOTA[[#This Row],[HARGA SATUAN]])</f>
        <v>10530000</v>
      </c>
      <c r="AG120" s="167">
        <f ca="1">IF(NOTA[ID_H]="","",INDEX(NOTA[TANGGAL],MATCH(,INDIRECT(ADDRESS(ROW(NOTA[TANGGAL]),COLUMN(NOTA[TANGGAL]))&amp;":"&amp;ADDRESS(ROW(),COLUMN(NOTA[TANGGAL]))),-1)))</f>
        <v>45052</v>
      </c>
      <c r="AH120" s="152" t="str">
        <f ca="1">IF(NOTA[[#This Row],[NAMA BARANG]]="","",INDEX(NOTA[SUPPLIER],MATCH(,INDIRECT(ADDRESS(ROW(NOTA[ID]),COLUMN(NOTA[ID]))&amp;":"&amp;ADDRESS(ROW(),COLUMN(NOTA[ID]))),-1)))</f>
        <v>DUTA BUANA</v>
      </c>
      <c r="AI120" s="152" t="str">
        <f ca="1">IF(NOTA[[#This Row],[ID_H]]="","",IF(NOTA[[#This Row],[FAKTUR]]="",INDIRECT(ADDRESS(ROW()-1,COLUMN())),NOTA[[#This Row],[FAKTUR]]))</f>
        <v>UNTANA</v>
      </c>
      <c r="AJ120" s="159" t="str">
        <f ca="1">IF(NOTA[[#This Row],[ID]]="","",COUNTIF(NOTA[ID_H],NOTA[[#This Row],[ID_H]]))</f>
        <v/>
      </c>
      <c r="AK120" s="159">
        <f ca="1">IF(NOTA[[#This Row],[TGL.NOTA]]="",IF(NOTA[[#This Row],[SUPPLIER_H]]="","",AK119),MONTH(NOTA[[#This Row],[TGL.NOTA]]))</f>
        <v>5</v>
      </c>
      <c r="AL120" s="159" t="str">
        <f>LOWER(SUBSTITUTE(SUBSTITUTE(SUBSTITUTE(SUBSTITUTE(SUBSTITUTE(SUBSTITUTE(SUBSTITUTE(SUBSTITUTE(SUBSTITUTE(NOTA[NAMA BARANG]," ",),".",""),"-",""),"(",""),")",""),",",""),"/",""),"""",""),"+",""))</f>
        <v>stabilloc52002macarontwinhead</v>
      </c>
      <c r="AM120" s="159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stabilloc52002macarontwinhead35100000.03</v>
      </c>
      <c r="AN120" s="159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stabilloc52002macarontwinhead35100000.03</v>
      </c>
      <c r="AO120" s="159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159" t="str">
        <f>IF(NOTA[[#This Row],[CONCAT4]]="","",_xlfn.IFNA(MATCH(NOTA[[#This Row],[CONCAT4]],[2]!RAW[CONCAT_H],0),FALSE))</f>
        <v/>
      </c>
      <c r="AQ120" s="159" t="e">
        <f>IF(NOTA[[#This Row],[CONCAT1]]="","",MATCH(NOTA[[#This Row],[CONCAT1]],[3]!db[NB NOTA_C],0)+1)</f>
        <v>#N/A</v>
      </c>
    </row>
    <row r="121" spans="1:43" ht="20.100000000000001" customHeight="1" x14ac:dyDescent="0.25">
      <c r="A12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67" t="str">
        <f>IF(NOTA[[#This Row],[ID_P]]="","",MATCH(NOTA[[#This Row],[ID_P]],[1]!B_MSK[N_ID],0))</f>
        <v/>
      </c>
      <c r="D121" s="67" t="str">
        <f ca="1">IF(NOTA[[#This Row],[NAMA BARANG]]="","",INDEX(NOTA[ID],MATCH(,INDIRECT(ADDRESS(ROW(NOTA[ID]),COLUMN(NOTA[ID]))&amp;":"&amp;ADDRESS(ROW(),COLUMN(NOTA[ID]))),-1)))</f>
        <v/>
      </c>
      <c r="E121" s="68"/>
      <c r="H121" s="54"/>
      <c r="J121" s="69"/>
      <c r="K121" s="70"/>
      <c r="M121" s="71"/>
      <c r="N121" s="70"/>
      <c r="P121" s="72"/>
      <c r="Q121" s="73"/>
      <c r="R121" s="42"/>
      <c r="S121" s="74"/>
      <c r="T121" s="75"/>
      <c r="U121" s="76"/>
      <c r="V121" s="77"/>
      <c r="W121" s="62" t="str">
        <f>IF(NOTA[[#This Row],[HARGA/ CTN]]="",NOTA[[#This Row],[JUMLAH_H]],NOTA[[#This Row],[HARGA/ CTN]]*IF(NOTA[[#This Row],[C]]="",0,NOTA[[#This Row],[C]]))</f>
        <v/>
      </c>
      <c r="X121" s="62" t="str">
        <f>IF(NOTA[[#This Row],[JUMLAH]]="","",NOTA[[#This Row],[JUMLAH]]*NOTA[[#This Row],[DISC 1]])</f>
        <v/>
      </c>
      <c r="Y121" s="62" t="str">
        <f>IF(NOTA[[#This Row],[JUMLAH]]="","",(NOTA[[#This Row],[JUMLAH]]-NOTA[[#This Row],[DISC 1-]])*NOTA[[#This Row],[DISC 2]])</f>
        <v/>
      </c>
      <c r="Z121" s="62" t="str">
        <f>IF(NOTA[[#This Row],[JUMLAH]]="","",NOTA[[#This Row],[DISC 1-]]+NOTA[[#This Row],[DISC 2-]])</f>
        <v/>
      </c>
      <c r="AA121" s="62" t="str">
        <f>IF(NOTA[[#This Row],[JUMLAH]]="","",NOTA[[#This Row],[JUMLAH]]-NOTA[[#This Row],[DISC]])</f>
        <v/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62" t="str">
        <f>IF(OR(NOTA[[#This Row],[QTY]]="",NOTA[[#This Row],[HARGA SATUAN]]="",),"",NOTA[[#This Row],[QTY]]*NOTA[[#This Row],[HARGA SATUAN]])</f>
        <v/>
      </c>
      <c r="AG121" s="56" t="str">
        <f ca="1">IF(NOTA[ID_H]="","",INDEX(NOTA[TANGGAL],MATCH(,INDIRECT(ADDRESS(ROW(NOTA[TANGGAL]),COLUMN(NOTA[TANGGAL]))&amp;":"&amp;ADDRESS(ROW(),COLUMN(NOTA[TANGGAL]))),-1)))</f>
        <v/>
      </c>
      <c r="AH121" s="59" t="str">
        <f ca="1">IF(NOTA[[#This Row],[NAMA BARANG]]="","",INDEX(NOTA[SUPPLIER],MATCH(,INDIRECT(ADDRESS(ROW(NOTA[ID]),COLUMN(NOTA[ID]))&amp;":"&amp;ADDRESS(ROW(),COLUMN(NOTA[ID]))),-1)))</f>
        <v/>
      </c>
      <c r="AI121" s="59" t="str">
        <f ca="1">IF(NOTA[[#This Row],[ID_H]]="","",IF(NOTA[[#This Row],[FAKTUR]]="",INDIRECT(ADDRESS(ROW()-1,COLUMN())),NOTA[[#This Row],[FAKTUR]]))</f>
        <v/>
      </c>
      <c r="AJ121" s="27" t="str">
        <f ca="1">IF(NOTA[[#This Row],[ID]]="","",COUNTIF(NOTA[ID_H],NOTA[[#This Row],[ID_H]]))</f>
        <v/>
      </c>
      <c r="AK121" s="27" t="str">
        <f ca="1">IF(NOTA[[#This Row],[TGL.NOTA]]="",IF(NOTA[[#This Row],[SUPPLIER_H]]="","",AK119),MONTH(NOTA[[#This Row],[TGL.NOTA]]))</f>
        <v/>
      </c>
      <c r="AL121" s="27" t="str">
        <f>LOWER(SUBSTITUTE(SUBSTITUTE(SUBSTITUTE(SUBSTITUTE(SUBSTITUTE(SUBSTITUTE(SUBSTITUTE(SUBSTITUTE(SUBSTITUTE(NOTA[NAMA BARANG]," ",),".",""),"-",""),"(",""),")",""),",",""),"/",""),"""",""),"+",""))</f>
        <v/>
      </c>
      <c r="AM1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27" t="str">
        <f>IF(NOTA[[#This Row],[CONCAT4]]="","",_xlfn.IFNA(MATCH(NOTA[[#This Row],[CONCAT4]],[2]!RAW[CONCAT_H],0),FALSE))</f>
        <v/>
      </c>
      <c r="AQ121" s="145" t="str">
        <f>IF(NOTA[[#This Row],[CONCAT1]]="","",MATCH(NOTA[[#This Row],[CONCAT1]],[3]!db[NB NOTA_C],0)+1)</f>
        <v/>
      </c>
    </row>
    <row r="122" spans="1:43" ht="20.100000000000001" customHeight="1" x14ac:dyDescent="0.25">
      <c r="A122" s="59">
        <f ca="1">IF(INDIRECT(ADDRESS(ROW()-1,COLUMN(NOTA[[#Headers],[ID]])))="ID",1,IF(NOTA[[#This Row],[FAKTUR]]="","",COUNT(INDIRECT(ADDRESS(ROW(NOTA[ID]),COLUMN(NOTA[ID]))&amp;":"&amp;ADDRESS(ROW()-1,COLUMN(NOTA[ID]))))+1))</f>
        <v>20</v>
      </c>
      <c r="B12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DUT_0605_23H-3</v>
      </c>
      <c r="C122" s="67" t="e">
        <f ca="1">IF(NOTA[[#This Row],[ID_P]]="","",MATCH(NOTA[[#This Row],[ID_P]],[1]!B_MSK[N_ID],0))</f>
        <v>#REF!</v>
      </c>
      <c r="D122" s="67">
        <f ca="1">IF(NOTA[[#This Row],[NAMA BARANG]]="","",INDEX(NOTA[ID],MATCH(,INDIRECT(ADDRESS(ROW(NOTA[ID]),COLUMN(NOTA[ID]))&amp;":"&amp;ADDRESS(ROW(),COLUMN(NOTA[ID]))),-1)))</f>
        <v>20</v>
      </c>
      <c r="E122" s="68"/>
      <c r="F122" s="27" t="s">
        <v>249</v>
      </c>
      <c r="G122" s="27" t="s">
        <v>112</v>
      </c>
      <c r="H122" s="54" t="s">
        <v>259</v>
      </c>
      <c r="J122" s="69">
        <v>45049</v>
      </c>
      <c r="K122" s="70"/>
      <c r="L122" s="27" t="s">
        <v>260</v>
      </c>
      <c r="M122" s="71">
        <v>18</v>
      </c>
      <c r="N122" s="70">
        <v>1728</v>
      </c>
      <c r="O122" s="27" t="s">
        <v>125</v>
      </c>
      <c r="P122" s="72">
        <v>26500</v>
      </c>
      <c r="Q122" s="73"/>
      <c r="R122" s="42" t="s">
        <v>175</v>
      </c>
      <c r="S122" s="74">
        <v>0.03</v>
      </c>
      <c r="T122" s="75"/>
      <c r="U122" s="76"/>
      <c r="V122" s="77"/>
      <c r="W122" s="62">
        <f>IF(NOTA[[#This Row],[HARGA/ CTN]]="",NOTA[[#This Row],[JUMLAH_H]],NOTA[[#This Row],[HARGA/ CTN]]*IF(NOTA[[#This Row],[C]]="",0,NOTA[[#This Row],[C]]))</f>
        <v>45792000</v>
      </c>
      <c r="X122" s="62">
        <f>IF(NOTA[[#This Row],[JUMLAH]]="","",NOTA[[#This Row],[JUMLAH]]*NOTA[[#This Row],[DISC 1]])</f>
        <v>1373760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1373760</v>
      </c>
      <c r="AA122" s="62">
        <f>IF(NOTA[[#This Row],[JUMLAH]]="","",NOTA[[#This Row],[JUMLAH]]-NOTA[[#This Row],[DISC]])</f>
        <v>44418240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22" s="62">
        <f>IF(OR(NOTA[[#This Row],[QTY]]="",NOTA[[#This Row],[HARGA SATUAN]]="",),"",NOTA[[#This Row],[QTY]]*NOTA[[#This Row],[HARGA SATUAN]])</f>
        <v>45792000</v>
      </c>
      <c r="AG122" s="56">
        <f ca="1">IF(NOTA[ID_H]="","",INDEX(NOTA[TANGGAL],MATCH(,INDIRECT(ADDRESS(ROW(NOTA[TANGGAL]),COLUMN(NOTA[TANGGAL]))&amp;":"&amp;ADDRESS(ROW(),COLUMN(NOTA[TANGGAL]))),-1)))</f>
        <v>45052</v>
      </c>
      <c r="AH122" s="59" t="str">
        <f ca="1">IF(NOTA[[#This Row],[NAMA BARANG]]="","",INDEX(NOTA[SUPPLIER],MATCH(,INDIRECT(ADDRESS(ROW(NOTA[ID]),COLUMN(NOTA[ID]))&amp;":"&amp;ADDRESS(ROW(),COLUMN(NOTA[ID]))),-1)))</f>
        <v>DUTA BUANA</v>
      </c>
      <c r="AI122" s="59" t="str">
        <f ca="1">IF(NOTA[[#This Row],[ID_H]]="","",IF(NOTA[[#This Row],[FAKTUR]]="",INDIRECT(ADDRESS(ROW()-1,COLUMN())),NOTA[[#This Row],[FAKTUR]]))</f>
        <v>UNTANA</v>
      </c>
      <c r="AJ122" s="27">
        <f ca="1">IF(NOTA[[#This Row],[ID]]="","",COUNTIF(NOTA[ID_H],NOTA[[#This Row],[ID_H]]))</f>
        <v>3</v>
      </c>
      <c r="AK122" s="27">
        <f>IF(NOTA[[#This Row],[TGL.NOTA]]="",IF(NOTA[[#This Row],[SUPPLIER_H]]="","",AK121),MONTH(NOTA[[#This Row],[TGL.NOTA]]))</f>
        <v>5</v>
      </c>
      <c r="AL122" s="27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M1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N1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O122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BUANAUNTANAHM/117/05-23H45049ballpengeltf1190htm03mmhightech</v>
      </c>
      <c r="AP122" s="27" t="e">
        <f>IF(NOTA[[#This Row],[CONCAT4]]="","",_xlfn.IFNA(MATCH(NOTA[[#This Row],[CONCAT4]],[2]!RAW[CONCAT_H],0),FALSE))</f>
        <v>#REF!</v>
      </c>
      <c r="AQ122" s="145">
        <f>IF(NOTA[[#This Row],[CONCAT1]]="","",MATCH(NOTA[[#This Row],[CONCAT1]],[3]!db[NB NOTA_C],0)+1)</f>
        <v>108</v>
      </c>
    </row>
    <row r="123" spans="1:43" ht="20.100000000000001" customHeight="1" x14ac:dyDescent="0.25">
      <c r="A1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67" t="str">
        <f>IF(NOTA[[#This Row],[ID_P]]="","",MATCH(NOTA[[#This Row],[ID_P]],[1]!B_MSK[N_ID],0))</f>
        <v/>
      </c>
      <c r="D123" s="67">
        <f ca="1">IF(NOTA[[#This Row],[NAMA BARANG]]="","",INDEX(NOTA[ID],MATCH(,INDIRECT(ADDRESS(ROW(NOTA[ID]),COLUMN(NOTA[ID]))&amp;":"&amp;ADDRESS(ROW(),COLUMN(NOTA[ID]))),-1)))</f>
        <v>20</v>
      </c>
      <c r="E123" s="68"/>
      <c r="F123" s="70"/>
      <c r="G123" s="70"/>
      <c r="H123" s="78"/>
      <c r="I123" s="70"/>
      <c r="J123" s="69"/>
      <c r="K123" s="70"/>
      <c r="L123" s="27" t="s">
        <v>267</v>
      </c>
      <c r="M123" s="71">
        <v>5</v>
      </c>
      <c r="N123" s="70">
        <v>480</v>
      </c>
      <c r="O123" s="27" t="s">
        <v>125</v>
      </c>
      <c r="P123" s="72">
        <v>26500</v>
      </c>
      <c r="Q123" s="73"/>
      <c r="R123" s="42" t="s">
        <v>175</v>
      </c>
      <c r="S123" s="74">
        <v>0.03</v>
      </c>
      <c r="T123" s="75"/>
      <c r="U123" s="76"/>
      <c r="V123" s="77"/>
      <c r="W123" s="62">
        <f>IF(NOTA[[#This Row],[HARGA/ CTN]]="",NOTA[[#This Row],[JUMLAH_H]],NOTA[[#This Row],[HARGA/ CTN]]*IF(NOTA[[#This Row],[C]]="",0,NOTA[[#This Row],[C]]))</f>
        <v>12720000</v>
      </c>
      <c r="X123" s="62">
        <f>IF(NOTA[[#This Row],[JUMLAH]]="","",NOTA[[#This Row],[JUMLAH]]*NOTA[[#This Row],[DISC 1]])</f>
        <v>381600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381600</v>
      </c>
      <c r="AA123" s="62">
        <f>IF(NOTA[[#This Row],[JUMLAH]]="","",NOTA[[#This Row],[JUMLAH]]-NOTA[[#This Row],[DISC]])</f>
        <v>12338400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23" s="62">
        <f>IF(OR(NOTA[[#This Row],[QTY]]="",NOTA[[#This Row],[HARGA SATUAN]]="",),"",NOTA[[#This Row],[QTY]]*NOTA[[#This Row],[HARGA SATUAN]])</f>
        <v>12720000</v>
      </c>
      <c r="AG123" s="56">
        <f ca="1">IF(NOTA[ID_H]="","",INDEX(NOTA[TANGGAL],MATCH(,INDIRECT(ADDRESS(ROW(NOTA[TANGGAL]),COLUMN(NOTA[TANGGAL]))&amp;":"&amp;ADDRESS(ROW(),COLUMN(NOTA[TANGGAL]))),-1)))</f>
        <v>45052</v>
      </c>
      <c r="AH123" s="59" t="str">
        <f ca="1">IF(NOTA[[#This Row],[NAMA BARANG]]="","",INDEX(NOTA[SUPPLIER],MATCH(,INDIRECT(ADDRESS(ROW(NOTA[ID]),COLUMN(NOTA[ID]))&amp;":"&amp;ADDRESS(ROW(),COLUMN(NOTA[ID]))),-1)))</f>
        <v>DUTA BUANA</v>
      </c>
      <c r="AI123" s="59" t="str">
        <f ca="1">IF(NOTA[[#This Row],[ID_H]]="","",IF(NOTA[[#This Row],[FAKTUR]]="",INDIRECT(ADDRESS(ROW()-1,COLUMN())),NOTA[[#This Row],[FAKTUR]]))</f>
        <v>UNTANA</v>
      </c>
      <c r="AJ123" s="27" t="str">
        <f ca="1">IF(NOTA[[#This Row],[ID]]="","",COUNTIF(NOTA[ID_H],NOTA[[#This Row],[ID_H]]))</f>
        <v/>
      </c>
      <c r="AK123" s="27">
        <f ca="1">IF(NOTA[[#This Row],[TGL.NOTA]]="",IF(NOTA[[#This Row],[SUPPLIER_H]]="","",AK122),MONTH(NOTA[[#This Row],[TGL.NOTA]]))</f>
        <v>5</v>
      </c>
      <c r="AL123" s="27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M1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N1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O1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27" t="str">
        <f>IF(NOTA[[#This Row],[CONCAT4]]="","",_xlfn.IFNA(MATCH(NOTA[[#This Row],[CONCAT4]],[2]!RAW[CONCAT_H],0),FALSE))</f>
        <v/>
      </c>
      <c r="AQ123" s="145">
        <f>IF(NOTA[[#This Row],[CONCAT1]]="","",MATCH(NOTA[[#This Row],[CONCAT1]],[3]!db[NB NOTA_C],0)+1)</f>
        <v>107</v>
      </c>
    </row>
    <row r="124" spans="1:43" ht="20.100000000000001" customHeight="1" x14ac:dyDescent="0.25">
      <c r="A12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67" t="str">
        <f>IF(NOTA[[#This Row],[ID_P]]="","",MATCH(NOTA[[#This Row],[ID_P]],[1]!B_MSK[N_ID],0))</f>
        <v/>
      </c>
      <c r="D124" s="67">
        <f ca="1">IF(NOTA[[#This Row],[NAMA BARANG]]="","",INDEX(NOTA[ID],MATCH(,INDIRECT(ADDRESS(ROW(NOTA[ID]),COLUMN(NOTA[ID]))&amp;":"&amp;ADDRESS(ROW(),COLUMN(NOTA[ID]))),-1)))</f>
        <v>20</v>
      </c>
      <c r="E124" s="68"/>
      <c r="H124" s="54"/>
      <c r="I124" s="70"/>
      <c r="J124" s="69"/>
      <c r="K124" s="70"/>
      <c r="L124" s="27" t="s">
        <v>261</v>
      </c>
      <c r="M124" s="71"/>
      <c r="N124" s="70">
        <v>450</v>
      </c>
      <c r="O124" s="27" t="s">
        <v>262</v>
      </c>
      <c r="Q124" s="79"/>
      <c r="R124" s="137"/>
      <c r="S124" s="74"/>
      <c r="T124" s="75"/>
      <c r="U124" s="76"/>
      <c r="V124" s="77"/>
      <c r="W124" s="62" t="str">
        <f>IF(NOTA[[#This Row],[HARGA/ CTN]]="",NOTA[[#This Row],[JUMLAH_H]],NOTA[[#This Row],[HARGA/ CTN]]*IF(NOTA[[#This Row],[C]]="",0,NOTA[[#This Row],[C]]))</f>
        <v/>
      </c>
      <c r="X124" s="62" t="str">
        <f>IF(NOTA[[#This Row],[JUMLAH]]="","",NOTA[[#This Row],[JUMLAH]]*NOTA[[#This Row],[DISC 1]])</f>
        <v/>
      </c>
      <c r="Y124" s="62" t="str">
        <f>IF(NOTA[[#This Row],[JUMLAH]]="","",(NOTA[[#This Row],[JUMLAH]]-NOTA[[#This Row],[DISC 1-]])*NOTA[[#This Row],[DISC 2]])</f>
        <v/>
      </c>
      <c r="Z124" s="62" t="str">
        <f>IF(NOTA[[#This Row],[JUMLAH]]="","",NOTA[[#This Row],[DISC 1-]]+NOTA[[#This Row],[DISC 2-]])</f>
        <v/>
      </c>
      <c r="AA124" s="62" t="str">
        <f>IF(NOTA[[#This Row],[JUMLAH]]="","",NOTA[[#This Row],[JUMLAH]]-NOTA[[#This Row],[DISC]])</f>
        <v/>
      </c>
      <c r="AB124" s="62"/>
      <c r="AC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1755360</v>
      </c>
      <c r="AD12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56756640</v>
      </c>
      <c r="AE124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24" s="62" t="str">
        <f>IF(OR(NOTA[[#This Row],[QTY]]="",NOTA[[#This Row],[HARGA SATUAN]]="",),"",NOTA[[#This Row],[QTY]]*NOTA[[#This Row],[HARGA SATUAN]])</f>
        <v/>
      </c>
      <c r="AG124" s="56">
        <f ca="1">IF(NOTA[ID_H]="","",INDEX(NOTA[TANGGAL],MATCH(,INDIRECT(ADDRESS(ROW(NOTA[TANGGAL]),COLUMN(NOTA[TANGGAL]))&amp;":"&amp;ADDRESS(ROW(),COLUMN(NOTA[TANGGAL]))),-1)))</f>
        <v>45052</v>
      </c>
      <c r="AH124" s="59" t="str">
        <f ca="1">IF(NOTA[[#This Row],[NAMA BARANG]]="","",INDEX(NOTA[SUPPLIER],MATCH(,INDIRECT(ADDRESS(ROW(NOTA[ID]),COLUMN(NOTA[ID]))&amp;":"&amp;ADDRESS(ROW(),COLUMN(NOTA[ID]))),-1)))</f>
        <v>DUTA BUANA</v>
      </c>
      <c r="AI124" s="59" t="str">
        <f ca="1">IF(NOTA[[#This Row],[ID_H]]="","",IF(NOTA[[#This Row],[FAKTUR]]="",INDIRECT(ADDRESS(ROW()-1,COLUMN())),NOTA[[#This Row],[FAKTUR]]))</f>
        <v>UNTANA</v>
      </c>
      <c r="AJ124" s="27" t="str">
        <f ca="1">IF(NOTA[[#This Row],[ID]]="","",COUNTIF(NOTA[ID_H],NOTA[[#This Row],[ID_H]]))</f>
        <v/>
      </c>
      <c r="AK124" s="27">
        <f ca="1">IF(NOTA[[#This Row],[TGL.NOTA]]="",IF(NOTA[[#This Row],[SUPPLIER_H]]="","",AK123),MONTH(NOTA[[#This Row],[TGL.NOTA]]))</f>
        <v>5</v>
      </c>
      <c r="AL124" s="27" t="str">
        <f>LOWER(SUBSTITUTE(SUBSTITUTE(SUBSTITUTE(SUBSTITUTE(SUBSTITUTE(SUBSTITUTE(SUBSTITUTE(SUBSTITUTE(SUBSTITUTE(NOTA[NAMA BARANG]," ",),".",""),"-",""),"(",""),")",""),",",""),"/",""),"""",""),"+",""))</f>
        <v>maskerubonus</v>
      </c>
      <c r="AM1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maskerubonus0</v>
      </c>
      <c r="AN1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maskerubonus0</v>
      </c>
      <c r="AO1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4" s="27" t="str">
        <f>IF(NOTA[[#This Row],[CONCAT4]]="","",_xlfn.IFNA(MATCH(NOTA[[#This Row],[CONCAT4]],[2]!RAW[CONCAT_H],0),FALSE))</f>
        <v/>
      </c>
      <c r="AQ124" s="145">
        <f>IF(NOTA[[#This Row],[CONCAT1]]="","",MATCH(NOTA[[#This Row],[CONCAT1]],[3]!db[NB NOTA_C],0)+1)</f>
        <v>1611</v>
      </c>
    </row>
    <row r="125" spans="1:43" ht="20.100000000000001" customHeight="1" x14ac:dyDescent="0.25">
      <c r="A12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67" t="str">
        <f>IF(NOTA[[#This Row],[ID_P]]="","",MATCH(NOTA[[#This Row],[ID_P]],[1]!B_MSK[N_ID],0))</f>
        <v/>
      </c>
      <c r="D125" s="67" t="str">
        <f ca="1">IF(NOTA[[#This Row],[NAMA BARANG]]="","",INDEX(NOTA[ID],MATCH(,INDIRECT(ADDRESS(ROW(NOTA[ID]),COLUMN(NOTA[ID]))&amp;":"&amp;ADDRESS(ROW(),COLUMN(NOTA[ID]))),-1)))</f>
        <v/>
      </c>
      <c r="E125" s="68"/>
      <c r="H125" s="54"/>
      <c r="I125" s="70"/>
      <c r="J125" s="69"/>
      <c r="K125" s="70"/>
      <c r="M125" s="71"/>
      <c r="N125" s="70"/>
      <c r="P125" s="72"/>
      <c r="Q125" s="73"/>
      <c r="R125" s="42"/>
      <c r="S125" s="74"/>
      <c r="T125" s="75"/>
      <c r="U125" s="76"/>
      <c r="V125" s="77"/>
      <c r="W125" s="62" t="str">
        <f>IF(NOTA[[#This Row],[HARGA/ CTN]]="",NOTA[[#This Row],[JUMLAH_H]],NOTA[[#This Row],[HARGA/ CTN]]*IF(NOTA[[#This Row],[C]]="",0,NOTA[[#This Row],[C]]))</f>
        <v/>
      </c>
      <c r="X125" s="62" t="str">
        <f>IF(NOTA[[#This Row],[JUMLAH]]="","",NOTA[[#This Row],[JUMLAH]]*NOTA[[#This Row],[DISC 1]])</f>
        <v/>
      </c>
      <c r="Y125" s="62" t="str">
        <f>IF(NOTA[[#This Row],[JUMLAH]]="","",(NOTA[[#This Row],[JUMLAH]]-NOTA[[#This Row],[DISC 1-]])*NOTA[[#This Row],[DISC 2]])</f>
        <v/>
      </c>
      <c r="Z125" s="62" t="str">
        <f>IF(NOTA[[#This Row],[JUMLAH]]="","",NOTA[[#This Row],[DISC 1-]]+NOTA[[#This Row],[DISC 2-]])</f>
        <v/>
      </c>
      <c r="AA125" s="62" t="str">
        <f>IF(NOTA[[#This Row],[JUMLAH]]="","",NOTA[[#This Row],[JUMLAH]]-NOTA[[#This Row],[DISC]])</f>
        <v/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5" s="62" t="str">
        <f>IF(OR(NOTA[[#This Row],[QTY]]="",NOTA[[#This Row],[HARGA SATUAN]]="",),"",NOTA[[#This Row],[QTY]]*NOTA[[#This Row],[HARGA SATUAN]])</f>
        <v/>
      </c>
      <c r="AG125" s="56" t="str">
        <f ca="1">IF(NOTA[ID_H]="","",INDEX(NOTA[TANGGAL],MATCH(,INDIRECT(ADDRESS(ROW(NOTA[TANGGAL]),COLUMN(NOTA[TANGGAL]))&amp;":"&amp;ADDRESS(ROW(),COLUMN(NOTA[TANGGAL]))),-1)))</f>
        <v/>
      </c>
      <c r="AH125" s="59" t="str">
        <f ca="1">IF(NOTA[[#This Row],[NAMA BARANG]]="","",INDEX(NOTA[SUPPLIER],MATCH(,INDIRECT(ADDRESS(ROW(NOTA[ID]),COLUMN(NOTA[ID]))&amp;":"&amp;ADDRESS(ROW(),COLUMN(NOTA[ID]))),-1)))</f>
        <v/>
      </c>
      <c r="AI125" s="59" t="str">
        <f ca="1">IF(NOTA[[#This Row],[ID_H]]="","",IF(NOTA[[#This Row],[FAKTUR]]="",INDIRECT(ADDRESS(ROW()-1,COLUMN())),NOTA[[#This Row],[FAKTUR]]))</f>
        <v/>
      </c>
      <c r="AJ125" s="27" t="str">
        <f ca="1">IF(NOTA[[#This Row],[ID]]="","",COUNTIF(NOTA[ID_H],NOTA[[#This Row],[ID_H]]))</f>
        <v/>
      </c>
      <c r="AK125" s="27" t="str">
        <f ca="1">IF(NOTA[[#This Row],[TGL.NOTA]]="",IF(NOTA[[#This Row],[SUPPLIER_H]]="","",AK124),MONTH(NOTA[[#This Row],[TGL.NOTA]]))</f>
        <v/>
      </c>
      <c r="AL125" s="27" t="str">
        <f>LOWER(SUBSTITUTE(SUBSTITUTE(SUBSTITUTE(SUBSTITUTE(SUBSTITUTE(SUBSTITUTE(SUBSTITUTE(SUBSTITUTE(SUBSTITUTE(NOTA[NAMA BARANG]," ",),".",""),"-",""),"(",""),")",""),",",""),"/",""),"""",""),"+",""))</f>
        <v/>
      </c>
      <c r="AM1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27" t="str">
        <f>IF(NOTA[[#This Row],[CONCAT4]]="","",_xlfn.IFNA(MATCH(NOTA[[#This Row],[CONCAT4]],[2]!RAW[CONCAT_H],0),FALSE))</f>
        <v/>
      </c>
      <c r="AQ125" s="145" t="str">
        <f>IF(NOTA[[#This Row],[CONCAT1]]="","",MATCH(NOTA[[#This Row],[CONCAT1]],[3]!db[NB NOTA_C],0)+1)</f>
        <v/>
      </c>
    </row>
    <row r="126" spans="1:43" ht="20.100000000000001" customHeight="1" x14ac:dyDescent="0.25">
      <c r="A126" s="59">
        <f ca="1">IF(INDIRECT(ADDRESS(ROW()-1,COLUMN(NOTA[[#Headers],[ID]])))="ID",1,IF(NOTA[[#This Row],[FAKTUR]]="","",COUNT(INDIRECT(ADDRESS(ROW(NOTA[ID]),COLUMN(NOTA[ID]))&amp;":"&amp;ADDRESS(ROW()-1,COLUMN(NOTA[ID]))))+1))</f>
        <v>21</v>
      </c>
      <c r="B126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WIN_0805_COD-1</v>
      </c>
      <c r="C126" s="67" t="e">
        <f ca="1">IF(NOTA[[#This Row],[ID_P]]="","",MATCH(NOTA[[#This Row],[ID_P]],[1]!B_MSK[N_ID],0))</f>
        <v>#REF!</v>
      </c>
      <c r="D126" s="67">
        <f ca="1">IF(NOTA[[#This Row],[NAMA BARANG]]="","",INDEX(NOTA[ID],MATCH(,INDIRECT(ADDRESS(ROW(NOTA[ID]),COLUMN(NOTA[ID]))&amp;":"&amp;ADDRESS(ROW(),COLUMN(NOTA[ID]))),-1)))</f>
        <v>21</v>
      </c>
      <c r="E126" s="68">
        <v>45054</v>
      </c>
      <c r="F126" s="27" t="s">
        <v>263</v>
      </c>
      <c r="G126" s="27" t="s">
        <v>112</v>
      </c>
      <c r="H126" s="54" t="s">
        <v>264</v>
      </c>
      <c r="I126" s="70"/>
      <c r="J126" s="69">
        <v>45050</v>
      </c>
      <c r="K126" s="70"/>
      <c r="L126" s="27" t="s">
        <v>265</v>
      </c>
      <c r="M126" s="71">
        <v>50</v>
      </c>
      <c r="N126" s="70">
        <f>25*50</f>
        <v>1250</v>
      </c>
      <c r="O126" s="27" t="s">
        <v>160</v>
      </c>
      <c r="P126" s="64">
        <f>1200000/25</f>
        <v>48000</v>
      </c>
      <c r="Q126" s="73">
        <v>1200000</v>
      </c>
      <c r="R126" s="42" t="s">
        <v>266</v>
      </c>
      <c r="S126" s="74"/>
      <c r="T126" s="75"/>
      <c r="U126" s="76"/>
      <c r="V126" s="77"/>
      <c r="W126" s="62">
        <f>IF(NOTA[[#This Row],[HARGA/ CTN]]="",NOTA[[#This Row],[JUMLAH_H]],NOTA[[#This Row],[HARGA/ CTN]]*IF(NOTA[[#This Row],[C]]="",0,NOTA[[#This Row],[C]]))</f>
        <v>60000000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60000000</v>
      </c>
      <c r="AB126" s="62"/>
      <c r="AC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60000000</v>
      </c>
      <c r="AE126" s="5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26" s="62">
        <f>IF(OR(NOTA[[#This Row],[QTY]]="",NOTA[[#This Row],[HARGA SATUAN]]="",),"",NOTA[[#This Row],[QTY]]*NOTA[[#This Row],[HARGA SATUAN]])</f>
        <v>60000000</v>
      </c>
      <c r="AG126" s="56">
        <f ca="1">IF(NOTA[ID_H]="","",INDEX(NOTA[TANGGAL],MATCH(,INDIRECT(ADDRESS(ROW(NOTA[TANGGAL]),COLUMN(NOTA[TANGGAL]))&amp;":"&amp;ADDRESS(ROW(),COLUMN(NOTA[TANGGAL]))),-1)))</f>
        <v>45054</v>
      </c>
      <c r="AH126" s="59" t="str">
        <f ca="1">IF(NOTA[[#This Row],[NAMA BARANG]]="","",INDEX(NOTA[SUPPLIER],MATCH(,INDIRECT(ADDRESS(ROW(NOTA[ID]),COLUMN(NOTA[ID]))&amp;":"&amp;ADDRESS(ROW(),COLUMN(NOTA[ID]))),-1)))</f>
        <v>WIN'S SENTOSA</v>
      </c>
      <c r="AI126" s="59" t="str">
        <f ca="1">IF(NOTA[[#This Row],[ID_H]]="","",IF(NOTA[[#This Row],[FAKTUR]]="",INDIRECT(ADDRESS(ROW()-1,COLUMN())),NOTA[[#This Row],[FAKTUR]]))</f>
        <v>UNTANA</v>
      </c>
      <c r="AJ126" s="27">
        <f ca="1">IF(NOTA[[#This Row],[ID]]="","",COUNTIF(NOTA[ID_H],NOTA[[#This Row],[ID_H]]))</f>
        <v>1</v>
      </c>
      <c r="AK126" s="27">
        <f>IF(NOTA[[#This Row],[TGL.NOTA]]="",IF(NOTA[[#This Row],[SUPPLIER_H]]="","",AK125),MONTH(NOTA[[#This Row],[TGL.NOTA]]))</f>
        <v>5</v>
      </c>
      <c r="AL126" s="27" t="str">
        <f>LOWER(SUBSTITUTE(SUBSTITUTE(SUBSTITUTE(SUBSTITUTE(SUBSTITUTE(SUBSTITUTE(SUBSTITUTE(SUBSTITUTE(SUBSTITUTE(NOTA[NAMA BARANG]," ",),".",""),"-",""),"(",""),")",""),",",""),"/",""),"""",""),"+",""))</f>
        <v>gluestick7x29</v>
      </c>
      <c r="AM1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gluestick7x291200000</v>
      </c>
      <c r="AN1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gluestick7x291200000</v>
      </c>
      <c r="AO126" s="27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SENTOSAUNTANASI-2023/05-0069/LGS//COD45050gluestick7x29</v>
      </c>
      <c r="AP126" s="27" t="e">
        <f>IF(NOTA[[#This Row],[CONCAT4]]="","",_xlfn.IFNA(MATCH(NOTA[[#This Row],[CONCAT4]],[2]!RAW[CONCAT_H],0),FALSE))</f>
        <v>#REF!</v>
      </c>
      <c r="AQ126" s="145" t="e">
        <f>IF(NOTA[[#This Row],[CONCAT1]]="","",MATCH(NOTA[[#This Row],[CONCAT1]],[3]!db[NB NOTA_C],0)+1)</f>
        <v>#N/A</v>
      </c>
    </row>
    <row r="127" spans="1:43" ht="20.100000000000001" customHeight="1" x14ac:dyDescent="0.25">
      <c r="A12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67" t="str">
        <f>IF(NOTA[[#This Row],[ID_P]]="","",MATCH(NOTA[[#This Row],[ID_P]],[1]!B_MSK[N_ID],0))</f>
        <v/>
      </c>
      <c r="D127" s="67" t="str">
        <f ca="1">IF(NOTA[[#This Row],[NAMA BARANG]]="","",INDEX(NOTA[ID],MATCH(,INDIRECT(ADDRESS(ROW(NOTA[ID]),COLUMN(NOTA[ID]))&amp;":"&amp;ADDRESS(ROW(),COLUMN(NOTA[ID]))),-1)))</f>
        <v/>
      </c>
      <c r="E127" s="68"/>
      <c r="H127" s="54"/>
      <c r="I127" s="70"/>
      <c r="J127" s="69"/>
      <c r="M127" s="71"/>
      <c r="N127" s="70"/>
      <c r="P127" s="72"/>
      <c r="Q127" s="73"/>
      <c r="R127" s="42"/>
      <c r="S127" s="74"/>
      <c r="T127" s="75"/>
      <c r="U127" s="76"/>
      <c r="V127" s="77"/>
      <c r="W127" s="62" t="str">
        <f>IF(NOTA[[#This Row],[HARGA/ CTN]]="",NOTA[[#This Row],[JUMLAH_H]],NOTA[[#This Row],[HARGA/ CTN]]*IF(NOTA[[#This Row],[C]]="",0,NOTA[[#This Row],[C]]))</f>
        <v/>
      </c>
      <c r="X127" s="62" t="str">
        <f>IF(NOTA[[#This Row],[JUMLAH]]="","",NOTA[[#This Row],[JUMLAH]]*NOTA[[#This Row],[DISC 1]])</f>
        <v/>
      </c>
      <c r="Y127" s="62" t="str">
        <f>IF(NOTA[[#This Row],[JUMLAH]]="","",(NOTA[[#This Row],[JUMLAH]]-NOTA[[#This Row],[DISC 1-]])*NOTA[[#This Row],[DISC 2]])</f>
        <v/>
      </c>
      <c r="Z127" s="62" t="str">
        <f>IF(NOTA[[#This Row],[JUMLAH]]="","",NOTA[[#This Row],[DISC 1-]]+NOTA[[#This Row],[DISC 2-]])</f>
        <v/>
      </c>
      <c r="AA127" s="62" t="str">
        <f>IF(NOTA[[#This Row],[JUMLAH]]="","",NOTA[[#This Row],[JUMLAH]]-NOTA[[#This Row],[DISC]])</f>
        <v/>
      </c>
      <c r="AB127" s="62"/>
      <c r="AC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7" s="62" t="str">
        <f>IF(OR(NOTA[[#This Row],[QTY]]="",NOTA[[#This Row],[HARGA SATUAN]]="",),"",NOTA[[#This Row],[QTY]]*NOTA[[#This Row],[HARGA SATUAN]])</f>
        <v/>
      </c>
      <c r="AG127" s="56" t="str">
        <f ca="1">IF(NOTA[ID_H]="","",INDEX(NOTA[TANGGAL],MATCH(,INDIRECT(ADDRESS(ROW(NOTA[TANGGAL]),COLUMN(NOTA[TANGGAL]))&amp;":"&amp;ADDRESS(ROW(),COLUMN(NOTA[TANGGAL]))),-1)))</f>
        <v/>
      </c>
      <c r="AH127" s="59" t="str">
        <f ca="1">IF(NOTA[[#This Row],[NAMA BARANG]]="","",INDEX(NOTA[SUPPLIER],MATCH(,INDIRECT(ADDRESS(ROW(NOTA[ID]),COLUMN(NOTA[ID]))&amp;":"&amp;ADDRESS(ROW(),COLUMN(NOTA[ID]))),-1)))</f>
        <v/>
      </c>
      <c r="AI127" s="59" t="str">
        <f ca="1">IF(NOTA[[#This Row],[ID_H]]="","",IF(NOTA[[#This Row],[FAKTUR]]="",INDIRECT(ADDRESS(ROW()-1,COLUMN())),NOTA[[#This Row],[FAKTUR]]))</f>
        <v/>
      </c>
      <c r="AJ127" s="27" t="str">
        <f ca="1">IF(NOTA[[#This Row],[ID]]="","",COUNTIF(NOTA[ID_H],NOTA[[#This Row],[ID_H]]))</f>
        <v/>
      </c>
      <c r="AK127" s="27" t="str">
        <f ca="1">IF(NOTA[[#This Row],[TGL.NOTA]]="",IF(NOTA[[#This Row],[SUPPLIER_H]]="","",AK126),MONTH(NOTA[[#This Row],[TGL.NOTA]]))</f>
        <v/>
      </c>
      <c r="AL127" s="27" t="str">
        <f>LOWER(SUBSTITUTE(SUBSTITUTE(SUBSTITUTE(SUBSTITUTE(SUBSTITUTE(SUBSTITUTE(SUBSTITUTE(SUBSTITUTE(SUBSTITUTE(NOTA[NAMA BARANG]," ",),".",""),"-",""),"(",""),")",""),",",""),"/",""),"""",""),"+",""))</f>
        <v/>
      </c>
      <c r="AM1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27" t="str">
        <f>IF(NOTA[[#This Row],[CONCAT4]]="","",_xlfn.IFNA(MATCH(NOTA[[#This Row],[CONCAT4]],[2]!RAW[CONCAT_H],0),FALSE))</f>
        <v/>
      </c>
      <c r="AQ127" s="145" t="str">
        <f>IF(NOTA[[#This Row],[CONCAT1]]="","",MATCH(NOTA[[#This Row],[CONCAT1]],[3]!db[NB NOTA_C],0)+1)</f>
        <v/>
      </c>
    </row>
    <row r="128" spans="1:43" ht="20.100000000000001" customHeight="1" x14ac:dyDescent="0.25">
      <c r="A128" s="59">
        <f ca="1">IF(INDIRECT(ADDRESS(ROW()-1,COLUMN(NOTA[[#Headers],[ID]])))="ID",1,IF(NOTA[[#This Row],[FAKTUR]]="","",COUNT(INDIRECT(ADDRESS(ROW(NOTA[ID]),COLUMN(NOTA[ID]))&amp;":"&amp;ADDRESS(ROW()-1,COLUMN(NOTA[ID]))))+1))</f>
        <v>22</v>
      </c>
      <c r="B12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ATA_0905_867-1</v>
      </c>
      <c r="C128" s="67" t="e">
        <f ca="1">IF(NOTA[[#This Row],[ID_P]]="","",MATCH(NOTA[[#This Row],[ID_P]],[1]!B_MSK[N_ID],0))</f>
        <v>#REF!</v>
      </c>
      <c r="D128" s="67">
        <f ca="1">IF(NOTA[[#This Row],[NAMA BARANG]]="","",INDEX(NOTA[ID],MATCH(,INDIRECT(ADDRESS(ROW(NOTA[ID]),COLUMN(NOTA[ID]))&amp;":"&amp;ADDRESS(ROW(),COLUMN(NOTA[ID]))),-1)))</f>
        <v>22</v>
      </c>
      <c r="E128" s="68">
        <v>45055</v>
      </c>
      <c r="F128" s="27" t="s">
        <v>25</v>
      </c>
      <c r="G128" s="27" t="s">
        <v>24</v>
      </c>
      <c r="H128" s="54" t="s">
        <v>268</v>
      </c>
      <c r="I128" s="70"/>
      <c r="J128" s="69">
        <v>45051</v>
      </c>
      <c r="K128" s="70"/>
      <c r="L128" s="27" t="s">
        <v>269</v>
      </c>
      <c r="M128" s="71">
        <v>10</v>
      </c>
      <c r="N128" s="70">
        <v>300</v>
      </c>
      <c r="O128" s="27" t="s">
        <v>183</v>
      </c>
      <c r="P128" s="72">
        <v>104400</v>
      </c>
      <c r="Q128" s="79"/>
      <c r="R128" s="42" t="s">
        <v>270</v>
      </c>
      <c r="S128" s="74">
        <v>0.125</v>
      </c>
      <c r="T128" s="75">
        <v>0.05</v>
      </c>
      <c r="U128" s="76"/>
      <c r="V128" s="77"/>
      <c r="W128" s="62">
        <f>IF(NOTA[[#This Row],[HARGA/ CTN]]="",NOTA[[#This Row],[JUMLAH_H]],NOTA[[#This Row],[HARGA/ CTN]]*IF(NOTA[[#This Row],[C]]="",0,NOTA[[#This Row],[C]]))</f>
        <v>31320000</v>
      </c>
      <c r="X128" s="62">
        <f>IF(NOTA[[#This Row],[JUMLAH]]="","",NOTA[[#This Row],[JUMLAH]]*NOTA[[#This Row],[DISC 1]])</f>
        <v>3915000</v>
      </c>
      <c r="Y128" s="62">
        <f>IF(NOTA[[#This Row],[JUMLAH]]="","",(NOTA[[#This Row],[JUMLAH]]-NOTA[[#This Row],[DISC 1-]])*NOTA[[#This Row],[DISC 2]])</f>
        <v>1370250</v>
      </c>
      <c r="Z128" s="62">
        <f>IF(NOTA[[#This Row],[JUMLAH]]="","",NOTA[[#This Row],[DISC 1-]]+NOTA[[#This Row],[DISC 2-]])</f>
        <v>5285250</v>
      </c>
      <c r="AA128" s="62">
        <f>IF(NOTA[[#This Row],[JUMLAH]]="","",NOTA[[#This Row],[JUMLAH]]-NOTA[[#This Row],[DISC]])</f>
        <v>26034750</v>
      </c>
      <c r="AB128" s="62"/>
      <c r="AC12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5285250</v>
      </c>
      <c r="AD12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26034750</v>
      </c>
      <c r="AE128" s="5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28" s="62">
        <f>IF(OR(NOTA[[#This Row],[QTY]]="",NOTA[[#This Row],[HARGA SATUAN]]="",),"",NOTA[[#This Row],[QTY]]*NOTA[[#This Row],[HARGA SATUAN]])</f>
        <v>31320000</v>
      </c>
      <c r="AG128" s="56">
        <f ca="1">IF(NOTA[ID_H]="","",INDEX(NOTA[TANGGAL],MATCH(,INDIRECT(ADDRESS(ROW(NOTA[TANGGAL]),COLUMN(NOTA[TANGGAL]))&amp;":"&amp;ADDRESS(ROW(),COLUMN(NOTA[TANGGAL]))),-1)))</f>
        <v>45055</v>
      </c>
      <c r="AH128" s="59" t="str">
        <f ca="1">IF(NOTA[[#This Row],[NAMA BARANG]]="","",INDEX(NOTA[SUPPLIER],MATCH(,INDIRECT(ADDRESS(ROW(NOTA[ID]),COLUMN(NOTA[ID]))&amp;":"&amp;ADDRESS(ROW(),COLUMN(NOTA[ID]))),-1)))</f>
        <v>ATALI MAKMUR</v>
      </c>
      <c r="AI128" s="59" t="str">
        <f ca="1">IF(NOTA[[#This Row],[ID_H]]="","",IF(NOTA[[#This Row],[FAKTUR]]="",INDIRECT(ADDRESS(ROW()-1,COLUMN())),NOTA[[#This Row],[FAKTUR]]))</f>
        <v>ARTO MORO</v>
      </c>
      <c r="AJ128" s="27">
        <f ca="1">IF(NOTA[[#This Row],[ID]]="","",COUNTIF(NOTA[ID_H],NOTA[[#This Row],[ID_H]]))</f>
        <v>1</v>
      </c>
      <c r="AK128" s="27">
        <f>IF(NOTA[[#This Row],[TGL.NOTA]]="",IF(NOTA[[#This Row],[SUPPLIER_H]]="","",AK127),MONTH(NOTA[[#This Row],[TGL.NOTA]]))</f>
        <v>5</v>
      </c>
      <c r="AL128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1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2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MOROSA23050686745051pencilp882bjk</v>
      </c>
      <c r="AP128" s="27" t="e">
        <f>IF(NOTA[[#This Row],[CONCAT4]]="","",_xlfn.IFNA(MATCH(NOTA[[#This Row],[CONCAT4]],[2]!RAW[CONCAT_H],0),FALSE))</f>
        <v>#REF!</v>
      </c>
      <c r="AQ128" s="145">
        <f>IF(NOTA[[#This Row],[CONCAT1]]="","",MATCH(NOTA[[#This Row],[CONCAT1]],[3]!db[NB NOTA_C],0)+1)</f>
        <v>1927</v>
      </c>
    </row>
    <row r="129" spans="1:43" ht="20.100000000000001" customHeight="1" x14ac:dyDescent="0.25">
      <c r="A12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67" t="str">
        <f>IF(NOTA[[#This Row],[ID_P]]="","",MATCH(NOTA[[#This Row],[ID_P]],[1]!B_MSK[N_ID],0))</f>
        <v/>
      </c>
      <c r="D129" s="67" t="str">
        <f ca="1">IF(NOTA[[#This Row],[NAMA BARANG]]="","",INDEX(NOTA[ID],MATCH(,INDIRECT(ADDRESS(ROW(NOTA[ID]),COLUMN(NOTA[ID]))&amp;":"&amp;ADDRESS(ROW(),COLUMN(NOTA[ID]))),-1)))</f>
        <v/>
      </c>
      <c r="E129" s="68"/>
      <c r="H129" s="54"/>
      <c r="I129" s="70"/>
      <c r="J129" s="69"/>
      <c r="K129" s="70"/>
      <c r="M129" s="71"/>
      <c r="N129" s="70"/>
      <c r="P129" s="72"/>
      <c r="Q129" s="73"/>
      <c r="R129" s="42"/>
      <c r="S129" s="74"/>
      <c r="T129" s="75"/>
      <c r="U129" s="76"/>
      <c r="V129" s="77"/>
      <c r="W129" s="62" t="str">
        <f>IF(NOTA[[#This Row],[HARGA/ CTN]]="",NOTA[[#This Row],[JUMLAH_H]],NOTA[[#This Row],[HARGA/ CTN]]*IF(NOTA[[#This Row],[C]]="",0,NOTA[[#This Row],[C]]))</f>
        <v/>
      </c>
      <c r="X129" s="62" t="str">
        <f>IF(NOTA[[#This Row],[JUMLAH]]="","",NOTA[[#This Row],[JUMLAH]]*NOTA[[#This Row],[DISC 1]])</f>
        <v/>
      </c>
      <c r="Y129" s="62" t="str">
        <f>IF(NOTA[[#This Row],[JUMLAH]]="","",(NOTA[[#This Row],[JUMLAH]]-NOTA[[#This Row],[DISC 1-]])*NOTA[[#This Row],[DISC 2]])</f>
        <v/>
      </c>
      <c r="Z129" s="62" t="str">
        <f>IF(NOTA[[#This Row],[JUMLAH]]="","",NOTA[[#This Row],[DISC 1-]]+NOTA[[#This Row],[DISC 2-]])</f>
        <v/>
      </c>
      <c r="AA129" s="62" t="str">
        <f>IF(NOTA[[#This Row],[JUMLAH]]="","",NOTA[[#This Row],[JUMLAH]]-NOTA[[#This Row],[DISC]])</f>
        <v/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9" s="62" t="str">
        <f>IF(OR(NOTA[[#This Row],[QTY]]="",NOTA[[#This Row],[HARGA SATUAN]]="",),"",NOTA[[#This Row],[QTY]]*NOTA[[#This Row],[HARGA SATUAN]])</f>
        <v/>
      </c>
      <c r="AG129" s="56" t="str">
        <f ca="1">IF(NOTA[ID_H]="","",INDEX(NOTA[TANGGAL],MATCH(,INDIRECT(ADDRESS(ROW(NOTA[TANGGAL]),COLUMN(NOTA[TANGGAL]))&amp;":"&amp;ADDRESS(ROW(),COLUMN(NOTA[TANGGAL]))),-1)))</f>
        <v/>
      </c>
      <c r="AH129" s="59" t="str">
        <f ca="1">IF(NOTA[[#This Row],[NAMA BARANG]]="","",INDEX(NOTA[SUPPLIER],MATCH(,INDIRECT(ADDRESS(ROW(NOTA[ID]),COLUMN(NOTA[ID]))&amp;":"&amp;ADDRESS(ROW(),COLUMN(NOTA[ID]))),-1)))</f>
        <v/>
      </c>
      <c r="AI129" s="59" t="str">
        <f ca="1">IF(NOTA[[#This Row],[ID_H]]="","",IF(NOTA[[#This Row],[FAKTUR]]="",INDIRECT(ADDRESS(ROW()-1,COLUMN())),NOTA[[#This Row],[FAKTUR]]))</f>
        <v/>
      </c>
      <c r="AJ129" s="27" t="str">
        <f ca="1">IF(NOTA[[#This Row],[ID]]="","",COUNTIF(NOTA[ID_H],NOTA[[#This Row],[ID_H]]))</f>
        <v/>
      </c>
      <c r="AK129" s="27" t="str">
        <f ca="1">IF(NOTA[[#This Row],[TGL.NOTA]]="",IF(NOTA[[#This Row],[SUPPLIER_H]]="","",AK128),MONTH(NOTA[[#This Row],[TGL.NOTA]]))</f>
        <v/>
      </c>
      <c r="AL129" s="27" t="str">
        <f>LOWER(SUBSTITUTE(SUBSTITUTE(SUBSTITUTE(SUBSTITUTE(SUBSTITUTE(SUBSTITUTE(SUBSTITUTE(SUBSTITUTE(SUBSTITUTE(NOTA[NAMA BARANG]," ",),".",""),"-",""),"(",""),")",""),",",""),"/",""),"""",""),"+",""))</f>
        <v/>
      </c>
      <c r="AM1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9" s="27" t="str">
        <f>IF(NOTA[[#This Row],[CONCAT4]]="","",_xlfn.IFNA(MATCH(NOTA[[#This Row],[CONCAT4]],[2]!RAW[CONCAT_H],0),FALSE))</f>
        <v/>
      </c>
      <c r="AQ129" s="145" t="str">
        <f>IF(NOTA[[#This Row],[CONCAT1]]="","",MATCH(NOTA[[#This Row],[CONCAT1]],[3]!db[NB NOTA_C],0)+1)</f>
        <v/>
      </c>
    </row>
    <row r="130" spans="1:43" ht="20.100000000000001" customHeight="1" x14ac:dyDescent="0.25">
      <c r="A130" s="59">
        <f ca="1">IF(INDIRECT(ADDRESS(ROW()-1,COLUMN(NOTA[[#Headers],[ID]])))="ID",1,IF(NOTA[[#This Row],[FAKTUR]]="","",COUNT(INDIRECT(ADDRESS(ROW(NOTA[ID]),COLUMN(NOTA[ID]))&amp;":"&amp;ADDRESS(ROW()-1,COLUMN(NOTA[ID]))))+1))</f>
        <v>23</v>
      </c>
      <c r="B13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ATA_0905_812-2</v>
      </c>
      <c r="C130" s="67" t="e">
        <f ca="1">IF(NOTA[[#This Row],[ID_P]]="","",MATCH(NOTA[[#This Row],[ID_P]],[1]!B_MSK[N_ID],0))</f>
        <v>#REF!</v>
      </c>
      <c r="D130" s="67">
        <f ca="1">IF(NOTA[[#This Row],[NAMA BARANG]]="","",INDEX(NOTA[ID],MATCH(,INDIRECT(ADDRESS(ROW(NOTA[ID]),COLUMN(NOTA[ID]))&amp;":"&amp;ADDRESS(ROW(),COLUMN(NOTA[ID]))),-1)))</f>
        <v>23</v>
      </c>
      <c r="E130" s="68"/>
      <c r="F130" s="27" t="s">
        <v>25</v>
      </c>
      <c r="G130" s="27" t="s">
        <v>24</v>
      </c>
      <c r="H130" s="54" t="s">
        <v>271</v>
      </c>
      <c r="I130" s="70"/>
      <c r="J130" s="69">
        <v>45050</v>
      </c>
      <c r="K130" s="70"/>
      <c r="L130" s="27" t="s">
        <v>272</v>
      </c>
      <c r="M130" s="71">
        <v>5</v>
      </c>
      <c r="N130" s="70">
        <v>720</v>
      </c>
      <c r="O130" s="27" t="s">
        <v>252</v>
      </c>
      <c r="P130" s="72">
        <v>23900</v>
      </c>
      <c r="Q130" s="73"/>
      <c r="R130" s="42" t="s">
        <v>273</v>
      </c>
      <c r="S130" s="74">
        <v>0.125</v>
      </c>
      <c r="T130" s="75">
        <v>0.05</v>
      </c>
      <c r="U130" s="76"/>
      <c r="V130" s="77"/>
      <c r="W130" s="62">
        <f>IF(NOTA[[#This Row],[HARGA/ CTN]]="",NOTA[[#This Row],[JUMLAH_H]],NOTA[[#This Row],[HARGA/ CTN]]*IF(NOTA[[#This Row],[C]]="",0,NOTA[[#This Row],[C]]))</f>
        <v>17208000</v>
      </c>
      <c r="X130" s="62">
        <f>IF(NOTA[[#This Row],[JUMLAH]]="","",NOTA[[#This Row],[JUMLAH]]*NOTA[[#This Row],[DISC 1]])</f>
        <v>2151000</v>
      </c>
      <c r="Y130" s="62">
        <f>IF(NOTA[[#This Row],[JUMLAH]]="","",(NOTA[[#This Row],[JUMLAH]]-NOTA[[#This Row],[DISC 1-]])*NOTA[[#This Row],[DISC 2]])</f>
        <v>752850</v>
      </c>
      <c r="Z130" s="62">
        <f>IF(NOTA[[#This Row],[JUMLAH]]="","",NOTA[[#This Row],[DISC 1-]]+NOTA[[#This Row],[DISC 2-]])</f>
        <v>2903850</v>
      </c>
      <c r="AA130" s="62">
        <f>IF(NOTA[[#This Row],[JUMLAH]]="","",NOTA[[#This Row],[JUMLAH]]-NOTA[[#This Row],[DISC]])</f>
        <v>14304150</v>
      </c>
      <c r="AB130" s="62"/>
      <c r="AC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5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30" s="62">
        <f>IF(OR(NOTA[[#This Row],[QTY]]="",NOTA[[#This Row],[HARGA SATUAN]]="",),"",NOTA[[#This Row],[QTY]]*NOTA[[#This Row],[HARGA SATUAN]])</f>
        <v>17208000</v>
      </c>
      <c r="AG130" s="56">
        <f ca="1">IF(NOTA[ID_H]="","",INDEX(NOTA[TANGGAL],MATCH(,INDIRECT(ADDRESS(ROW(NOTA[TANGGAL]),COLUMN(NOTA[TANGGAL]))&amp;":"&amp;ADDRESS(ROW(),COLUMN(NOTA[TANGGAL]))),-1)))</f>
        <v>45055</v>
      </c>
      <c r="AH130" s="59" t="str">
        <f ca="1">IF(NOTA[[#This Row],[NAMA BARANG]]="","",INDEX(NOTA[SUPPLIER],MATCH(,INDIRECT(ADDRESS(ROW(NOTA[ID]),COLUMN(NOTA[ID]))&amp;":"&amp;ADDRESS(ROW(),COLUMN(NOTA[ID]))),-1)))</f>
        <v>ATALI MAKMUR</v>
      </c>
      <c r="AI130" s="59" t="str">
        <f ca="1">IF(NOTA[[#This Row],[ID_H]]="","",IF(NOTA[[#This Row],[FAKTUR]]="",INDIRECT(ADDRESS(ROW()-1,COLUMN())),NOTA[[#This Row],[FAKTUR]]))</f>
        <v>ARTO MORO</v>
      </c>
      <c r="AJ130" s="27">
        <f ca="1">IF(NOTA[[#This Row],[ID]]="","",COUNTIF(NOTA[ID_H],NOTA[[#This Row],[ID_H]]))</f>
        <v>2</v>
      </c>
      <c r="AK130" s="27">
        <f>IF(NOTA[[#This Row],[TGL.NOTA]]="",IF(NOTA[[#This Row],[SUPPLIER_H]]="","",AK129),MONTH(NOTA[[#This Row],[TGL.NOTA]]))</f>
        <v>5</v>
      </c>
      <c r="AL130" s="27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3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MOROSA23050681245050crayonputartwcr12sjk</v>
      </c>
      <c r="AP130" s="27" t="e">
        <f>IF(NOTA[[#This Row],[CONCAT4]]="","",_xlfn.IFNA(MATCH(NOTA[[#This Row],[CONCAT4]],[2]!RAW[CONCAT_H],0),FALSE))</f>
        <v>#REF!</v>
      </c>
      <c r="AQ130" s="145">
        <f>IF(NOTA[[#This Row],[CONCAT1]]="","",MATCH(NOTA[[#This Row],[CONCAT1]],[3]!db[NB NOTA_C],0)+1)</f>
        <v>603</v>
      </c>
    </row>
    <row r="131" spans="1:43" ht="20.100000000000001" customHeight="1" x14ac:dyDescent="0.25">
      <c r="A13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67" t="str">
        <f>IF(NOTA[[#This Row],[ID_P]]="","",MATCH(NOTA[[#This Row],[ID_P]],[1]!B_MSK[N_ID],0))</f>
        <v/>
      </c>
      <c r="D131" s="67">
        <f ca="1">IF(NOTA[[#This Row],[NAMA BARANG]]="","",INDEX(NOTA[ID],MATCH(,INDIRECT(ADDRESS(ROW(NOTA[ID]),COLUMN(NOTA[ID]))&amp;":"&amp;ADDRESS(ROW(),COLUMN(NOTA[ID]))),-1)))</f>
        <v>23</v>
      </c>
      <c r="E131" s="68"/>
      <c r="H131" s="54"/>
      <c r="I131" s="70"/>
      <c r="J131" s="69"/>
      <c r="K131" s="70"/>
      <c r="L131" s="27" t="s">
        <v>274</v>
      </c>
      <c r="M131" s="71">
        <v>5</v>
      </c>
      <c r="N131" s="70">
        <v>720</v>
      </c>
      <c r="O131" s="27" t="s">
        <v>252</v>
      </c>
      <c r="P131" s="72">
        <v>18600</v>
      </c>
      <c r="Q131" s="73"/>
      <c r="R131" s="42" t="s">
        <v>273</v>
      </c>
      <c r="S131" s="74">
        <v>0.125</v>
      </c>
      <c r="T131" s="75">
        <v>0.05</v>
      </c>
      <c r="U131" s="76">
        <v>1584080</v>
      </c>
      <c r="V131" s="77"/>
      <c r="W131" s="62">
        <f>IF(NOTA[[#This Row],[HARGA/ CTN]]="",NOTA[[#This Row],[JUMLAH_H]],NOTA[[#This Row],[HARGA/ CTN]]*IF(NOTA[[#This Row],[C]]="",0,NOTA[[#This Row],[C]]))</f>
        <v>13392000</v>
      </c>
      <c r="X131" s="62">
        <f>IF(NOTA[[#This Row],[JUMLAH]]="","",NOTA[[#This Row],[JUMLAH]]*NOTA[[#This Row],[DISC 1]])</f>
        <v>1674000</v>
      </c>
      <c r="Y131" s="62">
        <f>IF(NOTA[[#This Row],[JUMLAH]]="","",(NOTA[[#This Row],[JUMLAH]]-NOTA[[#This Row],[DISC 1-]])*NOTA[[#This Row],[DISC 2]])</f>
        <v>585900</v>
      </c>
      <c r="Z131" s="62">
        <f>IF(NOTA[[#This Row],[JUMLAH]]="","",NOTA[[#This Row],[DISC 1-]]+NOTA[[#This Row],[DISC 2-]])</f>
        <v>2259900</v>
      </c>
      <c r="AA131" s="62">
        <f>IF(NOTA[[#This Row],[JUMLAH]]="","",NOTA[[#This Row],[JUMLAH]]-NOTA[[#This Row],[DISC]])</f>
        <v>11132100</v>
      </c>
      <c r="AB131" s="62"/>
      <c r="AC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6747830</v>
      </c>
      <c r="AD1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23852170</v>
      </c>
      <c r="AE131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31" s="62">
        <f>IF(OR(NOTA[[#This Row],[QTY]]="",NOTA[[#This Row],[HARGA SATUAN]]="",),"",NOTA[[#This Row],[QTY]]*NOTA[[#This Row],[HARGA SATUAN]])</f>
        <v>13392000</v>
      </c>
      <c r="AG131" s="56">
        <f ca="1">IF(NOTA[ID_H]="","",INDEX(NOTA[TANGGAL],MATCH(,INDIRECT(ADDRESS(ROW(NOTA[TANGGAL]),COLUMN(NOTA[TANGGAL]))&amp;":"&amp;ADDRESS(ROW(),COLUMN(NOTA[TANGGAL]))),-1)))</f>
        <v>45055</v>
      </c>
      <c r="AH131" s="59" t="str">
        <f ca="1">IF(NOTA[[#This Row],[NAMA BARANG]]="","",INDEX(NOTA[SUPPLIER],MATCH(,INDIRECT(ADDRESS(ROW(NOTA[ID]),COLUMN(NOTA[ID]))&amp;":"&amp;ADDRESS(ROW(),COLUMN(NOTA[ID]))),-1)))</f>
        <v>ATALI MAKMUR</v>
      </c>
      <c r="AI131" s="59" t="str">
        <f ca="1">IF(NOTA[[#This Row],[ID_H]]="","",IF(NOTA[[#This Row],[FAKTUR]]="",INDIRECT(ADDRESS(ROW()-1,COLUMN())),NOTA[[#This Row],[FAKTUR]]))</f>
        <v>ARTO MORO</v>
      </c>
      <c r="AJ131" s="27" t="str">
        <f ca="1">IF(NOTA[[#This Row],[ID]]="","",COUNTIF(NOTA[ID_H],NOTA[[#This Row],[ID_H]]))</f>
        <v/>
      </c>
      <c r="AK131" s="27">
        <f ca="1">IF(NOTA[[#This Row],[TGL.NOTA]]="",IF(NOTA[[#This Row],[SUPPLIER_H]]="","",AK130),MONTH(NOTA[[#This Row],[TGL.NOTA]]))</f>
        <v>5</v>
      </c>
      <c r="AL131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1" s="27" t="str">
        <f>IF(NOTA[[#This Row],[CONCAT4]]="","",_xlfn.IFNA(MATCH(NOTA[[#This Row],[CONCAT4]],[2]!RAW[CONCAT_H],0),FALSE))</f>
        <v/>
      </c>
      <c r="AQ131" s="145">
        <f>IF(NOTA[[#This Row],[CONCAT1]]="","",MATCH(NOTA[[#This Row],[CONCAT1]],[3]!db[NB NOTA_C],0)+1)</f>
        <v>601</v>
      </c>
    </row>
    <row r="132" spans="1:43" ht="20.100000000000001" customHeight="1" x14ac:dyDescent="0.25">
      <c r="A13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67" t="str">
        <f>IF(NOTA[[#This Row],[ID_P]]="","",MATCH(NOTA[[#This Row],[ID_P]],[1]!B_MSK[N_ID],0))</f>
        <v/>
      </c>
      <c r="D132" s="67" t="str">
        <f ca="1">IF(NOTA[[#This Row],[NAMA BARANG]]="","",INDEX(NOTA[ID],MATCH(,INDIRECT(ADDRESS(ROW(NOTA[ID]),COLUMN(NOTA[ID]))&amp;":"&amp;ADDRESS(ROW(),COLUMN(NOTA[ID]))),-1)))</f>
        <v/>
      </c>
      <c r="E132" s="68"/>
      <c r="F132" s="70"/>
      <c r="G132" s="70"/>
      <c r="H132" s="78"/>
      <c r="I132" s="70"/>
      <c r="J132" s="69"/>
      <c r="K132" s="70"/>
      <c r="M132" s="71"/>
      <c r="N132" s="70"/>
      <c r="P132" s="72"/>
      <c r="Q132" s="73"/>
      <c r="R132" s="42"/>
      <c r="S132" s="74"/>
      <c r="T132" s="75"/>
      <c r="U132" s="76"/>
      <c r="V132" s="77"/>
      <c r="W132" s="62" t="str">
        <f>IF(NOTA[[#This Row],[HARGA/ CTN]]="",NOTA[[#This Row],[JUMLAH_H]],NOTA[[#This Row],[HARGA/ CTN]]*IF(NOTA[[#This Row],[C]]="",0,NOTA[[#This Row],[C]]))</f>
        <v/>
      </c>
      <c r="X132" s="62" t="str">
        <f>IF(NOTA[[#This Row],[JUMLAH]]="","",NOTA[[#This Row],[JUMLAH]]*NOTA[[#This Row],[DISC 1]])</f>
        <v/>
      </c>
      <c r="Y132" s="62" t="str">
        <f>IF(NOTA[[#This Row],[JUMLAH]]="","",(NOTA[[#This Row],[JUMLAH]]-NOTA[[#This Row],[DISC 1-]])*NOTA[[#This Row],[DISC 2]])</f>
        <v/>
      </c>
      <c r="Z132" s="62" t="str">
        <f>IF(NOTA[[#This Row],[JUMLAH]]="","",NOTA[[#This Row],[DISC 1-]]+NOTA[[#This Row],[DISC 2-]])</f>
        <v/>
      </c>
      <c r="AA132" s="62" t="str">
        <f>IF(NOTA[[#This Row],[JUMLAH]]="","",NOTA[[#This Row],[JUMLAH]]-NOTA[[#This Row],[DISC]])</f>
        <v/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2" s="62" t="str">
        <f>IF(OR(NOTA[[#This Row],[QTY]]="",NOTA[[#This Row],[HARGA SATUAN]]="",),"",NOTA[[#This Row],[QTY]]*NOTA[[#This Row],[HARGA SATUAN]])</f>
        <v/>
      </c>
      <c r="AG132" s="56" t="str">
        <f ca="1">IF(NOTA[ID_H]="","",INDEX(NOTA[TANGGAL],MATCH(,INDIRECT(ADDRESS(ROW(NOTA[TANGGAL]),COLUMN(NOTA[TANGGAL]))&amp;":"&amp;ADDRESS(ROW(),COLUMN(NOTA[TANGGAL]))),-1)))</f>
        <v/>
      </c>
      <c r="AH132" s="59" t="str">
        <f ca="1">IF(NOTA[[#This Row],[NAMA BARANG]]="","",INDEX(NOTA[SUPPLIER],MATCH(,INDIRECT(ADDRESS(ROW(NOTA[ID]),COLUMN(NOTA[ID]))&amp;":"&amp;ADDRESS(ROW(),COLUMN(NOTA[ID]))),-1)))</f>
        <v/>
      </c>
      <c r="AI132" s="59" t="str">
        <f ca="1">IF(NOTA[[#This Row],[ID_H]]="","",IF(NOTA[[#This Row],[FAKTUR]]="",INDIRECT(ADDRESS(ROW()-1,COLUMN())),NOTA[[#This Row],[FAKTUR]]))</f>
        <v/>
      </c>
      <c r="AJ132" s="27" t="str">
        <f ca="1">IF(NOTA[[#This Row],[ID]]="","",COUNTIF(NOTA[ID_H],NOTA[[#This Row],[ID_H]]))</f>
        <v/>
      </c>
      <c r="AK132" s="27" t="str">
        <f ca="1">IF(NOTA[[#This Row],[TGL.NOTA]]="",IF(NOTA[[#This Row],[SUPPLIER_H]]="","",AK131),MONTH(NOTA[[#This Row],[TGL.NOTA]]))</f>
        <v/>
      </c>
      <c r="AL132" s="27" t="str">
        <f>LOWER(SUBSTITUTE(SUBSTITUTE(SUBSTITUTE(SUBSTITUTE(SUBSTITUTE(SUBSTITUTE(SUBSTITUTE(SUBSTITUTE(SUBSTITUTE(NOTA[NAMA BARANG]," ",),".",""),"-",""),"(",""),")",""),",",""),"/",""),"""",""),"+",""))</f>
        <v/>
      </c>
      <c r="AM1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27" t="str">
        <f>IF(NOTA[[#This Row],[CONCAT4]]="","",_xlfn.IFNA(MATCH(NOTA[[#This Row],[CONCAT4]],[2]!RAW[CONCAT_H],0),FALSE))</f>
        <v/>
      </c>
      <c r="AQ132" s="145" t="str">
        <f>IF(NOTA[[#This Row],[CONCAT1]]="","",MATCH(NOTA[[#This Row],[CONCAT1]],[3]!db[NB NOTA_C],0)+1)</f>
        <v/>
      </c>
    </row>
    <row r="133" spans="1:43" ht="20.100000000000001" customHeight="1" x14ac:dyDescent="0.25">
      <c r="A133" s="59">
        <f ca="1">IF(INDIRECT(ADDRESS(ROW()-1,COLUMN(NOTA[[#Headers],[ID]])))="ID",1,IF(NOTA[[#This Row],[FAKTUR]]="","",COUNT(INDIRECT(ADDRESS(ROW(NOTA[ID]),COLUMN(NOTA[ID]))&amp;":"&amp;ADDRESS(ROW()-1,COLUMN(NOTA[ID]))))+1))</f>
        <v>24</v>
      </c>
      <c r="B133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ATA_0905_794-6</v>
      </c>
      <c r="C133" s="67" t="e">
        <f ca="1">IF(NOTA[[#This Row],[ID_P]]="","",MATCH(NOTA[[#This Row],[ID_P]],[1]!B_MSK[N_ID],0))</f>
        <v>#REF!</v>
      </c>
      <c r="D133" s="67">
        <f ca="1">IF(NOTA[[#This Row],[NAMA BARANG]]="","",INDEX(NOTA[ID],MATCH(,INDIRECT(ADDRESS(ROW(NOTA[ID]),COLUMN(NOTA[ID]))&amp;":"&amp;ADDRESS(ROW(),COLUMN(NOTA[ID]))),-1)))</f>
        <v>24</v>
      </c>
      <c r="E133" s="68"/>
      <c r="F133" s="27" t="s">
        <v>25</v>
      </c>
      <c r="G133" s="27" t="s">
        <v>24</v>
      </c>
      <c r="H133" s="54" t="s">
        <v>275</v>
      </c>
      <c r="J133" s="69">
        <v>45050</v>
      </c>
      <c r="K133" s="70"/>
      <c r="L133" s="27" t="s">
        <v>276</v>
      </c>
      <c r="M133" s="71">
        <v>5</v>
      </c>
      <c r="N133" s="70">
        <v>120</v>
      </c>
      <c r="O133" s="27" t="s">
        <v>146</v>
      </c>
      <c r="P133" s="72">
        <v>162000</v>
      </c>
      <c r="Q133" s="73"/>
      <c r="R133" s="42" t="s">
        <v>277</v>
      </c>
      <c r="S133" s="74">
        <v>0.125</v>
      </c>
      <c r="T133" s="75">
        <v>0.05</v>
      </c>
      <c r="U133" s="76"/>
      <c r="V133" s="77"/>
      <c r="W133" s="62">
        <f>IF(NOTA[[#This Row],[HARGA/ CTN]]="",NOTA[[#This Row],[JUMLAH_H]],NOTA[[#This Row],[HARGA/ CTN]]*IF(NOTA[[#This Row],[C]]="",0,NOTA[[#This Row],[C]]))</f>
        <v>19440000</v>
      </c>
      <c r="X133" s="62">
        <f>IF(NOTA[[#This Row],[JUMLAH]]="","",NOTA[[#This Row],[JUMLAH]]*NOTA[[#This Row],[DISC 1]])</f>
        <v>2430000</v>
      </c>
      <c r="Y133" s="62">
        <f>IF(NOTA[[#This Row],[JUMLAH]]="","",(NOTA[[#This Row],[JUMLAH]]-NOTA[[#This Row],[DISC 1-]])*NOTA[[#This Row],[DISC 2]])</f>
        <v>850500</v>
      </c>
      <c r="Z133" s="62">
        <f>IF(NOTA[[#This Row],[JUMLAH]]="","",NOTA[[#This Row],[DISC 1-]]+NOTA[[#This Row],[DISC 2-]])</f>
        <v>3280500</v>
      </c>
      <c r="AA133" s="62">
        <f>IF(NOTA[[#This Row],[JUMLAH]]="","",NOTA[[#This Row],[JUMLAH]]-NOTA[[#This Row],[DISC]])</f>
        <v>16159500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33" s="62">
        <f>IF(OR(NOTA[[#This Row],[QTY]]="",NOTA[[#This Row],[HARGA SATUAN]]="",),"",NOTA[[#This Row],[QTY]]*NOTA[[#This Row],[HARGA SATUAN]])</f>
        <v>19440000</v>
      </c>
      <c r="AG133" s="56">
        <f ca="1">IF(NOTA[ID_H]="","",INDEX(NOTA[TANGGAL],MATCH(,INDIRECT(ADDRESS(ROW(NOTA[TANGGAL]),COLUMN(NOTA[TANGGAL]))&amp;":"&amp;ADDRESS(ROW(),COLUMN(NOTA[TANGGAL]))),-1)))</f>
        <v>45055</v>
      </c>
      <c r="AH133" s="59" t="str">
        <f ca="1">IF(NOTA[[#This Row],[NAMA BARANG]]="","",INDEX(NOTA[SUPPLIER],MATCH(,INDIRECT(ADDRESS(ROW(NOTA[ID]),COLUMN(NOTA[ID]))&amp;":"&amp;ADDRESS(ROW(),COLUMN(NOTA[ID]))),-1)))</f>
        <v>ATALI MAKMUR</v>
      </c>
      <c r="AI133" s="59" t="str">
        <f ca="1">IF(NOTA[[#This Row],[ID_H]]="","",IF(NOTA[[#This Row],[FAKTUR]]="",INDIRECT(ADDRESS(ROW()-1,COLUMN())),NOTA[[#This Row],[FAKTUR]]))</f>
        <v>ARTO MORO</v>
      </c>
      <c r="AJ133" s="27">
        <f ca="1">IF(NOTA[[#This Row],[ID]]="","",COUNTIF(NOTA[ID_H],NOTA[[#This Row],[ID_H]]))</f>
        <v>6</v>
      </c>
      <c r="AK133" s="27">
        <f>IF(NOTA[[#This Row],[TGL.NOTA]]="",IF(NOTA[[#This Row],[SUPPLIER_H]]="","",AK132),MONTH(NOTA[[#This Row],[TGL.NOTA]]))</f>
        <v>5</v>
      </c>
      <c r="AL133" s="27" t="str">
        <f>LOWER(SUBSTITUTE(SUBSTITUTE(SUBSTITUTE(SUBSTITUTE(SUBSTITUTE(SUBSTITUTE(SUBSTITUTE(SUBSTITUTE(SUBSTITUTE(NOTA[NAMA BARANG]," ",),".",""),"-",""),"(",""),")",""),",",""),"/",""),"""",""),"+",""))</f>
        <v>cutterl500jk</v>
      </c>
      <c r="AM1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1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133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MOROSA23050679445050cutterl500jk</v>
      </c>
      <c r="AP133" s="27" t="e">
        <f>IF(NOTA[[#This Row],[CONCAT4]]="","",_xlfn.IFNA(MATCH(NOTA[[#This Row],[CONCAT4]],[2]!RAW[CONCAT_H],0),FALSE))</f>
        <v>#REF!</v>
      </c>
      <c r="AQ133" s="145">
        <f>IF(NOTA[[#This Row],[CONCAT1]]="","",MATCH(NOTA[[#This Row],[CONCAT1]],[3]!db[NB NOTA_C],0)+1)</f>
        <v>621</v>
      </c>
    </row>
    <row r="134" spans="1:43" ht="20.100000000000001" customHeight="1" x14ac:dyDescent="0.25">
      <c r="A13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67" t="str">
        <f>IF(NOTA[[#This Row],[ID_P]]="","",MATCH(NOTA[[#This Row],[ID_P]],[1]!B_MSK[N_ID],0))</f>
        <v/>
      </c>
      <c r="D134" s="67">
        <f ca="1">IF(NOTA[[#This Row],[NAMA BARANG]]="","",INDEX(NOTA[ID],MATCH(,INDIRECT(ADDRESS(ROW(NOTA[ID]),COLUMN(NOTA[ID]))&amp;":"&amp;ADDRESS(ROW(),COLUMN(NOTA[ID]))),-1)))</f>
        <v>24</v>
      </c>
      <c r="E134" s="68"/>
      <c r="H134" s="54"/>
      <c r="I134" s="70"/>
      <c r="J134" s="69"/>
      <c r="K134" s="70"/>
      <c r="L134" s="27" t="s">
        <v>282</v>
      </c>
      <c r="M134" s="71">
        <v>3</v>
      </c>
      <c r="N134" s="70">
        <v>120</v>
      </c>
      <c r="O134" s="27" t="s">
        <v>146</v>
      </c>
      <c r="P134" s="72"/>
      <c r="Q134" s="73"/>
      <c r="R134" s="42" t="s">
        <v>279</v>
      </c>
      <c r="S134" s="74"/>
      <c r="T134" s="75"/>
      <c r="U134" s="76"/>
      <c r="V134" s="77" t="s">
        <v>181</v>
      </c>
      <c r="W134" s="62" t="str">
        <f>IF(NOTA[[#This Row],[HARGA/ CTN]]="",NOTA[[#This Row],[JUMLAH_H]],NOTA[[#This Row],[HARGA/ CTN]]*IF(NOTA[[#This Row],[C]]="",0,NOTA[[#This Row],[C]]))</f>
        <v/>
      </c>
      <c r="X134" s="62" t="str">
        <f>IF(NOTA[[#This Row],[JUMLAH]]="","",NOTA[[#This Row],[JUMLAH]]*NOTA[[#This Row],[DISC 1]])</f>
        <v/>
      </c>
      <c r="Y134" s="62" t="str">
        <f>IF(NOTA[[#This Row],[JUMLAH]]="","",(NOTA[[#This Row],[JUMLAH]]-NOTA[[#This Row],[DISC 1-]])*NOTA[[#This Row],[DISC 2]])</f>
        <v/>
      </c>
      <c r="Z134" s="62" t="str">
        <f>IF(NOTA[[#This Row],[JUMLAH]]="","",NOTA[[#This Row],[DISC 1-]]+NOTA[[#This Row],[DISC 2-]])</f>
        <v/>
      </c>
      <c r="AA134" s="62" t="str">
        <f>IF(NOTA[[#This Row],[JUMLAH]]="","",NOTA[[#This Row],[JUMLAH]]-NOTA[[#This Row],[DISC]])</f>
        <v/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34" s="62" t="str">
        <f>IF(OR(NOTA[[#This Row],[QTY]]="",NOTA[[#This Row],[HARGA SATUAN]]="",),"",NOTA[[#This Row],[QTY]]*NOTA[[#This Row],[HARGA SATUAN]])</f>
        <v/>
      </c>
      <c r="AG134" s="56">
        <f ca="1">IF(NOTA[ID_H]="","",INDEX(NOTA[TANGGAL],MATCH(,INDIRECT(ADDRESS(ROW(NOTA[TANGGAL]),COLUMN(NOTA[TANGGAL]))&amp;":"&amp;ADDRESS(ROW(),COLUMN(NOTA[TANGGAL]))),-1)))</f>
        <v>45055</v>
      </c>
      <c r="AH134" s="59" t="str">
        <f ca="1">IF(NOTA[[#This Row],[NAMA BARANG]]="","",INDEX(NOTA[SUPPLIER],MATCH(,INDIRECT(ADDRESS(ROW(NOTA[ID]),COLUMN(NOTA[ID]))&amp;":"&amp;ADDRESS(ROW(),COLUMN(NOTA[ID]))),-1)))</f>
        <v>ATALI MAKMUR</v>
      </c>
      <c r="AI134" s="59" t="str">
        <f ca="1">IF(NOTA[[#This Row],[ID_H]]="","",IF(NOTA[[#This Row],[FAKTUR]]="",INDIRECT(ADDRESS(ROW()-1,COLUMN())),NOTA[[#This Row],[FAKTUR]]))</f>
        <v>ARTO MORO</v>
      </c>
      <c r="AJ134" s="27" t="str">
        <f ca="1">IF(NOTA[[#This Row],[ID]]="","",COUNTIF(NOTA[ID_H],NOTA[[#This Row],[ID_H]]))</f>
        <v/>
      </c>
      <c r="AK134" s="27">
        <f ca="1">IF(NOTA[[#This Row],[TGL.NOTA]]="",IF(NOTA[[#This Row],[SUPPLIER_H]]="","",AK133),MONTH(NOTA[[#This Row],[TGL.NOTA]]))</f>
        <v>5</v>
      </c>
      <c r="AL134" s="27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1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1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1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4" s="27" t="str">
        <f>IF(NOTA[[#This Row],[CONCAT4]]="","",_xlfn.IFNA(MATCH(NOTA[[#This Row],[CONCAT4]],[2]!RAW[CONCAT_H],0),FALSE))</f>
        <v/>
      </c>
      <c r="AQ134" s="145">
        <f>IF(NOTA[[#This Row],[CONCAT1]]="","",MATCH(NOTA[[#This Row],[CONCAT1]],[3]!db[NB NOTA_C],0)+1)</f>
        <v>614</v>
      </c>
    </row>
    <row r="135" spans="1:43" ht="20.100000000000001" customHeight="1" x14ac:dyDescent="0.25">
      <c r="A13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67" t="str">
        <f>IF(NOTA[[#This Row],[ID_P]]="","",MATCH(NOTA[[#This Row],[ID_P]],[1]!B_MSK[N_ID],0))</f>
        <v/>
      </c>
      <c r="D135" s="67">
        <f ca="1">IF(NOTA[[#This Row],[NAMA BARANG]]="","",INDEX(NOTA[ID],MATCH(,INDIRECT(ADDRESS(ROW(NOTA[ID]),COLUMN(NOTA[ID]))&amp;":"&amp;ADDRESS(ROW(),COLUMN(NOTA[ID]))),-1)))</f>
        <v>24</v>
      </c>
      <c r="E135" s="68"/>
      <c r="H135" s="54"/>
      <c r="I135" s="70"/>
      <c r="J135" s="69"/>
      <c r="K135" s="70"/>
      <c r="L135" s="27" t="s">
        <v>280</v>
      </c>
      <c r="M135" s="71">
        <v>3</v>
      </c>
      <c r="N135" s="70">
        <v>360</v>
      </c>
      <c r="O135" s="27" t="s">
        <v>146</v>
      </c>
      <c r="P135" s="72">
        <v>24600</v>
      </c>
      <c r="Q135" s="73"/>
      <c r="R135" s="42" t="s">
        <v>281</v>
      </c>
      <c r="S135" s="74">
        <v>0.125</v>
      </c>
      <c r="T135" s="75">
        <v>0.05</v>
      </c>
      <c r="U135" s="76"/>
      <c r="V135" s="77"/>
      <c r="W135" s="62">
        <f>IF(NOTA[[#This Row],[HARGA/ CTN]]="",NOTA[[#This Row],[JUMLAH_H]],NOTA[[#This Row],[HARGA/ CTN]]*IF(NOTA[[#This Row],[C]]="",0,NOTA[[#This Row],[C]]))</f>
        <v>8856000</v>
      </c>
      <c r="X135" s="62">
        <f>IF(NOTA[[#This Row],[JUMLAH]]="","",NOTA[[#This Row],[JUMLAH]]*NOTA[[#This Row],[DISC 1]])</f>
        <v>1107000</v>
      </c>
      <c r="Y135" s="62">
        <f>IF(NOTA[[#This Row],[JUMLAH]]="","",(NOTA[[#This Row],[JUMLAH]]-NOTA[[#This Row],[DISC 1-]])*NOTA[[#This Row],[DISC 2]])</f>
        <v>387450</v>
      </c>
      <c r="Z135" s="62">
        <f>IF(NOTA[[#This Row],[JUMLAH]]="","",NOTA[[#This Row],[DISC 1-]]+NOTA[[#This Row],[DISC 2-]])</f>
        <v>1494450</v>
      </c>
      <c r="AA135" s="62">
        <f>IF(NOTA[[#This Row],[JUMLAH]]="","",NOTA[[#This Row],[JUMLAH]]-NOTA[[#This Row],[DISC]])</f>
        <v>7361550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35" s="62">
        <f>IF(OR(NOTA[[#This Row],[QTY]]="",NOTA[[#This Row],[HARGA SATUAN]]="",),"",NOTA[[#This Row],[QTY]]*NOTA[[#This Row],[HARGA SATUAN]])</f>
        <v>8856000</v>
      </c>
      <c r="AG135" s="56">
        <f ca="1">IF(NOTA[ID_H]="","",INDEX(NOTA[TANGGAL],MATCH(,INDIRECT(ADDRESS(ROW(NOTA[TANGGAL]),COLUMN(NOTA[TANGGAL]))&amp;":"&amp;ADDRESS(ROW(),COLUMN(NOTA[TANGGAL]))),-1)))</f>
        <v>45055</v>
      </c>
      <c r="AH135" s="59" t="str">
        <f ca="1">IF(NOTA[[#This Row],[NAMA BARANG]]="","",INDEX(NOTA[SUPPLIER],MATCH(,INDIRECT(ADDRESS(ROW(NOTA[ID]),COLUMN(NOTA[ID]))&amp;":"&amp;ADDRESS(ROW(),COLUMN(NOTA[ID]))),-1)))</f>
        <v>ATALI MAKMUR</v>
      </c>
      <c r="AI135" s="59" t="str">
        <f ca="1">IF(NOTA[[#This Row],[ID_H]]="","",IF(NOTA[[#This Row],[FAKTUR]]="",INDIRECT(ADDRESS(ROW()-1,COLUMN())),NOTA[[#This Row],[FAKTUR]]))</f>
        <v>ARTO MORO</v>
      </c>
      <c r="AJ135" s="27" t="str">
        <f ca="1">IF(NOTA[[#This Row],[ID]]="","",COUNTIF(NOTA[ID_H],NOTA[[#This Row],[ID_H]]))</f>
        <v/>
      </c>
      <c r="AK135" s="27">
        <f ca="1">IF(NOTA[[#This Row],[TGL.NOTA]]="",IF(NOTA[[#This Row],[SUPPLIER_H]]="","",AK134),MONTH(NOTA[[#This Row],[TGL.NOTA]]))</f>
        <v>5</v>
      </c>
      <c r="AL135" s="27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M1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N1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O1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27" t="str">
        <f>IF(NOTA[[#This Row],[CONCAT4]]="","",_xlfn.IFNA(MATCH(NOTA[[#This Row],[CONCAT4]],[2]!RAW[CONCAT_H],0),FALSE))</f>
        <v/>
      </c>
      <c r="AQ135" s="145">
        <f>IF(NOTA[[#This Row],[CONCAT1]]="","",MATCH(NOTA[[#This Row],[CONCAT1]],[3]!db[NB NOTA_C],0)+1)</f>
        <v>612</v>
      </c>
    </row>
    <row r="136" spans="1:43" ht="20.100000000000001" customHeight="1" x14ac:dyDescent="0.25">
      <c r="A13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67" t="str">
        <f>IF(NOTA[[#This Row],[ID_P]]="","",MATCH(NOTA[[#This Row],[ID_P]],[1]!B_MSK[N_ID],0))</f>
        <v/>
      </c>
      <c r="D136" s="67">
        <f ca="1">IF(NOTA[[#This Row],[NAMA BARANG]]="","",INDEX(NOTA[ID],MATCH(,INDIRECT(ADDRESS(ROW(NOTA[ID]),COLUMN(NOTA[ID]))&amp;":"&amp;ADDRESS(ROW(),COLUMN(NOTA[ID]))),-1)))</f>
        <v>24</v>
      </c>
      <c r="E136" s="68"/>
      <c r="H136" s="54"/>
      <c r="I136" s="70"/>
      <c r="J136" s="69"/>
      <c r="K136" s="70"/>
      <c r="L136" s="27" t="s">
        <v>278</v>
      </c>
      <c r="M136" s="71">
        <v>5</v>
      </c>
      <c r="N136" s="70">
        <v>200</v>
      </c>
      <c r="O136" s="27" t="s">
        <v>146</v>
      </c>
      <c r="P136" s="72">
        <v>49200</v>
      </c>
      <c r="Q136" s="73"/>
      <c r="R136" s="42" t="s">
        <v>279</v>
      </c>
      <c r="S136" s="80">
        <v>0.125</v>
      </c>
      <c r="T136" s="75">
        <v>0.05</v>
      </c>
      <c r="U136" s="76"/>
      <c r="V136" s="77"/>
      <c r="W136" s="62">
        <f>IF(NOTA[[#This Row],[HARGA/ CTN]]="",NOTA[[#This Row],[JUMLAH_H]],NOTA[[#This Row],[HARGA/ CTN]]*IF(NOTA[[#This Row],[C]]="",0,NOTA[[#This Row],[C]]))</f>
        <v>9840000</v>
      </c>
      <c r="X136" s="62">
        <f>IF(NOTA[[#This Row],[JUMLAH]]="","",NOTA[[#This Row],[JUMLAH]]*NOTA[[#This Row],[DISC 1]])</f>
        <v>1230000</v>
      </c>
      <c r="Y136" s="62">
        <f>IF(NOTA[[#This Row],[JUMLAH]]="","",(NOTA[[#This Row],[JUMLAH]]-NOTA[[#This Row],[DISC 1-]])*NOTA[[#This Row],[DISC 2]])</f>
        <v>430500</v>
      </c>
      <c r="Z136" s="62">
        <f>IF(NOTA[[#This Row],[JUMLAH]]="","",NOTA[[#This Row],[DISC 1-]]+NOTA[[#This Row],[DISC 2-]])</f>
        <v>1660500</v>
      </c>
      <c r="AA136" s="62">
        <f>IF(NOTA[[#This Row],[JUMLAH]]="","",NOTA[[#This Row],[JUMLAH]]-NOTA[[#This Row],[DISC]])</f>
        <v>8179500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36" s="62">
        <f>IF(OR(NOTA[[#This Row],[QTY]]="",NOTA[[#This Row],[HARGA SATUAN]]="",),"",NOTA[[#This Row],[QTY]]*NOTA[[#This Row],[HARGA SATUAN]])</f>
        <v>9840000</v>
      </c>
      <c r="AG136" s="56">
        <f ca="1">IF(NOTA[ID_H]="","",INDEX(NOTA[TANGGAL],MATCH(,INDIRECT(ADDRESS(ROW(NOTA[TANGGAL]),COLUMN(NOTA[TANGGAL]))&amp;":"&amp;ADDRESS(ROW(),COLUMN(NOTA[TANGGAL]))),-1)))</f>
        <v>45055</v>
      </c>
      <c r="AH136" s="59" t="str">
        <f ca="1">IF(NOTA[[#This Row],[NAMA BARANG]]="","",INDEX(NOTA[SUPPLIER],MATCH(,INDIRECT(ADDRESS(ROW(NOTA[ID]),COLUMN(NOTA[ID]))&amp;":"&amp;ADDRESS(ROW(),COLUMN(NOTA[ID]))),-1)))</f>
        <v>ATALI MAKMUR</v>
      </c>
      <c r="AI136" s="59" t="str">
        <f ca="1">IF(NOTA[[#This Row],[ID_H]]="","",IF(NOTA[[#This Row],[FAKTUR]]="",INDIRECT(ADDRESS(ROW()-1,COLUMN())),NOTA[[#This Row],[FAKTUR]]))</f>
        <v>ARTO MORO</v>
      </c>
      <c r="AJ136" s="27" t="str">
        <f ca="1">IF(NOTA[[#This Row],[ID]]="","",COUNTIF(NOTA[ID_H],NOTA[[#This Row],[ID_H]]))</f>
        <v/>
      </c>
      <c r="AK136" s="27">
        <f ca="1">IF(NOTA[[#This Row],[TGL.NOTA]]="",IF(NOTA[[#This Row],[SUPPLIER_H]]="","",AK135),MONTH(NOTA[[#This Row],[TGL.NOTA]]))</f>
        <v>5</v>
      </c>
      <c r="AL136" s="27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27" t="str">
        <f>IF(NOTA[[#This Row],[CONCAT4]]="","",_xlfn.IFNA(MATCH(NOTA[[#This Row],[CONCAT4]],[2]!RAW[CONCAT_H],0),FALSE))</f>
        <v/>
      </c>
      <c r="AQ136" s="145">
        <f>IF(NOTA[[#This Row],[CONCAT1]]="","",MATCH(NOTA[[#This Row],[CONCAT1]],[3]!db[NB NOTA_C],0)+1)</f>
        <v>613</v>
      </c>
    </row>
    <row r="137" spans="1:43" ht="20.100000000000001" customHeight="1" x14ac:dyDescent="0.25">
      <c r="A13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67" t="str">
        <f>IF(NOTA[[#This Row],[ID_P]]="","",MATCH(NOTA[[#This Row],[ID_P]],[1]!B_MSK[N_ID],0))</f>
        <v/>
      </c>
      <c r="D137" s="67">
        <f ca="1">IF(NOTA[[#This Row],[NAMA BARANG]]="","",INDEX(NOTA[ID],MATCH(,INDIRECT(ADDRESS(ROW(NOTA[ID]),COLUMN(NOTA[ID]))&amp;":"&amp;ADDRESS(ROW(),COLUMN(NOTA[ID]))),-1)))</f>
        <v>24</v>
      </c>
      <c r="E137" s="68"/>
      <c r="H137" s="54"/>
      <c r="I137" s="70"/>
      <c r="J137" s="69"/>
      <c r="K137" s="70"/>
      <c r="L137" s="27" t="s">
        <v>283</v>
      </c>
      <c r="M137" s="71">
        <v>2</v>
      </c>
      <c r="N137" s="70">
        <v>96</v>
      </c>
      <c r="O137" s="27" t="s">
        <v>146</v>
      </c>
      <c r="P137" s="72">
        <v>55800</v>
      </c>
      <c r="Q137" s="73"/>
      <c r="R137" s="42" t="s">
        <v>284</v>
      </c>
      <c r="S137" s="74">
        <v>0.125</v>
      </c>
      <c r="T137" s="75">
        <v>0.05</v>
      </c>
      <c r="U137" s="76"/>
      <c r="V137" s="77"/>
      <c r="W137" s="62">
        <f>IF(NOTA[[#This Row],[HARGA/ CTN]]="",NOTA[[#This Row],[JUMLAH_H]],NOTA[[#This Row],[HARGA/ CTN]]*IF(NOTA[[#This Row],[C]]="",0,NOTA[[#This Row],[C]]))</f>
        <v>5356800</v>
      </c>
      <c r="X137" s="62">
        <f>IF(NOTA[[#This Row],[JUMLAH]]="","",NOTA[[#This Row],[JUMLAH]]*NOTA[[#This Row],[DISC 1]])</f>
        <v>669600</v>
      </c>
      <c r="Y137" s="62">
        <f>IF(NOTA[[#This Row],[JUMLAH]]="","",(NOTA[[#This Row],[JUMLAH]]-NOTA[[#This Row],[DISC 1-]])*NOTA[[#This Row],[DISC 2]])</f>
        <v>234360</v>
      </c>
      <c r="Z137" s="62">
        <f>IF(NOTA[[#This Row],[JUMLAH]]="","",NOTA[[#This Row],[DISC 1-]]+NOTA[[#This Row],[DISC 2-]])</f>
        <v>903960</v>
      </c>
      <c r="AA137" s="62">
        <f>IF(NOTA[[#This Row],[JUMLAH]]="","",NOTA[[#This Row],[JUMLAH]]-NOTA[[#This Row],[DISC]])</f>
        <v>4452840</v>
      </c>
      <c r="AB137" s="62"/>
      <c r="AC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5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37" s="62">
        <f>IF(OR(NOTA[[#This Row],[QTY]]="",NOTA[[#This Row],[HARGA SATUAN]]="",),"",NOTA[[#This Row],[QTY]]*NOTA[[#This Row],[HARGA SATUAN]])</f>
        <v>5356800</v>
      </c>
      <c r="AG137" s="56">
        <f ca="1">IF(NOTA[ID_H]="","",INDEX(NOTA[TANGGAL],MATCH(,INDIRECT(ADDRESS(ROW(NOTA[TANGGAL]),COLUMN(NOTA[TANGGAL]))&amp;":"&amp;ADDRESS(ROW(),COLUMN(NOTA[TANGGAL]))),-1)))</f>
        <v>45055</v>
      </c>
      <c r="AH137" s="59" t="str">
        <f ca="1">IF(NOTA[[#This Row],[NAMA BARANG]]="","",INDEX(NOTA[SUPPLIER],MATCH(,INDIRECT(ADDRESS(ROW(NOTA[ID]),COLUMN(NOTA[ID]))&amp;":"&amp;ADDRESS(ROW(),COLUMN(NOTA[ID]))),-1)))</f>
        <v>ATALI MAKMUR</v>
      </c>
      <c r="AI137" s="59" t="str">
        <f ca="1">IF(NOTA[[#This Row],[ID_H]]="","",IF(NOTA[[#This Row],[FAKTUR]]="",INDIRECT(ADDRESS(ROW()-1,COLUMN())),NOTA[[#This Row],[FAKTUR]]))</f>
        <v>ARTO MORO</v>
      </c>
      <c r="AJ137" s="27" t="str">
        <f ca="1">IF(NOTA[[#This Row],[ID]]="","",COUNTIF(NOTA[ID_H],NOTA[[#This Row],[ID_H]]))</f>
        <v/>
      </c>
      <c r="AK137" s="27">
        <f ca="1">IF(NOTA[[#This Row],[TGL.NOTA]]="",IF(NOTA[[#This Row],[SUPPLIER_H]]="","",AK136),MONTH(NOTA[[#This Row],[TGL.NOTA]]))</f>
        <v>5</v>
      </c>
      <c r="AL137" s="27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27" t="str">
        <f>IF(NOTA[[#This Row],[CONCAT4]]="","",_xlfn.IFNA(MATCH(NOTA[[#This Row],[CONCAT4]],[2]!RAW[CONCAT_H],0),FALSE))</f>
        <v/>
      </c>
      <c r="AQ137" s="145">
        <f>IF(NOTA[[#This Row],[CONCAT1]]="","",MATCH(NOTA[[#This Row],[CONCAT1]],[3]!db[NB NOTA_C],0)+1)</f>
        <v>610</v>
      </c>
    </row>
    <row r="138" spans="1:43" ht="20.100000000000001" customHeight="1" x14ac:dyDescent="0.25">
      <c r="A13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67" t="str">
        <f>IF(NOTA[[#This Row],[ID_P]]="","",MATCH(NOTA[[#This Row],[ID_P]],[1]!B_MSK[N_ID],0))</f>
        <v/>
      </c>
      <c r="D138" s="67">
        <f ca="1">IF(NOTA[[#This Row],[NAMA BARANG]]="","",INDEX(NOTA[ID],MATCH(,INDIRECT(ADDRESS(ROW(NOTA[ID]),COLUMN(NOTA[ID]))&amp;":"&amp;ADDRESS(ROW(),COLUMN(NOTA[ID]))),-1)))</f>
        <v>24</v>
      </c>
      <c r="E138" s="68"/>
      <c r="H138" s="54"/>
      <c r="K138" s="53"/>
      <c r="L138" s="27" t="s">
        <v>285</v>
      </c>
      <c r="M138" s="71"/>
      <c r="N138" s="70">
        <v>15</v>
      </c>
      <c r="O138" s="27" t="s">
        <v>160</v>
      </c>
      <c r="P138" s="72">
        <v>40000</v>
      </c>
      <c r="Q138" s="73"/>
      <c r="R138" s="42"/>
      <c r="S138" s="80"/>
      <c r="T138" s="75"/>
      <c r="U138" s="76">
        <v>600000</v>
      </c>
      <c r="V138" s="77" t="s">
        <v>181</v>
      </c>
      <c r="W138" s="62">
        <f>IF(NOTA[[#This Row],[HARGA/ CTN]]="",NOTA[[#This Row],[JUMLAH_H]],NOTA[[#This Row],[HARGA/ CTN]]*IF(NOTA[[#This Row],[C]]="",0,NOTA[[#This Row],[C]]))</f>
        <v>600000</v>
      </c>
      <c r="X138" s="62">
        <f>IF(NOTA[[#This Row],[JUMLAH]]="","",NOTA[[#This Row],[JUMLAH]]*NOTA[[#This Row],[DISC 1]])</f>
        <v>0</v>
      </c>
      <c r="Y138" s="62">
        <f>IF(NOTA[[#This Row],[JUMLAH]]="","",(NOTA[[#This Row],[JUMLAH]]-NOTA[[#This Row],[DISC 1-]])*NOTA[[#This Row],[DISC 2]])</f>
        <v>0</v>
      </c>
      <c r="Z138" s="62">
        <f>IF(NOTA[[#This Row],[JUMLAH]]="","",NOTA[[#This Row],[DISC 1-]]+NOTA[[#This Row],[DISC 2-]])</f>
        <v>0</v>
      </c>
      <c r="AA138" s="62">
        <f>IF(NOTA[[#This Row],[JUMLAH]]="","",NOTA[[#This Row],[JUMLAH]]-NOTA[[#This Row],[DISC]])</f>
        <v>600000</v>
      </c>
      <c r="AB138" s="62"/>
      <c r="AC1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7939410</v>
      </c>
      <c r="AD1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36153390</v>
      </c>
      <c r="AE138" s="59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F138" s="62">
        <f>IF(OR(NOTA[[#This Row],[QTY]]="",NOTA[[#This Row],[HARGA SATUAN]]="",),"",NOTA[[#This Row],[QTY]]*NOTA[[#This Row],[HARGA SATUAN]])</f>
        <v>600000</v>
      </c>
      <c r="AG138" s="56">
        <f ca="1">IF(NOTA[ID_H]="","",INDEX(NOTA[TANGGAL],MATCH(,INDIRECT(ADDRESS(ROW(NOTA[TANGGAL]),COLUMN(NOTA[TANGGAL]))&amp;":"&amp;ADDRESS(ROW(),COLUMN(NOTA[TANGGAL]))),-1)))</f>
        <v>45055</v>
      </c>
      <c r="AH138" s="59" t="str">
        <f ca="1">IF(NOTA[[#This Row],[NAMA BARANG]]="","",INDEX(NOTA[SUPPLIER],MATCH(,INDIRECT(ADDRESS(ROW(NOTA[ID]),COLUMN(NOTA[ID]))&amp;":"&amp;ADDRESS(ROW(),COLUMN(NOTA[ID]))),-1)))</f>
        <v>ATALI MAKMUR</v>
      </c>
      <c r="AI138" s="59" t="str">
        <f ca="1">IF(NOTA[[#This Row],[ID_H]]="","",IF(NOTA[[#This Row],[FAKTUR]]="",INDIRECT(ADDRESS(ROW()-1,COLUMN())),NOTA[[#This Row],[FAKTUR]]))</f>
        <v>ARTO MORO</v>
      </c>
      <c r="AJ138" s="27" t="str">
        <f ca="1">IF(NOTA[[#This Row],[ID]]="","",COUNTIF(NOTA[ID_H],NOTA[[#This Row],[ID_H]]))</f>
        <v/>
      </c>
      <c r="AK138" s="27">
        <f ca="1">IF(NOTA[[#This Row],[TGL.NOTA]]="",IF(NOTA[[#This Row],[SUPPLIER_H]]="","",AK137),MONTH(NOTA[[#This Row],[TGL.NOTA]]))</f>
        <v>5</v>
      </c>
      <c r="AL13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kaosjoykobonus600000</v>
      </c>
      <c r="AN1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8" s="27" t="str">
        <f>IF(NOTA[[#This Row],[CONCAT4]]="","",_xlfn.IFNA(MATCH(NOTA[[#This Row],[CONCAT4]],[2]!RAW[CONCAT_H],0),FALSE))</f>
        <v/>
      </c>
      <c r="AQ138" s="145">
        <f>IF(NOTA[[#This Row],[CONCAT1]]="","",MATCH(NOTA[[#This Row],[CONCAT1]],[3]!db[NB NOTA_C],0)+1)</f>
        <v>1109</v>
      </c>
    </row>
    <row r="139" spans="1:43" ht="20.100000000000001" customHeight="1" x14ac:dyDescent="0.25">
      <c r="A13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67" t="str">
        <f>IF(NOTA[[#This Row],[ID_P]]="","",MATCH(NOTA[[#This Row],[ID_P]],[1]!B_MSK[N_ID],0))</f>
        <v/>
      </c>
      <c r="D139" s="67" t="str">
        <f ca="1">IF(NOTA[[#This Row],[NAMA BARANG]]="","",INDEX(NOTA[ID],MATCH(,INDIRECT(ADDRESS(ROW(NOTA[ID]),COLUMN(NOTA[ID]))&amp;":"&amp;ADDRESS(ROW(),COLUMN(NOTA[ID]))),-1)))</f>
        <v/>
      </c>
      <c r="E139" s="68"/>
      <c r="H139" s="54"/>
      <c r="I139" s="70"/>
      <c r="J139" s="69"/>
      <c r="K139" s="70"/>
      <c r="M139" s="71"/>
      <c r="N139" s="70"/>
      <c r="P139" s="72"/>
      <c r="Q139" s="73"/>
      <c r="R139" s="42"/>
      <c r="S139" s="74"/>
      <c r="T139" s="75"/>
      <c r="U139" s="76"/>
      <c r="V139" s="77"/>
      <c r="W139" s="62" t="str">
        <f>IF(NOTA[[#This Row],[HARGA/ CTN]]="",NOTA[[#This Row],[JUMLAH_H]],NOTA[[#This Row],[HARGA/ CTN]]*IF(NOTA[[#This Row],[C]]="",0,NOTA[[#This Row],[C]]))</f>
        <v/>
      </c>
      <c r="X139" s="62" t="str">
        <f>IF(NOTA[[#This Row],[JUMLAH]]="","",NOTA[[#This Row],[JUMLAH]]*NOTA[[#This Row],[DISC 1]])</f>
        <v/>
      </c>
      <c r="Y139" s="62" t="str">
        <f>IF(NOTA[[#This Row],[JUMLAH]]="","",(NOTA[[#This Row],[JUMLAH]]-NOTA[[#This Row],[DISC 1-]])*NOTA[[#This Row],[DISC 2]])</f>
        <v/>
      </c>
      <c r="Z139" s="62" t="str">
        <f>IF(NOTA[[#This Row],[JUMLAH]]="","",NOTA[[#This Row],[DISC 1-]]+NOTA[[#This Row],[DISC 2-]])</f>
        <v/>
      </c>
      <c r="AA139" s="62" t="str">
        <f>IF(NOTA[[#This Row],[JUMLAH]]="","",NOTA[[#This Row],[JUMLAH]]-NOTA[[#This Row],[DISC]])</f>
        <v/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9" s="62" t="str">
        <f>IF(OR(NOTA[[#This Row],[QTY]]="",NOTA[[#This Row],[HARGA SATUAN]]="",),"",NOTA[[#This Row],[QTY]]*NOTA[[#This Row],[HARGA SATUAN]])</f>
        <v/>
      </c>
      <c r="AG139" s="56" t="str">
        <f ca="1">IF(NOTA[ID_H]="","",INDEX(NOTA[TANGGAL],MATCH(,INDIRECT(ADDRESS(ROW(NOTA[TANGGAL]),COLUMN(NOTA[TANGGAL]))&amp;":"&amp;ADDRESS(ROW(),COLUMN(NOTA[TANGGAL]))),-1)))</f>
        <v/>
      </c>
      <c r="AH139" s="59" t="str">
        <f ca="1">IF(NOTA[[#This Row],[NAMA BARANG]]="","",INDEX(NOTA[SUPPLIER],MATCH(,INDIRECT(ADDRESS(ROW(NOTA[ID]),COLUMN(NOTA[ID]))&amp;":"&amp;ADDRESS(ROW(),COLUMN(NOTA[ID]))),-1)))</f>
        <v/>
      </c>
      <c r="AI139" s="59" t="str">
        <f ca="1">IF(NOTA[[#This Row],[ID_H]]="","",IF(NOTA[[#This Row],[FAKTUR]]="",INDIRECT(ADDRESS(ROW()-1,COLUMN())),NOTA[[#This Row],[FAKTUR]]))</f>
        <v/>
      </c>
      <c r="AJ139" s="27" t="str">
        <f ca="1">IF(NOTA[[#This Row],[ID]]="","",COUNTIF(NOTA[ID_H],NOTA[[#This Row],[ID_H]]))</f>
        <v/>
      </c>
      <c r="AK139" s="27" t="str">
        <f ca="1">IF(NOTA[[#This Row],[TGL.NOTA]]="",IF(NOTA[[#This Row],[SUPPLIER_H]]="","",AK138),MONTH(NOTA[[#This Row],[TGL.NOTA]]))</f>
        <v/>
      </c>
      <c r="AL139" s="27" t="str">
        <f>LOWER(SUBSTITUTE(SUBSTITUTE(SUBSTITUTE(SUBSTITUTE(SUBSTITUTE(SUBSTITUTE(SUBSTITUTE(SUBSTITUTE(SUBSTITUTE(NOTA[NAMA BARANG]," ",),".",""),"-",""),"(",""),")",""),",",""),"/",""),"""",""),"+",""))</f>
        <v/>
      </c>
      <c r="AM1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27" t="str">
        <f>IF(NOTA[[#This Row],[CONCAT4]]="","",_xlfn.IFNA(MATCH(NOTA[[#This Row],[CONCAT4]],[2]!RAW[CONCAT_H],0),FALSE))</f>
        <v/>
      </c>
      <c r="AQ139" s="145" t="str">
        <f>IF(NOTA[[#This Row],[CONCAT1]]="","",MATCH(NOTA[[#This Row],[CONCAT1]],[3]!db[NB NOTA_C],0)+1)</f>
        <v/>
      </c>
    </row>
    <row r="140" spans="1:43" ht="20.100000000000001" customHeight="1" x14ac:dyDescent="0.25">
      <c r="A140" s="59">
        <f ca="1">IF(INDIRECT(ADDRESS(ROW()-1,COLUMN(NOTA[[#Headers],[ID]])))="ID",1,IF(NOTA[[#This Row],[FAKTUR]]="","",COUNT(INDIRECT(ADDRESS(ROW(NOTA[ID]),COLUMN(NOTA[ID]))&amp;":"&amp;ADDRESS(ROW()-1,COLUMN(NOTA[ID]))))+1))</f>
        <v>25</v>
      </c>
      <c r="B14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ATA_0905_792-9</v>
      </c>
      <c r="C140" s="67" t="e">
        <f ca="1">IF(NOTA[[#This Row],[ID_P]]="","",MATCH(NOTA[[#This Row],[ID_P]],[1]!B_MSK[N_ID],0))</f>
        <v>#REF!</v>
      </c>
      <c r="D140" s="67">
        <f ca="1">IF(NOTA[[#This Row],[NAMA BARANG]]="","",INDEX(NOTA[ID],MATCH(,INDIRECT(ADDRESS(ROW(NOTA[ID]),COLUMN(NOTA[ID]))&amp;":"&amp;ADDRESS(ROW(),COLUMN(NOTA[ID]))),-1)))</f>
        <v>25</v>
      </c>
      <c r="E140" s="68"/>
      <c r="F140" s="27" t="s">
        <v>25</v>
      </c>
      <c r="G140" s="27" t="s">
        <v>24</v>
      </c>
      <c r="H140" s="54" t="s">
        <v>286</v>
      </c>
      <c r="J140" s="69">
        <v>45050</v>
      </c>
      <c r="K140" s="70"/>
      <c r="L140" s="27" t="s">
        <v>287</v>
      </c>
      <c r="M140" s="71">
        <v>2</v>
      </c>
      <c r="N140" s="70">
        <v>1000</v>
      </c>
      <c r="O140" s="27" t="s">
        <v>288</v>
      </c>
      <c r="P140" s="72">
        <v>3050</v>
      </c>
      <c r="Q140" s="73"/>
      <c r="R140" s="42" t="s">
        <v>289</v>
      </c>
      <c r="S140" s="74">
        <v>0.125</v>
      </c>
      <c r="T140" s="75">
        <v>0.05</v>
      </c>
      <c r="U140" s="76"/>
      <c r="V140" s="77"/>
      <c r="W140" s="62">
        <f>IF(NOTA[[#This Row],[HARGA/ CTN]]="",NOTA[[#This Row],[JUMLAH_H]],NOTA[[#This Row],[HARGA/ CTN]]*IF(NOTA[[#This Row],[C]]="",0,NOTA[[#This Row],[C]]))</f>
        <v>3050000</v>
      </c>
      <c r="X140" s="62">
        <f>IF(NOTA[[#This Row],[JUMLAH]]="","",NOTA[[#This Row],[JUMLAH]]*NOTA[[#This Row],[DISC 1]])</f>
        <v>381250</v>
      </c>
      <c r="Y140" s="62">
        <f>IF(NOTA[[#This Row],[JUMLAH]]="","",(NOTA[[#This Row],[JUMLAH]]-NOTA[[#This Row],[DISC 1-]])*NOTA[[#This Row],[DISC 2]])</f>
        <v>133437.5</v>
      </c>
      <c r="Z140" s="62">
        <f>IF(NOTA[[#This Row],[JUMLAH]]="","",NOTA[[#This Row],[DISC 1-]]+NOTA[[#This Row],[DISC 2-]])</f>
        <v>514687.5</v>
      </c>
      <c r="AA140" s="62">
        <f>IF(NOTA[[#This Row],[JUMLAH]]="","",NOTA[[#This Row],[JUMLAH]]-NOTA[[#This Row],[DISC]])</f>
        <v>2535312.5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140" s="62">
        <f>IF(OR(NOTA[[#This Row],[QTY]]="",NOTA[[#This Row],[HARGA SATUAN]]="",),"",NOTA[[#This Row],[QTY]]*NOTA[[#This Row],[HARGA SATUAN]])</f>
        <v>3050000</v>
      </c>
      <c r="AG140" s="56">
        <f ca="1">IF(NOTA[ID_H]="","",INDEX(NOTA[TANGGAL],MATCH(,INDIRECT(ADDRESS(ROW(NOTA[TANGGAL]),COLUMN(NOTA[TANGGAL]))&amp;":"&amp;ADDRESS(ROW(),COLUMN(NOTA[TANGGAL]))),-1)))</f>
        <v>45055</v>
      </c>
      <c r="AH140" s="59" t="str">
        <f ca="1">IF(NOTA[[#This Row],[NAMA BARANG]]="","",INDEX(NOTA[SUPPLIER],MATCH(,INDIRECT(ADDRESS(ROW(NOTA[ID]),COLUMN(NOTA[ID]))&amp;":"&amp;ADDRESS(ROW(),COLUMN(NOTA[ID]))),-1)))</f>
        <v>ATALI MAKMUR</v>
      </c>
      <c r="AI140" s="59" t="str">
        <f ca="1">IF(NOTA[[#This Row],[ID_H]]="","",IF(NOTA[[#This Row],[FAKTUR]]="",INDIRECT(ADDRESS(ROW()-1,COLUMN())),NOTA[[#This Row],[FAKTUR]]))</f>
        <v>ARTO MORO</v>
      </c>
      <c r="AJ140" s="27">
        <f ca="1">IF(NOTA[[#This Row],[ID]]="","",COUNTIF(NOTA[ID_H],NOTA[[#This Row],[ID_H]]))</f>
        <v>9</v>
      </c>
      <c r="AK140" s="27">
        <f>IF(NOTA[[#This Row],[TGL.NOTA]]="",IF(NOTA[[#This Row],[SUPPLIER_H]]="","",AK139),MONTH(NOTA[[#This Row],[TGL.NOTA]]))</f>
        <v>5</v>
      </c>
      <c r="AL140" s="2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M1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N1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O14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MOROSA23050679245050labellbp2ln2barisjk</v>
      </c>
      <c r="AP140" s="27" t="e">
        <f>IF(NOTA[[#This Row],[CONCAT4]]="","",_xlfn.IFNA(MATCH(NOTA[[#This Row],[CONCAT4]],[2]!RAW[CONCAT_H],0),FALSE))</f>
        <v>#REF!</v>
      </c>
      <c r="AQ140" s="145">
        <f>IF(NOTA[[#This Row],[CONCAT1]]="","",MATCH(NOTA[[#This Row],[CONCAT1]],[3]!db[NB NOTA_C],0)+1)</f>
        <v>1469</v>
      </c>
    </row>
    <row r="141" spans="1:43" ht="20.100000000000001" customHeight="1" x14ac:dyDescent="0.25">
      <c r="A14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67" t="str">
        <f>IF(NOTA[[#This Row],[ID_P]]="","",MATCH(NOTA[[#This Row],[ID_P]],[1]!B_MSK[N_ID],0))</f>
        <v/>
      </c>
      <c r="D141" s="67">
        <f ca="1">IF(NOTA[[#This Row],[NAMA BARANG]]="","",INDEX(NOTA[ID],MATCH(,INDIRECT(ADDRESS(ROW(NOTA[ID]),COLUMN(NOTA[ID]))&amp;":"&amp;ADDRESS(ROW(),COLUMN(NOTA[ID]))),-1)))</f>
        <v>25</v>
      </c>
      <c r="E141" s="68"/>
      <c r="H141" s="54"/>
      <c r="K141" s="69"/>
      <c r="L141" s="27" t="s">
        <v>290</v>
      </c>
      <c r="M141" s="71">
        <v>1</v>
      </c>
      <c r="N141" s="70">
        <v>24</v>
      </c>
      <c r="O141" s="27" t="s">
        <v>160</v>
      </c>
      <c r="P141" s="72">
        <v>19000</v>
      </c>
      <c r="Q141" s="73"/>
      <c r="R141" s="42" t="s">
        <v>236</v>
      </c>
      <c r="S141" s="74">
        <v>0.125</v>
      </c>
      <c r="T141" s="75">
        <v>0.05</v>
      </c>
      <c r="U141" s="76"/>
      <c r="V141" s="77"/>
      <c r="W141" s="62">
        <f>IF(NOTA[[#This Row],[HARGA/ CTN]]="",NOTA[[#This Row],[JUMLAH_H]],NOTA[[#This Row],[HARGA/ CTN]]*IF(NOTA[[#This Row],[C]]="",0,NOTA[[#This Row],[C]]))</f>
        <v>456000</v>
      </c>
      <c r="X141" s="62">
        <f>IF(NOTA[[#This Row],[JUMLAH]]="","",NOTA[[#This Row],[JUMLAH]]*NOTA[[#This Row],[DISC 1]])</f>
        <v>57000</v>
      </c>
      <c r="Y141" s="62">
        <f>IF(NOTA[[#This Row],[JUMLAH]]="","",(NOTA[[#This Row],[JUMLAH]]-NOTA[[#This Row],[DISC 1-]])*NOTA[[#This Row],[DISC 2]])</f>
        <v>19950</v>
      </c>
      <c r="Z141" s="62">
        <f>IF(NOTA[[#This Row],[JUMLAH]]="","",NOTA[[#This Row],[DISC 1-]]+NOTA[[#This Row],[DISC 2-]])</f>
        <v>76950</v>
      </c>
      <c r="AA141" s="62">
        <f>IF(NOTA[[#This Row],[JUMLAH]]="","",NOTA[[#This Row],[JUMLAH]]-NOTA[[#This Row],[DISC]])</f>
        <v>379050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41" s="62">
        <f>IF(OR(NOTA[[#This Row],[QTY]]="",NOTA[[#This Row],[HARGA SATUAN]]="",),"",NOTA[[#This Row],[QTY]]*NOTA[[#This Row],[HARGA SATUAN]])</f>
        <v>456000</v>
      </c>
      <c r="AG141" s="56">
        <f ca="1">IF(NOTA[ID_H]="","",INDEX(NOTA[TANGGAL],MATCH(,INDIRECT(ADDRESS(ROW(NOTA[TANGGAL]),COLUMN(NOTA[TANGGAL]))&amp;":"&amp;ADDRESS(ROW(),COLUMN(NOTA[TANGGAL]))),-1)))</f>
        <v>45055</v>
      </c>
      <c r="AH141" s="59" t="str">
        <f ca="1">IF(NOTA[[#This Row],[NAMA BARANG]]="","",INDEX(NOTA[SUPPLIER],MATCH(,INDIRECT(ADDRESS(ROW(NOTA[ID]),COLUMN(NOTA[ID]))&amp;":"&amp;ADDRESS(ROW(),COLUMN(NOTA[ID]))),-1)))</f>
        <v>ATALI MAKMUR</v>
      </c>
      <c r="AI141" s="59" t="str">
        <f ca="1">IF(NOTA[[#This Row],[ID_H]]="","",IF(NOTA[[#This Row],[FAKTUR]]="",INDIRECT(ADDRESS(ROW()-1,COLUMN())),NOTA[[#This Row],[FAKTUR]]))</f>
        <v>ARTO MORO</v>
      </c>
      <c r="AJ141" s="27" t="str">
        <f ca="1">IF(NOTA[[#This Row],[ID]]="","",COUNTIF(NOTA[ID_H],NOTA[[#This Row],[ID_H]]))</f>
        <v/>
      </c>
      <c r="AK141" s="27">
        <f ca="1">IF(NOTA[[#This Row],[TGL.NOTA]]="",IF(NOTA[[#This Row],[SUPPLIER_H]]="","",AK140),MONTH(NOTA[[#This Row],[TGL.NOTA]]))</f>
        <v>5</v>
      </c>
      <c r="AL141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27" t="str">
        <f>IF(NOTA[[#This Row],[CONCAT4]]="","",_xlfn.IFNA(MATCH(NOTA[[#This Row],[CONCAT4]],[2]!RAW[CONCAT_H],0),FALSE))</f>
        <v/>
      </c>
      <c r="AQ141" s="145">
        <f>IF(NOTA[[#This Row],[CONCAT1]]="","",MATCH(NOTA[[#This Row],[CONCAT1]],[3]!db[NB NOTA_C],0)+1)</f>
        <v>2219</v>
      </c>
    </row>
    <row r="142" spans="1:43" ht="20.100000000000001" customHeight="1" x14ac:dyDescent="0.25">
      <c r="A14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67" t="str">
        <f>IF(NOTA[[#This Row],[ID_P]]="","",MATCH(NOTA[[#This Row],[ID_P]],[1]!B_MSK[N_ID],0))</f>
        <v/>
      </c>
      <c r="D142" s="67">
        <f ca="1">IF(NOTA[[#This Row],[NAMA BARANG]]="","",INDEX(NOTA[ID],MATCH(,INDIRECT(ADDRESS(ROW(NOTA[ID]),COLUMN(NOTA[ID]))&amp;":"&amp;ADDRESS(ROW(),COLUMN(NOTA[ID]))),-1)))</f>
        <v>25</v>
      </c>
      <c r="E142" s="68"/>
      <c r="H142" s="54"/>
      <c r="K142" s="69"/>
      <c r="L142" s="27" t="s">
        <v>299</v>
      </c>
      <c r="M142" s="71">
        <v>1</v>
      </c>
      <c r="N142" s="70">
        <v>144</v>
      </c>
      <c r="O142" s="27" t="s">
        <v>252</v>
      </c>
      <c r="P142" s="72">
        <v>10600</v>
      </c>
      <c r="Q142" s="73"/>
      <c r="R142" s="42" t="s">
        <v>273</v>
      </c>
      <c r="S142" s="74">
        <v>0.125</v>
      </c>
      <c r="T142" s="75">
        <v>0.05</v>
      </c>
      <c r="U142" s="76"/>
      <c r="V142" s="77"/>
      <c r="W142" s="62">
        <f>IF(NOTA[[#This Row],[HARGA/ CTN]]="",NOTA[[#This Row],[JUMLAH_H]],NOTA[[#This Row],[HARGA/ CTN]]*IF(NOTA[[#This Row],[C]]="",0,NOTA[[#This Row],[C]]))</f>
        <v>1526400</v>
      </c>
      <c r="X142" s="62">
        <f>IF(NOTA[[#This Row],[JUMLAH]]="","",NOTA[[#This Row],[JUMLAH]]*NOTA[[#This Row],[DISC 1]])</f>
        <v>190800</v>
      </c>
      <c r="Y142" s="62">
        <f>IF(NOTA[[#This Row],[JUMLAH]]="","",(NOTA[[#This Row],[JUMLAH]]-NOTA[[#This Row],[DISC 1-]])*NOTA[[#This Row],[DISC 2]])</f>
        <v>66780</v>
      </c>
      <c r="Z142" s="62">
        <f>IF(NOTA[[#This Row],[JUMLAH]]="","",NOTA[[#This Row],[DISC 1-]]+NOTA[[#This Row],[DISC 2-]])</f>
        <v>257580</v>
      </c>
      <c r="AA142" s="62">
        <f>IF(NOTA[[#This Row],[JUMLAH]]="","",NOTA[[#This Row],[JUMLAH]]-NOTA[[#This Row],[DISC]])</f>
        <v>1268820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42" s="62">
        <f>IF(OR(NOTA[[#This Row],[QTY]]="",NOTA[[#This Row],[HARGA SATUAN]]="",),"",NOTA[[#This Row],[QTY]]*NOTA[[#This Row],[HARGA SATUAN]])</f>
        <v>1526400</v>
      </c>
      <c r="AG142" s="56">
        <f ca="1">IF(NOTA[ID_H]="","",INDEX(NOTA[TANGGAL],MATCH(,INDIRECT(ADDRESS(ROW(NOTA[TANGGAL]),COLUMN(NOTA[TANGGAL]))&amp;":"&amp;ADDRESS(ROW(),COLUMN(NOTA[TANGGAL]))),-1)))</f>
        <v>45055</v>
      </c>
      <c r="AH142" s="59" t="str">
        <f ca="1">IF(NOTA[[#This Row],[NAMA BARANG]]="","",INDEX(NOTA[SUPPLIER],MATCH(,INDIRECT(ADDRESS(ROW(NOTA[ID]),COLUMN(NOTA[ID]))&amp;":"&amp;ADDRESS(ROW(),COLUMN(NOTA[ID]))),-1)))</f>
        <v>ATALI MAKMUR</v>
      </c>
      <c r="AI142" s="59" t="str">
        <f ca="1">IF(NOTA[[#This Row],[ID_H]]="","",IF(NOTA[[#This Row],[FAKTUR]]="",INDIRECT(ADDRESS(ROW()-1,COLUMN())),NOTA[[#This Row],[FAKTUR]]))</f>
        <v>ARTO MORO</v>
      </c>
      <c r="AJ142" s="27" t="str">
        <f ca="1">IF(NOTA[[#This Row],[ID]]="","",COUNTIF(NOTA[ID_H],NOTA[[#This Row],[ID_H]]))</f>
        <v/>
      </c>
      <c r="AK142" s="27">
        <f ca="1">IF(NOTA[[#This Row],[TGL.NOTA]]="",IF(NOTA[[#This Row],[SUPPLIER_H]]="","",AK141),MONTH(NOTA[[#This Row],[TGL.NOTA]]))</f>
        <v>5</v>
      </c>
      <c r="AL142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2" s="27" t="str">
        <f>IF(NOTA[[#This Row],[CONCAT4]]="","",_xlfn.IFNA(MATCH(NOTA[[#This Row],[CONCAT4]],[2]!RAW[CONCAT_H],0),FALSE))</f>
        <v/>
      </c>
      <c r="AQ142" s="145">
        <f>IF(NOTA[[#This Row],[CONCAT1]]="","",MATCH(NOTA[[#This Row],[CONCAT1]],[3]!db[NB NOTA_C],0)+1)</f>
        <v>530</v>
      </c>
    </row>
    <row r="143" spans="1:43" ht="20.100000000000001" customHeight="1" x14ac:dyDescent="0.25">
      <c r="A14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67" t="str">
        <f>IF(NOTA[[#This Row],[ID_P]]="","",MATCH(NOTA[[#This Row],[ID_P]],[1]!B_MSK[N_ID],0))</f>
        <v/>
      </c>
      <c r="D143" s="67">
        <f ca="1">IF(NOTA[[#This Row],[NAMA BARANG]]="","",INDEX(NOTA[ID],MATCH(,INDIRECT(ADDRESS(ROW(NOTA[ID]),COLUMN(NOTA[ID]))&amp;":"&amp;ADDRESS(ROW(),COLUMN(NOTA[ID]))),-1)))</f>
        <v>25</v>
      </c>
      <c r="E143" s="68"/>
      <c r="H143" s="54"/>
      <c r="J143" s="69"/>
      <c r="K143" s="70"/>
      <c r="L143" s="27" t="s">
        <v>291</v>
      </c>
      <c r="M143" s="71">
        <v>2</v>
      </c>
      <c r="N143" s="70">
        <v>4</v>
      </c>
      <c r="O143" s="27" t="s">
        <v>183</v>
      </c>
      <c r="P143" s="72">
        <v>1029600</v>
      </c>
      <c r="Q143" s="73"/>
      <c r="R143" s="42" t="s">
        <v>292</v>
      </c>
      <c r="S143" s="74">
        <v>0.125</v>
      </c>
      <c r="T143" s="75">
        <v>0.05</v>
      </c>
      <c r="U143" s="76"/>
      <c r="V143" s="77"/>
      <c r="W143" s="62">
        <f>IF(NOTA[[#This Row],[HARGA/ CTN]]="",NOTA[[#This Row],[JUMLAH_H]],NOTA[[#This Row],[HARGA/ CTN]]*IF(NOTA[[#This Row],[C]]="",0,NOTA[[#This Row],[C]]))</f>
        <v>4118400</v>
      </c>
      <c r="X143" s="62">
        <f>IF(NOTA[[#This Row],[JUMLAH]]="","",NOTA[[#This Row],[JUMLAH]]*NOTA[[#This Row],[DISC 1]])</f>
        <v>514800</v>
      </c>
      <c r="Y143" s="62">
        <f>IF(NOTA[[#This Row],[JUMLAH]]="","",(NOTA[[#This Row],[JUMLAH]]-NOTA[[#This Row],[DISC 1-]])*NOTA[[#This Row],[DISC 2]])</f>
        <v>180180</v>
      </c>
      <c r="Z143" s="62">
        <f>IF(NOTA[[#This Row],[JUMLAH]]="","",NOTA[[#This Row],[DISC 1-]]+NOTA[[#This Row],[DISC 2-]])</f>
        <v>694980</v>
      </c>
      <c r="AA143" s="62">
        <f>IF(NOTA[[#This Row],[JUMLAH]]="","",NOTA[[#This Row],[JUMLAH]]-NOTA[[#This Row],[DISC]])</f>
        <v>3423420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9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43" s="62">
        <f>IF(OR(NOTA[[#This Row],[QTY]]="",NOTA[[#This Row],[HARGA SATUAN]]="",),"",NOTA[[#This Row],[QTY]]*NOTA[[#This Row],[HARGA SATUAN]])</f>
        <v>4118400</v>
      </c>
      <c r="AG143" s="56">
        <f ca="1">IF(NOTA[ID_H]="","",INDEX(NOTA[TANGGAL],MATCH(,INDIRECT(ADDRESS(ROW(NOTA[TANGGAL]),COLUMN(NOTA[TANGGAL]))&amp;":"&amp;ADDRESS(ROW(),COLUMN(NOTA[TANGGAL]))),-1)))</f>
        <v>45055</v>
      </c>
      <c r="AH143" s="59" t="str">
        <f ca="1">IF(NOTA[[#This Row],[NAMA BARANG]]="","",INDEX(NOTA[SUPPLIER],MATCH(,INDIRECT(ADDRESS(ROW(NOTA[ID]),COLUMN(NOTA[ID]))&amp;":"&amp;ADDRESS(ROW(),COLUMN(NOTA[ID]))),-1)))</f>
        <v>ATALI MAKMUR</v>
      </c>
      <c r="AI143" s="59" t="str">
        <f ca="1">IF(NOTA[[#This Row],[ID_H]]="","",IF(NOTA[[#This Row],[FAKTUR]]="",INDIRECT(ADDRESS(ROW()-1,COLUMN())),NOTA[[#This Row],[FAKTUR]]))</f>
        <v>ARTO MORO</v>
      </c>
      <c r="AJ143" s="27" t="str">
        <f ca="1">IF(NOTA[[#This Row],[ID]]="","",COUNTIF(NOTA[ID_H],NOTA[[#This Row],[ID_H]]))</f>
        <v/>
      </c>
      <c r="AK143" s="27">
        <f ca="1">IF(NOTA[[#This Row],[TGL.NOTA]]="",IF(NOTA[[#This Row],[SUPPLIER_H]]="","",AK141),MONTH(NOTA[[#This Row],[TGL.NOTA]]))</f>
        <v>5</v>
      </c>
      <c r="AL143" s="27" t="str">
        <f>LOWER(SUBSTITUTE(SUBSTITUTE(SUBSTITUTE(SUBSTITUTE(SUBSTITUTE(SUBSTITUTE(SUBSTITUTE(SUBSTITUTE(SUBSTITUTE(NOTA[NAMA BARANG]," ",),".",""),"-",""),"(",""),")",""),",",""),"/",""),"""",""),"+",""))</f>
        <v>binderclip300jk</v>
      </c>
      <c r="AM1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binderclip300jk20592000.1250.05</v>
      </c>
      <c r="AN1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binderclip300jk20592000.1250.05</v>
      </c>
      <c r="AO1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27" t="str">
        <f>IF(NOTA[[#This Row],[CONCAT4]]="","",_xlfn.IFNA(MATCH(NOTA[[#This Row],[CONCAT4]],[2]!RAW[CONCAT_H],0),FALSE))</f>
        <v/>
      </c>
      <c r="AQ143" s="145">
        <f>IF(NOTA[[#This Row],[CONCAT1]]="","",MATCH(NOTA[[#This Row],[CONCAT1]],[3]!db[NB NOTA_C],0)+1)</f>
        <v>233</v>
      </c>
    </row>
    <row r="144" spans="1:43" ht="20.100000000000001" customHeight="1" x14ac:dyDescent="0.25">
      <c r="A14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67" t="str">
        <f>IF(NOTA[[#This Row],[ID_P]]="","",MATCH(NOTA[[#This Row],[ID_P]],[1]!B_MSK[N_ID],0))</f>
        <v/>
      </c>
      <c r="D144" s="67">
        <f ca="1">IF(NOTA[[#This Row],[NAMA BARANG]]="","",INDEX(NOTA[ID],MATCH(,INDIRECT(ADDRESS(ROW(NOTA[ID]),COLUMN(NOTA[ID]))&amp;":"&amp;ADDRESS(ROW(),COLUMN(NOTA[ID]))),-1)))</f>
        <v>25</v>
      </c>
      <c r="E144" s="68"/>
      <c r="H144" s="54"/>
      <c r="J144" s="69"/>
      <c r="K144" s="70"/>
      <c r="L144" s="27" t="s">
        <v>390</v>
      </c>
      <c r="M144" s="71"/>
      <c r="N144" s="70">
        <v>12</v>
      </c>
      <c r="O144" s="27" t="s">
        <v>146</v>
      </c>
      <c r="P144" s="72">
        <v>13200</v>
      </c>
      <c r="Q144" s="73"/>
      <c r="R144" s="42" t="s">
        <v>293</v>
      </c>
      <c r="S144" s="74">
        <v>0.1</v>
      </c>
      <c r="T144" s="75">
        <v>0.05</v>
      </c>
      <c r="U144" s="52"/>
      <c r="V144" s="77"/>
      <c r="W144" s="62">
        <f>IF(NOTA[[#This Row],[HARGA/ CTN]]="",NOTA[[#This Row],[JUMLAH_H]],NOTA[[#This Row],[HARGA/ CTN]]*IF(NOTA[[#This Row],[C]]="",0,NOTA[[#This Row],[C]]))</f>
        <v>158400</v>
      </c>
      <c r="X144" s="62">
        <f>IF(NOTA[[#This Row],[JUMLAH]]="","",NOTA[[#This Row],[JUMLAH]]*NOTA[[#This Row],[DISC 1]])</f>
        <v>15840</v>
      </c>
      <c r="Y144" s="62">
        <f>IF(NOTA[[#This Row],[JUMLAH]]="","",(NOTA[[#This Row],[JUMLAH]]-NOTA[[#This Row],[DISC 1-]])*NOTA[[#This Row],[DISC 2]])</f>
        <v>7128</v>
      </c>
      <c r="Z144" s="62">
        <f>IF(NOTA[[#This Row],[JUMLAH]]="","",NOTA[[#This Row],[DISC 1-]]+NOTA[[#This Row],[DISC 2-]])</f>
        <v>22968</v>
      </c>
      <c r="AA144" s="62">
        <f>IF(NOTA[[#This Row],[JUMLAH]]="","",NOTA[[#This Row],[JUMLAH]]-NOTA[[#This Row],[DISC]])</f>
        <v>135432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9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44" s="62">
        <f>IF(OR(NOTA[[#This Row],[QTY]]="",NOTA[[#This Row],[HARGA SATUAN]]="",),"",NOTA[[#This Row],[QTY]]*NOTA[[#This Row],[HARGA SATUAN]])</f>
        <v>158400</v>
      </c>
      <c r="AG144" s="56">
        <f ca="1">IF(NOTA[ID_H]="","",INDEX(NOTA[TANGGAL],MATCH(,INDIRECT(ADDRESS(ROW(NOTA[TANGGAL]),COLUMN(NOTA[TANGGAL]))&amp;":"&amp;ADDRESS(ROW(),COLUMN(NOTA[TANGGAL]))),-1)))</f>
        <v>45055</v>
      </c>
      <c r="AH144" s="59" t="str">
        <f ca="1">IF(NOTA[[#This Row],[NAMA BARANG]]="","",INDEX(NOTA[SUPPLIER],MATCH(,INDIRECT(ADDRESS(ROW(NOTA[ID]),COLUMN(NOTA[ID]))&amp;":"&amp;ADDRESS(ROW(),COLUMN(NOTA[ID]))),-1)))</f>
        <v>ATALI MAKMUR</v>
      </c>
      <c r="AI144" s="59" t="str">
        <f ca="1">IF(NOTA[[#This Row],[ID_H]]="","",IF(NOTA[[#This Row],[FAKTUR]]="",INDIRECT(ADDRESS(ROW()-1,COLUMN())),NOTA[[#This Row],[FAKTUR]]))</f>
        <v>ARTO MORO</v>
      </c>
      <c r="AJ144" s="27" t="str">
        <f ca="1">IF(NOTA[[#This Row],[ID]]="","",COUNTIF(NOTA[ID_H],NOTA[[#This Row],[ID_H]]))</f>
        <v/>
      </c>
      <c r="AK144" s="27">
        <f ca="1">IF(NOTA[[#This Row],[TGL.NOTA]]="",IF(NOTA[[#This Row],[SUPPLIER_H]]="","",AK143),MONTH(NOTA[[#This Row],[TGL.NOTA]]))</f>
        <v>5</v>
      </c>
      <c r="AL144" s="27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1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N1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1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27" t="str">
        <f>IF(NOTA[[#This Row],[CONCAT4]]="","",_xlfn.IFNA(MATCH(NOTA[[#This Row],[CONCAT4]],[2]!RAW[CONCAT_H],0),FALSE))</f>
        <v/>
      </c>
      <c r="AQ144" s="145">
        <f>IF(NOTA[[#This Row],[CONCAT1]]="","",MATCH(NOTA[[#This Row],[CONCAT1]],[3]!db[NB NOTA_C],0)+1)</f>
        <v>93</v>
      </c>
    </row>
    <row r="145" spans="1:43" ht="20.100000000000001" customHeight="1" x14ac:dyDescent="0.25">
      <c r="A14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67" t="str">
        <f>IF(NOTA[[#This Row],[ID_P]]="","",MATCH(NOTA[[#This Row],[ID_P]],[1]!B_MSK[N_ID],0))</f>
        <v/>
      </c>
      <c r="D145" s="67">
        <f ca="1">IF(NOTA[[#This Row],[NAMA BARANG]]="","",INDEX(NOTA[ID],MATCH(,INDIRECT(ADDRESS(ROW(NOTA[ID]),COLUMN(NOTA[ID]))&amp;":"&amp;ADDRESS(ROW(),COLUMN(NOTA[ID]))),-1)))</f>
        <v>25</v>
      </c>
      <c r="E145" s="68"/>
      <c r="H145" s="54"/>
      <c r="J145" s="69"/>
      <c r="K145" s="70"/>
      <c r="L145" s="27" t="s">
        <v>294</v>
      </c>
      <c r="M145" s="71">
        <v>4</v>
      </c>
      <c r="N145" s="70">
        <v>3456</v>
      </c>
      <c r="O145" s="27" t="s">
        <v>160</v>
      </c>
      <c r="P145" s="72">
        <v>2300</v>
      </c>
      <c r="Q145" s="73"/>
      <c r="R145" s="42" t="s">
        <v>295</v>
      </c>
      <c r="S145" s="74">
        <v>0.125</v>
      </c>
      <c r="T145" s="75">
        <v>0.05</v>
      </c>
      <c r="U145" s="76"/>
      <c r="V145" s="77"/>
      <c r="W145" s="62">
        <f>IF(NOTA[[#This Row],[HARGA/ CTN]]="",NOTA[[#This Row],[JUMLAH_H]],NOTA[[#This Row],[HARGA/ CTN]]*IF(NOTA[[#This Row],[C]]="",0,NOTA[[#This Row],[C]]))</f>
        <v>7948800</v>
      </c>
      <c r="X145" s="62">
        <f>IF(NOTA[[#This Row],[JUMLAH]]="","",NOTA[[#This Row],[JUMLAH]]*NOTA[[#This Row],[DISC 1]])</f>
        <v>993600</v>
      </c>
      <c r="Y145" s="62">
        <f>IF(NOTA[[#This Row],[JUMLAH]]="","",(NOTA[[#This Row],[JUMLAH]]-NOTA[[#This Row],[DISC 1-]])*NOTA[[#This Row],[DISC 2]])</f>
        <v>347760</v>
      </c>
      <c r="Z145" s="62">
        <f>IF(NOTA[[#This Row],[JUMLAH]]="","",NOTA[[#This Row],[DISC 1-]]+NOTA[[#This Row],[DISC 2-]])</f>
        <v>1341360</v>
      </c>
      <c r="AA145" s="62">
        <f>IF(NOTA[[#This Row],[JUMLAH]]="","",NOTA[[#This Row],[JUMLAH]]-NOTA[[#This Row],[DISC]])</f>
        <v>6607440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9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145" s="62">
        <f>IF(OR(NOTA[[#This Row],[QTY]]="",NOTA[[#This Row],[HARGA SATUAN]]="",),"",NOTA[[#This Row],[QTY]]*NOTA[[#This Row],[HARGA SATUAN]])</f>
        <v>7948800</v>
      </c>
      <c r="AG145" s="56">
        <f ca="1">IF(NOTA[ID_H]="","",INDEX(NOTA[TANGGAL],MATCH(,INDIRECT(ADDRESS(ROW(NOTA[TANGGAL]),COLUMN(NOTA[TANGGAL]))&amp;":"&amp;ADDRESS(ROW(),COLUMN(NOTA[TANGGAL]))),-1)))</f>
        <v>45055</v>
      </c>
      <c r="AH145" s="59" t="str">
        <f ca="1">IF(NOTA[[#This Row],[NAMA BARANG]]="","",INDEX(NOTA[SUPPLIER],MATCH(,INDIRECT(ADDRESS(ROW(NOTA[ID]),COLUMN(NOTA[ID]))&amp;":"&amp;ADDRESS(ROW(),COLUMN(NOTA[ID]))),-1)))</f>
        <v>ATALI MAKMUR</v>
      </c>
      <c r="AI145" s="59" t="str">
        <f ca="1">IF(NOTA[[#This Row],[ID_H]]="","",IF(NOTA[[#This Row],[FAKTUR]]="",INDIRECT(ADDRESS(ROW()-1,COLUMN())),NOTA[[#This Row],[FAKTUR]]))</f>
        <v>ARTO MORO</v>
      </c>
      <c r="AJ145" s="27" t="str">
        <f ca="1">IF(NOTA[[#This Row],[ID]]="","",COUNTIF(NOTA[ID_H],NOTA[[#This Row],[ID_H]]))</f>
        <v/>
      </c>
      <c r="AK145" s="27">
        <f ca="1">IF(NOTA[[#This Row],[TGL.NOTA]]="",IF(NOTA[[#This Row],[SUPPLIER_H]]="","",AK144),MONTH(NOTA[[#This Row],[TGL.NOTA]]))</f>
        <v>5</v>
      </c>
      <c r="AL145" s="27" t="str">
        <f>LOWER(SUBSTITUTE(SUBSTITUTE(SUBSTITUTE(SUBSTITUTE(SUBSTITUTE(SUBSTITUTE(SUBSTITUTE(SUBSTITUTE(SUBSTITUTE(NOTA[NAMA BARANG]," ",),".",""),"-",""),"(",""),")",""),",",""),"/",""),"""",""),"+",""))</f>
        <v>gluestickgs103batikjk</v>
      </c>
      <c r="AM1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gluestickgs103batikjk19872000.1250.05</v>
      </c>
      <c r="AN1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gluestickgs103batikjk19872000.1250.05</v>
      </c>
      <c r="AO1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5" s="27" t="str">
        <f>IF(NOTA[[#This Row],[CONCAT4]]="","",_xlfn.IFNA(MATCH(NOTA[[#This Row],[CONCAT4]],[2]!RAW[CONCAT_H],0),FALSE))</f>
        <v/>
      </c>
      <c r="AQ145" s="145">
        <f>IF(NOTA[[#This Row],[CONCAT1]]="","",MATCH(NOTA[[#This Row],[CONCAT1]],[3]!db[NB NOTA_C],0)+1)</f>
        <v>1008</v>
      </c>
    </row>
    <row r="146" spans="1:43" ht="20.100000000000001" customHeight="1" x14ac:dyDescent="0.25">
      <c r="A14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67" t="str">
        <f>IF(NOTA[[#This Row],[ID_P]]="","",MATCH(NOTA[[#This Row],[ID_P]],[1]!B_MSK[N_ID],0))</f>
        <v/>
      </c>
      <c r="D146" s="67">
        <f ca="1">IF(NOTA[[#This Row],[NAMA BARANG]]="","",INDEX(NOTA[ID],MATCH(,INDIRECT(ADDRESS(ROW(NOTA[ID]),COLUMN(NOTA[ID]))&amp;":"&amp;ADDRESS(ROW(),COLUMN(NOTA[ID]))),-1)))</f>
        <v>25</v>
      </c>
      <c r="E146" s="113"/>
      <c r="H146" s="54"/>
      <c r="J146" s="69"/>
      <c r="K146" s="70"/>
      <c r="L146" s="27" t="s">
        <v>296</v>
      </c>
      <c r="M146" s="71">
        <v>4</v>
      </c>
      <c r="N146" s="70">
        <v>3456</v>
      </c>
      <c r="O146" s="27" t="s">
        <v>160</v>
      </c>
      <c r="P146" s="72">
        <v>2450</v>
      </c>
      <c r="Q146" s="79"/>
      <c r="R146" s="42" t="s">
        <v>295</v>
      </c>
      <c r="S146" s="74">
        <v>0.125</v>
      </c>
      <c r="T146" s="115">
        <v>0.05</v>
      </c>
      <c r="U146" s="76"/>
      <c r="V146" s="77"/>
      <c r="W146" s="62">
        <f>IF(NOTA[[#This Row],[HARGA/ CTN]]="",NOTA[[#This Row],[JUMLAH_H]],NOTA[[#This Row],[HARGA/ CTN]]*IF(NOTA[[#This Row],[C]]="",0,NOTA[[#This Row],[C]]))</f>
        <v>8467200</v>
      </c>
      <c r="X146" s="62">
        <f>IF(NOTA[[#This Row],[JUMLAH]]="","",NOTA[[#This Row],[JUMLAH]]*NOTA[[#This Row],[DISC 1]])</f>
        <v>1058400</v>
      </c>
      <c r="Y146" s="62">
        <f>IF(NOTA[[#This Row],[JUMLAH]]="","",(NOTA[[#This Row],[JUMLAH]]-NOTA[[#This Row],[DISC 1-]])*NOTA[[#This Row],[DISC 2]])</f>
        <v>370440</v>
      </c>
      <c r="Z146" s="62">
        <f>IF(NOTA[[#This Row],[JUMLAH]]="","",NOTA[[#This Row],[DISC 1-]]+NOTA[[#This Row],[DISC 2-]])</f>
        <v>1428840</v>
      </c>
      <c r="AA146" s="62">
        <f>IF(NOTA[[#This Row],[JUMLAH]]="","",NOTA[[#This Row],[JUMLAH]]-NOTA[[#This Row],[DISC]])</f>
        <v>7038360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46" s="62">
        <f>IF(OR(NOTA[[#This Row],[QTY]]="",NOTA[[#This Row],[HARGA SATUAN]]="",),"",NOTA[[#This Row],[QTY]]*NOTA[[#This Row],[HARGA SATUAN]])</f>
        <v>8467200</v>
      </c>
      <c r="AG146" s="56">
        <f ca="1">IF(NOTA[ID_H]="","",INDEX(NOTA[TANGGAL],MATCH(,INDIRECT(ADDRESS(ROW(NOTA[TANGGAL]),COLUMN(NOTA[TANGGAL]))&amp;":"&amp;ADDRESS(ROW(),COLUMN(NOTA[TANGGAL]))),-1)))</f>
        <v>45055</v>
      </c>
      <c r="AH146" s="59" t="str">
        <f ca="1">IF(NOTA[[#This Row],[NAMA BARANG]]="","",INDEX(NOTA[SUPPLIER],MATCH(,INDIRECT(ADDRESS(ROW(NOTA[ID]),COLUMN(NOTA[ID]))&amp;":"&amp;ADDRESS(ROW(),COLUMN(NOTA[ID]))),-1)))</f>
        <v>ATALI MAKMUR</v>
      </c>
      <c r="AI146" s="59" t="str">
        <f ca="1">IF(NOTA[[#This Row],[ID_H]]="","",IF(NOTA[[#This Row],[FAKTUR]]="",INDIRECT(ADDRESS(ROW()-1,COLUMN())),NOTA[[#This Row],[FAKTUR]]))</f>
        <v>ARTO MORO</v>
      </c>
      <c r="AJ146" s="27" t="str">
        <f ca="1">IF(NOTA[[#This Row],[ID]]="","",COUNTIF(NOTA[ID_H],NOTA[[#This Row],[ID_H]]))</f>
        <v/>
      </c>
      <c r="AK146" s="27">
        <f ca="1">IF(NOTA[[#This Row],[TGL.NOTA]]="",IF(NOTA[[#This Row],[SUPPLIER_H]]="","",AK145),MONTH(NOTA[[#This Row],[TGL.NOTA]]))</f>
        <v>5</v>
      </c>
      <c r="AL146" s="27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M1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N1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O1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27" t="str">
        <f>IF(NOTA[[#This Row],[CONCAT4]]="","",_xlfn.IFNA(MATCH(NOTA[[#This Row],[CONCAT4]],[2]!RAW[CONCAT_H],0),FALSE))</f>
        <v/>
      </c>
      <c r="AQ146" s="145">
        <f>IF(NOTA[[#This Row],[CONCAT1]]="","",MATCH(NOTA[[#This Row],[CONCAT1]],[3]!db[NB NOTA_C],0)+1)</f>
        <v>1009</v>
      </c>
    </row>
    <row r="147" spans="1:43" ht="20.100000000000001" customHeight="1" x14ac:dyDescent="0.25">
      <c r="A14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67" t="str">
        <f>IF(NOTA[[#This Row],[ID_P]]="","",MATCH(NOTA[[#This Row],[ID_P]],[1]!B_MSK[N_ID],0))</f>
        <v/>
      </c>
      <c r="D147" s="67">
        <f ca="1">IF(NOTA[[#This Row],[NAMA BARANG]]="","",INDEX(NOTA[ID],MATCH(,INDIRECT(ADDRESS(ROW(NOTA[ID]),COLUMN(NOTA[ID]))&amp;":"&amp;ADDRESS(ROW(),COLUMN(NOTA[ID]))),-1)))</f>
        <v>25</v>
      </c>
      <c r="E147" s="68"/>
      <c r="F147" s="70"/>
      <c r="G147" s="70"/>
      <c r="H147" s="78"/>
      <c r="J147" s="69"/>
      <c r="K147" s="70"/>
      <c r="L147" s="27" t="s">
        <v>297</v>
      </c>
      <c r="M147" s="71">
        <v>6</v>
      </c>
      <c r="N147" s="70">
        <v>4608</v>
      </c>
      <c r="O147" s="27" t="s">
        <v>160</v>
      </c>
      <c r="P147" s="72">
        <v>2100</v>
      </c>
      <c r="Q147" s="73"/>
      <c r="R147" s="42" t="s">
        <v>298</v>
      </c>
      <c r="S147" s="74">
        <v>0.125</v>
      </c>
      <c r="T147" s="75">
        <v>0.05</v>
      </c>
      <c r="U147" s="76"/>
      <c r="V147" s="77"/>
      <c r="W147" s="62">
        <f>IF(NOTA[[#This Row],[HARGA/ CTN]]="",NOTA[[#This Row],[JUMLAH_H]],NOTA[[#This Row],[HARGA/ CTN]]*IF(NOTA[[#This Row],[C]]="",0,NOTA[[#This Row],[C]]))</f>
        <v>9676800</v>
      </c>
      <c r="X147" s="62">
        <f>IF(NOTA[[#This Row],[JUMLAH]]="","",NOTA[[#This Row],[JUMLAH]]*NOTA[[#This Row],[DISC 1]])</f>
        <v>1209600</v>
      </c>
      <c r="Y147" s="62">
        <f>IF(NOTA[[#This Row],[JUMLAH]]="","",(NOTA[[#This Row],[JUMLAH]]-NOTA[[#This Row],[DISC 1-]])*NOTA[[#This Row],[DISC 2]])</f>
        <v>423360</v>
      </c>
      <c r="Z147" s="62">
        <f>IF(NOTA[[#This Row],[JUMLAH]]="","",NOTA[[#This Row],[DISC 1-]]+NOTA[[#This Row],[DISC 2-]])</f>
        <v>1632960</v>
      </c>
      <c r="AA147" s="62">
        <f>IF(NOTA[[#This Row],[JUMLAH]]="","",NOTA[[#This Row],[JUMLAH]]-NOTA[[#This Row],[DISC]])</f>
        <v>8043840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47" s="62">
        <f>IF(OR(NOTA[[#This Row],[QTY]]="",NOTA[[#This Row],[HARGA SATUAN]]="",),"",NOTA[[#This Row],[QTY]]*NOTA[[#This Row],[HARGA SATUAN]])</f>
        <v>9676800</v>
      </c>
      <c r="AG147" s="56">
        <f ca="1">IF(NOTA[ID_H]="","",INDEX(NOTA[TANGGAL],MATCH(,INDIRECT(ADDRESS(ROW(NOTA[TANGGAL]),COLUMN(NOTA[TANGGAL]))&amp;":"&amp;ADDRESS(ROW(),COLUMN(NOTA[TANGGAL]))),-1)))</f>
        <v>45055</v>
      </c>
      <c r="AH147" s="59" t="str">
        <f ca="1">IF(NOTA[[#This Row],[NAMA BARANG]]="","",INDEX(NOTA[SUPPLIER],MATCH(,INDIRECT(ADDRESS(ROW(NOTA[ID]),COLUMN(NOTA[ID]))&amp;":"&amp;ADDRESS(ROW(),COLUMN(NOTA[ID]))),-1)))</f>
        <v>ATALI MAKMUR</v>
      </c>
      <c r="AI147" s="59" t="str">
        <f ca="1">IF(NOTA[[#This Row],[ID_H]]="","",IF(NOTA[[#This Row],[FAKTUR]]="",INDIRECT(ADDRESS(ROW()-1,COLUMN())),NOTA[[#This Row],[FAKTUR]]))</f>
        <v>ARTO MORO</v>
      </c>
      <c r="AJ147" s="27" t="str">
        <f ca="1">IF(NOTA[[#This Row],[ID]]="","",COUNTIF(NOTA[ID_H],NOTA[[#This Row],[ID_H]]))</f>
        <v/>
      </c>
      <c r="AK147" s="27">
        <f ca="1">IF(NOTA[[#This Row],[TGL.NOTA]]="",IF(NOTA[[#This Row],[SUPPLIER_H]]="","",AK146),MONTH(NOTA[[#This Row],[TGL.NOTA]]))</f>
        <v>5</v>
      </c>
      <c r="AL147" s="27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7" s="27" t="str">
        <f>IF(NOTA[[#This Row],[CONCAT4]]="","",_xlfn.IFNA(MATCH(NOTA[[#This Row],[CONCAT4]],[2]!RAW[CONCAT_H],0),FALSE))</f>
        <v/>
      </c>
      <c r="AQ147" s="145">
        <f>IF(NOTA[[#This Row],[CONCAT1]]="","",MATCH(NOTA[[#This Row],[CONCAT1]],[3]!db[NB NOTA_C],0)+1)</f>
        <v>1005</v>
      </c>
    </row>
    <row r="148" spans="1:43" ht="20.100000000000001" customHeight="1" x14ac:dyDescent="0.25">
      <c r="A14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67" t="str">
        <f>IF(NOTA[[#This Row],[ID_P]]="","",MATCH(NOTA[[#This Row],[ID_P]],[1]!B_MSK[N_ID],0))</f>
        <v/>
      </c>
      <c r="D148" s="67">
        <f ca="1">IF(NOTA[[#This Row],[NAMA BARANG]]="","",INDEX(NOTA[ID],MATCH(,INDIRECT(ADDRESS(ROW(NOTA[ID]),COLUMN(NOTA[ID]))&amp;":"&amp;ADDRESS(ROW(),COLUMN(NOTA[ID]))),-1)))</f>
        <v>25</v>
      </c>
      <c r="E148" s="68"/>
      <c r="H148" s="54"/>
      <c r="J148" s="69"/>
      <c r="K148" s="70"/>
      <c r="L148" s="27" t="s">
        <v>285</v>
      </c>
      <c r="M148" s="71"/>
      <c r="N148" s="70">
        <v>14</v>
      </c>
      <c r="O148" s="27" t="s">
        <v>160</v>
      </c>
      <c r="P148" s="72">
        <v>40000</v>
      </c>
      <c r="Q148" s="73"/>
      <c r="R148" s="42"/>
      <c r="S148" s="74"/>
      <c r="T148" s="75"/>
      <c r="U148" s="76">
        <v>695432</v>
      </c>
      <c r="V148" s="77"/>
      <c r="W148" s="62">
        <f>IF(NOTA[[#This Row],[HARGA/ CTN]]="",NOTA[[#This Row],[JUMLAH_H]],NOTA[[#This Row],[HARGA/ CTN]]*IF(NOTA[[#This Row],[C]]="",0,NOTA[[#This Row],[C]]))</f>
        <v>560000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560000</v>
      </c>
      <c r="AB148" s="62"/>
      <c r="AC14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6665757.5</v>
      </c>
      <c r="AD14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29296242.5</v>
      </c>
      <c r="AE148" s="59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F148" s="62">
        <f>IF(OR(NOTA[[#This Row],[QTY]]="",NOTA[[#This Row],[HARGA SATUAN]]="",),"",NOTA[[#This Row],[QTY]]*NOTA[[#This Row],[HARGA SATUAN]])</f>
        <v>560000</v>
      </c>
      <c r="AG148" s="56">
        <f ca="1">IF(NOTA[ID_H]="","",INDEX(NOTA[TANGGAL],MATCH(,INDIRECT(ADDRESS(ROW(NOTA[TANGGAL]),COLUMN(NOTA[TANGGAL]))&amp;":"&amp;ADDRESS(ROW(),COLUMN(NOTA[TANGGAL]))),-1)))</f>
        <v>45055</v>
      </c>
      <c r="AH148" s="59" t="str">
        <f ca="1">IF(NOTA[[#This Row],[NAMA BARANG]]="","",INDEX(NOTA[SUPPLIER],MATCH(,INDIRECT(ADDRESS(ROW(NOTA[ID]),COLUMN(NOTA[ID]))&amp;":"&amp;ADDRESS(ROW(),COLUMN(NOTA[ID]))),-1)))</f>
        <v>ATALI MAKMUR</v>
      </c>
      <c r="AI148" s="59" t="str">
        <f ca="1">IF(NOTA[[#This Row],[ID_H]]="","",IF(NOTA[[#This Row],[FAKTUR]]="",INDIRECT(ADDRESS(ROW()-1,COLUMN())),NOTA[[#This Row],[FAKTUR]]))</f>
        <v>ARTO MORO</v>
      </c>
      <c r="AJ148" s="27" t="str">
        <f ca="1">IF(NOTA[[#This Row],[ID]]="","",COUNTIF(NOTA[ID_H],NOTA[[#This Row],[ID_H]]))</f>
        <v/>
      </c>
      <c r="AK148" s="27">
        <f ca="1">IF(NOTA[[#This Row],[TGL.NOTA]]="",IF(NOTA[[#This Row],[SUPPLIER_H]]="","",AK147),MONTH(NOTA[[#This Row],[TGL.NOTA]]))</f>
        <v>5</v>
      </c>
      <c r="AL14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kaosjoykobonus560000</v>
      </c>
      <c r="AN1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27" t="str">
        <f>IF(NOTA[[#This Row],[CONCAT4]]="","",_xlfn.IFNA(MATCH(NOTA[[#This Row],[CONCAT4]],[2]!RAW[CONCAT_H],0),FALSE))</f>
        <v/>
      </c>
      <c r="AQ148" s="145">
        <f>IF(NOTA[[#This Row],[CONCAT1]]="","",MATCH(NOTA[[#This Row],[CONCAT1]],[3]!db[NB NOTA_C],0)+1)</f>
        <v>1109</v>
      </c>
    </row>
    <row r="149" spans="1:43" ht="20.100000000000001" customHeight="1" x14ac:dyDescent="0.25">
      <c r="A14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67" t="str">
        <f>IF(NOTA[[#This Row],[ID_P]]="","",MATCH(NOTA[[#This Row],[ID_P]],[1]!B_MSK[N_ID],0))</f>
        <v/>
      </c>
      <c r="D149" s="67" t="str">
        <f ca="1">IF(NOTA[[#This Row],[NAMA BARANG]]="","",INDEX(NOTA[ID],MATCH(,INDIRECT(ADDRESS(ROW(NOTA[ID]),COLUMN(NOTA[ID]))&amp;":"&amp;ADDRESS(ROW(),COLUMN(NOTA[ID]))),-1)))</f>
        <v/>
      </c>
      <c r="E149" s="68"/>
      <c r="F149" s="70"/>
      <c r="G149" s="70"/>
      <c r="H149" s="78"/>
      <c r="J149" s="69"/>
      <c r="K149" s="70"/>
      <c r="M149" s="71"/>
      <c r="N149" s="70"/>
      <c r="P149" s="72"/>
      <c r="Q149" s="73"/>
      <c r="R149" s="42"/>
      <c r="S149" s="74"/>
      <c r="T149" s="75"/>
      <c r="U149" s="76"/>
      <c r="V149" s="77"/>
      <c r="W149" s="62" t="str">
        <f>IF(NOTA[[#This Row],[HARGA/ CTN]]="",NOTA[[#This Row],[JUMLAH_H]],NOTA[[#This Row],[HARGA/ CTN]]*IF(NOTA[[#This Row],[C]]="",0,NOTA[[#This Row],[C]]))</f>
        <v/>
      </c>
      <c r="X149" s="62" t="str">
        <f>IF(NOTA[[#This Row],[JUMLAH]]="","",NOTA[[#This Row],[JUMLAH]]*NOTA[[#This Row],[DISC 1]])</f>
        <v/>
      </c>
      <c r="Y149" s="62" t="str">
        <f>IF(NOTA[[#This Row],[JUMLAH]]="","",(NOTA[[#This Row],[JUMLAH]]-NOTA[[#This Row],[DISC 1-]])*NOTA[[#This Row],[DISC 2]])</f>
        <v/>
      </c>
      <c r="Z149" s="62" t="str">
        <f>IF(NOTA[[#This Row],[JUMLAH]]="","",NOTA[[#This Row],[DISC 1-]]+NOTA[[#This Row],[DISC 2-]])</f>
        <v/>
      </c>
      <c r="AA149" s="62" t="str">
        <f>IF(NOTA[[#This Row],[JUMLAH]]="","",NOTA[[#This Row],[JUMLAH]]-NOTA[[#This Row],[DISC]])</f>
        <v/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9" s="62" t="str">
        <f>IF(OR(NOTA[[#This Row],[QTY]]="",NOTA[[#This Row],[HARGA SATUAN]]="",),"",NOTA[[#This Row],[QTY]]*NOTA[[#This Row],[HARGA SATUAN]])</f>
        <v/>
      </c>
      <c r="AG149" s="56" t="str">
        <f ca="1">IF(NOTA[ID_H]="","",INDEX(NOTA[TANGGAL],MATCH(,INDIRECT(ADDRESS(ROW(NOTA[TANGGAL]),COLUMN(NOTA[TANGGAL]))&amp;":"&amp;ADDRESS(ROW(),COLUMN(NOTA[TANGGAL]))),-1)))</f>
        <v/>
      </c>
      <c r="AH149" s="59" t="str">
        <f ca="1">IF(NOTA[[#This Row],[NAMA BARANG]]="","",INDEX(NOTA[SUPPLIER],MATCH(,INDIRECT(ADDRESS(ROW(NOTA[ID]),COLUMN(NOTA[ID]))&amp;":"&amp;ADDRESS(ROW(),COLUMN(NOTA[ID]))),-1)))</f>
        <v/>
      </c>
      <c r="AI149" s="59" t="str">
        <f ca="1">IF(NOTA[[#This Row],[ID_H]]="","",IF(NOTA[[#This Row],[FAKTUR]]="",INDIRECT(ADDRESS(ROW()-1,COLUMN())),NOTA[[#This Row],[FAKTUR]]))</f>
        <v/>
      </c>
      <c r="AJ149" s="27" t="str">
        <f ca="1">IF(NOTA[[#This Row],[ID]]="","",COUNTIF(NOTA[ID_H],NOTA[[#This Row],[ID_H]]))</f>
        <v/>
      </c>
      <c r="AK149" s="27" t="str">
        <f ca="1">IF(NOTA[[#This Row],[TGL.NOTA]]="",IF(NOTA[[#This Row],[SUPPLIER_H]]="","",AK148),MONTH(NOTA[[#This Row],[TGL.NOTA]]))</f>
        <v/>
      </c>
      <c r="AL149" s="27" t="str">
        <f>LOWER(SUBSTITUTE(SUBSTITUTE(SUBSTITUTE(SUBSTITUTE(SUBSTITUTE(SUBSTITUTE(SUBSTITUTE(SUBSTITUTE(SUBSTITUTE(NOTA[NAMA BARANG]," ",),".",""),"-",""),"(",""),")",""),",",""),"/",""),"""",""),"+",""))</f>
        <v/>
      </c>
      <c r="AM1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27" t="str">
        <f>IF(NOTA[[#This Row],[CONCAT4]]="","",_xlfn.IFNA(MATCH(NOTA[[#This Row],[CONCAT4]],[2]!RAW[CONCAT_H],0),FALSE))</f>
        <v/>
      </c>
      <c r="AQ149" s="145" t="str">
        <f>IF(NOTA[[#This Row],[CONCAT1]]="","",MATCH(NOTA[[#This Row],[CONCAT1]],[3]!db[NB NOTA_C],0)+1)</f>
        <v/>
      </c>
    </row>
    <row r="150" spans="1:43" ht="20.100000000000001" customHeight="1" x14ac:dyDescent="0.25">
      <c r="A150" s="59">
        <f ca="1">IF(INDIRECT(ADDRESS(ROW()-1,COLUMN(NOTA[[#Headers],[ID]])))="ID",1,IF(NOTA[[#This Row],[FAKTUR]]="","",COUNT(INDIRECT(ADDRESS(ROW(NOTA[ID]),COLUMN(NOTA[ID]))&amp;":"&amp;ADDRESS(ROW()-1,COLUMN(NOTA[ID]))))+1))</f>
        <v>26</v>
      </c>
      <c r="B15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ATA_0905_793-9</v>
      </c>
      <c r="C150" s="67" t="e">
        <f ca="1">IF(NOTA[[#This Row],[ID_P]]="","",MATCH(NOTA[[#This Row],[ID_P]],[1]!B_MSK[N_ID],0))</f>
        <v>#REF!</v>
      </c>
      <c r="D150" s="67">
        <f ca="1">IF(NOTA[[#This Row],[NAMA BARANG]]="","",INDEX(NOTA[ID],MATCH(,INDIRECT(ADDRESS(ROW(NOTA[ID]),COLUMN(NOTA[ID]))&amp;":"&amp;ADDRESS(ROW(),COLUMN(NOTA[ID]))),-1)))</f>
        <v>26</v>
      </c>
      <c r="E150" s="68"/>
      <c r="F150" s="27" t="s">
        <v>25</v>
      </c>
      <c r="G150" s="27" t="s">
        <v>24</v>
      </c>
      <c r="H150" s="54" t="s">
        <v>300</v>
      </c>
      <c r="J150" s="69">
        <v>45050</v>
      </c>
      <c r="K150" s="70"/>
      <c r="L150" s="27" t="s">
        <v>301</v>
      </c>
      <c r="M150" s="71">
        <v>6</v>
      </c>
      <c r="N150" s="70">
        <v>300</v>
      </c>
      <c r="O150" s="27" t="s">
        <v>262</v>
      </c>
      <c r="P150" s="72">
        <v>28300</v>
      </c>
      <c r="Q150" s="73"/>
      <c r="R150" s="42" t="s">
        <v>302</v>
      </c>
      <c r="S150" s="74">
        <v>0.125</v>
      </c>
      <c r="T150" s="75">
        <v>0.05</v>
      </c>
      <c r="U150" s="76"/>
      <c r="V150" s="77"/>
      <c r="W150" s="62">
        <f>IF(NOTA[[#This Row],[HARGA/ CTN]]="",NOTA[[#This Row],[JUMLAH_H]],NOTA[[#This Row],[HARGA/ CTN]]*IF(NOTA[[#This Row],[C]]="",0,NOTA[[#This Row],[C]]))</f>
        <v>8490000</v>
      </c>
      <c r="X150" s="62">
        <f>IF(NOTA[[#This Row],[JUMLAH]]="","",NOTA[[#This Row],[JUMLAH]]*NOTA[[#This Row],[DISC 1]])</f>
        <v>1061250</v>
      </c>
      <c r="Y150" s="62">
        <f>IF(NOTA[[#This Row],[JUMLAH]]="","",(NOTA[[#This Row],[JUMLAH]]-NOTA[[#This Row],[DISC 1-]])*NOTA[[#This Row],[DISC 2]])</f>
        <v>371437.5</v>
      </c>
      <c r="Z150" s="62">
        <f>IF(NOTA[[#This Row],[JUMLAH]]="","",NOTA[[#This Row],[DISC 1-]]+NOTA[[#This Row],[DISC 2-]])</f>
        <v>1432687.5</v>
      </c>
      <c r="AA150" s="62">
        <f>IF(NOTA[[#This Row],[JUMLAH]]="","",NOTA[[#This Row],[JUMLAH]]-NOTA[[#This Row],[DISC]])</f>
        <v>7057312.5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0" s="62">
        <f>IF(OR(NOTA[[#This Row],[QTY]]="",NOTA[[#This Row],[HARGA SATUAN]]="",),"",NOTA[[#This Row],[QTY]]*NOTA[[#This Row],[HARGA SATUAN]])</f>
        <v>8490000</v>
      </c>
      <c r="AG150" s="56">
        <f ca="1">IF(NOTA[ID_H]="","",INDEX(NOTA[TANGGAL],MATCH(,INDIRECT(ADDRESS(ROW(NOTA[TANGGAL]),COLUMN(NOTA[TANGGAL]))&amp;":"&amp;ADDRESS(ROW(),COLUMN(NOTA[TANGGAL]))),-1)))</f>
        <v>45055</v>
      </c>
      <c r="AH150" s="59" t="str">
        <f ca="1">IF(NOTA[[#This Row],[NAMA BARANG]]="","",INDEX(NOTA[SUPPLIER],MATCH(,INDIRECT(ADDRESS(ROW(NOTA[ID]),COLUMN(NOTA[ID]))&amp;":"&amp;ADDRESS(ROW(),COLUMN(NOTA[ID]))),-1)))</f>
        <v>ATALI MAKMUR</v>
      </c>
      <c r="AI150" s="59" t="str">
        <f ca="1">IF(NOTA[[#This Row],[ID_H]]="","",IF(NOTA[[#This Row],[FAKTUR]]="",INDIRECT(ADDRESS(ROW()-1,COLUMN())),NOTA[[#This Row],[FAKTUR]]))</f>
        <v>ARTO MORO</v>
      </c>
      <c r="AJ150" s="27">
        <f ca="1">IF(NOTA[[#This Row],[ID]]="","",COUNTIF(NOTA[ID_H],NOTA[[#This Row],[ID_H]]))</f>
        <v>9</v>
      </c>
      <c r="AK150" s="27">
        <f>IF(NOTA[[#This Row],[TGL.NOTA]]="",IF(NOTA[[#This Row],[SUPPLIER_H]]="","",AK149),MONTH(NOTA[[#This Row],[TGL.NOTA]]))</f>
        <v>5</v>
      </c>
      <c r="AL150" s="27" t="str">
        <f>LOWER(SUBSTITUTE(SUBSTITUTE(SUBSTITUTE(SUBSTITUTE(SUBSTITUTE(SUBSTITUTE(SUBSTITUTE(SUBSTITUTE(SUBSTITUTE(NOTA[NAMA BARANG]," ",),".",""),"-",""),"(",""),")",""),",",""),"/",""),"""",""),"+",""))</f>
        <v>eraser526b40bljk</v>
      </c>
      <c r="AM1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5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MOROSA23050679345050eraser526b40bljk</v>
      </c>
      <c r="AP150" s="27" t="e">
        <f>IF(NOTA[[#This Row],[CONCAT4]]="","",_xlfn.IFNA(MATCH(NOTA[[#This Row],[CONCAT4]],[2]!RAW[CONCAT_H],0),FALSE))</f>
        <v>#REF!</v>
      </c>
      <c r="AQ150" s="145">
        <f>IF(NOTA[[#This Row],[CONCAT1]]="","",MATCH(NOTA[[#This Row],[CONCAT1]],[3]!db[NB NOTA_C],0)+1)</f>
        <v>743</v>
      </c>
    </row>
    <row r="151" spans="1:43" ht="20.100000000000001" customHeight="1" x14ac:dyDescent="0.25">
      <c r="A15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67" t="str">
        <f>IF(NOTA[[#This Row],[ID_P]]="","",MATCH(NOTA[[#This Row],[ID_P]],[1]!B_MSK[N_ID],0))</f>
        <v/>
      </c>
      <c r="D151" s="67">
        <f ca="1">IF(NOTA[[#This Row],[NAMA BARANG]]="","",INDEX(NOTA[ID],MATCH(,INDIRECT(ADDRESS(ROW(NOTA[ID]),COLUMN(NOTA[ID]))&amp;":"&amp;ADDRESS(ROW(),COLUMN(NOTA[ID]))),-1)))</f>
        <v>26</v>
      </c>
      <c r="E151" s="68"/>
      <c r="H151" s="27"/>
      <c r="I151" s="70"/>
      <c r="J151" s="69"/>
      <c r="K151" s="70"/>
      <c r="L151" s="27" t="s">
        <v>303</v>
      </c>
      <c r="M151" s="71">
        <v>10</v>
      </c>
      <c r="N151" s="70">
        <v>500</v>
      </c>
      <c r="O151" s="27" t="s">
        <v>262</v>
      </c>
      <c r="P151" s="72">
        <v>28300</v>
      </c>
      <c r="Q151" s="73"/>
      <c r="R151" s="42" t="s">
        <v>302</v>
      </c>
      <c r="S151" s="74">
        <v>0.125</v>
      </c>
      <c r="T151" s="75">
        <v>0.05</v>
      </c>
      <c r="U151" s="76"/>
      <c r="V151" s="77"/>
      <c r="W151" s="62">
        <f>IF(NOTA[[#This Row],[HARGA/ CTN]]="",NOTA[[#This Row],[JUMLAH_H]],NOTA[[#This Row],[HARGA/ CTN]]*IF(NOTA[[#This Row],[C]]="",0,NOTA[[#This Row],[C]]))</f>
        <v>14150000</v>
      </c>
      <c r="X151" s="62">
        <f>IF(NOTA[[#This Row],[JUMLAH]]="","",NOTA[[#This Row],[JUMLAH]]*NOTA[[#This Row],[DISC 1]])</f>
        <v>1768750</v>
      </c>
      <c r="Y151" s="62">
        <f>IF(NOTA[[#This Row],[JUMLAH]]="","",(NOTA[[#This Row],[JUMLAH]]-NOTA[[#This Row],[DISC 1-]])*NOTA[[#This Row],[DISC 2]])</f>
        <v>619062.5</v>
      </c>
      <c r="Z151" s="62">
        <f>IF(NOTA[[#This Row],[JUMLAH]]="","",NOTA[[#This Row],[DISC 1-]]+NOTA[[#This Row],[DISC 2-]])</f>
        <v>2387812.5</v>
      </c>
      <c r="AA151" s="62">
        <f>IF(NOTA[[#This Row],[JUMLAH]]="","",NOTA[[#This Row],[JUMLAH]]-NOTA[[#This Row],[DISC]])</f>
        <v>11762187.5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51" s="62">
        <f>IF(OR(NOTA[[#This Row],[QTY]]="",NOTA[[#This Row],[HARGA SATUAN]]="",),"",NOTA[[#This Row],[QTY]]*NOTA[[#This Row],[HARGA SATUAN]])</f>
        <v>14150000</v>
      </c>
      <c r="AG151" s="56">
        <f ca="1">IF(NOTA[ID_H]="","",INDEX(NOTA[TANGGAL],MATCH(,INDIRECT(ADDRESS(ROW(NOTA[TANGGAL]),COLUMN(NOTA[TANGGAL]))&amp;":"&amp;ADDRESS(ROW(),COLUMN(NOTA[TANGGAL]))),-1)))</f>
        <v>45055</v>
      </c>
      <c r="AH151" s="59" t="str">
        <f ca="1">IF(NOTA[[#This Row],[NAMA BARANG]]="","",INDEX(NOTA[SUPPLIER],MATCH(,INDIRECT(ADDRESS(ROW(NOTA[ID]),COLUMN(NOTA[ID]))&amp;":"&amp;ADDRESS(ROW(),COLUMN(NOTA[ID]))),-1)))</f>
        <v>ATALI MAKMUR</v>
      </c>
      <c r="AI151" s="59" t="str">
        <f ca="1">IF(NOTA[[#This Row],[ID_H]]="","",IF(NOTA[[#This Row],[FAKTUR]]="",INDIRECT(ADDRESS(ROW()-1,COLUMN())),NOTA[[#This Row],[FAKTUR]]))</f>
        <v>ARTO MORO</v>
      </c>
      <c r="AJ151" s="27" t="str">
        <f ca="1">IF(NOTA[[#This Row],[ID]]="","",COUNTIF(NOTA[ID_H],NOTA[[#This Row],[ID_H]]))</f>
        <v/>
      </c>
      <c r="AK151" s="27">
        <f ca="1">IF(NOTA[[#This Row],[TGL.NOTA]]="",IF(NOTA[[#This Row],[SUPPLIER_H]]="","",AK150),MONTH(NOTA[[#This Row],[TGL.NOTA]]))</f>
        <v>5</v>
      </c>
      <c r="AL151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1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1" s="27" t="str">
        <f>IF(NOTA[[#This Row],[CONCAT4]]="","",_xlfn.IFNA(MATCH(NOTA[[#This Row],[CONCAT4]],[2]!RAW[CONCAT_H],0),FALSE))</f>
        <v/>
      </c>
      <c r="AQ151" s="145">
        <f>IF(NOTA[[#This Row],[CONCAT1]]="","",MATCH(NOTA[[#This Row],[CONCAT1]],[3]!db[NB NOTA_C],0)+1)</f>
        <v>745</v>
      </c>
    </row>
    <row r="152" spans="1:43" ht="20.100000000000001" customHeight="1" x14ac:dyDescent="0.25">
      <c r="A15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67" t="str">
        <f>IF(NOTA[[#This Row],[ID_P]]="","",MATCH(NOTA[[#This Row],[ID_P]],[1]!B_MSK[N_ID],0))</f>
        <v/>
      </c>
      <c r="D152" s="67">
        <f ca="1">IF(NOTA[[#This Row],[NAMA BARANG]]="","",INDEX(NOTA[ID],MATCH(,INDIRECT(ADDRESS(ROW(NOTA[ID]),COLUMN(NOTA[ID]))&amp;":"&amp;ADDRESS(ROW(),COLUMN(NOTA[ID]))),-1)))</f>
        <v>26</v>
      </c>
      <c r="E152" s="68"/>
      <c r="H152" s="54"/>
      <c r="I152" s="70"/>
      <c r="J152" s="69"/>
      <c r="K152" s="70"/>
      <c r="L152" s="27" t="s">
        <v>304</v>
      </c>
      <c r="M152" s="71">
        <v>3</v>
      </c>
      <c r="N152" s="70">
        <v>150</v>
      </c>
      <c r="O152" s="27" t="s">
        <v>262</v>
      </c>
      <c r="P152" s="72">
        <v>28600</v>
      </c>
      <c r="Q152" s="73"/>
      <c r="R152" s="42" t="s">
        <v>302</v>
      </c>
      <c r="S152" s="74">
        <v>0.125</v>
      </c>
      <c r="T152" s="75">
        <v>0.05</v>
      </c>
      <c r="U152" s="76"/>
      <c r="V152" s="77"/>
      <c r="W152" s="62">
        <f>IF(NOTA[[#This Row],[HARGA/ CTN]]="",NOTA[[#This Row],[JUMLAH_H]],NOTA[[#This Row],[HARGA/ CTN]]*IF(NOTA[[#This Row],[C]]="",0,NOTA[[#This Row],[C]]))</f>
        <v>4290000</v>
      </c>
      <c r="X152" s="62">
        <f>IF(NOTA[[#This Row],[JUMLAH]]="","",NOTA[[#This Row],[JUMLAH]]*NOTA[[#This Row],[DISC 1]])</f>
        <v>536250</v>
      </c>
      <c r="Y152" s="62">
        <f>IF(NOTA[[#This Row],[JUMLAH]]="","",(NOTA[[#This Row],[JUMLAH]]-NOTA[[#This Row],[DISC 1-]])*NOTA[[#This Row],[DISC 2]])</f>
        <v>187687.5</v>
      </c>
      <c r="Z152" s="62">
        <f>IF(NOTA[[#This Row],[JUMLAH]]="","",NOTA[[#This Row],[DISC 1-]]+NOTA[[#This Row],[DISC 2-]])</f>
        <v>723937.5</v>
      </c>
      <c r="AA152" s="62">
        <f>IF(NOTA[[#This Row],[JUMLAH]]="","",NOTA[[#This Row],[JUMLAH]]-NOTA[[#This Row],[DISC]])</f>
        <v>3566062.5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9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F152" s="62">
        <f>IF(OR(NOTA[[#This Row],[QTY]]="",NOTA[[#This Row],[HARGA SATUAN]]="",),"",NOTA[[#This Row],[QTY]]*NOTA[[#This Row],[HARGA SATUAN]])</f>
        <v>4290000</v>
      </c>
      <c r="AG152" s="56">
        <f ca="1">IF(NOTA[ID_H]="","",INDEX(NOTA[TANGGAL],MATCH(,INDIRECT(ADDRESS(ROW(NOTA[TANGGAL]),COLUMN(NOTA[TANGGAL]))&amp;":"&amp;ADDRESS(ROW(),COLUMN(NOTA[TANGGAL]))),-1)))</f>
        <v>45055</v>
      </c>
      <c r="AH152" s="59" t="str">
        <f ca="1">IF(NOTA[[#This Row],[NAMA BARANG]]="","",INDEX(NOTA[SUPPLIER],MATCH(,INDIRECT(ADDRESS(ROW(NOTA[ID]),COLUMN(NOTA[ID]))&amp;":"&amp;ADDRESS(ROW(),COLUMN(NOTA[ID]))),-1)))</f>
        <v>ATALI MAKMUR</v>
      </c>
      <c r="AI152" s="59" t="str">
        <f ca="1">IF(NOTA[[#This Row],[ID_H]]="","",IF(NOTA[[#This Row],[FAKTUR]]="",INDIRECT(ADDRESS(ROW()-1,COLUMN())),NOTA[[#This Row],[FAKTUR]]))</f>
        <v>ARTO MORO</v>
      </c>
      <c r="AJ152" s="27" t="str">
        <f ca="1">IF(NOTA[[#This Row],[ID]]="","",COUNTIF(NOTA[ID_H],NOTA[[#This Row],[ID_H]]))</f>
        <v/>
      </c>
      <c r="AK152" s="27">
        <f ca="1">IF(NOTA[[#This Row],[TGL.NOTA]]="",IF(NOTA[[#This Row],[SUPPLIER_H]]="","",AK151),MONTH(NOTA[[#This Row],[TGL.NOTA]]))</f>
        <v>5</v>
      </c>
      <c r="AL152" s="27" t="str">
        <f>LOWER(SUBSTITUTE(SUBSTITUTE(SUBSTITUTE(SUBSTITUTE(SUBSTITUTE(SUBSTITUTE(SUBSTITUTE(SUBSTITUTE(SUBSTITUTE(NOTA[NAMA BARANG]," ",),".",""),"-",""),"(",""),")",""),",",""),"/",""),"""",""),"+",""))</f>
        <v>eraser526b40cojk</v>
      </c>
      <c r="AM1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N1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O1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27" t="str">
        <f>IF(NOTA[[#This Row],[CONCAT4]]="","",_xlfn.IFNA(MATCH(NOTA[[#This Row],[CONCAT4]],[2]!RAW[CONCAT_H],0),FALSE))</f>
        <v/>
      </c>
      <c r="AQ152" s="145">
        <f>IF(NOTA[[#This Row],[CONCAT1]]="","",MATCH(NOTA[[#This Row],[CONCAT1]],[3]!db[NB NOTA_C],0)+1)</f>
        <v>744</v>
      </c>
    </row>
    <row r="153" spans="1:43" ht="20.100000000000001" customHeight="1" x14ac:dyDescent="0.25">
      <c r="A15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67" t="str">
        <f>IF(NOTA[[#This Row],[ID_P]]="","",MATCH(NOTA[[#This Row],[ID_P]],[1]!B_MSK[N_ID],0))</f>
        <v/>
      </c>
      <c r="D153" s="67">
        <f ca="1">IF(NOTA[[#This Row],[NAMA BARANG]]="","",INDEX(NOTA[ID],MATCH(,INDIRECT(ADDRESS(ROW(NOTA[ID]),COLUMN(NOTA[ID]))&amp;":"&amp;ADDRESS(ROW(),COLUMN(NOTA[ID]))),-1)))</f>
        <v>26</v>
      </c>
      <c r="E153" s="68"/>
      <c r="H153" s="54"/>
      <c r="K153" s="69"/>
      <c r="L153" s="27" t="s">
        <v>305</v>
      </c>
      <c r="M153" s="71">
        <v>5</v>
      </c>
      <c r="N153" s="70">
        <v>250</v>
      </c>
      <c r="O153" s="27" t="s">
        <v>262</v>
      </c>
      <c r="P153" s="72">
        <v>34100</v>
      </c>
      <c r="Q153" s="73"/>
      <c r="R153" s="42" t="s">
        <v>307</v>
      </c>
      <c r="S153" s="74">
        <v>0.125</v>
      </c>
      <c r="T153" s="75">
        <v>0.05</v>
      </c>
      <c r="U153" s="76"/>
      <c r="V153" s="77"/>
      <c r="W153" s="62">
        <f>IF(NOTA[[#This Row],[HARGA/ CTN]]="",NOTA[[#This Row],[JUMLAH_H]],NOTA[[#This Row],[HARGA/ CTN]]*IF(NOTA[[#This Row],[C]]="",0,NOTA[[#This Row],[C]]))</f>
        <v>8525000</v>
      </c>
      <c r="X153" s="62">
        <f>IF(NOTA[[#This Row],[JUMLAH]]="","",NOTA[[#This Row],[JUMLAH]]*NOTA[[#This Row],[DISC 1]])</f>
        <v>1065625</v>
      </c>
      <c r="Y153" s="62">
        <f>IF(NOTA[[#This Row],[JUMLAH]]="","",(NOTA[[#This Row],[JUMLAH]]-NOTA[[#This Row],[DISC 1-]])*NOTA[[#This Row],[DISC 2]])</f>
        <v>372968.75</v>
      </c>
      <c r="Z153" s="62">
        <f>IF(NOTA[[#This Row],[JUMLAH]]="","",NOTA[[#This Row],[DISC 1-]]+NOTA[[#This Row],[DISC 2-]])</f>
        <v>1438593.75</v>
      </c>
      <c r="AA153" s="62">
        <f>IF(NOTA[[#This Row],[JUMLAH]]="","",NOTA[[#This Row],[JUMLAH]]-NOTA[[#This Row],[DISC]])</f>
        <v>7086406.25</v>
      </c>
      <c r="AB153" s="62"/>
      <c r="AC1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3" s="62">
        <f>IF(OR(NOTA[[#This Row],[QTY]]="",NOTA[[#This Row],[HARGA SATUAN]]="",),"",NOTA[[#This Row],[QTY]]*NOTA[[#This Row],[HARGA SATUAN]])</f>
        <v>8525000</v>
      </c>
      <c r="AG153" s="56">
        <f ca="1">IF(NOTA[ID_H]="","",INDEX(NOTA[TANGGAL],MATCH(,INDIRECT(ADDRESS(ROW(NOTA[TANGGAL]),COLUMN(NOTA[TANGGAL]))&amp;":"&amp;ADDRESS(ROW(),COLUMN(NOTA[TANGGAL]))),-1)))</f>
        <v>45055</v>
      </c>
      <c r="AH153" s="59" t="str">
        <f ca="1">IF(NOTA[[#This Row],[NAMA BARANG]]="","",INDEX(NOTA[SUPPLIER],MATCH(,INDIRECT(ADDRESS(ROW(NOTA[ID]),COLUMN(NOTA[ID]))&amp;":"&amp;ADDRESS(ROW(),COLUMN(NOTA[ID]))),-1)))</f>
        <v>ATALI MAKMUR</v>
      </c>
      <c r="AI153" s="59" t="str">
        <f ca="1">IF(NOTA[[#This Row],[ID_H]]="","",IF(NOTA[[#This Row],[FAKTUR]]="",INDIRECT(ADDRESS(ROW()-1,COLUMN())),NOTA[[#This Row],[FAKTUR]]))</f>
        <v>ARTO MORO</v>
      </c>
      <c r="AJ153" s="27" t="str">
        <f ca="1">IF(NOTA[[#This Row],[ID]]="","",COUNTIF(NOTA[ID_H],NOTA[[#This Row],[ID_H]]))</f>
        <v/>
      </c>
      <c r="AK153" s="27">
        <f ca="1">IF(NOTA[[#This Row],[TGL.NOTA]]="",IF(NOTA[[#This Row],[SUPPLIER_H]]="","",AK152),MONTH(NOTA[[#This Row],[TGL.NOTA]]))</f>
        <v>5</v>
      </c>
      <c r="AL153" s="27" t="str">
        <f>LOWER(SUBSTITUTE(SUBSTITUTE(SUBSTITUTE(SUBSTITUTE(SUBSTITUTE(SUBSTITUTE(SUBSTITUTE(SUBSTITUTE(SUBSTITUTE(NOTA[NAMA BARANG]," ",),".",""),"-",""),"(",""),")",""),",",""),"/",""),"""",""),"+",""))</f>
        <v>erasererb20bljk</v>
      </c>
      <c r="AM1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27" t="str">
        <f>IF(NOTA[[#This Row],[CONCAT4]]="","",_xlfn.IFNA(MATCH(NOTA[[#This Row],[CONCAT4]],[2]!RAW[CONCAT_H],0),FALSE))</f>
        <v/>
      </c>
      <c r="AQ153" s="145">
        <f>IF(NOTA[[#This Row],[CONCAT1]]="","",MATCH(NOTA[[#This Row],[CONCAT1]],[3]!db[NB NOTA_C],0)+1)</f>
        <v>753</v>
      </c>
    </row>
    <row r="154" spans="1:43" ht="20.100000000000001" customHeight="1" x14ac:dyDescent="0.25">
      <c r="A15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67" t="str">
        <f>IF(NOTA[[#This Row],[ID_P]]="","",MATCH(NOTA[[#This Row],[ID_P]],[1]!B_MSK[N_ID],0))</f>
        <v/>
      </c>
      <c r="D154" s="67">
        <f ca="1">IF(NOTA[[#This Row],[NAMA BARANG]]="","",INDEX(NOTA[ID],MATCH(,INDIRECT(ADDRESS(ROW(NOTA[ID]),COLUMN(NOTA[ID]))&amp;":"&amp;ADDRESS(ROW(),COLUMN(NOTA[ID]))),-1)))</f>
        <v>26</v>
      </c>
      <c r="E154" s="68"/>
      <c r="H154" s="54"/>
      <c r="I154" s="70"/>
      <c r="J154" s="69"/>
      <c r="K154" s="70"/>
      <c r="L154" s="27" t="s">
        <v>306</v>
      </c>
      <c r="M154" s="71">
        <v>10</v>
      </c>
      <c r="N154" s="70">
        <v>500</v>
      </c>
      <c r="O154" s="27" t="s">
        <v>262</v>
      </c>
      <c r="P154" s="72">
        <v>34100</v>
      </c>
      <c r="Q154" s="73"/>
      <c r="R154" s="42" t="s">
        <v>307</v>
      </c>
      <c r="S154" s="74">
        <v>0.125</v>
      </c>
      <c r="T154" s="75">
        <v>0.05</v>
      </c>
      <c r="U154" s="76"/>
      <c r="V154" s="77"/>
      <c r="W154" s="62">
        <f>IF(NOTA[[#This Row],[HARGA/ CTN]]="",NOTA[[#This Row],[JUMLAH_H]],NOTA[[#This Row],[HARGA/ CTN]]*IF(NOTA[[#This Row],[C]]="",0,NOTA[[#This Row],[C]]))</f>
        <v>17050000</v>
      </c>
      <c r="X154" s="62">
        <f>IF(NOTA[[#This Row],[JUMLAH]]="","",NOTA[[#This Row],[JUMLAH]]*NOTA[[#This Row],[DISC 1]])</f>
        <v>2131250</v>
      </c>
      <c r="Y154" s="62">
        <f>IF(NOTA[[#This Row],[JUMLAH]]="","",(NOTA[[#This Row],[JUMLAH]]-NOTA[[#This Row],[DISC 1-]])*NOTA[[#This Row],[DISC 2]])</f>
        <v>745937.5</v>
      </c>
      <c r="Z154" s="62">
        <f>IF(NOTA[[#This Row],[JUMLAH]]="","",NOTA[[#This Row],[DISC 1-]]+NOTA[[#This Row],[DISC 2-]])</f>
        <v>2877187.5</v>
      </c>
      <c r="AA154" s="62">
        <f>IF(NOTA[[#This Row],[JUMLAH]]="","",NOTA[[#This Row],[JUMLAH]]-NOTA[[#This Row],[DISC]])</f>
        <v>14172812.5</v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54" s="62">
        <f>IF(OR(NOTA[[#This Row],[QTY]]="",NOTA[[#This Row],[HARGA SATUAN]]="",),"",NOTA[[#This Row],[QTY]]*NOTA[[#This Row],[HARGA SATUAN]])</f>
        <v>17050000</v>
      </c>
      <c r="AG154" s="56">
        <f ca="1">IF(NOTA[ID_H]="","",INDEX(NOTA[TANGGAL],MATCH(,INDIRECT(ADDRESS(ROW(NOTA[TANGGAL]),COLUMN(NOTA[TANGGAL]))&amp;":"&amp;ADDRESS(ROW(),COLUMN(NOTA[TANGGAL]))),-1)))</f>
        <v>45055</v>
      </c>
      <c r="AH154" s="59" t="str">
        <f ca="1">IF(NOTA[[#This Row],[NAMA BARANG]]="","",INDEX(NOTA[SUPPLIER],MATCH(,INDIRECT(ADDRESS(ROW(NOTA[ID]),COLUMN(NOTA[ID]))&amp;":"&amp;ADDRESS(ROW(),COLUMN(NOTA[ID]))),-1)))</f>
        <v>ATALI MAKMUR</v>
      </c>
      <c r="AI154" s="59" t="str">
        <f ca="1">IF(NOTA[[#This Row],[ID_H]]="","",IF(NOTA[[#This Row],[FAKTUR]]="",INDIRECT(ADDRESS(ROW()-1,COLUMN())),NOTA[[#This Row],[FAKTUR]]))</f>
        <v>ARTO MORO</v>
      </c>
      <c r="AJ154" s="27" t="str">
        <f ca="1">IF(NOTA[[#This Row],[ID]]="","",COUNTIF(NOTA[ID_H],NOTA[[#This Row],[ID_H]]))</f>
        <v/>
      </c>
      <c r="AK154" s="27">
        <f ca="1">IF(NOTA[[#This Row],[TGL.NOTA]]="",IF(NOTA[[#This Row],[SUPPLIER_H]]="","",AK153),MONTH(NOTA[[#This Row],[TGL.NOTA]]))</f>
        <v>5</v>
      </c>
      <c r="AL154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1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27" t="str">
        <f>IF(NOTA[[#This Row],[CONCAT4]]="","",_xlfn.IFNA(MATCH(NOTA[[#This Row],[CONCAT4]],[2]!RAW[CONCAT_H],0),FALSE))</f>
        <v/>
      </c>
      <c r="AQ154" s="145">
        <f>IF(NOTA[[#This Row],[CONCAT1]]="","",MATCH(NOTA[[#This Row],[CONCAT1]],[3]!db[NB NOTA_C],0)+1)</f>
        <v>742</v>
      </c>
    </row>
    <row r="155" spans="1:43" ht="20.100000000000001" customHeight="1" x14ac:dyDescent="0.25">
      <c r="A15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67" t="str">
        <f>IF(NOTA[[#This Row],[ID_P]]="","",MATCH(NOTA[[#This Row],[ID_P]],[1]!B_MSK[N_ID],0))</f>
        <v/>
      </c>
      <c r="D155" s="67">
        <f ca="1">IF(NOTA[[#This Row],[NAMA BARANG]]="","",INDEX(NOTA[ID],MATCH(,INDIRECT(ADDRESS(ROW(NOTA[ID]),COLUMN(NOTA[ID]))&amp;":"&amp;ADDRESS(ROW(),COLUMN(NOTA[ID]))),-1)))</f>
        <v>26</v>
      </c>
      <c r="E155" s="68"/>
      <c r="H155" s="54"/>
      <c r="I155" s="70"/>
      <c r="J155" s="69"/>
      <c r="K155" s="70"/>
      <c r="L155" s="27" t="s">
        <v>308</v>
      </c>
      <c r="M155" s="71">
        <v>5</v>
      </c>
      <c r="N155" s="70">
        <v>250</v>
      </c>
      <c r="O155" s="27" t="s">
        <v>262</v>
      </c>
      <c r="P155" s="72">
        <v>32000</v>
      </c>
      <c r="Q155" s="73"/>
      <c r="R155" s="42" t="s">
        <v>309</v>
      </c>
      <c r="S155" s="74">
        <v>0.125</v>
      </c>
      <c r="T155" s="75">
        <v>0.05</v>
      </c>
      <c r="U155" s="76"/>
      <c r="V155" s="77"/>
      <c r="W155" s="62">
        <f>IF(NOTA[[#This Row],[HARGA/ CTN]]="",NOTA[[#This Row],[JUMLAH_H]],NOTA[[#This Row],[HARGA/ CTN]]*IF(NOTA[[#This Row],[C]]="",0,NOTA[[#This Row],[C]]))</f>
        <v>8000000</v>
      </c>
      <c r="X155" s="62">
        <f>IF(NOTA[[#This Row],[JUMLAH]]="","",NOTA[[#This Row],[JUMLAH]]*NOTA[[#This Row],[DISC 1]])</f>
        <v>1000000</v>
      </c>
      <c r="Y155" s="62">
        <f>IF(NOTA[[#This Row],[JUMLAH]]="","",(NOTA[[#This Row],[JUMLAH]]-NOTA[[#This Row],[DISC 1-]])*NOTA[[#This Row],[DISC 2]])</f>
        <v>350000</v>
      </c>
      <c r="Z155" s="62">
        <f>IF(NOTA[[#This Row],[JUMLAH]]="","",NOTA[[#This Row],[DISC 1-]]+NOTA[[#This Row],[DISC 2-]])</f>
        <v>1350000</v>
      </c>
      <c r="AA155" s="62">
        <f>IF(NOTA[[#This Row],[JUMLAH]]="","",NOTA[[#This Row],[JUMLAH]]-NOTA[[#This Row],[DISC]])</f>
        <v>6650000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55" s="62">
        <f>IF(OR(NOTA[[#This Row],[QTY]]="",NOTA[[#This Row],[HARGA SATUAN]]="",),"",NOTA[[#This Row],[QTY]]*NOTA[[#This Row],[HARGA SATUAN]])</f>
        <v>8000000</v>
      </c>
      <c r="AG155" s="56">
        <f ca="1">IF(NOTA[ID_H]="","",INDEX(NOTA[TANGGAL],MATCH(,INDIRECT(ADDRESS(ROW(NOTA[TANGGAL]),COLUMN(NOTA[TANGGAL]))&amp;":"&amp;ADDRESS(ROW(),COLUMN(NOTA[TANGGAL]))),-1)))</f>
        <v>45055</v>
      </c>
      <c r="AH155" s="59" t="str">
        <f ca="1">IF(NOTA[[#This Row],[NAMA BARANG]]="","",INDEX(NOTA[SUPPLIER],MATCH(,INDIRECT(ADDRESS(ROW(NOTA[ID]),COLUMN(NOTA[ID]))&amp;":"&amp;ADDRESS(ROW(),COLUMN(NOTA[ID]))),-1)))</f>
        <v>ATALI MAKMUR</v>
      </c>
      <c r="AI155" s="59" t="str">
        <f ca="1">IF(NOTA[[#This Row],[ID_H]]="","",IF(NOTA[[#This Row],[FAKTUR]]="",INDIRECT(ADDRESS(ROW()-1,COLUMN())),NOTA[[#This Row],[FAKTUR]]))</f>
        <v>ARTO MORO</v>
      </c>
      <c r="AJ155" s="27" t="str">
        <f ca="1">IF(NOTA[[#This Row],[ID]]="","",COUNTIF(NOTA[ID_H],NOTA[[#This Row],[ID_H]]))</f>
        <v/>
      </c>
      <c r="AK155" s="27">
        <f ca="1">IF(NOTA[[#This Row],[TGL.NOTA]]="",IF(NOTA[[#This Row],[SUPPLIER_H]]="","",AK154),MONTH(NOTA[[#This Row],[TGL.NOTA]]))</f>
        <v>5</v>
      </c>
      <c r="AL155" s="27" t="str">
        <f>LOWER(SUBSTITUTE(SUBSTITUTE(SUBSTITUTE(SUBSTITUTE(SUBSTITUTE(SUBSTITUTE(SUBSTITUTE(SUBSTITUTE(SUBSTITUTE(NOTA[NAMA BARANG]," ",),".",""),"-",""),"(",""),")",""),",",""),"/",""),"""",""),"+",""))</f>
        <v>erasereb30jk</v>
      </c>
      <c r="AM1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1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1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27" t="str">
        <f>IF(NOTA[[#This Row],[CONCAT4]]="","",_xlfn.IFNA(MATCH(NOTA[[#This Row],[CONCAT4]],[2]!RAW[CONCAT_H],0),FALSE))</f>
        <v/>
      </c>
      <c r="AQ155" s="145">
        <f>IF(NOTA[[#This Row],[CONCAT1]]="","",MATCH(NOTA[[#This Row],[CONCAT1]],[3]!db[NB NOTA_C],0)+1)</f>
        <v>746</v>
      </c>
    </row>
    <row r="156" spans="1:43" ht="20.100000000000001" customHeight="1" x14ac:dyDescent="0.25">
      <c r="A15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67" t="str">
        <f>IF(NOTA[[#This Row],[ID_P]]="","",MATCH(NOTA[[#This Row],[ID_P]],[1]!B_MSK[N_ID],0))</f>
        <v/>
      </c>
      <c r="D156" s="67">
        <f ca="1">IF(NOTA[[#This Row],[NAMA BARANG]]="","",INDEX(NOTA[ID],MATCH(,INDIRECT(ADDRESS(ROW(NOTA[ID]),COLUMN(NOTA[ID]))&amp;":"&amp;ADDRESS(ROW(),COLUMN(NOTA[ID]))),-1)))</f>
        <v>26</v>
      </c>
      <c r="E156" s="55"/>
      <c r="F156" s="16"/>
      <c r="G156" s="16"/>
      <c r="H156" s="20"/>
      <c r="I156" s="16"/>
      <c r="J156" s="56"/>
      <c r="K156" s="56"/>
      <c r="L156" s="27" t="s">
        <v>310</v>
      </c>
      <c r="M156" s="71">
        <v>10</v>
      </c>
      <c r="N156" s="70">
        <v>500</v>
      </c>
      <c r="O156" s="27" t="s">
        <v>262</v>
      </c>
      <c r="P156" s="72">
        <v>32000</v>
      </c>
      <c r="Q156" s="73"/>
      <c r="R156" s="42" t="s">
        <v>309</v>
      </c>
      <c r="S156" s="61">
        <v>0.125</v>
      </c>
      <c r="T156" s="61">
        <v>0.05</v>
      </c>
      <c r="U156" s="62"/>
      <c r="V156" s="77"/>
      <c r="W156" s="62">
        <f>IF(NOTA[[#This Row],[HARGA/ CTN]]="",NOTA[[#This Row],[JUMLAH_H]],NOTA[[#This Row],[HARGA/ CTN]]*IF(NOTA[[#This Row],[C]]="",0,NOTA[[#This Row],[C]]))</f>
        <v>16000000</v>
      </c>
      <c r="X156" s="62">
        <f>IF(NOTA[[#This Row],[JUMLAH]]="","",NOTA[[#This Row],[JUMLAH]]*NOTA[[#This Row],[DISC 1]])</f>
        <v>2000000</v>
      </c>
      <c r="Y156" s="62">
        <f>IF(NOTA[[#This Row],[JUMLAH]]="","",(NOTA[[#This Row],[JUMLAH]]-NOTA[[#This Row],[DISC 1-]])*NOTA[[#This Row],[DISC 2]])</f>
        <v>700000</v>
      </c>
      <c r="Z156" s="62">
        <f>IF(NOTA[[#This Row],[JUMLAH]]="","",NOTA[[#This Row],[DISC 1-]]+NOTA[[#This Row],[DISC 2-]])</f>
        <v>2700000</v>
      </c>
      <c r="AA156" s="62">
        <f>IF(NOTA[[#This Row],[JUMLAH]]="","",NOTA[[#This Row],[JUMLAH]]-NOTA[[#This Row],[DISC]])</f>
        <v>13300000</v>
      </c>
      <c r="AB156" s="62"/>
      <c r="AC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5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56" s="62">
        <f>IF(OR(NOTA[[#This Row],[QTY]]="",NOTA[[#This Row],[HARGA SATUAN]]="",),"",NOTA[[#This Row],[QTY]]*NOTA[[#This Row],[HARGA SATUAN]])</f>
        <v>16000000</v>
      </c>
      <c r="AG156" s="56">
        <f ca="1">IF(NOTA[ID_H]="","",INDEX(NOTA[TANGGAL],MATCH(,INDIRECT(ADDRESS(ROW(NOTA[TANGGAL]),COLUMN(NOTA[TANGGAL]))&amp;":"&amp;ADDRESS(ROW(),COLUMN(NOTA[TANGGAL]))),-1)))</f>
        <v>45055</v>
      </c>
      <c r="AH156" s="59" t="str">
        <f ca="1">IF(NOTA[[#This Row],[NAMA BARANG]]="","",INDEX(NOTA[SUPPLIER],MATCH(,INDIRECT(ADDRESS(ROW(NOTA[ID]),COLUMN(NOTA[ID]))&amp;":"&amp;ADDRESS(ROW(),COLUMN(NOTA[ID]))),-1)))</f>
        <v>ATALI MAKMUR</v>
      </c>
      <c r="AI156" s="59" t="str">
        <f ca="1">IF(NOTA[[#This Row],[ID_H]]="","",IF(NOTA[[#This Row],[FAKTUR]]="",INDIRECT(ADDRESS(ROW()-1,COLUMN())),NOTA[[#This Row],[FAKTUR]]))</f>
        <v>ARTO MORO</v>
      </c>
      <c r="AJ156" s="27" t="str">
        <f ca="1">IF(NOTA[[#This Row],[ID]]="","",COUNTIF(NOTA[ID_H],NOTA[[#This Row],[ID_H]]))</f>
        <v/>
      </c>
      <c r="AK156" s="27">
        <f ca="1">IF(NOTA[[#This Row],[TGL.NOTA]]="",IF(NOTA[[#This Row],[SUPPLIER_H]]="","",AK155),MONTH(NOTA[[#This Row],[TGL.NOTA]]))</f>
        <v>5</v>
      </c>
      <c r="AL156" s="27" t="str">
        <f>LOWER(SUBSTITUTE(SUBSTITUTE(SUBSTITUTE(SUBSTITUTE(SUBSTITUTE(SUBSTITUTE(SUBSTITUTE(SUBSTITUTE(SUBSTITUTE(NOTA[NAMA BARANG]," ",),".",""),"-",""),"(",""),")",""),",",""),"/",""),"""",""),"+",""))</f>
        <v>eraserer30wjk</v>
      </c>
      <c r="AM1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27" t="str">
        <f>IF(NOTA[[#This Row],[CONCAT4]]="","",_xlfn.IFNA(MATCH(NOTA[[#This Row],[CONCAT4]],[2]!RAW[CONCAT_H],0),FALSE))</f>
        <v/>
      </c>
      <c r="AQ156" s="145">
        <f>IF(NOTA[[#This Row],[CONCAT1]]="","",MATCH(NOTA[[#This Row],[CONCAT1]],[3]!db[NB NOTA_C],0)+1)</f>
        <v>752</v>
      </c>
    </row>
    <row r="157" spans="1:43" ht="20.100000000000001" customHeight="1" x14ac:dyDescent="0.25">
      <c r="A15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67" t="str">
        <f>IF(NOTA[[#This Row],[ID_P]]="","",MATCH(NOTA[[#This Row],[ID_P]],[1]!B_MSK[N_ID],0))</f>
        <v/>
      </c>
      <c r="D157" s="67">
        <f ca="1">IF(NOTA[[#This Row],[NAMA BARANG]]="","",INDEX(NOTA[ID],MATCH(,INDIRECT(ADDRESS(ROW(NOTA[ID]),COLUMN(NOTA[ID]))&amp;":"&amp;ADDRESS(ROW(),COLUMN(NOTA[ID]))),-1)))</f>
        <v>26</v>
      </c>
      <c r="E157" s="55"/>
      <c r="F157" s="16"/>
      <c r="G157" s="16"/>
      <c r="H157" s="20"/>
      <c r="I157" s="57"/>
      <c r="J157" s="56"/>
      <c r="K157" s="57"/>
      <c r="L157" s="27" t="s">
        <v>311</v>
      </c>
      <c r="M157" s="114">
        <v>2</v>
      </c>
      <c r="N157" s="70">
        <v>100</v>
      </c>
      <c r="O157" s="27" t="s">
        <v>262</v>
      </c>
      <c r="P157" s="72">
        <v>32300</v>
      </c>
      <c r="Q157" s="73"/>
      <c r="R157" s="42" t="s">
        <v>309</v>
      </c>
      <c r="S157" s="61">
        <v>0.125</v>
      </c>
      <c r="T157" s="61">
        <v>0.05</v>
      </c>
      <c r="U157" s="62"/>
      <c r="V157" s="77"/>
      <c r="W157" s="62">
        <f>IF(NOTA[[#This Row],[HARGA/ CTN]]="",NOTA[[#This Row],[JUMLAH_H]],NOTA[[#This Row],[HARGA/ CTN]]*IF(NOTA[[#This Row],[C]]="",0,NOTA[[#This Row],[C]]))</f>
        <v>3230000</v>
      </c>
      <c r="X157" s="62">
        <f>IF(NOTA[[#This Row],[JUMLAH]]="","",NOTA[[#This Row],[JUMLAH]]*NOTA[[#This Row],[DISC 1]])</f>
        <v>403750</v>
      </c>
      <c r="Y157" s="62">
        <f>IF(NOTA[[#This Row],[JUMLAH]]="","",(NOTA[[#This Row],[JUMLAH]]-NOTA[[#This Row],[DISC 1-]])*NOTA[[#This Row],[DISC 2]])</f>
        <v>141312.5</v>
      </c>
      <c r="Z157" s="62">
        <f>IF(NOTA[[#This Row],[JUMLAH]]="","",NOTA[[#This Row],[DISC 1-]]+NOTA[[#This Row],[DISC 2-]])</f>
        <v>545062.5</v>
      </c>
      <c r="AA157" s="62">
        <f>IF(NOTA[[#This Row],[JUMLAH]]="","",NOTA[[#This Row],[JUMLAH]]-NOTA[[#This Row],[DISC]])</f>
        <v>2684937.5</v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157" s="62">
        <f>IF(OR(NOTA[[#This Row],[QTY]]="",NOTA[[#This Row],[HARGA SATUAN]]="",),"",NOTA[[#This Row],[QTY]]*NOTA[[#This Row],[HARGA SATUAN]])</f>
        <v>3230000</v>
      </c>
      <c r="AG157" s="56">
        <f ca="1">IF(NOTA[ID_H]="","",INDEX(NOTA[TANGGAL],MATCH(,INDIRECT(ADDRESS(ROW(NOTA[TANGGAL]),COLUMN(NOTA[TANGGAL]))&amp;":"&amp;ADDRESS(ROW(),COLUMN(NOTA[TANGGAL]))),-1)))</f>
        <v>45055</v>
      </c>
      <c r="AH157" s="59" t="str">
        <f ca="1">IF(NOTA[[#This Row],[NAMA BARANG]]="","",INDEX(NOTA[SUPPLIER],MATCH(,INDIRECT(ADDRESS(ROW(NOTA[ID]),COLUMN(NOTA[ID]))&amp;":"&amp;ADDRESS(ROW(),COLUMN(NOTA[ID]))),-1)))</f>
        <v>ATALI MAKMUR</v>
      </c>
      <c r="AI157" s="59" t="str">
        <f ca="1">IF(NOTA[[#This Row],[ID_H]]="","",IF(NOTA[[#This Row],[FAKTUR]]="",INDIRECT(ADDRESS(ROW()-1,COLUMN())),NOTA[[#This Row],[FAKTUR]]))</f>
        <v>ARTO MORO</v>
      </c>
      <c r="AJ157" s="27" t="str">
        <f ca="1">IF(NOTA[[#This Row],[ID]]="","",COUNTIF(NOTA[ID_H],NOTA[[#This Row],[ID_H]]))</f>
        <v/>
      </c>
      <c r="AK157" s="27">
        <f ca="1">IF(NOTA[[#This Row],[TGL.NOTA]]="",IF(NOTA[[#This Row],[SUPPLIER_H]]="","",AK156),MONTH(NOTA[[#This Row],[TGL.NOTA]]))</f>
        <v>5</v>
      </c>
      <c r="AL157" s="2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M1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N1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O1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7" s="27" t="str">
        <f>IF(NOTA[[#This Row],[CONCAT4]]="","",_xlfn.IFNA(MATCH(NOTA[[#This Row],[CONCAT4]],[2]!RAW[CONCAT_H],0),FALSE))</f>
        <v/>
      </c>
      <c r="AQ157" s="145">
        <f>IF(NOTA[[#This Row],[CONCAT1]]="","",MATCH(NOTA[[#This Row],[CONCAT1]],[3]!db[NB NOTA_C],0)+1)</f>
        <v>748</v>
      </c>
    </row>
    <row r="158" spans="1:43" ht="20.100000000000001" customHeight="1" x14ac:dyDescent="0.25">
      <c r="A158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67" t="str">
        <f>IF(NOTA[[#This Row],[ID_P]]="","",MATCH(NOTA[[#This Row],[ID_P]],[1]!B_MSK[N_ID],0))</f>
        <v/>
      </c>
      <c r="D158" s="67">
        <f ca="1">IF(NOTA[[#This Row],[NAMA BARANG]]="","",INDEX(NOTA[ID],MATCH(,INDIRECT(ADDRESS(ROW(NOTA[ID]),COLUMN(NOTA[ID]))&amp;":"&amp;ADDRESS(ROW(),COLUMN(NOTA[ID]))),-1)))</f>
        <v>26</v>
      </c>
      <c r="E158" s="55"/>
      <c r="F158" s="16"/>
      <c r="G158" s="16"/>
      <c r="H158" s="20"/>
      <c r="I158" s="57"/>
      <c r="J158" s="56"/>
      <c r="K158" s="57"/>
      <c r="L158" s="16" t="s">
        <v>285</v>
      </c>
      <c r="M158" s="58"/>
      <c r="N158" s="57">
        <v>51</v>
      </c>
      <c r="O158" s="16" t="s">
        <v>160</v>
      </c>
      <c r="P158" s="59">
        <v>40000</v>
      </c>
      <c r="Q158" s="60"/>
      <c r="R158" s="28"/>
      <c r="S158" s="61"/>
      <c r="T158" s="61"/>
      <c r="U158" s="62">
        <v>2040000</v>
      </c>
      <c r="V158" s="77"/>
      <c r="W158" s="62">
        <f>IF(NOTA[[#This Row],[HARGA/ CTN]]="",NOTA[[#This Row],[JUMLAH_H]],NOTA[[#This Row],[HARGA/ CTN]]*IF(NOTA[[#This Row],[C]]="",0,NOTA[[#This Row],[C]]))</f>
        <v>2040000</v>
      </c>
      <c r="X158" s="62">
        <f>IF(NOTA[[#This Row],[JUMLAH]]="","",NOTA[[#This Row],[JUMLAH]]*NOTA[[#This Row],[DISC 1]])</f>
        <v>0</v>
      </c>
      <c r="Y158" s="62">
        <f>IF(NOTA[[#This Row],[JUMLAH]]="","",(NOTA[[#This Row],[JUMLAH]]-NOTA[[#This Row],[DISC 1-]])*NOTA[[#This Row],[DISC 2]])</f>
        <v>0</v>
      </c>
      <c r="Z158" s="62">
        <f>IF(NOTA[[#This Row],[JUMLAH]]="","",NOTA[[#This Row],[DISC 1-]]+NOTA[[#This Row],[DISC 2-]])</f>
        <v>0</v>
      </c>
      <c r="AA158" s="62">
        <f>IF(NOTA[[#This Row],[JUMLAH]]="","",NOTA[[#This Row],[JUMLAH]]-NOTA[[#This Row],[DISC]])</f>
        <v>2040000</v>
      </c>
      <c r="AB158" s="62"/>
      <c r="AC1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15495281.25</v>
      </c>
      <c r="AD1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66279718.75</v>
      </c>
      <c r="AE158" s="59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158" s="62">
        <f>IF(OR(NOTA[[#This Row],[QTY]]="",NOTA[[#This Row],[HARGA SATUAN]]="",),"",NOTA[[#This Row],[QTY]]*NOTA[[#This Row],[HARGA SATUAN]])</f>
        <v>2040000</v>
      </c>
      <c r="AG158" s="56">
        <f ca="1">IF(NOTA[ID_H]="","",INDEX(NOTA[TANGGAL],MATCH(,INDIRECT(ADDRESS(ROW(NOTA[TANGGAL]),COLUMN(NOTA[TANGGAL]))&amp;":"&amp;ADDRESS(ROW(),COLUMN(NOTA[TANGGAL]))),-1)))</f>
        <v>45055</v>
      </c>
      <c r="AH158" s="59" t="str">
        <f ca="1">IF(NOTA[[#This Row],[NAMA BARANG]]="","",INDEX(NOTA[SUPPLIER],MATCH(,INDIRECT(ADDRESS(ROW(NOTA[ID]),COLUMN(NOTA[ID]))&amp;":"&amp;ADDRESS(ROW(),COLUMN(NOTA[ID]))),-1)))</f>
        <v>ATALI MAKMUR</v>
      </c>
      <c r="AI158" s="59" t="str">
        <f ca="1">IF(NOTA[[#This Row],[ID_H]]="","",IF(NOTA[[#This Row],[FAKTUR]]="",INDIRECT(ADDRESS(ROW()-1,COLUMN())),NOTA[[#This Row],[FAKTUR]]))</f>
        <v>ARTO MORO</v>
      </c>
      <c r="AJ158" s="27" t="str">
        <f ca="1">IF(NOTA[[#This Row],[ID]]="","",COUNTIF(NOTA[ID_H],NOTA[[#This Row],[ID_H]]))</f>
        <v/>
      </c>
      <c r="AK158" s="27">
        <f ca="1">IF(NOTA[[#This Row],[TGL.NOTA]]="",IF(NOTA[[#This Row],[SUPPLIER_H]]="","",AK157),MONTH(NOTA[[#This Row],[TGL.NOTA]]))</f>
        <v>5</v>
      </c>
      <c r="AL158" s="27" t="str">
        <f>LOWER(SUBSTITUTE(SUBSTITUTE(SUBSTITUTE(SUBSTITUTE(SUBSTITUTE(SUBSTITUTE(SUBSTITUTE(SUBSTITUTE(SUBSTITUTE(NOTA[NAMA BARANG]," ",),".",""),"-",""),"(",""),")",""),",",""),"/",""),"""",""),"+",""))</f>
        <v>kaosjoykobonus</v>
      </c>
      <c r="AM1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kaosjoykobonus2040000</v>
      </c>
      <c r="AN1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kaosjoykobonus40000</v>
      </c>
      <c r="AO1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27" t="str">
        <f>IF(NOTA[[#This Row],[CONCAT4]]="","",_xlfn.IFNA(MATCH(NOTA[[#This Row],[CONCAT4]],[2]!RAW[CONCAT_H],0),FALSE))</f>
        <v/>
      </c>
      <c r="AQ158" s="145">
        <f>IF(NOTA[[#This Row],[CONCAT1]]="","",MATCH(NOTA[[#This Row],[CONCAT1]],[3]!db[NB NOTA_C],0)+1)</f>
        <v>1109</v>
      </c>
    </row>
    <row r="159" spans="1:43" ht="20.100000000000001" customHeight="1" x14ac:dyDescent="0.25">
      <c r="A15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67" t="str">
        <f>IF(NOTA[[#This Row],[ID_P]]="","",MATCH(NOTA[[#This Row],[ID_P]],[1]!B_MSK[N_ID],0))</f>
        <v/>
      </c>
      <c r="D159" s="67" t="str">
        <f ca="1">IF(NOTA[[#This Row],[NAMA BARANG]]="","",INDEX(NOTA[ID],MATCH(,INDIRECT(ADDRESS(ROW(NOTA[ID]),COLUMN(NOTA[ID]))&amp;":"&amp;ADDRESS(ROW(),COLUMN(NOTA[ID]))),-1)))</f>
        <v/>
      </c>
      <c r="E159" s="55"/>
      <c r="F159" s="16"/>
      <c r="G159" s="16"/>
      <c r="H159" s="20"/>
      <c r="I159" s="57"/>
      <c r="J159" s="56"/>
      <c r="K159" s="57"/>
      <c r="L159" s="16"/>
      <c r="M159" s="58"/>
      <c r="N159" s="57"/>
      <c r="O159" s="16"/>
      <c r="P159" s="59"/>
      <c r="Q159" s="60"/>
      <c r="R159" s="28"/>
      <c r="S159" s="61"/>
      <c r="T159" s="61"/>
      <c r="U159" s="62"/>
      <c r="V159" s="77"/>
      <c r="W159" s="62" t="str">
        <f>IF(NOTA[[#This Row],[HARGA/ CTN]]="",NOTA[[#This Row],[JUMLAH_H]],NOTA[[#This Row],[HARGA/ CTN]]*IF(NOTA[[#This Row],[C]]="",0,NOTA[[#This Row],[C]]))</f>
        <v/>
      </c>
      <c r="X159" s="62" t="str">
        <f>IF(NOTA[[#This Row],[JUMLAH]]="","",NOTA[[#This Row],[JUMLAH]]*NOTA[[#This Row],[DISC 1]])</f>
        <v/>
      </c>
      <c r="Y159" s="62" t="str">
        <f>IF(NOTA[[#This Row],[JUMLAH]]="","",(NOTA[[#This Row],[JUMLAH]]-NOTA[[#This Row],[DISC 1-]])*NOTA[[#This Row],[DISC 2]])</f>
        <v/>
      </c>
      <c r="Z159" s="62" t="str">
        <f>IF(NOTA[[#This Row],[JUMLAH]]="","",NOTA[[#This Row],[DISC 1-]]+NOTA[[#This Row],[DISC 2-]])</f>
        <v/>
      </c>
      <c r="AA159" s="62" t="str">
        <f>IF(NOTA[[#This Row],[JUMLAH]]="","",NOTA[[#This Row],[JUMLAH]]-NOTA[[#This Row],[DISC]])</f>
        <v/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9" s="62" t="str">
        <f>IF(OR(NOTA[[#This Row],[QTY]]="",NOTA[[#This Row],[HARGA SATUAN]]="",),"",NOTA[[#This Row],[QTY]]*NOTA[[#This Row],[HARGA SATUAN]])</f>
        <v/>
      </c>
      <c r="AG159" s="56" t="str">
        <f ca="1">IF(NOTA[ID_H]="","",INDEX(NOTA[TANGGAL],MATCH(,INDIRECT(ADDRESS(ROW(NOTA[TANGGAL]),COLUMN(NOTA[TANGGAL]))&amp;":"&amp;ADDRESS(ROW(),COLUMN(NOTA[TANGGAL]))),-1)))</f>
        <v/>
      </c>
      <c r="AH159" s="59" t="str">
        <f ca="1">IF(NOTA[[#This Row],[NAMA BARANG]]="","",INDEX(NOTA[SUPPLIER],MATCH(,INDIRECT(ADDRESS(ROW(NOTA[ID]),COLUMN(NOTA[ID]))&amp;":"&amp;ADDRESS(ROW(),COLUMN(NOTA[ID]))),-1)))</f>
        <v/>
      </c>
      <c r="AI159" s="59" t="str">
        <f ca="1">IF(NOTA[[#This Row],[ID_H]]="","",IF(NOTA[[#This Row],[FAKTUR]]="",INDIRECT(ADDRESS(ROW()-1,COLUMN())),NOTA[[#This Row],[FAKTUR]]))</f>
        <v/>
      </c>
      <c r="AJ159" s="27" t="str">
        <f ca="1">IF(NOTA[[#This Row],[ID]]="","",COUNTIF(NOTA[ID_H],NOTA[[#This Row],[ID_H]]))</f>
        <v/>
      </c>
      <c r="AK159" s="27" t="str">
        <f ca="1">IF(NOTA[[#This Row],[TGL.NOTA]]="",IF(NOTA[[#This Row],[SUPPLIER_H]]="","",AK158),MONTH(NOTA[[#This Row],[TGL.NOTA]]))</f>
        <v/>
      </c>
      <c r="AL159" s="27" t="str">
        <f>LOWER(SUBSTITUTE(SUBSTITUTE(SUBSTITUTE(SUBSTITUTE(SUBSTITUTE(SUBSTITUTE(SUBSTITUTE(SUBSTITUTE(SUBSTITUTE(NOTA[NAMA BARANG]," ",),".",""),"-",""),"(",""),")",""),",",""),"/",""),"""",""),"+",""))</f>
        <v/>
      </c>
      <c r="AM1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27" t="str">
        <f>IF(NOTA[[#This Row],[CONCAT4]]="","",_xlfn.IFNA(MATCH(NOTA[[#This Row],[CONCAT4]],[2]!RAW[CONCAT_H],0),FALSE))</f>
        <v/>
      </c>
      <c r="AQ159" s="145" t="str">
        <f>IF(NOTA[[#This Row],[CONCAT1]]="","",MATCH(NOTA[[#This Row],[CONCAT1]],[3]!db[NB NOTA_C],0)+1)</f>
        <v/>
      </c>
    </row>
    <row r="160" spans="1:43" ht="20.100000000000001" customHeight="1" x14ac:dyDescent="0.25">
      <c r="A160" s="59">
        <f ca="1">IF(INDIRECT(ADDRESS(ROW()-1,COLUMN(NOTA[[#Headers],[ID]])))="ID",1,IF(NOTA[[#This Row],[FAKTUR]]="","",COUNT(INDIRECT(ADDRESS(ROW(NOTA[ID]),COLUMN(NOTA[ID]))&amp;":"&amp;ADDRESS(ROW()-1,COLUMN(NOTA[ID]))))+1))</f>
        <v>27</v>
      </c>
      <c r="B160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KAL_0905_960-7</v>
      </c>
      <c r="C160" s="67" t="e">
        <f ca="1">IF(NOTA[[#This Row],[ID_P]]="","",MATCH(NOTA[[#This Row],[ID_P]],[1]!B_MSK[N_ID],0))</f>
        <v>#REF!</v>
      </c>
      <c r="D160" s="67">
        <f ca="1">IF(NOTA[[#This Row],[NAMA BARANG]]="","",INDEX(NOTA[ID],MATCH(,INDIRECT(ADDRESS(ROW(NOTA[ID]),COLUMN(NOTA[ID]))&amp;":"&amp;ADDRESS(ROW(),COLUMN(NOTA[ID]))),-1)))</f>
        <v>27</v>
      </c>
      <c r="E160" s="55"/>
      <c r="F160" s="16" t="s">
        <v>52</v>
      </c>
      <c r="G160" s="16" t="s">
        <v>24</v>
      </c>
      <c r="H160" s="20" t="s">
        <v>312</v>
      </c>
      <c r="I160" s="57"/>
      <c r="J160" s="37">
        <v>45050</v>
      </c>
      <c r="K160" s="16"/>
      <c r="L160" s="16" t="s">
        <v>313</v>
      </c>
      <c r="M160" s="58">
        <v>1</v>
      </c>
      <c r="N160" s="57">
        <v>60</v>
      </c>
      <c r="O160" s="16" t="s">
        <v>160</v>
      </c>
      <c r="P160" s="59">
        <v>54000</v>
      </c>
      <c r="Q160" s="60"/>
      <c r="R160" s="28" t="s">
        <v>314</v>
      </c>
      <c r="S160" s="61">
        <v>0.125</v>
      </c>
      <c r="T160" s="61">
        <v>0.05</v>
      </c>
      <c r="U160" s="62"/>
      <c r="V160" s="77"/>
      <c r="W160" s="62">
        <f>IF(NOTA[[#This Row],[HARGA/ CTN]]="",NOTA[[#This Row],[JUMLAH_H]],NOTA[[#This Row],[HARGA/ CTN]]*IF(NOTA[[#This Row],[C]]="",0,NOTA[[#This Row],[C]]))</f>
        <v>3240000</v>
      </c>
      <c r="X160" s="62">
        <f>IF(NOTA[[#This Row],[JUMLAH]]="","",NOTA[[#This Row],[JUMLAH]]*NOTA[[#This Row],[DISC 1]])</f>
        <v>405000</v>
      </c>
      <c r="Y160" s="62">
        <f>IF(NOTA[[#This Row],[JUMLAH]]="","",(NOTA[[#This Row],[JUMLAH]]-NOTA[[#This Row],[DISC 1-]])*NOTA[[#This Row],[DISC 2]])</f>
        <v>141750</v>
      </c>
      <c r="Z160" s="62">
        <f>IF(NOTA[[#This Row],[JUMLAH]]="","",NOTA[[#This Row],[DISC 1-]]+NOTA[[#This Row],[DISC 2-]])</f>
        <v>546750</v>
      </c>
      <c r="AA160" s="62">
        <f>IF(NOTA[[#This Row],[JUMLAH]]="","",NOTA[[#This Row],[JUMLAH]]-NOTA[[#This Row],[DISC]])</f>
        <v>2693250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160" s="62">
        <f>IF(OR(NOTA[[#This Row],[QTY]]="",NOTA[[#This Row],[HARGA SATUAN]]="",),"",NOTA[[#This Row],[QTY]]*NOTA[[#This Row],[HARGA SATUAN]])</f>
        <v>3240000</v>
      </c>
      <c r="AG160" s="56">
        <f ca="1">IF(NOTA[ID_H]="","",INDEX(NOTA[TANGGAL],MATCH(,INDIRECT(ADDRESS(ROW(NOTA[TANGGAL]),COLUMN(NOTA[TANGGAL]))&amp;":"&amp;ADDRESS(ROW(),COLUMN(NOTA[TANGGAL]))),-1)))</f>
        <v>45055</v>
      </c>
      <c r="AH160" s="59" t="str">
        <f ca="1">IF(NOTA[[#This Row],[NAMA BARANG]]="","",INDEX(NOTA[SUPPLIER],MATCH(,INDIRECT(ADDRESS(ROW(NOTA[ID]),COLUMN(NOTA[ID]))&amp;":"&amp;ADDRESS(ROW(),COLUMN(NOTA[ID]))),-1)))</f>
        <v>KALINDO SUKSES</v>
      </c>
      <c r="AI160" s="59" t="str">
        <f ca="1">IF(NOTA[[#This Row],[ID_H]]="","",IF(NOTA[[#This Row],[FAKTUR]]="",INDIRECT(ADDRESS(ROW()-1,COLUMN())),NOTA[[#This Row],[FAKTUR]]))</f>
        <v>ARTO MORO</v>
      </c>
      <c r="AJ160" s="27">
        <f ca="1">IF(NOTA[[#This Row],[ID]]="","",COUNTIF(NOTA[ID_H],NOTA[[#This Row],[ID_H]]))</f>
        <v>7</v>
      </c>
      <c r="AK160" s="27">
        <f>IF(NOTA[[#This Row],[TGL.NOTA]]="",IF(NOTA[[#This Row],[SUPPLIER_H]]="","",AK159),MONTH(NOTA[[#This Row],[TGL.NOTA]]))</f>
        <v>5</v>
      </c>
      <c r="AL160" s="27" t="str">
        <f>LOWER(SUBSTITUTE(SUBSTITUTE(SUBSTITUTE(SUBSTITUTE(SUBSTITUTE(SUBSTITUTE(SUBSTITUTE(SUBSTITUTE(SUBSTITUTE(NOTA[NAMA BARANG]," ",),".",""),"-",""),"(",""),")",""),",",""),"/",""),"""",""),"+",""))</f>
        <v>calculatorjoykocc868</v>
      </c>
      <c r="AM1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calculatorjoykocc86832400000.1250.05</v>
      </c>
      <c r="AN1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calculatorjoykocc86832400000.1250.05</v>
      </c>
      <c r="AO160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MOROSN2305096045050calculatorjoykocc868</v>
      </c>
      <c r="AP160" s="27" t="e">
        <f>IF(NOTA[[#This Row],[CONCAT4]]="","",_xlfn.IFNA(MATCH(NOTA[[#This Row],[CONCAT4]],[2]!RAW[CONCAT_H],0),FALSE))</f>
        <v>#REF!</v>
      </c>
      <c r="AQ160" s="145">
        <f>IF(NOTA[[#This Row],[CONCAT1]]="","",MATCH(NOTA[[#This Row],[CONCAT1]],[3]!db[NB NOTA_C],0)+1)</f>
        <v>462</v>
      </c>
    </row>
    <row r="161" spans="1:43" ht="20.100000000000001" customHeight="1" x14ac:dyDescent="0.25">
      <c r="A16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67" t="str">
        <f>IF(NOTA[[#This Row],[ID_P]]="","",MATCH(NOTA[[#This Row],[ID_P]],[1]!B_MSK[N_ID],0))</f>
        <v/>
      </c>
      <c r="D161" s="67">
        <f ca="1">IF(NOTA[[#This Row],[NAMA BARANG]]="","",INDEX(NOTA[ID],MATCH(,INDIRECT(ADDRESS(ROW(NOTA[ID]),COLUMN(NOTA[ID]))&amp;":"&amp;ADDRESS(ROW(),COLUMN(NOTA[ID]))),-1)))</f>
        <v>27</v>
      </c>
      <c r="E161" s="55"/>
      <c r="F161" s="16"/>
      <c r="G161" s="16"/>
      <c r="H161" s="20"/>
      <c r="I161" s="57"/>
      <c r="J161" s="56"/>
      <c r="K161" s="57"/>
      <c r="L161" s="16" t="s">
        <v>315</v>
      </c>
      <c r="M161" s="58">
        <v>1</v>
      </c>
      <c r="N161" s="57">
        <v>80</v>
      </c>
      <c r="O161" s="16" t="s">
        <v>160</v>
      </c>
      <c r="P161" s="59">
        <v>50000</v>
      </c>
      <c r="Q161" s="60"/>
      <c r="R161" s="28" t="s">
        <v>316</v>
      </c>
      <c r="S161" s="61">
        <v>0.125</v>
      </c>
      <c r="T161" s="61">
        <v>0.05</v>
      </c>
      <c r="U161" s="62"/>
      <c r="V161" s="77"/>
      <c r="W161" s="62">
        <f>IF(NOTA[[#This Row],[HARGA/ CTN]]="",NOTA[[#This Row],[JUMLAH_H]],NOTA[[#This Row],[HARGA/ CTN]]*IF(NOTA[[#This Row],[C]]="",0,NOTA[[#This Row],[C]]))</f>
        <v>4000000</v>
      </c>
      <c r="X161" s="62">
        <f>IF(NOTA[[#This Row],[JUMLAH]]="","",NOTA[[#This Row],[JUMLAH]]*NOTA[[#This Row],[DISC 1]])</f>
        <v>500000</v>
      </c>
      <c r="Y161" s="62">
        <f>IF(NOTA[[#This Row],[JUMLAH]]="","",(NOTA[[#This Row],[JUMLAH]]-NOTA[[#This Row],[DISC 1-]])*NOTA[[#This Row],[DISC 2]])</f>
        <v>175000</v>
      </c>
      <c r="Z161" s="62">
        <f>IF(NOTA[[#This Row],[JUMLAH]]="","",NOTA[[#This Row],[DISC 1-]]+NOTA[[#This Row],[DISC 2-]])</f>
        <v>675000</v>
      </c>
      <c r="AA161" s="62">
        <f>IF(NOTA[[#This Row],[JUMLAH]]="","",NOTA[[#This Row],[JUMLAH]]-NOTA[[#This Row],[DISC]])</f>
        <v>3325000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161" s="62">
        <f>IF(OR(NOTA[[#This Row],[QTY]]="",NOTA[[#This Row],[HARGA SATUAN]]="",),"",NOTA[[#This Row],[QTY]]*NOTA[[#This Row],[HARGA SATUAN]])</f>
        <v>4000000</v>
      </c>
      <c r="AG161" s="56">
        <f ca="1">IF(NOTA[ID_H]="","",INDEX(NOTA[TANGGAL],MATCH(,INDIRECT(ADDRESS(ROW(NOTA[TANGGAL]),COLUMN(NOTA[TANGGAL]))&amp;":"&amp;ADDRESS(ROW(),COLUMN(NOTA[TANGGAL]))),-1)))</f>
        <v>45055</v>
      </c>
      <c r="AH161" s="59" t="str">
        <f ca="1">IF(NOTA[[#This Row],[NAMA BARANG]]="","",INDEX(NOTA[SUPPLIER],MATCH(,INDIRECT(ADDRESS(ROW(NOTA[ID]),COLUMN(NOTA[ID]))&amp;":"&amp;ADDRESS(ROW(),COLUMN(NOTA[ID]))),-1)))</f>
        <v>KALINDO SUKSES</v>
      </c>
      <c r="AI161" s="59" t="str">
        <f ca="1">IF(NOTA[[#This Row],[ID_H]]="","",IF(NOTA[[#This Row],[FAKTUR]]="",INDIRECT(ADDRESS(ROW()-1,COLUMN())),NOTA[[#This Row],[FAKTUR]]))</f>
        <v>ARTO MORO</v>
      </c>
      <c r="AJ161" s="27" t="str">
        <f ca="1">IF(NOTA[[#This Row],[ID]]="","",COUNTIF(NOTA[ID_H],NOTA[[#This Row],[ID_H]]))</f>
        <v/>
      </c>
      <c r="AK161" s="27">
        <f ca="1">IF(NOTA[[#This Row],[TGL.NOTA]]="",IF(NOTA[[#This Row],[SUPPLIER_H]]="","",AK160),MONTH(NOTA[[#This Row],[TGL.NOTA]]))</f>
        <v>5</v>
      </c>
      <c r="AL161" s="27" t="str">
        <f>LOWER(SUBSTITUTE(SUBSTITUTE(SUBSTITUTE(SUBSTITUTE(SUBSTITUTE(SUBSTITUTE(SUBSTITUTE(SUBSTITUTE(SUBSTITUTE(NOTA[NAMA BARANG]," ",),".",""),"-",""),"(",""),")",""),",",""),"/",""),"""",""),"+",""))</f>
        <v>calculatorjoykocc27</v>
      </c>
      <c r="AM1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calculatorjoykocc2740000000.1250.05</v>
      </c>
      <c r="AN1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calculatorjoykocc2740000000.1250.05</v>
      </c>
      <c r="AO1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27" t="str">
        <f>IF(NOTA[[#This Row],[CONCAT4]]="","",_xlfn.IFNA(MATCH(NOTA[[#This Row],[CONCAT4]],[2]!RAW[CONCAT_H],0),FALSE))</f>
        <v/>
      </c>
      <c r="AQ161" s="145">
        <f>IF(NOTA[[#This Row],[CONCAT1]]="","",MATCH(NOTA[[#This Row],[CONCAT1]],[3]!db[NB NOTA_C],0)+1)</f>
        <v>438</v>
      </c>
    </row>
    <row r="162" spans="1:43" ht="20.100000000000001" customHeight="1" x14ac:dyDescent="0.25">
      <c r="A162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67" t="str">
        <f>IF(NOTA[[#This Row],[ID_P]]="","",MATCH(NOTA[[#This Row],[ID_P]],[1]!B_MSK[N_ID],0))</f>
        <v/>
      </c>
      <c r="D162" s="67">
        <f ca="1">IF(NOTA[[#This Row],[NAMA BARANG]]="","",INDEX(NOTA[ID],MATCH(,INDIRECT(ADDRESS(ROW(NOTA[ID]),COLUMN(NOTA[ID]))&amp;":"&amp;ADDRESS(ROW(),COLUMN(NOTA[ID]))),-1)))</f>
        <v>27</v>
      </c>
      <c r="E162" s="55"/>
      <c r="F162" s="16"/>
      <c r="G162" s="16"/>
      <c r="H162" s="20"/>
      <c r="I162" s="57"/>
      <c r="J162" s="56"/>
      <c r="K162" s="57"/>
      <c r="L162" s="16" t="s">
        <v>317</v>
      </c>
      <c r="M162" s="58">
        <v>1</v>
      </c>
      <c r="N162" s="57">
        <v>80</v>
      </c>
      <c r="O162" s="16" t="s">
        <v>160</v>
      </c>
      <c r="P162" s="59">
        <v>67000</v>
      </c>
      <c r="Q162" s="60"/>
      <c r="R162" s="28" t="s">
        <v>316</v>
      </c>
      <c r="S162" s="61">
        <v>0.125</v>
      </c>
      <c r="T162" s="61">
        <v>0.05</v>
      </c>
      <c r="U162" s="62"/>
      <c r="V162" s="77"/>
      <c r="W162" s="62">
        <f>IF(NOTA[[#This Row],[HARGA/ CTN]]="",NOTA[[#This Row],[JUMLAH_H]],NOTA[[#This Row],[HARGA/ CTN]]*IF(NOTA[[#This Row],[C]]="",0,NOTA[[#This Row],[C]]))</f>
        <v>5360000</v>
      </c>
      <c r="X162" s="62">
        <f>IF(NOTA[[#This Row],[JUMLAH]]="","",NOTA[[#This Row],[JUMLAH]]*NOTA[[#This Row],[DISC 1]])</f>
        <v>670000</v>
      </c>
      <c r="Y162" s="62">
        <f>IF(NOTA[[#This Row],[JUMLAH]]="","",(NOTA[[#This Row],[JUMLAH]]-NOTA[[#This Row],[DISC 1-]])*NOTA[[#This Row],[DISC 2]])</f>
        <v>234500</v>
      </c>
      <c r="Z162" s="62">
        <f>IF(NOTA[[#This Row],[JUMLAH]]="","",NOTA[[#This Row],[DISC 1-]]+NOTA[[#This Row],[DISC 2-]])</f>
        <v>904500</v>
      </c>
      <c r="AA162" s="62">
        <f>IF(NOTA[[#This Row],[JUMLAH]]="","",NOTA[[#This Row],[JUMLAH]]-NOTA[[#This Row],[DISC]])</f>
        <v>4455500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9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162" s="62">
        <f>IF(OR(NOTA[[#This Row],[QTY]]="",NOTA[[#This Row],[HARGA SATUAN]]="",),"",NOTA[[#This Row],[QTY]]*NOTA[[#This Row],[HARGA SATUAN]])</f>
        <v>5360000</v>
      </c>
      <c r="AG162" s="56">
        <f ca="1">IF(NOTA[ID_H]="","",INDEX(NOTA[TANGGAL],MATCH(,INDIRECT(ADDRESS(ROW(NOTA[TANGGAL]),COLUMN(NOTA[TANGGAL]))&amp;":"&amp;ADDRESS(ROW(),COLUMN(NOTA[TANGGAL]))),-1)))</f>
        <v>45055</v>
      </c>
      <c r="AH162" s="59" t="str">
        <f ca="1">IF(NOTA[[#This Row],[NAMA BARANG]]="","",INDEX(NOTA[SUPPLIER],MATCH(,INDIRECT(ADDRESS(ROW(NOTA[ID]),COLUMN(NOTA[ID]))&amp;":"&amp;ADDRESS(ROW(),COLUMN(NOTA[ID]))),-1)))</f>
        <v>KALINDO SUKSES</v>
      </c>
      <c r="AI162" s="59" t="str">
        <f ca="1">IF(NOTA[[#This Row],[ID_H]]="","",IF(NOTA[[#This Row],[FAKTUR]]="",INDIRECT(ADDRESS(ROW()-1,COLUMN())),NOTA[[#This Row],[FAKTUR]]))</f>
        <v>ARTO MORO</v>
      </c>
      <c r="AJ162" s="27" t="str">
        <f ca="1">IF(NOTA[[#This Row],[ID]]="","",COUNTIF(NOTA[ID_H],NOTA[[#This Row],[ID_H]]))</f>
        <v/>
      </c>
      <c r="AK162" s="27">
        <f ca="1">IF(NOTA[[#This Row],[TGL.NOTA]]="",IF(NOTA[[#This Row],[SUPPLIER_H]]="","",AK161),MONTH(NOTA[[#This Row],[TGL.NOTA]]))</f>
        <v>5</v>
      </c>
      <c r="AL162" s="27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M1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calculatorjoykocc2553600000.1250.05</v>
      </c>
      <c r="AN1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calculatorjoykocc2553600000.1250.05</v>
      </c>
      <c r="AO1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27" t="str">
        <f>IF(NOTA[[#This Row],[CONCAT4]]="","",_xlfn.IFNA(MATCH(NOTA[[#This Row],[CONCAT4]],[2]!RAW[CONCAT_H],0),FALSE))</f>
        <v/>
      </c>
      <c r="AQ162" s="145">
        <f>IF(NOTA[[#This Row],[CONCAT1]]="","",MATCH(NOTA[[#This Row],[CONCAT1]],[3]!db[NB NOTA_C],0)+1)</f>
        <v>437</v>
      </c>
    </row>
    <row r="163" spans="1:43" ht="20.100000000000001" customHeight="1" x14ac:dyDescent="0.25">
      <c r="A16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67" t="str">
        <f>IF(NOTA[[#This Row],[ID_P]]="","",MATCH(NOTA[[#This Row],[ID_P]],[1]!B_MSK[N_ID],0))</f>
        <v/>
      </c>
      <c r="D163" s="67">
        <f ca="1">IF(NOTA[[#This Row],[NAMA BARANG]]="","",INDEX(NOTA[ID],MATCH(,INDIRECT(ADDRESS(ROW(NOTA[ID]),COLUMN(NOTA[ID]))&amp;":"&amp;ADDRESS(ROW(),COLUMN(NOTA[ID]))),-1)))</f>
        <v>27</v>
      </c>
      <c r="E163" s="55"/>
      <c r="F163" s="16"/>
      <c r="G163" s="16"/>
      <c r="H163" s="20"/>
      <c r="I163" s="57"/>
      <c r="J163" s="56"/>
      <c r="K163" s="57"/>
      <c r="L163" s="16" t="s">
        <v>319</v>
      </c>
      <c r="M163" s="58"/>
      <c r="N163" s="57">
        <v>27</v>
      </c>
      <c r="O163" s="16" t="s">
        <v>160</v>
      </c>
      <c r="P163" s="59">
        <v>50000</v>
      </c>
      <c r="Q163" s="60"/>
      <c r="R163" s="28" t="s">
        <v>316</v>
      </c>
      <c r="S163" s="39">
        <v>0.125</v>
      </c>
      <c r="T163" s="61">
        <v>0.05</v>
      </c>
      <c r="U163" s="62"/>
      <c r="V163" s="77"/>
      <c r="W163" s="62">
        <f>IF(NOTA[[#This Row],[HARGA/ CTN]]="",NOTA[[#This Row],[JUMLAH_H]],NOTA[[#This Row],[HARGA/ CTN]]*IF(NOTA[[#This Row],[C]]="",0,NOTA[[#This Row],[C]]))</f>
        <v>1350000</v>
      </c>
      <c r="X163" s="62">
        <f>IF(NOTA[[#This Row],[JUMLAH]]="","",NOTA[[#This Row],[JUMLAH]]*NOTA[[#This Row],[DISC 1]])</f>
        <v>168750</v>
      </c>
      <c r="Y163" s="62">
        <f>IF(NOTA[[#This Row],[JUMLAH]]="","",(NOTA[[#This Row],[JUMLAH]]-NOTA[[#This Row],[DISC 1-]])*NOTA[[#This Row],[DISC 2]])</f>
        <v>59062.5</v>
      </c>
      <c r="Z163" s="62">
        <f>IF(NOTA[[#This Row],[JUMLAH]]="","",NOTA[[#This Row],[DISC 1-]]+NOTA[[#This Row],[DISC 2-]])</f>
        <v>227812.5</v>
      </c>
      <c r="AA163" s="62">
        <f>IF(NOTA[[#This Row],[JUMLAH]]="","",NOTA[[#This Row],[JUMLAH]]-NOTA[[#This Row],[DISC]])</f>
        <v>1122187.5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3" s="62">
        <f>IF(OR(NOTA[[#This Row],[QTY]]="",NOTA[[#This Row],[HARGA SATUAN]]="",),"",NOTA[[#This Row],[QTY]]*NOTA[[#This Row],[HARGA SATUAN]])</f>
        <v>1350000</v>
      </c>
      <c r="AG163" s="56">
        <f ca="1">IF(NOTA[ID_H]="","",INDEX(NOTA[TANGGAL],MATCH(,INDIRECT(ADDRESS(ROW(NOTA[TANGGAL]),COLUMN(NOTA[TANGGAL]))&amp;":"&amp;ADDRESS(ROW(),COLUMN(NOTA[TANGGAL]))),-1)))</f>
        <v>45055</v>
      </c>
      <c r="AH163" s="59" t="str">
        <f ca="1">IF(NOTA[[#This Row],[NAMA BARANG]]="","",INDEX(NOTA[SUPPLIER],MATCH(,INDIRECT(ADDRESS(ROW(NOTA[ID]),COLUMN(NOTA[ID]))&amp;":"&amp;ADDRESS(ROW(),COLUMN(NOTA[ID]))),-1)))</f>
        <v>KALINDO SUKSES</v>
      </c>
      <c r="AI163" s="59" t="str">
        <f ca="1">IF(NOTA[[#This Row],[ID_H]]="","",IF(NOTA[[#This Row],[FAKTUR]]="",INDIRECT(ADDRESS(ROW()-1,COLUMN())),NOTA[[#This Row],[FAKTUR]]))</f>
        <v>ARTO MORO</v>
      </c>
      <c r="AJ163" s="27" t="str">
        <f ca="1">IF(NOTA[[#This Row],[ID]]="","",COUNTIF(NOTA[ID_H],NOTA[[#This Row],[ID_H]]))</f>
        <v/>
      </c>
      <c r="AK163" s="27">
        <f ca="1">IF(NOTA[[#This Row],[TGL.NOTA]]="",IF(NOTA[[#This Row],[SUPPLIER_H]]="","",AK162),MONTH(NOTA[[#This Row],[TGL.NOTA]]))</f>
        <v>5</v>
      </c>
      <c r="AL163" s="27" t="str">
        <f>LOWER(SUBSTITUTE(SUBSTITUTE(SUBSTITUTE(SUBSTITUTE(SUBSTITUTE(SUBSTITUTE(SUBSTITUTE(SUBSTITUTE(SUBSTITUTE(NOTA[NAMA BARANG]," ",),".",""),"-",""),"(",""),")",""),",",""),"/",""),"""",""),"+",""))</f>
        <v>calculatorjoykocc23coblack</v>
      </c>
      <c r="AM1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calculatorjoykocc23coblack13500000.1250.05</v>
      </c>
      <c r="AN1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calculatorjoykocc23coblack500000.1250.05</v>
      </c>
      <c r="AO1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27" t="str">
        <f>IF(NOTA[[#This Row],[CONCAT4]]="","",_xlfn.IFNA(MATCH(NOTA[[#This Row],[CONCAT4]],[2]!RAW[CONCAT_H],0),FALSE))</f>
        <v/>
      </c>
      <c r="AQ163" s="145">
        <f>IF(NOTA[[#This Row],[CONCAT1]]="","",MATCH(NOTA[[#This Row],[CONCAT1]],[3]!db[NB NOTA_C],0)+1)</f>
        <v>435</v>
      </c>
    </row>
    <row r="164" spans="1:43" ht="20.100000000000001" customHeight="1" x14ac:dyDescent="0.25">
      <c r="A16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67" t="str">
        <f>IF(NOTA[[#This Row],[ID_P]]="","",MATCH(NOTA[[#This Row],[ID_P]],[1]!B_MSK[N_ID],0))</f>
        <v/>
      </c>
      <c r="D164" s="67">
        <f ca="1">IF(NOTA[[#This Row],[NAMA BARANG]]="","",INDEX(NOTA[ID],MATCH(,INDIRECT(ADDRESS(ROW(NOTA[ID]),COLUMN(NOTA[ID]))&amp;":"&amp;ADDRESS(ROW(),COLUMN(NOTA[ID]))),-1)))</f>
        <v>27</v>
      </c>
      <c r="E164" s="55"/>
      <c r="F164" s="16"/>
      <c r="G164" s="16"/>
      <c r="H164" s="20"/>
      <c r="I164" s="16"/>
      <c r="J164" s="56"/>
      <c r="K164" s="57"/>
      <c r="L164" s="16" t="s">
        <v>318</v>
      </c>
      <c r="M164" s="58"/>
      <c r="N164" s="57">
        <v>27</v>
      </c>
      <c r="O164" s="16" t="s">
        <v>160</v>
      </c>
      <c r="P164" s="59">
        <v>50000</v>
      </c>
      <c r="Q164" s="60"/>
      <c r="R164" s="28" t="s">
        <v>316</v>
      </c>
      <c r="S164" s="61">
        <v>0.125</v>
      </c>
      <c r="T164" s="61">
        <v>0.05</v>
      </c>
      <c r="U164" s="62"/>
      <c r="V164" s="26"/>
      <c r="W164" s="62">
        <f>IF(NOTA[[#This Row],[HARGA/ CTN]]="",NOTA[[#This Row],[JUMLAH_H]],NOTA[[#This Row],[HARGA/ CTN]]*IF(NOTA[[#This Row],[C]]="",0,NOTA[[#This Row],[C]]))</f>
        <v>1350000</v>
      </c>
      <c r="X164" s="62">
        <f>IF(NOTA[[#This Row],[JUMLAH]]="","",NOTA[[#This Row],[JUMLAH]]*NOTA[[#This Row],[DISC 1]])</f>
        <v>168750</v>
      </c>
      <c r="Y164" s="62">
        <f>IF(NOTA[[#This Row],[JUMLAH]]="","",(NOTA[[#This Row],[JUMLAH]]-NOTA[[#This Row],[DISC 1-]])*NOTA[[#This Row],[DISC 2]])</f>
        <v>59062.5</v>
      </c>
      <c r="Z164" s="62">
        <f>IF(NOTA[[#This Row],[JUMLAH]]="","",NOTA[[#This Row],[DISC 1-]]+NOTA[[#This Row],[DISC 2-]])</f>
        <v>227812.5</v>
      </c>
      <c r="AA164" s="62">
        <f>IF(NOTA[[#This Row],[JUMLAH]]="","",NOTA[[#This Row],[JUMLAH]]-NOTA[[#This Row],[DISC]])</f>
        <v>1122187.5</v>
      </c>
      <c r="AB164" s="62"/>
      <c r="AC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5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164" s="62">
        <f>IF(OR(NOTA[[#This Row],[QTY]]="",NOTA[[#This Row],[HARGA SATUAN]]="",),"",NOTA[[#This Row],[QTY]]*NOTA[[#This Row],[HARGA SATUAN]])</f>
        <v>1350000</v>
      </c>
      <c r="AG164" s="56">
        <f ca="1">IF(NOTA[ID_H]="","",INDEX(NOTA[TANGGAL],MATCH(,INDIRECT(ADDRESS(ROW(NOTA[TANGGAL]),COLUMN(NOTA[TANGGAL]))&amp;":"&amp;ADDRESS(ROW(),COLUMN(NOTA[TANGGAL]))),-1)))</f>
        <v>45055</v>
      </c>
      <c r="AH164" s="59" t="str">
        <f ca="1">IF(NOTA[[#This Row],[NAMA BARANG]]="","",INDEX(NOTA[SUPPLIER],MATCH(,INDIRECT(ADDRESS(ROW(NOTA[ID]),COLUMN(NOTA[ID]))&amp;":"&amp;ADDRESS(ROW(),COLUMN(NOTA[ID]))),-1)))</f>
        <v>KALINDO SUKSES</v>
      </c>
      <c r="AI164" s="59" t="str">
        <f ca="1">IF(NOTA[[#This Row],[ID_H]]="","",IF(NOTA[[#This Row],[FAKTUR]]="",INDIRECT(ADDRESS(ROW()-1,COLUMN())),NOTA[[#This Row],[FAKTUR]]))</f>
        <v>ARTO MORO</v>
      </c>
      <c r="AJ164" s="27" t="str">
        <f ca="1">IF(NOTA[[#This Row],[ID]]="","",COUNTIF(NOTA[ID_H],NOTA[[#This Row],[ID_H]]))</f>
        <v/>
      </c>
      <c r="AK164" s="27">
        <f ca="1">IF(NOTA[[#This Row],[TGL.NOTA]]="",IF(NOTA[[#This Row],[SUPPLIER_H]]="","",AK162),MONTH(NOTA[[#This Row],[TGL.NOTA]]))</f>
        <v>5</v>
      </c>
      <c r="AL164" s="27" t="str">
        <f>LOWER(SUBSTITUTE(SUBSTITUTE(SUBSTITUTE(SUBSTITUTE(SUBSTITUTE(SUBSTITUTE(SUBSTITUTE(SUBSTITUTE(SUBSTITUTE(NOTA[NAMA BARANG]," ",),".",""),"-",""),"(",""),")",""),",",""),"/",""),"""",""),"+",""))</f>
        <v>calculatorjoykocc23cogreen</v>
      </c>
      <c r="AM1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calculatorjoykocc23cogreen13500000.1250.05</v>
      </c>
      <c r="AN1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calculatorjoykocc23cogreen500000.1250.05</v>
      </c>
      <c r="AO1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27" t="str">
        <f>IF(NOTA[[#This Row],[CONCAT4]]="","",_xlfn.IFNA(MATCH(NOTA[[#This Row],[CONCAT4]],[2]!RAW[CONCAT_H],0),FALSE))</f>
        <v/>
      </c>
      <c r="AQ164" s="145">
        <f>IF(NOTA[[#This Row],[CONCAT1]]="","",MATCH(NOTA[[#This Row],[CONCAT1]],[3]!db[NB NOTA_C],0)+1)</f>
        <v>436</v>
      </c>
    </row>
    <row r="165" spans="1:43" ht="20.100000000000001" customHeight="1" x14ac:dyDescent="0.25">
      <c r="A165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67" t="str">
        <f>IF(NOTA[[#This Row],[ID_P]]="","",MATCH(NOTA[[#This Row],[ID_P]],[1]!B_MSK[N_ID],0))</f>
        <v/>
      </c>
      <c r="D165" s="67">
        <f ca="1">IF(NOTA[[#This Row],[NAMA BARANG]]="","",INDEX(NOTA[ID],MATCH(,INDIRECT(ADDRESS(ROW(NOTA[ID]),COLUMN(NOTA[ID]))&amp;":"&amp;ADDRESS(ROW(),COLUMN(NOTA[ID]))),-1)))</f>
        <v>27</v>
      </c>
      <c r="E165" s="55"/>
      <c r="F165" s="16"/>
      <c r="G165" s="16"/>
      <c r="H165" s="20"/>
      <c r="I165" s="16"/>
      <c r="J165" s="56"/>
      <c r="K165" s="57"/>
      <c r="L165" s="16" t="s">
        <v>320</v>
      </c>
      <c r="M165" s="58"/>
      <c r="N165" s="57">
        <v>26</v>
      </c>
      <c r="O165" s="16" t="s">
        <v>160</v>
      </c>
      <c r="P165" s="59">
        <v>50000</v>
      </c>
      <c r="Q165" s="60"/>
      <c r="R165" s="28" t="s">
        <v>316</v>
      </c>
      <c r="S165" s="61">
        <v>0.125</v>
      </c>
      <c r="T165" s="61">
        <v>0.05</v>
      </c>
      <c r="U165" s="62"/>
      <c r="V165" s="77"/>
      <c r="W165" s="62">
        <f>IF(NOTA[[#This Row],[HARGA/ CTN]]="",NOTA[[#This Row],[JUMLAH_H]],NOTA[[#This Row],[HARGA/ CTN]]*IF(NOTA[[#This Row],[C]]="",0,NOTA[[#This Row],[C]]))</f>
        <v>1300000</v>
      </c>
      <c r="X165" s="62">
        <f>IF(NOTA[[#This Row],[JUMLAH]]="","",NOTA[[#This Row],[JUMLAH]]*NOTA[[#This Row],[DISC 1]])</f>
        <v>162500</v>
      </c>
      <c r="Y165" s="62">
        <f>IF(NOTA[[#This Row],[JUMLAH]]="","",(NOTA[[#This Row],[JUMLAH]]-NOTA[[#This Row],[DISC 1-]])*NOTA[[#This Row],[DISC 2]])</f>
        <v>56875</v>
      </c>
      <c r="Z165" s="62">
        <f>IF(NOTA[[#This Row],[JUMLAH]]="","",NOTA[[#This Row],[DISC 1-]]+NOTA[[#This Row],[DISC 2-]])</f>
        <v>219375</v>
      </c>
      <c r="AA165" s="62">
        <f>IF(NOTA[[#This Row],[JUMLAH]]="","",NOTA[[#This Row],[JUMLAH]]-NOTA[[#This Row],[DISC]])</f>
        <v>1080625</v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9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165" s="62">
        <f>IF(OR(NOTA[[#This Row],[QTY]]="",NOTA[[#This Row],[HARGA SATUAN]]="",),"",NOTA[[#This Row],[QTY]]*NOTA[[#This Row],[HARGA SATUAN]])</f>
        <v>1300000</v>
      </c>
      <c r="AG165" s="56">
        <f ca="1">IF(NOTA[ID_H]="","",INDEX(NOTA[TANGGAL],MATCH(,INDIRECT(ADDRESS(ROW(NOTA[TANGGAL]),COLUMN(NOTA[TANGGAL]))&amp;":"&amp;ADDRESS(ROW(),COLUMN(NOTA[TANGGAL]))),-1)))</f>
        <v>45055</v>
      </c>
      <c r="AH165" s="59" t="str">
        <f ca="1">IF(NOTA[[#This Row],[NAMA BARANG]]="","",INDEX(NOTA[SUPPLIER],MATCH(,INDIRECT(ADDRESS(ROW(NOTA[ID]),COLUMN(NOTA[ID]))&amp;":"&amp;ADDRESS(ROW(),COLUMN(NOTA[ID]))),-1)))</f>
        <v>KALINDO SUKSES</v>
      </c>
      <c r="AI165" s="59" t="str">
        <f ca="1">IF(NOTA[[#This Row],[ID_H]]="","",IF(NOTA[[#This Row],[FAKTUR]]="",INDIRECT(ADDRESS(ROW()-1,COLUMN())),NOTA[[#This Row],[FAKTUR]]))</f>
        <v>ARTO MORO</v>
      </c>
      <c r="AJ165" s="27" t="str">
        <f ca="1">IF(NOTA[[#This Row],[ID]]="","",COUNTIF(NOTA[ID_H],NOTA[[#This Row],[ID_H]]))</f>
        <v/>
      </c>
      <c r="AK165" s="27">
        <f ca="1">IF(NOTA[[#This Row],[TGL.NOTA]]="",IF(NOTA[[#This Row],[SUPPLIER_H]]="","",AK164),MONTH(NOTA[[#This Row],[TGL.NOTA]]))</f>
        <v>5</v>
      </c>
      <c r="AL165" s="27" t="str">
        <f>LOWER(SUBSTITUTE(SUBSTITUTE(SUBSTITUTE(SUBSTITUTE(SUBSTITUTE(SUBSTITUTE(SUBSTITUTE(SUBSTITUTE(SUBSTITUTE(NOTA[NAMA BARANG]," ",),".",""),"-",""),"(",""),")",""),",",""),"/",""),"""",""),"+",""))</f>
        <v>calculatorjoykoco23coorange</v>
      </c>
      <c r="AM1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calculatorjoykoco23coorange13000000.1250.05</v>
      </c>
      <c r="AN1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calculatorjoykoco23coorange500000.1250.05</v>
      </c>
      <c r="AO1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27" t="str">
        <f>IF(NOTA[[#This Row],[CONCAT4]]="","",_xlfn.IFNA(MATCH(NOTA[[#This Row],[CONCAT4]],[2]!RAW[CONCAT_H],0),FALSE))</f>
        <v/>
      </c>
      <c r="AQ165" s="145">
        <f>IF(NOTA[[#This Row],[CONCAT1]]="","",MATCH(NOTA[[#This Row],[CONCAT1]],[3]!db[NB NOTA_C],0)+1)</f>
        <v>467</v>
      </c>
    </row>
    <row r="166" spans="1:43" ht="20.100000000000001" customHeight="1" x14ac:dyDescent="0.25">
      <c r="A16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67" t="str">
        <f>IF(NOTA[[#This Row],[ID_P]]="","",MATCH(NOTA[[#This Row],[ID_P]],[1]!B_MSK[N_ID],0))</f>
        <v/>
      </c>
      <c r="D166" s="67">
        <f ca="1">IF(NOTA[[#This Row],[NAMA BARANG]]="","",INDEX(NOTA[ID],MATCH(,INDIRECT(ADDRESS(ROW(NOTA[ID]),COLUMN(NOTA[ID]))&amp;":"&amp;ADDRESS(ROW(),COLUMN(NOTA[ID]))),-1)))</f>
        <v>27</v>
      </c>
      <c r="E166" s="55"/>
      <c r="F166" s="16"/>
      <c r="G166" s="16"/>
      <c r="H166" s="20"/>
      <c r="I166" s="48"/>
      <c r="J166" s="46"/>
      <c r="K166" s="57"/>
      <c r="L166" s="16" t="s">
        <v>321</v>
      </c>
      <c r="M166" s="58"/>
      <c r="N166" s="57">
        <v>4</v>
      </c>
      <c r="O166" s="16" t="s">
        <v>160</v>
      </c>
      <c r="P166" s="59">
        <v>42900</v>
      </c>
      <c r="Q166" s="60"/>
      <c r="R166" s="28" t="s">
        <v>322</v>
      </c>
      <c r="S166" s="61">
        <v>0.1</v>
      </c>
      <c r="T166" s="61">
        <v>0.05</v>
      </c>
      <c r="U166" s="62">
        <v>1382000</v>
      </c>
      <c r="V166" s="77" t="s">
        <v>181</v>
      </c>
      <c r="W166" s="62">
        <f>IF(NOTA[[#This Row],[HARGA/ CTN]]="",NOTA[[#This Row],[JUMLAH_H]],NOTA[[#This Row],[HARGA/ CTN]]*IF(NOTA[[#This Row],[C]]="",0,NOTA[[#This Row],[C]]))</f>
        <v>171600</v>
      </c>
      <c r="X166" s="62">
        <f>IF(NOTA[[#This Row],[JUMLAH]]="","",NOTA[[#This Row],[JUMLAH]]*NOTA[[#This Row],[DISC 1]])</f>
        <v>17160</v>
      </c>
      <c r="Y166" s="62">
        <f>IF(NOTA[[#This Row],[JUMLAH]]="","",(NOTA[[#This Row],[JUMLAH]]-NOTA[[#This Row],[DISC 1-]])*NOTA[[#This Row],[DISC 2]])</f>
        <v>7722</v>
      </c>
      <c r="Z166" s="62">
        <f>IF(NOTA[[#This Row],[JUMLAH]]="","",NOTA[[#This Row],[DISC 1-]]+NOTA[[#This Row],[DISC 2-]])</f>
        <v>24882</v>
      </c>
      <c r="AA166" s="62">
        <f>IF(NOTA[[#This Row],[JUMLAH]]="","",NOTA[[#This Row],[JUMLAH]]-NOTA[[#This Row],[DISC]])</f>
        <v>146718</v>
      </c>
      <c r="AB166" s="62"/>
      <c r="AC1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4208132</v>
      </c>
      <c r="AD1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12563468</v>
      </c>
      <c r="AE166" s="59">
        <f>IF(NOTA[[#This Row],[NAMA BARANG]]="","",IF(NOTA[[#This Row],[JUMLAH_H]]="",NOTA[[#This Row],[HARGA/ CTN]],NOTA[[#This Row],[QTY]]*NOTA[[#This Row],[HARGA SATUAN]]/IF(ISNUMBER(NOTA[[#This Row],[C]]),NOTA[[#This Row],[C]],1)))</f>
        <v>171600</v>
      </c>
      <c r="AF166" s="62">
        <f>IF(OR(NOTA[[#This Row],[QTY]]="",NOTA[[#This Row],[HARGA SATUAN]]="",),"",NOTA[[#This Row],[QTY]]*NOTA[[#This Row],[HARGA SATUAN]])</f>
        <v>171600</v>
      </c>
      <c r="AG166" s="56">
        <f ca="1">IF(NOTA[ID_H]="","",INDEX(NOTA[TANGGAL],MATCH(,INDIRECT(ADDRESS(ROW(NOTA[TANGGAL]),COLUMN(NOTA[TANGGAL]))&amp;":"&amp;ADDRESS(ROW(),COLUMN(NOTA[TANGGAL]))),-1)))</f>
        <v>45055</v>
      </c>
      <c r="AH166" s="59" t="str">
        <f ca="1">IF(NOTA[[#This Row],[NAMA BARANG]]="","",INDEX(NOTA[SUPPLIER],MATCH(,INDIRECT(ADDRESS(ROW(NOTA[ID]),COLUMN(NOTA[ID]))&amp;":"&amp;ADDRESS(ROW(),COLUMN(NOTA[ID]))),-1)))</f>
        <v>KALINDO SUKSES</v>
      </c>
      <c r="AI166" s="59" t="str">
        <f ca="1">IF(NOTA[[#This Row],[ID_H]]="","",IF(NOTA[[#This Row],[FAKTUR]]="",INDIRECT(ADDRESS(ROW()-1,COLUMN())),NOTA[[#This Row],[FAKTUR]]))</f>
        <v>ARTO MORO</v>
      </c>
      <c r="AJ166" s="27" t="str">
        <f ca="1">IF(NOTA[[#This Row],[ID]]="","",COUNTIF(NOTA[ID_H],NOTA[[#This Row],[ID_H]]))</f>
        <v/>
      </c>
      <c r="AK166" s="27">
        <f ca="1">IF(NOTA[[#This Row],[TGL.NOTA]]="",IF(NOTA[[#This Row],[SUPPLIER_H]]="","",AK165),MONTH(NOTA[[#This Row],[TGL.NOTA]]))</f>
        <v>5</v>
      </c>
      <c r="AL166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1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flashlightfl91jk1716000.10.05</v>
      </c>
      <c r="AN1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1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27" t="str">
        <f>IF(NOTA[[#This Row],[CONCAT4]]="","",_xlfn.IFNA(MATCH(NOTA[[#This Row],[CONCAT4]],[2]!RAW[CONCAT_H],0),FALSE))</f>
        <v/>
      </c>
      <c r="AQ166" s="145">
        <f>IF(NOTA[[#This Row],[CONCAT1]]="","",MATCH(NOTA[[#This Row],[CONCAT1]],[3]!db[NB NOTA_C],0)+1)</f>
        <v>757</v>
      </c>
    </row>
    <row r="167" spans="1:43" ht="20.100000000000001" customHeight="1" x14ac:dyDescent="0.25">
      <c r="A167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67" t="str">
        <f>IF(NOTA[[#This Row],[ID_P]]="","",MATCH(NOTA[[#This Row],[ID_P]],[1]!B_MSK[N_ID],0))</f>
        <v/>
      </c>
      <c r="D167" s="67" t="str">
        <f ca="1">IF(NOTA[[#This Row],[NAMA BARANG]]="","",INDEX(NOTA[ID],MATCH(,INDIRECT(ADDRESS(ROW(NOTA[ID]),COLUMN(NOTA[ID]))&amp;":"&amp;ADDRESS(ROW(),COLUMN(NOTA[ID]))),-1)))</f>
        <v/>
      </c>
      <c r="E167" s="55"/>
      <c r="F167" s="16"/>
      <c r="G167" s="16"/>
      <c r="H167" s="20"/>
      <c r="I167" s="57"/>
      <c r="J167" s="56"/>
      <c r="K167" s="57"/>
      <c r="L167" s="16"/>
      <c r="M167" s="58"/>
      <c r="N167" s="57"/>
      <c r="O167" s="16"/>
      <c r="P167" s="59"/>
      <c r="Q167" s="60"/>
      <c r="R167" s="28"/>
      <c r="S167" s="61"/>
      <c r="T167" s="61"/>
      <c r="U167" s="62"/>
      <c r="V167" s="26"/>
      <c r="W167" s="62" t="str">
        <f>IF(NOTA[[#This Row],[HARGA/ CTN]]="",NOTA[[#This Row],[JUMLAH_H]],NOTA[[#This Row],[HARGA/ CTN]]*IF(NOTA[[#This Row],[C]]="",0,NOTA[[#This Row],[C]]))</f>
        <v/>
      </c>
      <c r="X167" s="62" t="str">
        <f>IF(NOTA[[#This Row],[JUMLAH]]="","",NOTA[[#This Row],[JUMLAH]]*NOTA[[#This Row],[DISC 1]])</f>
        <v/>
      </c>
      <c r="Y167" s="62" t="str">
        <f>IF(NOTA[[#This Row],[JUMLAH]]="","",(NOTA[[#This Row],[JUMLAH]]-NOTA[[#This Row],[DISC 1-]])*NOTA[[#This Row],[DISC 2]])</f>
        <v/>
      </c>
      <c r="Z167" s="62" t="str">
        <f>IF(NOTA[[#This Row],[JUMLAH]]="","",NOTA[[#This Row],[DISC 1-]]+NOTA[[#This Row],[DISC 2-]])</f>
        <v/>
      </c>
      <c r="AA167" s="62" t="str">
        <f>IF(NOTA[[#This Row],[JUMLAH]]="","",NOTA[[#This Row],[JUMLAH]]-NOTA[[#This Row],[DISC]])</f>
        <v/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7" s="62" t="str">
        <f>IF(OR(NOTA[[#This Row],[QTY]]="",NOTA[[#This Row],[HARGA SATUAN]]="",),"",NOTA[[#This Row],[QTY]]*NOTA[[#This Row],[HARGA SATUAN]])</f>
        <v/>
      </c>
      <c r="AG167" s="56" t="str">
        <f ca="1">IF(NOTA[ID_H]="","",INDEX(NOTA[TANGGAL],MATCH(,INDIRECT(ADDRESS(ROW(NOTA[TANGGAL]),COLUMN(NOTA[TANGGAL]))&amp;":"&amp;ADDRESS(ROW(),COLUMN(NOTA[TANGGAL]))),-1)))</f>
        <v/>
      </c>
      <c r="AH167" s="59" t="str">
        <f ca="1">IF(NOTA[[#This Row],[NAMA BARANG]]="","",INDEX(NOTA[SUPPLIER],MATCH(,INDIRECT(ADDRESS(ROW(NOTA[ID]),COLUMN(NOTA[ID]))&amp;":"&amp;ADDRESS(ROW(),COLUMN(NOTA[ID]))),-1)))</f>
        <v/>
      </c>
      <c r="AI167" s="59" t="str">
        <f ca="1">IF(NOTA[[#This Row],[ID_H]]="","",IF(NOTA[[#This Row],[FAKTUR]]="",INDIRECT(ADDRESS(ROW()-1,COLUMN())),NOTA[[#This Row],[FAKTUR]]))</f>
        <v/>
      </c>
      <c r="AJ167" s="27" t="str">
        <f ca="1">IF(NOTA[[#This Row],[ID]]="","",COUNTIF(NOTA[ID_H],NOTA[[#This Row],[ID_H]]))</f>
        <v/>
      </c>
      <c r="AK167" s="27" t="str">
        <f ca="1">IF(NOTA[[#This Row],[TGL.NOTA]]="",IF(NOTA[[#This Row],[SUPPLIER_H]]="","",AK166),MONTH(NOTA[[#This Row],[TGL.NOTA]]))</f>
        <v/>
      </c>
      <c r="AL167" s="27" t="str">
        <f>LOWER(SUBSTITUTE(SUBSTITUTE(SUBSTITUTE(SUBSTITUTE(SUBSTITUTE(SUBSTITUTE(SUBSTITUTE(SUBSTITUTE(SUBSTITUTE(NOTA[NAMA BARANG]," ",),".",""),"-",""),"(",""),")",""),",",""),"/",""),"""",""),"+",""))</f>
        <v/>
      </c>
      <c r="AM1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27" t="str">
        <f>IF(NOTA[[#This Row],[CONCAT4]]="","",_xlfn.IFNA(MATCH(NOTA[[#This Row],[CONCAT4]],[2]!RAW[CONCAT_H],0),FALSE))</f>
        <v/>
      </c>
      <c r="AQ167" s="145" t="str">
        <f>IF(NOTA[[#This Row],[CONCAT1]]="","",MATCH(NOTA[[#This Row],[CONCAT1]],[3]!db[NB NOTA_C],0)+1)</f>
        <v/>
      </c>
    </row>
    <row r="168" spans="1:43" ht="20.100000000000001" customHeight="1" x14ac:dyDescent="0.25">
      <c r="A168" s="59">
        <f ca="1">IF(INDIRECT(ADDRESS(ROW()-1,COLUMN(NOTA[[#Headers],[ID]])))="ID",1,IF(NOTA[[#This Row],[FAKTUR]]="","",COUNT(INDIRECT(ADDRESS(ROW(NOTA[ID]),COLUMN(NOTA[ID]))&amp;":"&amp;ADDRESS(ROW()-1,COLUMN(NOTA[ID]))))+1))</f>
        <v>28</v>
      </c>
      <c r="B168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KEN_0905_448-3</v>
      </c>
      <c r="C168" s="67" t="e">
        <f ca="1">IF(NOTA[[#This Row],[ID_P]]="","",MATCH(NOTA[[#This Row],[ID_P]],[1]!B_MSK[N_ID],0))</f>
        <v>#REF!</v>
      </c>
      <c r="D168" s="67">
        <f ca="1">IF(NOTA[[#This Row],[NAMA BARANG]]="","",INDEX(NOTA[ID],MATCH(,INDIRECT(ADDRESS(ROW(NOTA[ID]),COLUMN(NOTA[ID]))&amp;":"&amp;ADDRESS(ROW(),COLUMN(NOTA[ID]))),-1)))</f>
        <v>28</v>
      </c>
      <c r="E168" s="55"/>
      <c r="F168" s="16" t="s">
        <v>23</v>
      </c>
      <c r="G168" s="16" t="s">
        <v>24</v>
      </c>
      <c r="H168" s="20" t="s">
        <v>323</v>
      </c>
      <c r="I168" s="16" t="s">
        <v>329</v>
      </c>
      <c r="J168" s="56">
        <v>45051</v>
      </c>
      <c r="K168" s="57"/>
      <c r="L168" s="16" t="s">
        <v>324</v>
      </c>
      <c r="M168" s="58">
        <v>2</v>
      </c>
      <c r="N168" s="57"/>
      <c r="O168" s="16"/>
      <c r="P168" s="59"/>
      <c r="Q168" s="60">
        <v>1995000</v>
      </c>
      <c r="R168" s="28"/>
      <c r="S168" s="61">
        <v>0.17</v>
      </c>
      <c r="T168" s="61"/>
      <c r="U168" s="62"/>
      <c r="V168" s="26"/>
      <c r="W168" s="62">
        <f>IF(NOTA[[#This Row],[HARGA/ CTN]]="",NOTA[[#This Row],[JUMLAH_H]],NOTA[[#This Row],[HARGA/ CTN]]*IF(NOTA[[#This Row],[C]]="",0,NOTA[[#This Row],[C]]))</f>
        <v>3990000</v>
      </c>
      <c r="X168" s="62">
        <f>IF(NOTA[[#This Row],[JUMLAH]]="","",NOTA[[#This Row],[JUMLAH]]*NOTA[[#This Row],[DISC 1]])</f>
        <v>678300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678300</v>
      </c>
      <c r="AA168" s="62">
        <f>IF(NOTA[[#This Row],[JUMLAH]]="","",NOTA[[#This Row],[JUMLAH]]-NOTA[[#This Row],[DISC]])</f>
        <v>3311700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68" s="62" t="str">
        <f>IF(OR(NOTA[[#This Row],[QTY]]="",NOTA[[#This Row],[HARGA SATUAN]]="",),"",NOTA[[#This Row],[QTY]]*NOTA[[#This Row],[HARGA SATUAN]])</f>
        <v/>
      </c>
      <c r="AG168" s="56">
        <f ca="1">IF(NOTA[ID_H]="","",INDEX(NOTA[TANGGAL],MATCH(,INDIRECT(ADDRESS(ROW(NOTA[TANGGAL]),COLUMN(NOTA[TANGGAL]))&amp;":"&amp;ADDRESS(ROW(),COLUMN(NOTA[TANGGAL]))),-1)))</f>
        <v>45055</v>
      </c>
      <c r="AH168" s="59" t="str">
        <f ca="1">IF(NOTA[[#This Row],[NAMA BARANG]]="","",INDEX(NOTA[SUPPLIER],MATCH(,INDIRECT(ADDRESS(ROW(NOTA[ID]),COLUMN(NOTA[ID]))&amp;":"&amp;ADDRESS(ROW(),COLUMN(NOTA[ID]))),-1)))</f>
        <v>KENKO SINAR INDONESIA</v>
      </c>
      <c r="AI168" s="59" t="str">
        <f ca="1">IF(NOTA[[#This Row],[ID_H]]="","",IF(NOTA[[#This Row],[FAKTUR]]="",INDIRECT(ADDRESS(ROW()-1,COLUMN())),NOTA[[#This Row],[FAKTUR]]))</f>
        <v>ARTO MORO</v>
      </c>
      <c r="AJ168" s="27">
        <f ca="1">IF(NOTA[[#This Row],[ID]]="","",COUNTIF(NOTA[ID_H],NOTA[[#This Row],[ID_H]]))</f>
        <v>3</v>
      </c>
      <c r="AK168" s="27">
        <f>IF(NOTA[[#This Row],[TGL.NOTA]]="",IF(NOTA[[#This Row],[SUPPLIER_H]]="","",AK167),MONTH(NOTA[[#This Row],[TGL.NOTA]]))</f>
        <v>5</v>
      </c>
      <c r="AL168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6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MORO23050448SA 4133845051kenkoscissorsc838n</v>
      </c>
      <c r="AP168" s="27" t="e">
        <f>IF(NOTA[[#This Row],[CONCAT4]]="","",_xlfn.IFNA(MATCH(NOTA[[#This Row],[CONCAT4]],[2]!RAW[CONCAT_H],0),FALSE))</f>
        <v>#REF!</v>
      </c>
      <c r="AQ168" s="145">
        <f>IF(NOTA[[#This Row],[CONCAT1]]="","",MATCH(NOTA[[#This Row],[CONCAT1]],[3]!db[NB NOTA_C],0)+1)</f>
        <v>1381</v>
      </c>
    </row>
    <row r="169" spans="1:43" ht="20.100000000000001" customHeight="1" x14ac:dyDescent="0.25">
      <c r="A169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67" t="str">
        <f>IF(NOTA[[#This Row],[ID_P]]="","",MATCH(NOTA[[#This Row],[ID_P]],[1]!B_MSK[N_ID],0))</f>
        <v/>
      </c>
      <c r="D169" s="67">
        <f ca="1">IF(NOTA[[#This Row],[NAMA BARANG]]="","",INDEX(NOTA[ID],MATCH(,INDIRECT(ADDRESS(ROW(NOTA[ID]),COLUMN(NOTA[ID]))&amp;":"&amp;ADDRESS(ROW(),COLUMN(NOTA[ID]))),-1)))</f>
        <v>28</v>
      </c>
      <c r="E169" s="55"/>
      <c r="F169" s="16"/>
      <c r="G169" s="16"/>
      <c r="H169" s="20"/>
      <c r="I169" s="57"/>
      <c r="J169" s="56"/>
      <c r="K169" s="57"/>
      <c r="L169" s="16" t="s">
        <v>325</v>
      </c>
      <c r="M169" s="58">
        <v>1</v>
      </c>
      <c r="N169" s="57"/>
      <c r="O169" s="16"/>
      <c r="P169" s="59"/>
      <c r="Q169" s="60">
        <v>1922400</v>
      </c>
      <c r="R169" s="28"/>
      <c r="S169" s="61">
        <v>0.17</v>
      </c>
      <c r="T169" s="61"/>
      <c r="U169" s="62"/>
      <c r="V169" s="26"/>
      <c r="W169" s="62">
        <f>IF(NOTA[[#This Row],[HARGA/ CTN]]="",NOTA[[#This Row],[JUMLAH_H]],NOTA[[#This Row],[HARGA/ CTN]]*IF(NOTA[[#This Row],[C]]="",0,NOTA[[#This Row],[C]]))</f>
        <v>1922400</v>
      </c>
      <c r="X169" s="62">
        <f>IF(NOTA[[#This Row],[JUMLAH]]="","",NOTA[[#This Row],[JUMLAH]]*NOTA[[#This Row],[DISC 1]])</f>
        <v>326808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326808</v>
      </c>
      <c r="AA169" s="62">
        <f>IF(NOTA[[#This Row],[JUMLAH]]="","",NOTA[[#This Row],[JUMLAH]]-NOTA[[#This Row],[DISC]])</f>
        <v>1595592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F169" s="62" t="str">
        <f>IF(OR(NOTA[[#This Row],[QTY]]="",NOTA[[#This Row],[HARGA SATUAN]]="",),"",NOTA[[#This Row],[QTY]]*NOTA[[#This Row],[HARGA SATUAN]])</f>
        <v/>
      </c>
      <c r="AG169" s="56">
        <f ca="1">IF(NOTA[ID_H]="","",INDEX(NOTA[TANGGAL],MATCH(,INDIRECT(ADDRESS(ROW(NOTA[TANGGAL]),COLUMN(NOTA[TANGGAL]))&amp;":"&amp;ADDRESS(ROW(),COLUMN(NOTA[TANGGAL]))),-1)))</f>
        <v>45055</v>
      </c>
      <c r="AH169" s="59" t="str">
        <f ca="1">IF(NOTA[[#This Row],[NAMA BARANG]]="","",INDEX(NOTA[SUPPLIER],MATCH(,INDIRECT(ADDRESS(ROW(NOTA[ID]),COLUMN(NOTA[ID]))&amp;":"&amp;ADDRESS(ROW(),COLUMN(NOTA[ID]))),-1)))</f>
        <v>KENKO SINAR INDONESIA</v>
      </c>
      <c r="AI169" s="59" t="str">
        <f ca="1">IF(NOTA[[#This Row],[ID_H]]="","",IF(NOTA[[#This Row],[FAKTUR]]="",INDIRECT(ADDRESS(ROW()-1,COLUMN())),NOTA[[#This Row],[FAKTUR]]))</f>
        <v>ARTO MORO</v>
      </c>
      <c r="AJ169" s="27" t="str">
        <f ca="1">IF(NOTA[[#This Row],[ID]]="","",COUNTIF(NOTA[ID_H],NOTA[[#This Row],[ID_H]]))</f>
        <v/>
      </c>
      <c r="AK169" s="27">
        <f ca="1">IF(NOTA[[#This Row],[TGL.NOTA]]="",IF(NOTA[[#This Row],[SUPPLIER_H]]="","",AK168),MONTH(NOTA[[#This Row],[TGL.NOTA]]))</f>
        <v>5</v>
      </c>
      <c r="AL169" s="27" t="str">
        <f>LOWER(SUBSTITUTE(SUBSTITUTE(SUBSTITUTE(SUBSTITUTE(SUBSTITUTE(SUBSTITUTE(SUBSTITUTE(SUBSTITUTE(SUBSTITUTE(NOTA[NAMA BARANG]," ",),".",""),"-",""),"(",""),")",""),",",""),"/",""),"""",""),"+",""))</f>
        <v>kenkocorrectionfluidke301</v>
      </c>
      <c r="AM1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kenkocorrectionfluidke30119224000.17</v>
      </c>
      <c r="AN1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kenkocorrectionfluidke30119224000.17</v>
      </c>
      <c r="AO1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27" t="str">
        <f>IF(NOTA[[#This Row],[CONCAT4]]="","",_xlfn.IFNA(MATCH(NOTA[[#This Row],[CONCAT4]],[2]!RAW[CONCAT_H],0),FALSE))</f>
        <v/>
      </c>
      <c r="AQ169" s="145">
        <f>IF(NOTA[[#This Row],[CONCAT1]]="","",MATCH(NOTA[[#This Row],[CONCAT1]],[3]!db[NB NOTA_C],0)+1)</f>
        <v>1201</v>
      </c>
    </row>
    <row r="170" spans="1:43" ht="20.100000000000001" customHeight="1" x14ac:dyDescent="0.25">
      <c r="A170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67" t="str">
        <f>IF(NOTA[[#This Row],[ID_P]]="","",MATCH(NOTA[[#This Row],[ID_P]],[1]!B_MSK[N_ID],0))</f>
        <v/>
      </c>
      <c r="D170" s="67">
        <f ca="1">IF(NOTA[[#This Row],[NAMA BARANG]]="","",INDEX(NOTA[ID],MATCH(,INDIRECT(ADDRESS(ROW(NOTA[ID]),COLUMN(NOTA[ID]))&amp;":"&amp;ADDRESS(ROW(),COLUMN(NOTA[ID]))),-1)))</f>
        <v>28</v>
      </c>
      <c r="E170" s="55"/>
      <c r="F170" s="16"/>
      <c r="G170" s="16"/>
      <c r="H170" s="20"/>
      <c r="I170" s="16"/>
      <c r="J170" s="56"/>
      <c r="K170" s="57"/>
      <c r="L170" s="16" t="s">
        <v>326</v>
      </c>
      <c r="M170" s="58">
        <v>3</v>
      </c>
      <c r="N170" s="57"/>
      <c r="O170" s="16"/>
      <c r="P170" s="59"/>
      <c r="Q170" s="60">
        <v>2352000</v>
      </c>
      <c r="R170" s="28"/>
      <c r="S170" s="39">
        <v>0.17</v>
      </c>
      <c r="T170" s="61"/>
      <c r="U170" s="62"/>
      <c r="V170" s="26"/>
      <c r="W170" s="62">
        <f>IF(NOTA[[#This Row],[HARGA/ CTN]]="",NOTA[[#This Row],[JUMLAH_H]],NOTA[[#This Row],[HARGA/ CTN]]*IF(NOTA[[#This Row],[C]]="",0,NOTA[[#This Row],[C]]))</f>
        <v>7056000</v>
      </c>
      <c r="X170" s="62">
        <f>IF(NOTA[[#This Row],[JUMLAH]]="","",NOTA[[#This Row],[JUMLAH]]*NOTA[[#This Row],[DISC 1]])</f>
        <v>1199520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1199520</v>
      </c>
      <c r="AA170" s="62">
        <f>IF(NOTA[[#This Row],[JUMLAH]]="","",NOTA[[#This Row],[JUMLAH]]-NOTA[[#This Row],[DISC]])</f>
        <v>5856480</v>
      </c>
      <c r="AB170" s="62"/>
      <c r="AC17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2204628</v>
      </c>
      <c r="AD17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10763772</v>
      </c>
      <c r="AE170" s="5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170" s="62" t="str">
        <f>IF(OR(NOTA[[#This Row],[QTY]]="",NOTA[[#This Row],[HARGA SATUAN]]="",),"",NOTA[[#This Row],[QTY]]*NOTA[[#This Row],[HARGA SATUAN]])</f>
        <v/>
      </c>
      <c r="AG170" s="56">
        <f ca="1">IF(NOTA[ID_H]="","",INDEX(NOTA[TANGGAL],MATCH(,INDIRECT(ADDRESS(ROW(NOTA[TANGGAL]),COLUMN(NOTA[TANGGAL]))&amp;":"&amp;ADDRESS(ROW(),COLUMN(NOTA[TANGGAL]))),-1)))</f>
        <v>45055</v>
      </c>
      <c r="AH170" s="59" t="str">
        <f ca="1">IF(NOTA[[#This Row],[NAMA BARANG]]="","",INDEX(NOTA[SUPPLIER],MATCH(,INDIRECT(ADDRESS(ROW(NOTA[ID]),COLUMN(NOTA[ID]))&amp;":"&amp;ADDRESS(ROW(),COLUMN(NOTA[ID]))),-1)))</f>
        <v>KENKO SINAR INDONESIA</v>
      </c>
      <c r="AI170" s="59" t="str">
        <f ca="1">IF(NOTA[[#This Row],[ID_H]]="","",IF(NOTA[[#This Row],[FAKTUR]]="",INDIRECT(ADDRESS(ROW()-1,COLUMN())),NOTA[[#This Row],[FAKTUR]]))</f>
        <v>ARTO MORO</v>
      </c>
      <c r="AJ170" s="27" t="str">
        <f ca="1">IF(NOTA[[#This Row],[ID]]="","",COUNTIF(NOTA[ID_H],NOTA[[#This Row],[ID_H]]))</f>
        <v/>
      </c>
      <c r="AK170" s="27">
        <f ca="1">IF(NOTA[[#This Row],[TGL.NOTA]]="",IF(NOTA[[#This Row],[SUPPLIER_H]]="","",AK169),MONTH(NOTA[[#This Row],[TGL.NOTA]]))</f>
        <v>5</v>
      </c>
      <c r="AL170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1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1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1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27" t="str">
        <f>IF(NOTA[[#This Row],[CONCAT4]]="","",_xlfn.IFNA(MATCH(NOTA[[#This Row],[CONCAT4]],[2]!RAW[CONCAT_H],0),FALSE))</f>
        <v/>
      </c>
      <c r="AQ170" s="145">
        <f>IF(NOTA[[#This Row],[CONCAT1]]="","",MATCH(NOTA[[#This Row],[CONCAT1]],[3]!db[NB NOTA_C],0)+1)</f>
        <v>1405</v>
      </c>
    </row>
    <row r="171" spans="1:43" ht="20.100000000000001" customHeight="1" x14ac:dyDescent="0.25">
      <c r="A171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67" t="str">
        <f>IF(NOTA[[#This Row],[ID_P]]="","",MATCH(NOTA[[#This Row],[ID_P]],[1]!B_MSK[N_ID],0))</f>
        <v/>
      </c>
      <c r="D171" s="67" t="str">
        <f ca="1">IF(NOTA[[#This Row],[NAMA BARANG]]="","",INDEX(NOTA[ID],MATCH(,INDIRECT(ADDRESS(ROW(NOTA[ID]),COLUMN(NOTA[ID]))&amp;":"&amp;ADDRESS(ROW(),COLUMN(NOTA[ID]))),-1)))</f>
        <v/>
      </c>
      <c r="E171" s="55"/>
      <c r="F171" s="16"/>
      <c r="G171" s="16"/>
      <c r="H171" s="20"/>
      <c r="I171" s="57"/>
      <c r="J171" s="37"/>
      <c r="K171" s="57"/>
      <c r="L171" s="16"/>
      <c r="M171" s="58"/>
      <c r="N171" s="57"/>
      <c r="O171" s="16"/>
      <c r="P171" s="59"/>
      <c r="Q171" s="60"/>
      <c r="R171" s="28"/>
      <c r="S171" s="61"/>
      <c r="T171" s="61"/>
      <c r="U171" s="62"/>
      <c r="V171" s="26"/>
      <c r="W171" s="62" t="str">
        <f>IF(NOTA[[#This Row],[HARGA/ CTN]]="",NOTA[[#This Row],[JUMLAH_H]],NOTA[[#This Row],[HARGA/ CTN]]*IF(NOTA[[#This Row],[C]]="",0,NOTA[[#This Row],[C]]))</f>
        <v/>
      </c>
      <c r="X171" s="62" t="str">
        <f>IF(NOTA[[#This Row],[JUMLAH]]="","",NOTA[[#This Row],[JUMLAH]]*NOTA[[#This Row],[DISC 1]])</f>
        <v/>
      </c>
      <c r="Y171" s="62" t="str">
        <f>IF(NOTA[[#This Row],[JUMLAH]]="","",(NOTA[[#This Row],[JUMLAH]]-NOTA[[#This Row],[DISC 1-]])*NOTA[[#This Row],[DISC 2]])</f>
        <v/>
      </c>
      <c r="Z171" s="62" t="str">
        <f>IF(NOTA[[#This Row],[JUMLAH]]="","",NOTA[[#This Row],[DISC 1-]]+NOTA[[#This Row],[DISC 2-]])</f>
        <v/>
      </c>
      <c r="AA171" s="62" t="str">
        <f>IF(NOTA[[#This Row],[JUMLAH]]="","",NOTA[[#This Row],[JUMLAH]]-NOTA[[#This Row],[DISC]])</f>
        <v/>
      </c>
      <c r="AB171" s="62"/>
      <c r="AC1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1" s="62" t="str">
        <f>IF(OR(NOTA[[#This Row],[QTY]]="",NOTA[[#This Row],[HARGA SATUAN]]="",),"",NOTA[[#This Row],[QTY]]*NOTA[[#This Row],[HARGA SATUAN]])</f>
        <v/>
      </c>
      <c r="AG171" s="56" t="str">
        <f ca="1">IF(NOTA[ID_H]="","",INDEX(NOTA[TANGGAL],MATCH(,INDIRECT(ADDRESS(ROW(NOTA[TANGGAL]),COLUMN(NOTA[TANGGAL]))&amp;":"&amp;ADDRESS(ROW(),COLUMN(NOTA[TANGGAL]))),-1)))</f>
        <v/>
      </c>
      <c r="AH171" s="59" t="str">
        <f ca="1">IF(NOTA[[#This Row],[NAMA BARANG]]="","",INDEX(NOTA[SUPPLIER],MATCH(,INDIRECT(ADDRESS(ROW(NOTA[ID]),COLUMN(NOTA[ID]))&amp;":"&amp;ADDRESS(ROW(),COLUMN(NOTA[ID]))),-1)))</f>
        <v/>
      </c>
      <c r="AI171" s="59" t="str">
        <f ca="1">IF(NOTA[[#This Row],[ID_H]]="","",IF(NOTA[[#This Row],[FAKTUR]]="",INDIRECT(ADDRESS(ROW()-1,COLUMN())),NOTA[[#This Row],[FAKTUR]]))</f>
        <v/>
      </c>
      <c r="AJ171" s="27" t="str">
        <f ca="1">IF(NOTA[[#This Row],[ID]]="","",COUNTIF(NOTA[ID_H],NOTA[[#This Row],[ID_H]]))</f>
        <v/>
      </c>
      <c r="AK171" s="27" t="str">
        <f ca="1">IF(NOTA[[#This Row],[TGL.NOTA]]="",IF(NOTA[[#This Row],[SUPPLIER_H]]="","",AK170),MONTH(NOTA[[#This Row],[TGL.NOTA]]))</f>
        <v/>
      </c>
      <c r="AL171" s="27" t="str">
        <f>LOWER(SUBSTITUTE(SUBSTITUTE(SUBSTITUTE(SUBSTITUTE(SUBSTITUTE(SUBSTITUTE(SUBSTITUTE(SUBSTITUTE(SUBSTITUTE(NOTA[NAMA BARANG]," ",),".",""),"-",""),"(",""),")",""),",",""),"/",""),"""",""),"+",""))</f>
        <v/>
      </c>
      <c r="AM1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27" t="str">
        <f>IF(NOTA[[#This Row],[CONCAT4]]="","",_xlfn.IFNA(MATCH(NOTA[[#This Row],[CONCAT4]],[2]!RAW[CONCAT_H],0),FALSE))</f>
        <v/>
      </c>
      <c r="AQ171" s="145" t="str">
        <f>IF(NOTA[[#This Row],[CONCAT1]]="","",MATCH(NOTA[[#This Row],[CONCAT1]],[3]!db[NB NOTA_C],0)+1)</f>
        <v/>
      </c>
    </row>
    <row r="172" spans="1:43" ht="20.100000000000001" customHeight="1" x14ac:dyDescent="0.25">
      <c r="A172" s="59">
        <f ca="1">IF(INDIRECT(ADDRESS(ROW()-1,COLUMN(NOTA[[#Headers],[ID]])))="ID",1,IF(NOTA[[#This Row],[FAKTUR]]="","",COUNT(INDIRECT(ADDRESS(ROW(NOTA[ID]),COLUMN(NOTA[ID]))&amp;":"&amp;ADDRESS(ROW()-1,COLUMN(NOTA[ID]))))+1))</f>
        <v>29</v>
      </c>
      <c r="B172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KEN_0905_306-2</v>
      </c>
      <c r="C172" s="67" t="e">
        <f ca="1">IF(NOTA[[#This Row],[ID_P]]="","",MATCH(NOTA[[#This Row],[ID_P]],[1]!B_MSK[N_ID],0))</f>
        <v>#REF!</v>
      </c>
      <c r="D172" s="67">
        <f ca="1">IF(NOTA[[#This Row],[NAMA BARANG]]="","",INDEX(NOTA[ID],MATCH(,INDIRECT(ADDRESS(ROW(NOTA[ID]),COLUMN(NOTA[ID]))&amp;":"&amp;ADDRESS(ROW(),COLUMN(NOTA[ID]))),-1)))</f>
        <v>29</v>
      </c>
      <c r="E172" s="55"/>
      <c r="F172" s="16" t="s">
        <v>23</v>
      </c>
      <c r="G172" s="16" t="s">
        <v>24</v>
      </c>
      <c r="H172" s="20" t="s">
        <v>389</v>
      </c>
      <c r="I172" s="16" t="s">
        <v>330</v>
      </c>
      <c r="J172" s="56">
        <v>45050</v>
      </c>
      <c r="K172" s="57"/>
      <c r="L172" s="16" t="s">
        <v>327</v>
      </c>
      <c r="M172" s="58">
        <v>1</v>
      </c>
      <c r="N172" s="57"/>
      <c r="O172" s="16"/>
      <c r="P172" s="59"/>
      <c r="Q172" s="60">
        <v>2376000</v>
      </c>
      <c r="R172" s="28"/>
      <c r="S172" s="61">
        <v>0.17</v>
      </c>
      <c r="T172" s="61"/>
      <c r="U172" s="62"/>
      <c r="V172" s="26"/>
      <c r="W172" s="62">
        <f>IF(NOTA[[#This Row],[HARGA/ CTN]]="",NOTA[[#This Row],[JUMLAH_H]],NOTA[[#This Row],[HARGA/ CTN]]*IF(NOTA[[#This Row],[C]]="",0,NOTA[[#This Row],[C]]))</f>
        <v>2376000</v>
      </c>
      <c r="X172" s="62">
        <f>IF(NOTA[[#This Row],[JUMLAH]]="","",NOTA[[#This Row],[JUMLAH]]*NOTA[[#This Row],[DISC 1]])</f>
        <v>403920</v>
      </c>
      <c r="Y172" s="62">
        <f>IF(NOTA[[#This Row],[JUMLAH]]="","",(NOTA[[#This Row],[JUMLAH]]-NOTA[[#This Row],[DISC 1-]])*NOTA[[#This Row],[DISC 2]])</f>
        <v>0</v>
      </c>
      <c r="Z172" s="62">
        <f>IF(NOTA[[#This Row],[JUMLAH]]="","",NOTA[[#This Row],[DISC 1-]]+NOTA[[#This Row],[DISC 2-]])</f>
        <v>403920</v>
      </c>
      <c r="AA172" s="62">
        <f>IF(NOTA[[#This Row],[JUMLAH]]="","",NOTA[[#This Row],[JUMLAH]]-NOTA[[#This Row],[DISC]])</f>
        <v>1972080</v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172" s="62" t="str">
        <f>IF(OR(NOTA[[#This Row],[QTY]]="",NOTA[[#This Row],[HARGA SATUAN]]="",),"",NOTA[[#This Row],[QTY]]*NOTA[[#This Row],[HARGA SATUAN]])</f>
        <v/>
      </c>
      <c r="AG172" s="56">
        <f ca="1">IF(NOTA[ID_H]="","",INDEX(NOTA[TANGGAL],MATCH(,INDIRECT(ADDRESS(ROW(NOTA[TANGGAL]),COLUMN(NOTA[TANGGAL]))&amp;":"&amp;ADDRESS(ROW(),COLUMN(NOTA[TANGGAL]))),-1)))</f>
        <v>45055</v>
      </c>
      <c r="AH172" s="59" t="str">
        <f ca="1">IF(NOTA[[#This Row],[NAMA BARANG]]="","",INDEX(NOTA[SUPPLIER],MATCH(,INDIRECT(ADDRESS(ROW(NOTA[ID]),COLUMN(NOTA[ID]))&amp;":"&amp;ADDRESS(ROW(),COLUMN(NOTA[ID]))),-1)))</f>
        <v>KENKO SINAR INDONESIA</v>
      </c>
      <c r="AI172" s="59" t="str">
        <f ca="1">IF(NOTA[[#This Row],[ID_H]]="","",IF(NOTA[[#This Row],[FAKTUR]]="",INDIRECT(ADDRESS(ROW()-1,COLUMN())),NOTA[[#This Row],[FAKTUR]]))</f>
        <v>ARTO MORO</v>
      </c>
      <c r="AJ172" s="27">
        <f ca="1">IF(NOTA[[#This Row],[ID]]="","",COUNTIF(NOTA[ID_H],NOTA[[#This Row],[ID_H]]))</f>
        <v>2</v>
      </c>
      <c r="AK172" s="27">
        <f>IF(NOTA[[#This Row],[TGL.NOTA]]="",IF(NOTA[[#This Row],[SUPPLIER_H]]="","",AK171),MONTH(NOTA[[#This Row],[TGL.NOTA]]))</f>
        <v>5</v>
      </c>
      <c r="AL17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1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1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17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MORO23050306SA 4131545050kenkogluestick8grsmall</v>
      </c>
      <c r="AP172" s="27" t="e">
        <f>IF(NOTA[[#This Row],[CONCAT4]]="","",_xlfn.IFNA(MATCH(NOTA[[#This Row],[CONCAT4]],[2]!RAW[CONCAT_H],0),FALSE))</f>
        <v>#REF!</v>
      </c>
      <c r="AQ172" s="145">
        <f>IF(NOTA[[#This Row],[CONCAT1]]="","",MATCH(NOTA[[#This Row],[CONCAT1]],[3]!db[NB NOTA_C],0)+1)</f>
        <v>1298</v>
      </c>
    </row>
    <row r="173" spans="1:43" ht="20.100000000000001" customHeight="1" x14ac:dyDescent="0.25">
      <c r="A173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67" t="str">
        <f>IF(NOTA[[#This Row],[ID_P]]="","",MATCH(NOTA[[#This Row],[ID_P]],[1]!B_MSK[N_ID],0))</f>
        <v/>
      </c>
      <c r="D173" s="67">
        <f ca="1">IF(NOTA[[#This Row],[NAMA BARANG]]="","",INDEX(NOTA[ID],MATCH(,INDIRECT(ADDRESS(ROW(NOTA[ID]),COLUMN(NOTA[ID]))&amp;":"&amp;ADDRESS(ROW(),COLUMN(NOTA[ID]))),-1)))</f>
        <v>29</v>
      </c>
      <c r="E173" s="55"/>
      <c r="F173" s="16"/>
      <c r="G173" s="16"/>
      <c r="H173" s="20"/>
      <c r="I173" s="16"/>
      <c r="J173" s="56"/>
      <c r="K173" s="57"/>
      <c r="L173" s="16" t="s">
        <v>328</v>
      </c>
      <c r="M173" s="58">
        <v>1</v>
      </c>
      <c r="N173" s="57"/>
      <c r="O173" s="16"/>
      <c r="P173" s="59"/>
      <c r="Q173" s="60">
        <v>3801600</v>
      </c>
      <c r="R173" s="28"/>
      <c r="S173" s="61">
        <v>0.17</v>
      </c>
      <c r="T173" s="61"/>
      <c r="U173" s="62"/>
      <c r="V173" s="26"/>
      <c r="W173" s="62">
        <f>IF(NOTA[[#This Row],[HARGA/ CTN]]="",NOTA[[#This Row],[JUMLAH_H]],NOTA[[#This Row],[HARGA/ CTN]]*IF(NOTA[[#This Row],[C]]="",0,NOTA[[#This Row],[C]]))</f>
        <v>3801600</v>
      </c>
      <c r="X173" s="62">
        <f>IF(NOTA[[#This Row],[JUMLAH]]="","",NOTA[[#This Row],[JUMLAH]]*NOTA[[#This Row],[DISC 1]])</f>
        <v>646272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646272</v>
      </c>
      <c r="AA173" s="62">
        <f>IF(NOTA[[#This Row],[JUMLAH]]="","",NOTA[[#This Row],[JUMLAH]]-NOTA[[#This Row],[DISC]])</f>
        <v>3155328</v>
      </c>
      <c r="AB173" s="62"/>
      <c r="AC17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1050192</v>
      </c>
      <c r="AD17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5127408</v>
      </c>
      <c r="AE173" s="59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173" s="62" t="str">
        <f>IF(OR(NOTA[[#This Row],[QTY]]="",NOTA[[#This Row],[HARGA SATUAN]]="",),"",NOTA[[#This Row],[QTY]]*NOTA[[#This Row],[HARGA SATUAN]])</f>
        <v/>
      </c>
      <c r="AG173" s="56">
        <f ca="1">IF(NOTA[ID_H]="","",INDEX(NOTA[TANGGAL],MATCH(,INDIRECT(ADDRESS(ROW(NOTA[TANGGAL]),COLUMN(NOTA[TANGGAL]))&amp;":"&amp;ADDRESS(ROW(),COLUMN(NOTA[TANGGAL]))),-1)))</f>
        <v>45055</v>
      </c>
      <c r="AH173" s="59" t="str">
        <f ca="1">IF(NOTA[[#This Row],[NAMA BARANG]]="","",INDEX(NOTA[SUPPLIER],MATCH(,INDIRECT(ADDRESS(ROW(NOTA[ID]),COLUMN(NOTA[ID]))&amp;":"&amp;ADDRESS(ROW(),COLUMN(NOTA[ID]))),-1)))</f>
        <v>KENKO SINAR INDONESIA</v>
      </c>
      <c r="AI173" s="59" t="str">
        <f ca="1">IF(NOTA[[#This Row],[ID_H]]="","",IF(NOTA[[#This Row],[FAKTUR]]="",INDIRECT(ADDRESS(ROW()-1,COLUMN())),NOTA[[#This Row],[FAKTUR]]))</f>
        <v>ARTO MORO</v>
      </c>
      <c r="AJ173" s="27" t="str">
        <f ca="1">IF(NOTA[[#This Row],[ID]]="","",COUNTIF(NOTA[ID_H],NOTA[[#This Row],[ID_H]]))</f>
        <v/>
      </c>
      <c r="AK173" s="27">
        <f ca="1">IF(NOTA[[#This Row],[TGL.NOTA]]="",IF(NOTA[[#This Row],[SUPPLIER_H]]="","",AK172),MONTH(NOTA[[#This Row],[TGL.NOTA]]))</f>
        <v>5</v>
      </c>
      <c r="AL173" s="27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1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1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1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27" t="str">
        <f>IF(NOTA[[#This Row],[CONCAT4]]="","",_xlfn.IFNA(MATCH(NOTA[[#This Row],[CONCAT4]],[2]!RAW[CONCAT_H],0),FALSE))</f>
        <v/>
      </c>
      <c r="AQ173" s="145">
        <f>IF(NOTA[[#This Row],[CONCAT1]]="","",MATCH(NOTA[[#This Row],[CONCAT1]],[3]!db[NB NOTA_C],0)+1)</f>
        <v>1188</v>
      </c>
    </row>
    <row r="174" spans="1:43" ht="20.100000000000001" customHeight="1" x14ac:dyDescent="0.25">
      <c r="A174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6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67" t="str">
        <f>IF(NOTA[[#This Row],[ID_P]]="","",MATCH(NOTA[[#This Row],[ID_P]],[1]!B_MSK[N_ID],0))</f>
        <v/>
      </c>
      <c r="D174" s="67" t="str">
        <f ca="1">IF(NOTA[[#This Row],[NAMA BARANG]]="","",INDEX(NOTA[ID],MATCH(,INDIRECT(ADDRESS(ROW(NOTA[ID]),COLUMN(NOTA[ID]))&amp;":"&amp;ADDRESS(ROW(),COLUMN(NOTA[ID]))),-1)))</f>
        <v/>
      </c>
      <c r="E174" s="55"/>
      <c r="F174" s="57"/>
      <c r="G174" s="57"/>
      <c r="H174" s="63"/>
      <c r="I174" s="57"/>
      <c r="J174" s="56"/>
      <c r="K174" s="57"/>
      <c r="L174" s="16"/>
      <c r="M174" s="58"/>
      <c r="N174" s="57"/>
      <c r="O174" s="16"/>
      <c r="P174" s="59"/>
      <c r="Q174" s="60"/>
      <c r="R174" s="28"/>
      <c r="S174" s="61"/>
      <c r="T174" s="61"/>
      <c r="U174" s="62"/>
      <c r="V174" s="26"/>
      <c r="W174" s="62" t="str">
        <f>IF(NOTA[[#This Row],[HARGA/ CTN]]="",NOTA[[#This Row],[JUMLAH_H]],NOTA[[#This Row],[HARGA/ CTN]]*IF(NOTA[[#This Row],[C]]="",0,NOTA[[#This Row],[C]]))</f>
        <v/>
      </c>
      <c r="X174" s="62" t="str">
        <f>IF(NOTA[[#This Row],[JUMLAH]]="","",NOTA[[#This Row],[JUMLAH]]*NOTA[[#This Row],[DISC 1]])</f>
        <v/>
      </c>
      <c r="Y174" s="62" t="str">
        <f>IF(NOTA[[#This Row],[JUMLAH]]="","",(NOTA[[#This Row],[JUMLAH]]-NOTA[[#This Row],[DISC 1-]])*NOTA[[#This Row],[DISC 2]])</f>
        <v/>
      </c>
      <c r="Z174" s="62" t="str">
        <f>IF(NOTA[[#This Row],[JUMLAH]]="","",NOTA[[#This Row],[DISC 1-]]+NOTA[[#This Row],[DISC 2-]])</f>
        <v/>
      </c>
      <c r="AA174" s="62" t="str">
        <f>IF(NOTA[[#This Row],[JUMLAH]]="","",NOTA[[#This Row],[JUMLAH]]-NOTA[[#This Row],[DISC]])</f>
        <v/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4" s="62" t="str">
        <f>IF(OR(NOTA[[#This Row],[QTY]]="",NOTA[[#This Row],[HARGA SATUAN]]="",),"",NOTA[[#This Row],[QTY]]*NOTA[[#This Row],[HARGA SATUAN]])</f>
        <v/>
      </c>
      <c r="AG174" s="56" t="str">
        <f ca="1">IF(NOTA[ID_H]="","",INDEX(NOTA[TANGGAL],MATCH(,INDIRECT(ADDRESS(ROW(NOTA[TANGGAL]),COLUMN(NOTA[TANGGAL]))&amp;":"&amp;ADDRESS(ROW(),COLUMN(NOTA[TANGGAL]))),-1)))</f>
        <v/>
      </c>
      <c r="AH174" s="59" t="str">
        <f ca="1">IF(NOTA[[#This Row],[NAMA BARANG]]="","",INDEX(NOTA[SUPPLIER],MATCH(,INDIRECT(ADDRESS(ROW(NOTA[ID]),COLUMN(NOTA[ID]))&amp;":"&amp;ADDRESS(ROW(),COLUMN(NOTA[ID]))),-1)))</f>
        <v/>
      </c>
      <c r="AI174" s="59" t="str">
        <f ca="1">IF(NOTA[[#This Row],[ID_H]]="","",IF(NOTA[[#This Row],[FAKTUR]]="",INDIRECT(ADDRESS(ROW()-1,COLUMN())),NOTA[[#This Row],[FAKTUR]]))</f>
        <v/>
      </c>
      <c r="AJ174" s="27" t="str">
        <f ca="1">IF(NOTA[[#This Row],[ID]]="","",COUNTIF(NOTA[ID_H],NOTA[[#This Row],[ID_H]]))</f>
        <v/>
      </c>
      <c r="AK174" s="27" t="str">
        <f ca="1">IF(NOTA[[#This Row],[TGL.NOTA]]="",IF(NOTA[[#This Row],[SUPPLIER_H]]="","",AK173),MONTH(NOTA[[#This Row],[TGL.NOTA]]))</f>
        <v/>
      </c>
      <c r="AL174" s="27" t="str">
        <f>LOWER(SUBSTITUTE(SUBSTITUTE(SUBSTITUTE(SUBSTITUTE(SUBSTITUTE(SUBSTITUTE(SUBSTITUTE(SUBSTITUTE(SUBSTITUTE(NOTA[NAMA BARANG]," ",),".",""),"-",""),"(",""),")",""),",",""),"/",""),"""",""),"+",""))</f>
        <v/>
      </c>
      <c r="AM1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27" t="str">
        <f>IF(NOTA[[#This Row],[CONCAT4]]="","",_xlfn.IFNA(MATCH(NOTA[[#This Row],[CONCAT4]],[2]!RAW[CONCAT_H],0),FALSE))</f>
        <v/>
      </c>
      <c r="AQ174" s="145" t="str">
        <f>IF(NOTA[[#This Row],[CONCAT1]]="","",MATCH(NOTA[[#This Row],[CONCAT1]],[3]!db[NB NOTA_C],0)+1)</f>
        <v/>
      </c>
    </row>
    <row r="175" spans="1:43" ht="20.100000000000001" customHeight="1" x14ac:dyDescent="0.25">
      <c r="A175" s="59">
        <f ca="1">IF(INDIRECT(ADDRESS(ROW()-1,COLUMN(NOTA[[#Headers],[ID]])))="ID",1,IF(NOTA[[#This Row],[FAKTUR]]="","",COUNT(INDIRECT(ADDRESS(ROW(NOTA[ID]),COLUMN(NOTA[ID]))&amp;":"&amp;ADDRESS(ROW()-1,COLUMN(NOTA[ID]))))+1))</f>
        <v>30</v>
      </c>
      <c r="B175" s="6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ETJ_0905_723-9</v>
      </c>
      <c r="C175" s="67" t="e">
        <f ca="1">IF(NOTA[[#This Row],[ID_P]]="","",MATCH(NOTA[[#This Row],[ID_P]],[1]!B_MSK[N_ID],0))</f>
        <v>#REF!</v>
      </c>
      <c r="D175" s="67">
        <f ca="1">IF(NOTA[[#This Row],[NAMA BARANG]]="","",INDEX(NOTA[ID],MATCH(,INDIRECT(ADDRESS(ROW(NOTA[ID]),COLUMN(NOTA[ID]))&amp;":"&amp;ADDRESS(ROW(),COLUMN(NOTA[ID]))),-1)))</f>
        <v>30</v>
      </c>
      <c r="E175" s="55"/>
      <c r="F175" s="16" t="s">
        <v>331</v>
      </c>
      <c r="G175" s="16" t="s">
        <v>112</v>
      </c>
      <c r="H175" s="20" t="s">
        <v>332</v>
      </c>
      <c r="I175" s="16"/>
      <c r="J175" s="56">
        <v>45052</v>
      </c>
      <c r="K175" s="57"/>
      <c r="L175" s="16" t="s">
        <v>333</v>
      </c>
      <c r="M175" s="58">
        <v>5</v>
      </c>
      <c r="N175" s="57">
        <v>60</v>
      </c>
      <c r="O175" s="16" t="s">
        <v>146</v>
      </c>
      <c r="P175" s="59">
        <v>40000</v>
      </c>
      <c r="Q175" s="60"/>
      <c r="R175" s="28" t="s">
        <v>334</v>
      </c>
      <c r="S175" s="61"/>
      <c r="T175" s="61"/>
      <c r="U175" s="82"/>
      <c r="V175" s="65"/>
      <c r="W175" s="62">
        <f>IF(NOTA[[#This Row],[HARGA/ CTN]]="",NOTA[[#This Row],[JUMLAH_H]],NOTA[[#This Row],[HARGA/ CTN]]*IF(NOTA[[#This Row],[C]]="",0,NOTA[[#This Row],[C]]))</f>
        <v>2400000</v>
      </c>
      <c r="X175" s="62">
        <f>IF(NOTA[[#This Row],[JUMLAH]]="","",NOTA[[#This Row],[JUMLAH]]*NOTA[[#This Row],[DISC 1]])</f>
        <v>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0</v>
      </c>
      <c r="AA175" s="62">
        <f>IF(NOTA[[#This Row],[JUMLAH]]="","",NOTA[[#This Row],[JUMLAH]]-NOTA[[#This Row],[DISC]])</f>
        <v>2400000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9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75" s="62">
        <f>IF(OR(NOTA[[#This Row],[QTY]]="",NOTA[[#This Row],[HARGA SATUAN]]="",),"",NOTA[[#This Row],[QTY]]*NOTA[[#This Row],[HARGA SATUAN]])</f>
        <v>2400000</v>
      </c>
      <c r="AG175" s="56">
        <f ca="1">IF(NOTA[ID_H]="","",INDEX(NOTA[TANGGAL],MATCH(,INDIRECT(ADDRESS(ROW(NOTA[TANGGAL]),COLUMN(NOTA[TANGGAL]))&amp;":"&amp;ADDRESS(ROW(),COLUMN(NOTA[TANGGAL]))),-1)))</f>
        <v>45055</v>
      </c>
      <c r="AH175" s="59" t="str">
        <f ca="1">IF(NOTA[[#This Row],[NAMA BARANG]]="","",INDEX(NOTA[SUPPLIER],MATCH(,INDIRECT(ADDRESS(ROW(NOTA[ID]),COLUMN(NOTA[ID]))&amp;":"&amp;ADDRESS(ROW(),COLUMN(NOTA[ID]))),-1)))</f>
        <v>ETJ</v>
      </c>
      <c r="AI175" s="59" t="str">
        <f ca="1">IF(NOTA[[#This Row],[ID_H]]="","",IF(NOTA[[#This Row],[FAKTUR]]="",INDIRECT(ADDRESS(ROW()-1,COLUMN())),NOTA[[#This Row],[FAKTUR]]))</f>
        <v>UNTANA</v>
      </c>
      <c r="AJ175" s="27">
        <f ca="1">IF(NOTA[[#This Row],[ID]]="","",COUNTIF(NOTA[ID_H],NOTA[[#This Row],[ID_H]]))</f>
        <v>9</v>
      </c>
      <c r="AK175" s="27">
        <f>IF(NOTA[[#This Row],[TGL.NOTA]]="",IF(NOTA[[#This Row],[SUPPLIER_H]]="","",AK174),MONTH(NOTA[[#This Row],[TGL.NOTA]]))</f>
        <v>5</v>
      </c>
      <c r="AL175" s="27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1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1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17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ETJUNTANAG37.2345052entercboardantiapi</v>
      </c>
      <c r="AP175" s="27" t="e">
        <f>IF(NOTA[[#This Row],[CONCAT4]]="","",_xlfn.IFNA(MATCH(NOTA[[#This Row],[CONCAT4]],[2]!RAW[CONCAT_H],0),FALSE))</f>
        <v>#REF!</v>
      </c>
      <c r="AQ175" s="145" t="e">
        <f>IF(NOTA[[#This Row],[CONCAT1]]="","",MATCH(NOTA[[#This Row],[CONCAT1]],[3]!db[NB NOTA_C],0)+1)</f>
        <v>#N/A</v>
      </c>
    </row>
    <row r="176" spans="1:43" ht="20.100000000000001" customHeight="1" x14ac:dyDescent="0.25">
      <c r="A1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6" t="str">
        <f>IF(NOTA[[#This Row],[ID_P]]="","",MATCH(NOTA[[#This Row],[ID_P]],[1]!B_MSK[N_ID],0))</f>
        <v/>
      </c>
      <c r="D176" s="36">
        <f ca="1">IF(NOTA[[#This Row],[NAMA BARANG]]="","",INDEX(NOTA[ID],MATCH(,INDIRECT(ADDRESS(ROW(NOTA[ID]),COLUMN(NOTA[ID]))&amp;":"&amp;ADDRESS(ROW(),COLUMN(NOTA[ID]))),-1)))</f>
        <v>30</v>
      </c>
      <c r="E176" s="14"/>
      <c r="F176" s="16"/>
      <c r="G176" s="16"/>
      <c r="H176" s="20"/>
      <c r="I176" s="16"/>
      <c r="J176" s="37"/>
      <c r="K176" s="16"/>
      <c r="L176" s="16" t="s">
        <v>335</v>
      </c>
      <c r="M176" s="28">
        <v>3</v>
      </c>
      <c r="N176" s="16">
        <v>24</v>
      </c>
      <c r="O176" s="16" t="s">
        <v>146</v>
      </c>
      <c r="P176" s="35">
        <v>115000</v>
      </c>
      <c r="Q176" s="38"/>
      <c r="R176" s="28" t="s">
        <v>336</v>
      </c>
      <c r="S176" s="39"/>
      <c r="T176" s="39"/>
      <c r="U176" s="40"/>
      <c r="V176" s="26"/>
      <c r="W176" s="40">
        <f>IF(NOTA[[#This Row],[HARGA/ CTN]]="",NOTA[[#This Row],[JUMLAH_H]],NOTA[[#This Row],[HARGA/ CTN]]*IF(NOTA[[#This Row],[C]]="",0,NOTA[[#This Row],[C]]))</f>
        <v>2760000</v>
      </c>
      <c r="X176" s="40">
        <f>IF(NOTA[[#This Row],[JUMLAH]]="","",NOTA[[#This Row],[JUMLAH]]*NOTA[[#This Row],[DISC 1]])</f>
        <v>0</v>
      </c>
      <c r="Y176" s="40">
        <f>IF(NOTA[[#This Row],[JUMLAH]]="","",(NOTA[[#This Row],[JUMLAH]]-NOTA[[#This Row],[DISC 1-]])*NOTA[[#This Row],[DISC 2]])</f>
        <v>0</v>
      </c>
      <c r="Z176" s="40">
        <f>IF(NOTA[[#This Row],[JUMLAH]]="","",NOTA[[#This Row],[DISC 1-]]+NOTA[[#This Row],[DISC 2-]])</f>
        <v>0</v>
      </c>
      <c r="AA176" s="40">
        <f>IF(NOTA[[#This Row],[JUMLAH]]="","",NOTA[[#This Row],[JUMLAH]]-NOTA[[#This Row],[DISC]])</f>
        <v>2760000</v>
      </c>
      <c r="AB176" s="40"/>
      <c r="AC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35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176" s="40">
        <f>IF(OR(NOTA[[#This Row],[QTY]]="",NOTA[[#This Row],[HARGA SATUAN]]="",),"",NOTA[[#This Row],[QTY]]*NOTA[[#This Row],[HARGA SATUAN]])</f>
        <v>2760000</v>
      </c>
      <c r="AG176" s="37">
        <f ca="1">IF(NOTA[ID_H]="","",INDEX(NOTA[TANGGAL],MATCH(,INDIRECT(ADDRESS(ROW(NOTA[TANGGAL]),COLUMN(NOTA[TANGGAL]))&amp;":"&amp;ADDRESS(ROW(),COLUMN(NOTA[TANGGAL]))),-1)))</f>
        <v>45055</v>
      </c>
      <c r="AH176" s="35" t="str">
        <f ca="1">IF(NOTA[[#This Row],[NAMA BARANG]]="","",INDEX(NOTA[SUPPLIER],MATCH(,INDIRECT(ADDRESS(ROW(NOTA[ID]),COLUMN(NOTA[ID]))&amp;":"&amp;ADDRESS(ROW(),COLUMN(NOTA[ID]))),-1)))</f>
        <v>ETJ</v>
      </c>
      <c r="AI176" s="35" t="str">
        <f ca="1">IF(NOTA[[#This Row],[ID_H]]="","",IF(NOTA[[#This Row],[FAKTUR]]="",INDIRECT(ADDRESS(ROW()-1,COLUMN())),NOTA[[#This Row],[FAKTUR]]))</f>
        <v>UNTANA</v>
      </c>
      <c r="AJ176" s="27" t="str">
        <f ca="1">IF(NOTA[[#This Row],[ID]]="","",COUNTIF(NOTA[ID_H],NOTA[[#This Row],[ID_H]]))</f>
        <v/>
      </c>
      <c r="AK176" s="27">
        <f ca="1">IF(NOTA[[#This Row],[TGL.NOTA]]="",IF(NOTA[[#This Row],[SUPPLIER_H]]="","",AK175),MONTH(NOTA[[#This Row],[TGL.NOTA]]))</f>
        <v>5</v>
      </c>
      <c r="AL176" s="27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1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1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1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27" t="str">
        <f>IF(NOTA[[#This Row],[CONCAT4]]="","",_xlfn.IFNA(MATCH(NOTA[[#This Row],[CONCAT4]],[2]!RAW[CONCAT_H],0),FALSE))</f>
        <v/>
      </c>
      <c r="AQ176" s="145" t="e">
        <f>IF(NOTA[[#This Row],[CONCAT1]]="","",MATCH(NOTA[[#This Row],[CONCAT1]],[3]!db[NB NOTA_C],0)+1)</f>
        <v>#N/A</v>
      </c>
    </row>
    <row r="177" spans="1:43" ht="20.100000000000001" customHeight="1" x14ac:dyDescent="0.25">
      <c r="A1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6" t="str">
        <f>IF(NOTA[[#This Row],[ID_P]]="","",MATCH(NOTA[[#This Row],[ID_P]],[1]!B_MSK[N_ID],0))</f>
        <v/>
      </c>
      <c r="D177" s="36">
        <f ca="1">IF(NOTA[[#This Row],[NAMA BARANG]]="","",INDEX(NOTA[ID],MATCH(,INDIRECT(ADDRESS(ROW(NOTA[ID]),COLUMN(NOTA[ID]))&amp;":"&amp;ADDRESS(ROW(),COLUMN(NOTA[ID]))),-1)))</f>
        <v>30</v>
      </c>
      <c r="E177" s="14"/>
      <c r="F177" s="16"/>
      <c r="G177" s="16"/>
      <c r="H177" s="20"/>
      <c r="I177" s="16"/>
      <c r="J177" s="37"/>
      <c r="K177" s="16"/>
      <c r="L177" s="16" t="s">
        <v>337</v>
      </c>
      <c r="M177" s="28">
        <v>1</v>
      </c>
      <c r="N177" s="16">
        <v>70</v>
      </c>
      <c r="O177" s="16" t="s">
        <v>146</v>
      </c>
      <c r="P177" s="35">
        <v>26000</v>
      </c>
      <c r="Q177" s="38"/>
      <c r="R177" s="28"/>
      <c r="S177" s="39"/>
      <c r="T177" s="39"/>
      <c r="U177" s="40"/>
      <c r="V177" s="26"/>
      <c r="W177" s="40">
        <f>IF(NOTA[[#This Row],[HARGA/ CTN]]="",NOTA[[#This Row],[JUMLAH_H]],NOTA[[#This Row],[HARGA/ CTN]]*IF(NOTA[[#This Row],[C]]="",0,NOTA[[#This Row],[C]]))</f>
        <v>1820000</v>
      </c>
      <c r="X177" s="40">
        <f>IF(NOTA[[#This Row],[JUMLAH]]="","",NOTA[[#This Row],[JUMLAH]]*NOTA[[#This Row],[DISC 1]])</f>
        <v>0</v>
      </c>
      <c r="Y177" s="40">
        <f>IF(NOTA[[#This Row],[JUMLAH]]="","",(NOTA[[#This Row],[JUMLAH]]-NOTA[[#This Row],[DISC 1-]])*NOTA[[#This Row],[DISC 2]])</f>
        <v>0</v>
      </c>
      <c r="Z177" s="40">
        <f>IF(NOTA[[#This Row],[JUMLAH]]="","",NOTA[[#This Row],[DISC 1-]]+NOTA[[#This Row],[DISC 2-]])</f>
        <v>0</v>
      </c>
      <c r="AA177" s="40">
        <f>IF(NOTA[[#This Row],[JUMLAH]]="","",NOTA[[#This Row],[JUMLAH]]-NOTA[[#This Row],[DISC]])</f>
        <v>1820000</v>
      </c>
      <c r="AB177" s="40"/>
      <c r="AC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35">
        <f>IF(NOTA[[#This Row],[NAMA BARANG]]="","",IF(NOTA[[#This Row],[JUMLAH_H]]="",NOTA[[#This Row],[HARGA/ CTN]],NOTA[[#This Row],[QTY]]*NOTA[[#This Row],[HARGA SATUAN]]/IF(ISNUMBER(NOTA[[#This Row],[C]]),NOTA[[#This Row],[C]],1)))</f>
        <v>1820000</v>
      </c>
      <c r="AF177" s="40">
        <f>IF(OR(NOTA[[#This Row],[QTY]]="",NOTA[[#This Row],[HARGA SATUAN]]="",),"",NOTA[[#This Row],[QTY]]*NOTA[[#This Row],[HARGA SATUAN]])</f>
        <v>1820000</v>
      </c>
      <c r="AG177" s="37">
        <f ca="1">IF(NOTA[ID_H]="","",INDEX(NOTA[TANGGAL],MATCH(,INDIRECT(ADDRESS(ROW(NOTA[TANGGAL]),COLUMN(NOTA[TANGGAL]))&amp;":"&amp;ADDRESS(ROW(),COLUMN(NOTA[TANGGAL]))),-1)))</f>
        <v>45055</v>
      </c>
      <c r="AH177" s="35" t="str">
        <f ca="1">IF(NOTA[[#This Row],[NAMA BARANG]]="","",INDEX(NOTA[SUPPLIER],MATCH(,INDIRECT(ADDRESS(ROW(NOTA[ID]),COLUMN(NOTA[ID]))&amp;":"&amp;ADDRESS(ROW(),COLUMN(NOTA[ID]))),-1)))</f>
        <v>ETJ</v>
      </c>
      <c r="AI177" s="35" t="str">
        <f ca="1">IF(NOTA[[#This Row],[ID_H]]="","",IF(NOTA[[#This Row],[FAKTUR]]="",INDIRECT(ADDRESS(ROW()-1,COLUMN())),NOTA[[#This Row],[FAKTUR]]))</f>
        <v>UNTANA</v>
      </c>
      <c r="AJ177" s="27" t="str">
        <f ca="1">IF(NOTA[[#This Row],[ID]]="","",COUNTIF(NOTA[ID_H],NOTA[[#This Row],[ID_H]]))</f>
        <v/>
      </c>
      <c r="AK177" s="27" t="e">
        <f ca="1">IF(NOTA[[#This Row],[TGL.NOTA]]="",IF(NOTA[[#This Row],[SUPPLIER_H]]="","",#REF!),MONTH(NOTA[[#This Row],[TGL.NOTA]]))</f>
        <v>#REF!</v>
      </c>
      <c r="AL177" s="27" t="str">
        <f>LOWER(SUBSTITUTE(SUBSTITUTE(SUBSTITUTE(SUBSTITUTE(SUBSTITUTE(SUBSTITUTE(SUBSTITUTE(SUBSTITUTE(SUBSTITUTE(NOTA[NAMA BARANG]," ",),".",""),"-",""),"(",""),")",""),",",""),"/",""),"""",""),"+",""))</f>
        <v>grssablon290</v>
      </c>
      <c r="AM1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grssablon2901820000</v>
      </c>
      <c r="AN1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grssablon2901820000</v>
      </c>
      <c r="AO1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27" t="str">
        <f>IF(NOTA[[#This Row],[CONCAT4]]="","",_xlfn.IFNA(MATCH(NOTA[[#This Row],[CONCAT4]],[2]!RAW[CONCAT_H],0),FALSE))</f>
        <v/>
      </c>
      <c r="AQ177" s="145" t="e">
        <f>IF(NOTA[[#This Row],[CONCAT1]]="","",MATCH(NOTA[[#This Row],[CONCAT1]],[3]!db[NB NOTA_C],0)+1)</f>
        <v>#N/A</v>
      </c>
    </row>
    <row r="178" spans="1:43" ht="20.100000000000001" customHeight="1" x14ac:dyDescent="0.25">
      <c r="A1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6" t="str">
        <f>IF(NOTA[[#This Row],[ID_P]]="","",MATCH(NOTA[[#This Row],[ID_P]],[1]!B_MSK[N_ID],0))</f>
        <v/>
      </c>
      <c r="D178" s="36">
        <f ca="1">IF(NOTA[[#This Row],[NAMA BARANG]]="","",INDEX(NOTA[ID],MATCH(,INDIRECT(ADDRESS(ROW(NOTA[ID]),COLUMN(NOTA[ID]))&amp;":"&amp;ADDRESS(ROW(),COLUMN(NOTA[ID]))),-1)))</f>
        <v>30</v>
      </c>
      <c r="E178" s="14"/>
      <c r="F178" s="16"/>
      <c r="G178" s="16"/>
      <c r="H178" s="20"/>
      <c r="I178" s="16"/>
      <c r="J178" s="37"/>
      <c r="K178" s="16"/>
      <c r="L178" s="16" t="s">
        <v>338</v>
      </c>
      <c r="M178" s="28">
        <v>2</v>
      </c>
      <c r="N178" s="16">
        <v>960</v>
      </c>
      <c r="O178" s="16" t="s">
        <v>146</v>
      </c>
      <c r="P178" s="35">
        <v>7500</v>
      </c>
      <c r="Q178" s="38"/>
      <c r="R178" s="28" t="s">
        <v>344</v>
      </c>
      <c r="S178" s="39"/>
      <c r="T178" s="39"/>
      <c r="U178" s="40"/>
      <c r="V178" s="26"/>
      <c r="W178" s="40">
        <f>IF(NOTA[[#This Row],[HARGA/ CTN]]="",NOTA[[#This Row],[JUMLAH_H]],NOTA[[#This Row],[HARGA/ CTN]]*IF(NOTA[[#This Row],[C]]="",0,NOTA[[#This Row],[C]]))</f>
        <v>7200000</v>
      </c>
      <c r="X178" s="40">
        <f>IF(NOTA[[#This Row],[JUMLAH]]="","",NOTA[[#This Row],[JUMLAH]]*NOTA[[#This Row],[DISC 1]])</f>
        <v>0</v>
      </c>
      <c r="Y178" s="40">
        <f>IF(NOTA[[#This Row],[JUMLAH]]="","",(NOTA[[#This Row],[JUMLAH]]-NOTA[[#This Row],[DISC 1-]])*NOTA[[#This Row],[DISC 2]])</f>
        <v>0</v>
      </c>
      <c r="Z178" s="40">
        <f>IF(NOTA[[#This Row],[JUMLAH]]="","",NOTA[[#This Row],[DISC 1-]]+NOTA[[#This Row],[DISC 2-]])</f>
        <v>0</v>
      </c>
      <c r="AA178" s="40">
        <f>IF(NOTA[[#This Row],[JUMLAH]]="","",NOTA[[#This Row],[JUMLAH]]-NOTA[[#This Row],[DISC]])</f>
        <v>7200000</v>
      </c>
      <c r="AB178" s="40"/>
      <c r="AC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3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78" s="40">
        <f>IF(OR(NOTA[[#This Row],[QTY]]="",NOTA[[#This Row],[HARGA SATUAN]]="",),"",NOTA[[#This Row],[QTY]]*NOTA[[#This Row],[HARGA SATUAN]])</f>
        <v>7200000</v>
      </c>
      <c r="AG178" s="37">
        <f ca="1">IF(NOTA[ID_H]="","",INDEX(NOTA[TANGGAL],MATCH(,INDIRECT(ADDRESS(ROW(NOTA[TANGGAL]),COLUMN(NOTA[TANGGAL]))&amp;":"&amp;ADDRESS(ROW(),COLUMN(NOTA[TANGGAL]))),-1)))</f>
        <v>45055</v>
      </c>
      <c r="AH178" s="35" t="str">
        <f ca="1">IF(NOTA[[#This Row],[NAMA BARANG]]="","",INDEX(NOTA[SUPPLIER],MATCH(,INDIRECT(ADDRESS(ROW(NOTA[ID]),COLUMN(NOTA[ID]))&amp;":"&amp;ADDRESS(ROW(),COLUMN(NOTA[ID]))),-1)))</f>
        <v>ETJ</v>
      </c>
      <c r="AI178" s="35" t="str">
        <f ca="1">IF(NOTA[[#This Row],[ID_H]]="","",IF(NOTA[[#This Row],[FAKTUR]]="",INDIRECT(ADDRESS(ROW()-1,COLUMN())),NOTA[[#This Row],[FAKTUR]]))</f>
        <v>UNTANA</v>
      </c>
      <c r="AJ178" s="27" t="str">
        <f ca="1">IF(NOTA[[#This Row],[ID]]="","",COUNTIF(NOTA[ID_H],NOTA[[#This Row],[ID_H]]))</f>
        <v/>
      </c>
      <c r="AK178" s="27" t="e">
        <f ca="1">IF(NOTA[[#This Row],[TGL.NOTA]]="",IF(NOTA[[#This Row],[SUPPLIER_H]]="","",AK177),MONTH(NOTA[[#This Row],[TGL.NOTA]]))</f>
        <v>#REF!</v>
      </c>
      <c r="AL178" s="27" t="str">
        <f>LOWER(SUBSTITUTE(SUBSTITUTE(SUBSTITUTE(SUBSTITUTE(SUBSTITUTE(SUBSTITUTE(SUBSTITUTE(SUBSTITUTE(SUBSTITUTE(NOTA[NAMA BARANG]," ",),".",""),"-",""),"(",""),")",""),",",""),"/",""),"""",""),"+",""))</f>
        <v>enterbusurno4</v>
      </c>
      <c r="AM1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enterbusurno43600000</v>
      </c>
      <c r="AN1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enterbusurno43600000</v>
      </c>
      <c r="AO1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27" t="str">
        <f>IF(NOTA[[#This Row],[CONCAT4]]="","",_xlfn.IFNA(MATCH(NOTA[[#This Row],[CONCAT4]],[2]!RAW[CONCAT_H],0),FALSE))</f>
        <v/>
      </c>
      <c r="AQ178" s="145" t="e">
        <f>IF(NOTA[[#This Row],[CONCAT1]]="","",MATCH(NOTA[[#This Row],[CONCAT1]],[3]!db[NB NOTA_C],0)+1)</f>
        <v>#N/A</v>
      </c>
    </row>
    <row r="179" spans="1:43" ht="20.100000000000001" customHeight="1" x14ac:dyDescent="0.25">
      <c r="A17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6" t="str">
        <f>IF(NOTA[[#This Row],[ID_P]]="","",MATCH(NOTA[[#This Row],[ID_P]],[1]!B_MSK[N_ID],0))</f>
        <v/>
      </c>
      <c r="D179" s="36">
        <f ca="1">IF(NOTA[[#This Row],[NAMA BARANG]]="","",INDEX(NOTA[ID],MATCH(,INDIRECT(ADDRESS(ROW(NOTA[ID]),COLUMN(NOTA[ID]))&amp;":"&amp;ADDRESS(ROW(),COLUMN(NOTA[ID]))),-1)))</f>
        <v>30</v>
      </c>
      <c r="E179" s="14"/>
      <c r="F179" s="16"/>
      <c r="G179" s="16"/>
      <c r="H179" s="20"/>
      <c r="I179" s="16"/>
      <c r="J179" s="37"/>
      <c r="K179" s="16"/>
      <c r="L179" s="16" t="s">
        <v>339</v>
      </c>
      <c r="M179" s="28">
        <v>2</v>
      </c>
      <c r="N179" s="16">
        <v>20</v>
      </c>
      <c r="O179" s="16" t="s">
        <v>146</v>
      </c>
      <c r="P179" s="35">
        <v>85000</v>
      </c>
      <c r="Q179" s="38"/>
      <c r="R179" s="28" t="s">
        <v>345</v>
      </c>
      <c r="S179" s="39"/>
      <c r="T179" s="39"/>
      <c r="U179" s="40"/>
      <c r="V179" s="26"/>
      <c r="W179" s="40">
        <f>IF(NOTA[[#This Row],[HARGA/ CTN]]="",NOTA[[#This Row],[JUMLAH_H]],NOTA[[#This Row],[HARGA/ CTN]]*IF(NOTA[[#This Row],[C]]="",0,NOTA[[#This Row],[C]]))</f>
        <v>1700000</v>
      </c>
      <c r="X179" s="40">
        <f>IF(NOTA[[#This Row],[JUMLAH]]="","",NOTA[[#This Row],[JUMLAH]]*NOTA[[#This Row],[DISC 1]])</f>
        <v>0</v>
      </c>
      <c r="Y179" s="40">
        <f>IF(NOTA[[#This Row],[JUMLAH]]="","",(NOTA[[#This Row],[JUMLAH]]-NOTA[[#This Row],[DISC 1-]])*NOTA[[#This Row],[DISC 2]])</f>
        <v>0</v>
      </c>
      <c r="Z179" s="40">
        <f>IF(NOTA[[#This Row],[JUMLAH]]="","",NOTA[[#This Row],[DISC 1-]]+NOTA[[#This Row],[DISC 2-]])</f>
        <v>0</v>
      </c>
      <c r="AA179" s="40">
        <f>IF(NOTA[[#This Row],[JUMLAH]]="","",NOTA[[#This Row],[JUMLAH]]-NOTA[[#This Row],[DISC]])</f>
        <v>1700000</v>
      </c>
      <c r="AB179" s="40"/>
      <c r="AC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79" s="40">
        <f>IF(OR(NOTA[[#This Row],[QTY]]="",NOTA[[#This Row],[HARGA SATUAN]]="",),"",NOTA[[#This Row],[QTY]]*NOTA[[#This Row],[HARGA SATUAN]])</f>
        <v>1700000</v>
      </c>
      <c r="AG179" s="37">
        <f ca="1">IF(NOTA[ID_H]="","",INDEX(NOTA[TANGGAL],MATCH(,INDIRECT(ADDRESS(ROW(NOTA[TANGGAL]),COLUMN(NOTA[TANGGAL]))&amp;":"&amp;ADDRESS(ROW(),COLUMN(NOTA[TANGGAL]))),-1)))</f>
        <v>45055</v>
      </c>
      <c r="AH179" s="35" t="str">
        <f ca="1">IF(NOTA[[#This Row],[NAMA BARANG]]="","",INDEX(NOTA[SUPPLIER],MATCH(,INDIRECT(ADDRESS(ROW(NOTA[ID]),COLUMN(NOTA[ID]))&amp;":"&amp;ADDRESS(ROW(),COLUMN(NOTA[ID]))),-1)))</f>
        <v>ETJ</v>
      </c>
      <c r="AI179" s="35" t="str">
        <f ca="1">IF(NOTA[[#This Row],[ID_H]]="","",IF(NOTA[[#This Row],[FAKTUR]]="",INDIRECT(ADDRESS(ROW()-1,COLUMN())),NOTA[[#This Row],[FAKTUR]]))</f>
        <v>UNTANA</v>
      </c>
      <c r="AJ179" s="27" t="str">
        <f ca="1">IF(NOTA[[#This Row],[ID]]="","",COUNTIF(NOTA[ID_H],NOTA[[#This Row],[ID_H]]))</f>
        <v/>
      </c>
      <c r="AK179" s="27" t="e">
        <f ca="1">IF(NOTA[[#This Row],[TGL.NOTA]]="",IF(NOTA[[#This Row],[SUPPLIER_H]]="","",AK178),MONTH(NOTA[[#This Row],[TGL.NOTA]]))</f>
        <v>#REF!</v>
      </c>
      <c r="AL179" s="27" t="str">
        <f>LOWER(SUBSTITUTE(SUBSTITUTE(SUBSTITUTE(SUBSTITUTE(SUBSTITUTE(SUBSTITUTE(SUBSTITUTE(SUBSTITUTE(SUBSTITUTE(NOTA[NAMA BARANG]," ",),".",""),"-",""),"(",""),")",""),",",""),"/",""),"""",""),"+",""))</f>
        <v>enterbtspiralkembang</v>
      </c>
      <c r="AM1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enterbtspiralkembang850000</v>
      </c>
      <c r="AN1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enterbtspiralkembang850000</v>
      </c>
      <c r="AO1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27" t="str">
        <f>IF(NOTA[[#This Row],[CONCAT4]]="","",_xlfn.IFNA(MATCH(NOTA[[#This Row],[CONCAT4]],[2]!RAW[CONCAT_H],0),FALSE))</f>
        <v/>
      </c>
      <c r="AQ179" s="145" t="e">
        <f>IF(NOTA[[#This Row],[CONCAT1]]="","",MATCH(NOTA[[#This Row],[CONCAT1]],[3]!db[NB NOTA_C],0)+1)</f>
        <v>#N/A</v>
      </c>
    </row>
    <row r="180" spans="1:43" ht="20.100000000000001" customHeight="1" x14ac:dyDescent="0.25">
      <c r="A1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6" t="str">
        <f>IF(NOTA[[#This Row],[ID_P]]="","",MATCH(NOTA[[#This Row],[ID_P]],[1]!B_MSK[N_ID],0))</f>
        <v/>
      </c>
      <c r="D180" s="36">
        <f ca="1">IF(NOTA[[#This Row],[NAMA BARANG]]="","",INDEX(NOTA[ID],MATCH(,INDIRECT(ADDRESS(ROW(NOTA[ID]),COLUMN(NOTA[ID]))&amp;":"&amp;ADDRESS(ROW(),COLUMN(NOTA[ID]))),-1)))</f>
        <v>30</v>
      </c>
      <c r="E180" s="14"/>
      <c r="F180" s="16"/>
      <c r="G180" s="16"/>
      <c r="H180" s="20"/>
      <c r="I180" s="16"/>
      <c r="J180" s="37"/>
      <c r="K180" s="16"/>
      <c r="L180" s="16" t="s">
        <v>340</v>
      </c>
      <c r="M180" s="28">
        <v>2</v>
      </c>
      <c r="N180" s="16">
        <v>500</v>
      </c>
      <c r="O180" s="16" t="s">
        <v>160</v>
      </c>
      <c r="P180" s="35">
        <v>2500</v>
      </c>
      <c r="Q180" s="38"/>
      <c r="R180" s="28" t="s">
        <v>346</v>
      </c>
      <c r="S180" s="39"/>
      <c r="T180" s="39"/>
      <c r="U180" s="40"/>
      <c r="V180" s="26"/>
      <c r="W180" s="40">
        <f>IF(NOTA[[#This Row],[HARGA/ CTN]]="",NOTA[[#This Row],[JUMLAH_H]],NOTA[[#This Row],[HARGA/ CTN]]*IF(NOTA[[#This Row],[C]]="",0,NOTA[[#This Row],[C]]))</f>
        <v>1250000</v>
      </c>
      <c r="X180" s="40">
        <f>IF(NOTA[[#This Row],[JUMLAH]]="","",NOTA[[#This Row],[JUMLAH]]*NOTA[[#This Row],[DISC 1]])</f>
        <v>0</v>
      </c>
      <c r="Y180" s="40">
        <f>IF(NOTA[[#This Row],[JUMLAH]]="","",(NOTA[[#This Row],[JUMLAH]]-NOTA[[#This Row],[DISC 1-]])*NOTA[[#This Row],[DISC 2]])</f>
        <v>0</v>
      </c>
      <c r="Z180" s="40">
        <f>IF(NOTA[[#This Row],[JUMLAH]]="","",NOTA[[#This Row],[DISC 1-]]+NOTA[[#This Row],[DISC 2-]])</f>
        <v>0</v>
      </c>
      <c r="AA180" s="40">
        <f>IF(NOTA[[#This Row],[JUMLAH]]="","",NOTA[[#This Row],[JUMLAH]]-NOTA[[#This Row],[DISC]])</f>
        <v>1250000</v>
      </c>
      <c r="AB180" s="40"/>
      <c r="AC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35">
        <f>IF(NOTA[[#This Row],[NAMA BARANG]]="","",IF(NOTA[[#This Row],[JUMLAH_H]]="",NOTA[[#This Row],[HARGA/ CTN]],NOTA[[#This Row],[QTY]]*NOTA[[#This Row],[HARGA SATUAN]]/IF(ISNUMBER(NOTA[[#This Row],[C]]),NOTA[[#This Row],[C]],1)))</f>
        <v>625000</v>
      </c>
      <c r="AF180" s="40">
        <f>IF(OR(NOTA[[#This Row],[QTY]]="",NOTA[[#This Row],[HARGA SATUAN]]="",),"",NOTA[[#This Row],[QTY]]*NOTA[[#This Row],[HARGA SATUAN]])</f>
        <v>1250000</v>
      </c>
      <c r="AG180" s="37">
        <f ca="1">IF(NOTA[ID_H]="","",INDEX(NOTA[TANGGAL],MATCH(,INDIRECT(ADDRESS(ROW(NOTA[TANGGAL]),COLUMN(NOTA[TANGGAL]))&amp;":"&amp;ADDRESS(ROW(),COLUMN(NOTA[TANGGAL]))),-1)))</f>
        <v>45055</v>
      </c>
      <c r="AH180" s="35" t="str">
        <f ca="1">IF(NOTA[[#This Row],[NAMA BARANG]]="","",INDEX(NOTA[SUPPLIER],MATCH(,INDIRECT(ADDRESS(ROW(NOTA[ID]),COLUMN(NOTA[ID]))&amp;":"&amp;ADDRESS(ROW(),COLUMN(NOTA[ID]))),-1)))</f>
        <v>ETJ</v>
      </c>
      <c r="AI180" s="35" t="str">
        <f ca="1">IF(NOTA[[#This Row],[ID_H]]="","",IF(NOTA[[#This Row],[FAKTUR]]="",INDIRECT(ADDRESS(ROW()-1,COLUMN())),NOTA[[#This Row],[FAKTUR]]))</f>
        <v>UNTANA</v>
      </c>
      <c r="AJ180" s="27" t="str">
        <f ca="1">IF(NOTA[[#This Row],[ID]]="","",COUNTIF(NOTA[ID_H],NOTA[[#This Row],[ID_H]]))</f>
        <v/>
      </c>
      <c r="AK180" s="27" t="e">
        <f ca="1">IF(NOTA[[#This Row],[TGL.NOTA]]="",IF(NOTA[[#This Row],[SUPPLIER_H]]="","",AK179),MONTH(NOTA[[#This Row],[TGL.NOTA]]))</f>
        <v>#REF!</v>
      </c>
      <c r="AL180" s="27" t="str">
        <f>LOWER(SUBSTITUTE(SUBSTITUTE(SUBSTITUTE(SUBSTITUTE(SUBSTITUTE(SUBSTITUTE(SUBSTITUTE(SUBSTITUTE(SUBSTITUTE(NOTA[NAMA BARANG]," ",),".",""),"-",""),"(",""),")",""),",",""),"/",""),"""",""),"+",""))</f>
        <v>enterhangmap</v>
      </c>
      <c r="AM1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enterhangmap625000</v>
      </c>
      <c r="AN1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enterhangmap625000</v>
      </c>
      <c r="AO1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0" s="27" t="str">
        <f>IF(NOTA[[#This Row],[CONCAT4]]="","",_xlfn.IFNA(MATCH(NOTA[[#This Row],[CONCAT4]],[2]!RAW[CONCAT_H],0),FALSE))</f>
        <v/>
      </c>
      <c r="AQ180" s="145">
        <f>IF(NOTA[[#This Row],[CONCAT1]]="","",MATCH(NOTA[[#This Row],[CONCAT1]],[3]!db[NB NOTA_C],0)+1)</f>
        <v>730</v>
      </c>
    </row>
    <row r="181" spans="1:43" ht="20.100000000000001" customHeight="1" x14ac:dyDescent="0.25">
      <c r="A1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6" t="str">
        <f>IF(NOTA[[#This Row],[ID_P]]="","",MATCH(NOTA[[#This Row],[ID_P]],[1]!B_MSK[N_ID],0))</f>
        <v/>
      </c>
      <c r="D181" s="36">
        <f ca="1">IF(NOTA[[#This Row],[NAMA BARANG]]="","",INDEX(NOTA[ID],MATCH(,INDIRECT(ADDRESS(ROW(NOTA[ID]),COLUMN(NOTA[ID]))&amp;":"&amp;ADDRESS(ROW(),COLUMN(NOTA[ID]))),-1)))</f>
        <v>30</v>
      </c>
      <c r="E181" s="14"/>
      <c r="F181" s="16"/>
      <c r="G181" s="16"/>
      <c r="H181" s="20"/>
      <c r="I181" s="16"/>
      <c r="J181" s="37"/>
      <c r="K181" s="16"/>
      <c r="L181" s="16" t="s">
        <v>341</v>
      </c>
      <c r="M181" s="28">
        <v>2</v>
      </c>
      <c r="N181" s="16">
        <v>8000</v>
      </c>
      <c r="O181" s="16" t="s">
        <v>160</v>
      </c>
      <c r="P181" s="35">
        <v>600</v>
      </c>
      <c r="Q181" s="38"/>
      <c r="R181" s="28" t="s">
        <v>347</v>
      </c>
      <c r="S181" s="39"/>
      <c r="T181" s="39"/>
      <c r="U181" s="40"/>
      <c r="V181" s="26"/>
      <c r="W181" s="40">
        <f>IF(NOTA[[#This Row],[HARGA/ CTN]]="",NOTA[[#This Row],[JUMLAH_H]],NOTA[[#This Row],[HARGA/ CTN]]*IF(NOTA[[#This Row],[C]]="",0,NOTA[[#This Row],[C]]))</f>
        <v>4800000</v>
      </c>
      <c r="X181" s="40">
        <f>IF(NOTA[[#This Row],[JUMLAH]]="","",NOTA[[#This Row],[JUMLAH]]*NOTA[[#This Row],[DISC 1]])</f>
        <v>0</v>
      </c>
      <c r="Y181" s="40">
        <f>IF(NOTA[[#This Row],[JUMLAH]]="","",(NOTA[[#This Row],[JUMLAH]]-NOTA[[#This Row],[DISC 1-]])*NOTA[[#This Row],[DISC 2]])</f>
        <v>0</v>
      </c>
      <c r="Z181" s="40">
        <f>IF(NOTA[[#This Row],[JUMLAH]]="","",NOTA[[#This Row],[DISC 1-]]+NOTA[[#This Row],[DISC 2-]])</f>
        <v>0</v>
      </c>
      <c r="AA181" s="40">
        <f>IF(NOTA[[#This Row],[JUMLAH]]="","",NOTA[[#This Row],[JUMLAH]]-NOTA[[#This Row],[DISC]])</f>
        <v>4800000</v>
      </c>
      <c r="AB181" s="40"/>
      <c r="AC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181" s="40">
        <f>IF(OR(NOTA[[#This Row],[QTY]]="",NOTA[[#This Row],[HARGA SATUAN]]="",),"",NOTA[[#This Row],[QTY]]*NOTA[[#This Row],[HARGA SATUAN]])</f>
        <v>4800000</v>
      </c>
      <c r="AG181" s="37">
        <f ca="1">IF(NOTA[ID_H]="","",INDEX(NOTA[TANGGAL],MATCH(,INDIRECT(ADDRESS(ROW(NOTA[TANGGAL]),COLUMN(NOTA[TANGGAL]))&amp;":"&amp;ADDRESS(ROW(),COLUMN(NOTA[TANGGAL]))),-1)))</f>
        <v>45055</v>
      </c>
      <c r="AH181" s="35" t="str">
        <f ca="1">IF(NOTA[[#This Row],[NAMA BARANG]]="","",INDEX(NOTA[SUPPLIER],MATCH(,INDIRECT(ADDRESS(ROW(NOTA[ID]),COLUMN(NOTA[ID]))&amp;":"&amp;ADDRESS(ROW(),COLUMN(NOTA[ID]))),-1)))</f>
        <v>ETJ</v>
      </c>
      <c r="AI181" s="35" t="str">
        <f ca="1">IF(NOTA[[#This Row],[ID_H]]="","",IF(NOTA[[#This Row],[FAKTUR]]="",INDIRECT(ADDRESS(ROW()-1,COLUMN())),NOTA[[#This Row],[FAKTUR]]))</f>
        <v>UNTANA</v>
      </c>
      <c r="AJ181" s="27" t="str">
        <f ca="1">IF(NOTA[[#This Row],[ID]]="","",COUNTIF(NOTA[ID_H],NOTA[[#This Row],[ID_H]]))</f>
        <v/>
      </c>
      <c r="AK181" s="27" t="e">
        <f ca="1">IF(NOTA[[#This Row],[TGL.NOTA]]="",IF(NOTA[[#This Row],[SUPPLIER_H]]="","",AK180),MONTH(NOTA[[#This Row],[TGL.NOTA]]))</f>
        <v>#REF!</v>
      </c>
      <c r="AL181" s="27" t="str">
        <f>LOWER(SUBSTITUTE(SUBSTITUTE(SUBSTITUTE(SUBSTITUTE(SUBSTITUTE(SUBSTITUTE(SUBSTITUTE(SUBSTITUTE(SUBSTITUTE(NOTA[NAMA BARANG]," ",),".",""),"-",""),"(",""),")",""),",",""),"/",""),"""",""),"+",""))</f>
        <v>ntagdbiru300</v>
      </c>
      <c r="AM1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N1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O1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27" t="str">
        <f>IF(NOTA[[#This Row],[CONCAT4]]="","",_xlfn.IFNA(MATCH(NOTA[[#This Row],[CONCAT4]],[2]!RAW[CONCAT_H],0),FALSE))</f>
        <v/>
      </c>
      <c r="AQ181" s="145">
        <f>IF(NOTA[[#This Row],[CONCAT1]]="","",MATCH(NOTA[[#This Row],[CONCAT1]],[3]!db[NB NOTA_C],0)+1)</f>
        <v>1672</v>
      </c>
    </row>
    <row r="182" spans="1:43" ht="20.100000000000001" customHeight="1" x14ac:dyDescent="0.25">
      <c r="A1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6" t="str">
        <f>IF(NOTA[[#This Row],[ID_P]]="","",MATCH(NOTA[[#This Row],[ID_P]],[1]!B_MSK[N_ID],0))</f>
        <v/>
      </c>
      <c r="D182" s="36">
        <f ca="1">IF(NOTA[[#This Row],[NAMA BARANG]]="","",INDEX(NOTA[ID],MATCH(,INDIRECT(ADDRESS(ROW(NOTA[ID]),COLUMN(NOTA[ID]))&amp;":"&amp;ADDRESS(ROW(),COLUMN(NOTA[ID]))),-1)))</f>
        <v>30</v>
      </c>
      <c r="E182" s="14"/>
      <c r="F182" s="16"/>
      <c r="G182" s="16"/>
      <c r="H182" s="20"/>
      <c r="I182" s="16"/>
      <c r="J182" s="37"/>
      <c r="K182" s="16"/>
      <c r="L182" s="16" t="s">
        <v>342</v>
      </c>
      <c r="M182" s="28">
        <v>3</v>
      </c>
      <c r="N182" s="16">
        <v>360</v>
      </c>
      <c r="O182" s="16" t="s">
        <v>252</v>
      </c>
      <c r="P182" s="35">
        <v>14000</v>
      </c>
      <c r="Q182" s="38"/>
      <c r="R182" s="28">
        <v>14000</v>
      </c>
      <c r="S182" s="39"/>
      <c r="T182" s="39"/>
      <c r="U182" s="40"/>
      <c r="V182" s="26"/>
      <c r="W182" s="40">
        <f>IF(NOTA[[#This Row],[HARGA/ CTN]]="",NOTA[[#This Row],[JUMLAH_H]],NOTA[[#This Row],[HARGA/ CTN]]*IF(NOTA[[#This Row],[C]]="",0,NOTA[[#This Row],[C]]))</f>
        <v>5040000</v>
      </c>
      <c r="X182" s="40">
        <f>IF(NOTA[[#This Row],[JUMLAH]]="","",NOTA[[#This Row],[JUMLAH]]*NOTA[[#This Row],[DISC 1]])</f>
        <v>0</v>
      </c>
      <c r="Y182" s="40">
        <f>IF(NOTA[[#This Row],[JUMLAH]]="","",(NOTA[[#This Row],[JUMLAH]]-NOTA[[#This Row],[DISC 1-]])*NOTA[[#This Row],[DISC 2]])</f>
        <v>0</v>
      </c>
      <c r="Z182" s="40">
        <f>IF(NOTA[[#This Row],[JUMLAH]]="","",NOTA[[#This Row],[DISC 1-]]+NOTA[[#This Row],[DISC 2-]])</f>
        <v>0</v>
      </c>
      <c r="AA182" s="40">
        <f>IF(NOTA[[#This Row],[JUMLAH]]="","",NOTA[[#This Row],[JUMLAH]]-NOTA[[#This Row],[DISC]])</f>
        <v>5040000</v>
      </c>
      <c r="AB182" s="40"/>
      <c r="AC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3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82" s="40">
        <f>IF(OR(NOTA[[#This Row],[QTY]]="",NOTA[[#This Row],[HARGA SATUAN]]="",),"",NOTA[[#This Row],[QTY]]*NOTA[[#This Row],[HARGA SATUAN]])</f>
        <v>5040000</v>
      </c>
      <c r="AG182" s="37">
        <f ca="1">IF(NOTA[ID_H]="","",INDEX(NOTA[TANGGAL],MATCH(,INDIRECT(ADDRESS(ROW(NOTA[TANGGAL]),COLUMN(NOTA[TANGGAL]))&amp;":"&amp;ADDRESS(ROW(),COLUMN(NOTA[TANGGAL]))),-1)))</f>
        <v>45055</v>
      </c>
      <c r="AH182" s="35" t="str">
        <f ca="1">IF(NOTA[[#This Row],[NAMA BARANG]]="","",INDEX(NOTA[SUPPLIER],MATCH(,INDIRECT(ADDRESS(ROW(NOTA[ID]),COLUMN(NOTA[ID]))&amp;":"&amp;ADDRESS(ROW(),COLUMN(NOTA[ID]))),-1)))</f>
        <v>ETJ</v>
      </c>
      <c r="AI182" s="35" t="str">
        <f ca="1">IF(NOTA[[#This Row],[ID_H]]="","",IF(NOTA[[#This Row],[FAKTUR]]="",INDIRECT(ADDRESS(ROW()-1,COLUMN())),NOTA[[#This Row],[FAKTUR]]))</f>
        <v>UNTANA</v>
      </c>
      <c r="AJ182" s="27" t="str">
        <f ca="1">IF(NOTA[[#This Row],[ID]]="","",COUNTIF(NOTA[ID_H],NOTA[[#This Row],[ID_H]]))</f>
        <v/>
      </c>
      <c r="AK182" s="27" t="e">
        <f ca="1">IF(NOTA[[#This Row],[TGL.NOTA]]="",IF(NOTA[[#This Row],[SUPPLIER_H]]="","",#REF!),MONTH(NOTA[[#This Row],[TGL.NOTA]]))</f>
        <v>#REF!</v>
      </c>
      <c r="AL182" s="27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1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1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1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27" t="str">
        <f>IF(NOTA[[#This Row],[CONCAT4]]="","",_xlfn.IFNA(MATCH(NOTA[[#This Row],[CONCAT4]],[2]!RAW[CONCAT_H],0),FALSE))</f>
        <v/>
      </c>
      <c r="AQ182" s="145">
        <f>IF(NOTA[[#This Row],[CONCAT1]]="","",MATCH(NOTA[[#This Row],[CONCAT1]],[3]!db[NB NOTA_C],0)+1)</f>
        <v>725</v>
      </c>
    </row>
    <row r="183" spans="1:43" ht="20.100000000000001" customHeight="1" x14ac:dyDescent="0.25">
      <c r="A1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6" t="str">
        <f>IF(NOTA[[#This Row],[ID_P]]="","",MATCH(NOTA[[#This Row],[ID_P]],[1]!B_MSK[N_ID],0))</f>
        <v/>
      </c>
      <c r="D183" s="36">
        <f ca="1">IF(NOTA[[#This Row],[NAMA BARANG]]="","",INDEX(NOTA[ID],MATCH(,INDIRECT(ADDRESS(ROW(NOTA[ID]),COLUMN(NOTA[ID]))&amp;":"&amp;ADDRESS(ROW(),COLUMN(NOTA[ID]))),-1)))</f>
        <v>30</v>
      </c>
      <c r="E183" s="14"/>
      <c r="F183" s="16"/>
      <c r="G183" s="16"/>
      <c r="H183" s="20"/>
      <c r="I183" s="16"/>
      <c r="J183" s="37"/>
      <c r="K183" s="16"/>
      <c r="L183" s="16" t="s">
        <v>343</v>
      </c>
      <c r="M183" s="28"/>
      <c r="N183" s="16">
        <v>30</v>
      </c>
      <c r="O183" s="16" t="s">
        <v>252</v>
      </c>
      <c r="P183" s="35">
        <v>0</v>
      </c>
      <c r="Q183" s="38"/>
      <c r="R183" s="28"/>
      <c r="S183" s="39"/>
      <c r="T183" s="39"/>
      <c r="U183" s="40"/>
      <c r="V183" s="26" t="s">
        <v>181</v>
      </c>
      <c r="W183" s="40">
        <f>IF(NOTA[[#This Row],[HARGA/ CTN]]="",NOTA[[#This Row],[JUMLAH_H]],NOTA[[#This Row],[HARGA/ CTN]]*IF(NOTA[[#This Row],[C]]="",0,NOTA[[#This Row],[C]]))</f>
        <v>0</v>
      </c>
      <c r="X183" s="40">
        <f>IF(NOTA[[#This Row],[JUMLAH]]="","",NOTA[[#This Row],[JUMLAH]]*NOTA[[#This Row],[DISC 1]])</f>
        <v>0</v>
      </c>
      <c r="Y183" s="40">
        <f>IF(NOTA[[#This Row],[JUMLAH]]="","",(NOTA[[#This Row],[JUMLAH]]-NOTA[[#This Row],[DISC 1-]])*NOTA[[#This Row],[DISC 2]])</f>
        <v>0</v>
      </c>
      <c r="Z183" s="40">
        <f>IF(NOTA[[#This Row],[JUMLAH]]="","",NOTA[[#This Row],[DISC 1-]]+NOTA[[#This Row],[DISC 2-]])</f>
        <v>0</v>
      </c>
      <c r="AA183" s="40">
        <f>IF(NOTA[[#This Row],[JUMLAH]]="","",NOTA[[#This Row],[JUMLAH]]-NOTA[[#This Row],[DISC]])</f>
        <v>0</v>
      </c>
      <c r="AB183" s="40"/>
      <c r="AC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8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26970000</v>
      </c>
      <c r="AE18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83" s="40">
        <f>IF(OR(NOTA[[#This Row],[QTY]]="",NOTA[[#This Row],[HARGA SATUAN]]="",),"",NOTA[[#This Row],[QTY]]*NOTA[[#This Row],[HARGA SATUAN]])</f>
        <v>0</v>
      </c>
      <c r="AG183" s="37">
        <f ca="1">IF(NOTA[ID_H]="","",INDEX(NOTA[TANGGAL],MATCH(,INDIRECT(ADDRESS(ROW(NOTA[TANGGAL]),COLUMN(NOTA[TANGGAL]))&amp;":"&amp;ADDRESS(ROW(),COLUMN(NOTA[TANGGAL]))),-1)))</f>
        <v>45055</v>
      </c>
      <c r="AH183" s="35" t="str">
        <f ca="1">IF(NOTA[[#This Row],[NAMA BARANG]]="","",INDEX(NOTA[SUPPLIER],MATCH(,INDIRECT(ADDRESS(ROW(NOTA[ID]),COLUMN(NOTA[ID]))&amp;":"&amp;ADDRESS(ROW(),COLUMN(NOTA[ID]))),-1)))</f>
        <v>ETJ</v>
      </c>
      <c r="AI183" s="35" t="str">
        <f ca="1">IF(NOTA[[#This Row],[ID_H]]="","",IF(NOTA[[#This Row],[FAKTUR]]="",INDIRECT(ADDRESS(ROW()-1,COLUMN())),NOTA[[#This Row],[FAKTUR]]))</f>
        <v>UNTANA</v>
      </c>
      <c r="AJ183" s="27" t="str">
        <f ca="1">IF(NOTA[[#This Row],[ID]]="","",COUNTIF(NOTA[ID_H],NOTA[[#This Row],[ID_H]]))</f>
        <v/>
      </c>
      <c r="AK183" s="27" t="e">
        <f ca="1">IF(NOTA[[#This Row],[TGL.NOTA]]="",IF(NOTA[[#This Row],[SUPPLIER_H]]="","",AK182),MONTH(NOTA[[#This Row],[TGL.NOTA]]))</f>
        <v>#REF!</v>
      </c>
      <c r="AL183" s="27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1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1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1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27" t="str">
        <f>IF(NOTA[[#This Row],[CONCAT4]]="","",_xlfn.IFNA(MATCH(NOTA[[#This Row],[CONCAT4]],[2]!RAW[CONCAT_H],0),FALSE))</f>
        <v/>
      </c>
      <c r="AQ183" s="145" t="e">
        <f>IF(NOTA[[#This Row],[CONCAT1]]="","",MATCH(NOTA[[#This Row],[CONCAT1]],[3]!db[NB NOTA_C],0)+1)</f>
        <v>#N/A</v>
      </c>
    </row>
    <row r="184" spans="1:43" ht="20.100000000000001" customHeight="1" x14ac:dyDescent="0.25">
      <c r="A1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6" t="str">
        <f>IF(NOTA[[#This Row],[ID_P]]="","",MATCH(NOTA[[#This Row],[ID_P]],[1]!B_MSK[N_ID],0))</f>
        <v/>
      </c>
      <c r="D184" s="36" t="str">
        <f ca="1">IF(NOTA[[#This Row],[NAMA BARANG]]="","",INDEX(NOTA[ID],MATCH(,INDIRECT(ADDRESS(ROW(NOTA[ID]),COLUMN(NOTA[ID]))&amp;":"&amp;ADDRESS(ROW(),COLUMN(NOTA[ID]))),-1)))</f>
        <v/>
      </c>
      <c r="E184" s="14"/>
      <c r="F184" s="16"/>
      <c r="G184" s="16"/>
      <c r="H184" s="20"/>
      <c r="I184" s="16"/>
      <c r="J184" s="37"/>
      <c r="K184" s="16"/>
      <c r="L184" s="16"/>
      <c r="M184" s="28"/>
      <c r="N184" s="16"/>
      <c r="O184" s="16"/>
      <c r="P184" s="35"/>
      <c r="Q184" s="38"/>
      <c r="R184" s="28"/>
      <c r="S184" s="39"/>
      <c r="T184" s="39"/>
      <c r="U184" s="40"/>
      <c r="V184" s="26"/>
      <c r="W184" s="40" t="str">
        <f>IF(NOTA[[#This Row],[HARGA/ CTN]]="",NOTA[[#This Row],[JUMLAH_H]],NOTA[[#This Row],[HARGA/ CTN]]*IF(NOTA[[#This Row],[C]]="",0,NOTA[[#This Row],[C]]))</f>
        <v/>
      </c>
      <c r="X184" s="40" t="str">
        <f>IF(NOTA[[#This Row],[JUMLAH]]="","",NOTA[[#This Row],[JUMLAH]]*NOTA[[#This Row],[DISC 1]])</f>
        <v/>
      </c>
      <c r="Y184" s="40" t="str">
        <f>IF(NOTA[[#This Row],[JUMLAH]]="","",(NOTA[[#This Row],[JUMLAH]]-NOTA[[#This Row],[DISC 1-]])*NOTA[[#This Row],[DISC 2]])</f>
        <v/>
      </c>
      <c r="Z184" s="40" t="str">
        <f>IF(NOTA[[#This Row],[JUMLAH]]="","",NOTA[[#This Row],[DISC 1-]]+NOTA[[#This Row],[DISC 2-]])</f>
        <v/>
      </c>
      <c r="AA184" s="40" t="str">
        <f>IF(NOTA[[#This Row],[JUMLAH]]="","",NOTA[[#This Row],[JUMLAH]]-NOTA[[#This Row],[DISC]])</f>
        <v/>
      </c>
      <c r="AB184" s="40"/>
      <c r="AC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4" s="40" t="str">
        <f>IF(OR(NOTA[[#This Row],[QTY]]="",NOTA[[#This Row],[HARGA SATUAN]]="",),"",NOTA[[#This Row],[QTY]]*NOTA[[#This Row],[HARGA SATUAN]])</f>
        <v/>
      </c>
      <c r="AG184" s="37" t="str">
        <f ca="1">IF(NOTA[ID_H]="","",INDEX(NOTA[TANGGAL],MATCH(,INDIRECT(ADDRESS(ROW(NOTA[TANGGAL]),COLUMN(NOTA[TANGGAL]))&amp;":"&amp;ADDRESS(ROW(),COLUMN(NOTA[TANGGAL]))),-1)))</f>
        <v/>
      </c>
      <c r="AH184" s="35" t="str">
        <f ca="1">IF(NOTA[[#This Row],[NAMA BARANG]]="","",INDEX(NOTA[SUPPLIER],MATCH(,INDIRECT(ADDRESS(ROW(NOTA[ID]),COLUMN(NOTA[ID]))&amp;":"&amp;ADDRESS(ROW(),COLUMN(NOTA[ID]))),-1)))</f>
        <v/>
      </c>
      <c r="AI184" s="35" t="str">
        <f ca="1">IF(NOTA[[#This Row],[ID_H]]="","",IF(NOTA[[#This Row],[FAKTUR]]="",INDIRECT(ADDRESS(ROW()-1,COLUMN())),NOTA[[#This Row],[FAKTUR]]))</f>
        <v/>
      </c>
      <c r="AJ184" s="27" t="str">
        <f ca="1">IF(NOTA[[#This Row],[ID]]="","",COUNTIF(NOTA[ID_H],NOTA[[#This Row],[ID_H]]))</f>
        <v/>
      </c>
      <c r="AK184" s="27" t="str">
        <f ca="1">IF(NOTA[[#This Row],[TGL.NOTA]]="",IF(NOTA[[#This Row],[SUPPLIER_H]]="","",AK183),MONTH(NOTA[[#This Row],[TGL.NOTA]]))</f>
        <v/>
      </c>
      <c r="AL184" s="27" t="str">
        <f>LOWER(SUBSTITUTE(SUBSTITUTE(SUBSTITUTE(SUBSTITUTE(SUBSTITUTE(SUBSTITUTE(SUBSTITUTE(SUBSTITUTE(SUBSTITUTE(NOTA[NAMA BARANG]," ",),".",""),"-",""),"(",""),")",""),",",""),"/",""),"""",""),"+",""))</f>
        <v/>
      </c>
      <c r="AM1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27" t="str">
        <f>IF(NOTA[[#This Row],[CONCAT4]]="","",_xlfn.IFNA(MATCH(NOTA[[#This Row],[CONCAT4]],[2]!RAW[CONCAT_H],0),FALSE))</f>
        <v/>
      </c>
      <c r="AQ184" s="145" t="str">
        <f>IF(NOTA[[#This Row],[CONCAT1]]="","",MATCH(NOTA[[#This Row],[CONCAT1]],[3]!db[NB NOTA_C],0)+1)</f>
        <v/>
      </c>
    </row>
    <row r="185" spans="1:43" ht="20.100000000000001" customHeight="1" x14ac:dyDescent="0.25">
      <c r="A185" s="35">
        <f ca="1">IF(INDIRECT(ADDRESS(ROW()-1,COLUMN(NOTA[[#Headers],[ID]])))="ID",1,IF(NOTA[[#This Row],[FAKTUR]]="","",COUNT(INDIRECT(ADDRESS(ROW(NOTA[ID]),COLUMN(NOTA[ID]))&amp;":"&amp;ADDRESS(ROW()-1,COLUMN(NOTA[ID]))))+1))</f>
        <v>31</v>
      </c>
      <c r="B18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ETJ_0905_823-9</v>
      </c>
      <c r="C185" s="36" t="e">
        <f ca="1">IF(NOTA[[#This Row],[ID_P]]="","",MATCH(NOTA[[#This Row],[ID_P]],[1]!B_MSK[N_ID],0))</f>
        <v>#REF!</v>
      </c>
      <c r="D185" s="36">
        <f ca="1">IF(NOTA[[#This Row],[NAMA BARANG]]="","",INDEX(NOTA[ID],MATCH(,INDIRECT(ADDRESS(ROW(NOTA[ID]),COLUMN(NOTA[ID]))&amp;":"&amp;ADDRESS(ROW(),COLUMN(NOTA[ID]))),-1)))</f>
        <v>31</v>
      </c>
      <c r="E185" s="14"/>
      <c r="F185" s="16" t="s">
        <v>331</v>
      </c>
      <c r="G185" s="16" t="s">
        <v>112</v>
      </c>
      <c r="H185" s="20" t="s">
        <v>348</v>
      </c>
      <c r="I185" s="16"/>
      <c r="J185" s="37">
        <v>45052</v>
      </c>
      <c r="K185" s="16"/>
      <c r="L185" s="16" t="s">
        <v>349</v>
      </c>
      <c r="M185" s="28">
        <v>2</v>
      </c>
      <c r="N185" s="16">
        <v>120</v>
      </c>
      <c r="O185" s="16" t="s">
        <v>146</v>
      </c>
      <c r="P185" s="35">
        <v>17500</v>
      </c>
      <c r="Q185" s="38"/>
      <c r="R185" s="28" t="s">
        <v>350</v>
      </c>
      <c r="S185" s="39"/>
      <c r="T185" s="39"/>
      <c r="U185" s="40"/>
      <c r="V185" s="26"/>
      <c r="W185" s="40">
        <f>IF(NOTA[[#This Row],[HARGA/ CTN]]="",NOTA[[#This Row],[JUMLAH_H]],NOTA[[#This Row],[HARGA/ CTN]]*IF(NOTA[[#This Row],[C]]="",0,NOTA[[#This Row],[C]]))</f>
        <v>2100000</v>
      </c>
      <c r="X185" s="40">
        <f>IF(NOTA[[#This Row],[JUMLAH]]="","",NOTA[[#This Row],[JUMLAH]]*NOTA[[#This Row],[DISC 1]])</f>
        <v>0</v>
      </c>
      <c r="Y185" s="40">
        <f>IF(NOTA[[#This Row],[JUMLAH]]="","",(NOTA[[#This Row],[JUMLAH]]-NOTA[[#This Row],[DISC 1-]])*NOTA[[#This Row],[DISC 2]])</f>
        <v>0</v>
      </c>
      <c r="Z185" s="40">
        <f>IF(NOTA[[#This Row],[JUMLAH]]="","",NOTA[[#This Row],[DISC 1-]]+NOTA[[#This Row],[DISC 2-]])</f>
        <v>0</v>
      </c>
      <c r="AA185" s="40">
        <f>IF(NOTA[[#This Row],[JUMLAH]]="","",NOTA[[#This Row],[JUMLAH]]-NOTA[[#This Row],[DISC]])</f>
        <v>2100000</v>
      </c>
      <c r="AB185" s="40"/>
      <c r="AC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3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185" s="40">
        <f>IF(OR(NOTA[[#This Row],[QTY]]="",NOTA[[#This Row],[HARGA SATUAN]]="",),"",NOTA[[#This Row],[QTY]]*NOTA[[#This Row],[HARGA SATUAN]])</f>
        <v>2100000</v>
      </c>
      <c r="AG185" s="37">
        <f ca="1">IF(NOTA[ID_H]="","",INDEX(NOTA[TANGGAL],MATCH(,INDIRECT(ADDRESS(ROW(NOTA[TANGGAL]),COLUMN(NOTA[TANGGAL]))&amp;":"&amp;ADDRESS(ROW(),COLUMN(NOTA[TANGGAL]))),-1)))</f>
        <v>45055</v>
      </c>
      <c r="AH185" s="35" t="str">
        <f ca="1">IF(NOTA[[#This Row],[NAMA BARANG]]="","",INDEX(NOTA[SUPPLIER],MATCH(,INDIRECT(ADDRESS(ROW(NOTA[ID]),COLUMN(NOTA[ID]))&amp;":"&amp;ADDRESS(ROW(),COLUMN(NOTA[ID]))),-1)))</f>
        <v>ETJ</v>
      </c>
      <c r="AI185" s="35" t="str">
        <f ca="1">IF(NOTA[[#This Row],[ID_H]]="","",IF(NOTA[[#This Row],[FAKTUR]]="",INDIRECT(ADDRESS(ROW()-1,COLUMN())),NOTA[[#This Row],[FAKTUR]]))</f>
        <v>UNTANA</v>
      </c>
      <c r="AJ185" s="27">
        <f ca="1">IF(NOTA[[#This Row],[ID]]="","",COUNTIF(NOTA[ID_H],NOTA[[#This Row],[ID_H]]))</f>
        <v>9</v>
      </c>
      <c r="AK185" s="27">
        <f>IF(NOTA[[#This Row],[TGL.NOTA]]="",IF(NOTA[[#This Row],[SUPPLIER_H]]="","",AK184),MONTH(NOTA[[#This Row],[TGL.NOTA]]))</f>
        <v>5</v>
      </c>
      <c r="AL185" s="27" t="str">
        <f>LOWER(SUBSTITUTE(SUBSTITUTE(SUBSTITUTE(SUBSTITUTE(SUBSTITUTE(SUBSTITUTE(SUBSTITUTE(SUBSTITUTE(SUBSTITUTE(NOTA[NAMA BARANG]," ",),".",""),"-",""),"(",""),")",""),",",""),"/",""),"""",""),"+",""))</f>
        <v>enterwbk802</v>
      </c>
      <c r="AM1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enterwbk8021050000</v>
      </c>
      <c r="AN1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enterwbk8021050000</v>
      </c>
      <c r="AO18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ETJUNTANAG38.2345052enterwbk802</v>
      </c>
      <c r="AP185" s="27" t="e">
        <f>IF(NOTA[[#This Row],[CONCAT4]]="","",_xlfn.IFNA(MATCH(NOTA[[#This Row],[CONCAT4]],[2]!RAW[CONCAT_H],0),FALSE))</f>
        <v>#REF!</v>
      </c>
      <c r="AQ185" s="145">
        <f>IF(NOTA[[#This Row],[CONCAT1]]="","",MATCH(NOTA[[#This Row],[CONCAT1]],[3]!db[NB NOTA_C],0)+1)</f>
        <v>738</v>
      </c>
    </row>
    <row r="186" spans="1:43" ht="20.100000000000001" customHeight="1" x14ac:dyDescent="0.25">
      <c r="A186" s="5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6" t="str">
        <f>IF(NOTA[[#This Row],[ID_P]]="","",MATCH(NOTA[[#This Row],[ID_P]],[1]!B_MSK[N_ID],0))</f>
        <v/>
      </c>
      <c r="D186" s="36">
        <f ca="1">IF(NOTA[[#This Row],[NAMA BARANG]]="","",INDEX(NOTA[ID],MATCH(,INDIRECT(ADDRESS(ROW(NOTA[ID]),COLUMN(NOTA[ID]))&amp;":"&amp;ADDRESS(ROW(),COLUMN(NOTA[ID]))),-1)))</f>
        <v>31</v>
      </c>
      <c r="E186" s="14"/>
      <c r="F186" s="16"/>
      <c r="G186" s="16"/>
      <c r="H186" s="20"/>
      <c r="I186" s="16"/>
      <c r="J186" s="37"/>
      <c r="K186" s="16"/>
      <c r="L186" s="16" t="s">
        <v>351</v>
      </c>
      <c r="M186" s="28">
        <v>2</v>
      </c>
      <c r="N186" s="16">
        <v>96</v>
      </c>
      <c r="O186" s="16" t="s">
        <v>146</v>
      </c>
      <c r="P186" s="35">
        <v>27500</v>
      </c>
      <c r="Q186" s="38"/>
      <c r="R186" s="28" t="s">
        <v>284</v>
      </c>
      <c r="S186" s="39"/>
      <c r="T186" s="39"/>
      <c r="U186" s="40"/>
      <c r="V186" s="26"/>
      <c r="W186" s="40">
        <f>IF(NOTA[[#This Row],[HARGA/ CTN]]="",NOTA[[#This Row],[JUMLAH_H]],NOTA[[#This Row],[HARGA/ CTN]]*IF(NOTA[[#This Row],[C]]="",0,NOTA[[#This Row],[C]]))</f>
        <v>2640000</v>
      </c>
      <c r="X186" s="40">
        <f>IF(NOTA[[#This Row],[JUMLAH]]="","",NOTA[[#This Row],[JUMLAH]]*NOTA[[#This Row],[DISC 1]])</f>
        <v>0</v>
      </c>
      <c r="Y186" s="40">
        <f>IF(NOTA[[#This Row],[JUMLAH]]="","",(NOTA[[#This Row],[JUMLAH]]-NOTA[[#This Row],[DISC 1-]])*NOTA[[#This Row],[DISC 2]])</f>
        <v>0</v>
      </c>
      <c r="Z186" s="40">
        <f>IF(NOTA[[#This Row],[JUMLAH]]="","",NOTA[[#This Row],[DISC 1-]]+NOTA[[#This Row],[DISC 2-]])</f>
        <v>0</v>
      </c>
      <c r="AA186" s="40">
        <f>IF(NOTA[[#This Row],[JUMLAH]]="","",NOTA[[#This Row],[JUMLAH]]-NOTA[[#This Row],[DISC]])</f>
        <v>2640000</v>
      </c>
      <c r="AB186" s="40"/>
      <c r="AC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3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186" s="40">
        <f>IF(OR(NOTA[[#This Row],[QTY]]="",NOTA[[#This Row],[HARGA SATUAN]]="",),"",NOTA[[#This Row],[QTY]]*NOTA[[#This Row],[HARGA SATUAN]])</f>
        <v>2640000</v>
      </c>
      <c r="AG186" s="37">
        <f ca="1">IF(NOTA[ID_H]="","",INDEX(NOTA[TANGGAL],MATCH(,INDIRECT(ADDRESS(ROW(NOTA[TANGGAL]),COLUMN(NOTA[TANGGAL]))&amp;":"&amp;ADDRESS(ROW(),COLUMN(NOTA[TANGGAL]))),-1)))</f>
        <v>45055</v>
      </c>
      <c r="AH186" s="35" t="str">
        <f ca="1">IF(NOTA[[#This Row],[NAMA BARANG]]="","",INDEX(NOTA[SUPPLIER],MATCH(,INDIRECT(ADDRESS(ROW(NOTA[ID]),COLUMN(NOTA[ID]))&amp;":"&amp;ADDRESS(ROW(),COLUMN(NOTA[ID]))),-1)))</f>
        <v>ETJ</v>
      </c>
      <c r="AI186" s="35" t="str">
        <f ca="1">IF(NOTA[[#This Row],[ID_H]]="","",IF(NOTA[[#This Row],[FAKTUR]]="",INDIRECT(ADDRESS(ROW()-1,COLUMN())),NOTA[[#This Row],[FAKTUR]]))</f>
        <v>UNTANA</v>
      </c>
      <c r="AJ186" s="27" t="str">
        <f ca="1">IF(NOTA[[#This Row],[ID]]="","",COUNTIF(NOTA[ID_H],NOTA[[#This Row],[ID_H]]))</f>
        <v/>
      </c>
      <c r="AK186" s="27">
        <f ca="1">IF(NOTA[[#This Row],[TGL.NOTA]]="",IF(NOTA[[#This Row],[SUPPLIER_H]]="","",AK185),MONTH(NOTA[[#This Row],[TGL.NOTA]]))</f>
        <v>5</v>
      </c>
      <c r="AL186" s="27" t="str">
        <f>LOWER(SUBSTITUTE(SUBSTITUTE(SUBSTITUTE(SUBSTITUTE(SUBSTITUTE(SUBSTITUTE(SUBSTITUTE(SUBSTITUTE(SUBSTITUTE(NOTA[NAMA BARANG]," ",),".",""),"-",""),"(",""),")",""),",",""),"/",""),"""",""),"+",""))</f>
        <v>enterwbb803</v>
      </c>
      <c r="AM1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1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1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27" t="str">
        <f>IF(NOTA[[#This Row],[CONCAT4]]="","",_xlfn.IFNA(MATCH(NOTA[[#This Row],[CONCAT4]],[2]!RAW[CONCAT_H],0),FALSE))</f>
        <v/>
      </c>
      <c r="AQ186" s="145">
        <f>IF(NOTA[[#This Row],[CONCAT1]]="","",MATCH(NOTA[[#This Row],[CONCAT1]],[3]!db[NB NOTA_C],0)+1)</f>
        <v>737</v>
      </c>
    </row>
    <row r="187" spans="1:43" ht="20.100000000000001" customHeight="1" x14ac:dyDescent="0.25">
      <c r="A1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6" t="str">
        <f>IF(NOTA[[#This Row],[ID_P]]="","",MATCH(NOTA[[#This Row],[ID_P]],[1]!B_MSK[N_ID],0))</f>
        <v/>
      </c>
      <c r="D187" s="36">
        <f ca="1">IF(NOTA[[#This Row],[NAMA BARANG]]="","",INDEX(NOTA[ID],MATCH(,INDIRECT(ADDRESS(ROW(NOTA[ID]),COLUMN(NOTA[ID]))&amp;":"&amp;ADDRESS(ROW(),COLUMN(NOTA[ID]))),-1)))</f>
        <v>31</v>
      </c>
      <c r="E187" s="14"/>
      <c r="F187" s="16"/>
      <c r="G187" s="16"/>
      <c r="H187" s="20"/>
      <c r="I187" s="16"/>
      <c r="J187" s="37"/>
      <c r="K187" s="16"/>
      <c r="L187" s="16" t="s">
        <v>352</v>
      </c>
      <c r="M187" s="28">
        <v>2</v>
      </c>
      <c r="N187" s="16">
        <v>120</v>
      </c>
      <c r="O187" s="16" t="s">
        <v>146</v>
      </c>
      <c r="P187" s="35">
        <v>27500</v>
      </c>
      <c r="Q187" s="38"/>
      <c r="R187" s="28" t="s">
        <v>350</v>
      </c>
      <c r="S187" s="39"/>
      <c r="T187" s="39"/>
      <c r="U187" s="40"/>
      <c r="V187" s="26"/>
      <c r="W187" s="40">
        <f>IF(NOTA[[#This Row],[HARGA/ CTN]]="",NOTA[[#This Row],[JUMLAH_H]],NOTA[[#This Row],[HARGA/ CTN]]*IF(NOTA[[#This Row],[C]]="",0,NOTA[[#This Row],[C]]))</f>
        <v>3300000</v>
      </c>
      <c r="X187" s="40">
        <f>IF(NOTA[[#This Row],[JUMLAH]]="","",NOTA[[#This Row],[JUMLAH]]*NOTA[[#This Row],[DISC 1]])</f>
        <v>0</v>
      </c>
      <c r="Y187" s="40">
        <f>IF(NOTA[[#This Row],[JUMLAH]]="","",(NOTA[[#This Row],[JUMLAH]]-NOTA[[#This Row],[DISC 1-]])*NOTA[[#This Row],[DISC 2]])</f>
        <v>0</v>
      </c>
      <c r="Z187" s="40">
        <f>IF(NOTA[[#This Row],[JUMLAH]]="","",NOTA[[#This Row],[DISC 1-]]+NOTA[[#This Row],[DISC 2-]])</f>
        <v>0</v>
      </c>
      <c r="AA187" s="40">
        <f>IF(NOTA[[#This Row],[JUMLAH]]="","",NOTA[[#This Row],[JUMLAH]]-NOTA[[#This Row],[DISC]])</f>
        <v>3300000</v>
      </c>
      <c r="AB187" s="40"/>
      <c r="AC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3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187" s="40">
        <f>IF(OR(NOTA[[#This Row],[QTY]]="",NOTA[[#This Row],[HARGA SATUAN]]="",),"",NOTA[[#This Row],[QTY]]*NOTA[[#This Row],[HARGA SATUAN]])</f>
        <v>3300000</v>
      </c>
      <c r="AG187" s="37">
        <f ca="1">IF(NOTA[ID_H]="","",INDEX(NOTA[TANGGAL],MATCH(,INDIRECT(ADDRESS(ROW(NOTA[TANGGAL]),COLUMN(NOTA[TANGGAL]))&amp;":"&amp;ADDRESS(ROW(),COLUMN(NOTA[TANGGAL]))),-1)))</f>
        <v>45055</v>
      </c>
      <c r="AH187" s="35" t="str">
        <f ca="1">IF(NOTA[[#This Row],[NAMA BARANG]]="","",INDEX(NOTA[SUPPLIER],MATCH(,INDIRECT(ADDRESS(ROW(NOTA[ID]),COLUMN(NOTA[ID]))&amp;":"&amp;ADDRESS(ROW(),COLUMN(NOTA[ID]))),-1)))</f>
        <v>ETJ</v>
      </c>
      <c r="AI187" s="35" t="str">
        <f ca="1">IF(NOTA[[#This Row],[ID_H]]="","",IF(NOTA[[#This Row],[FAKTUR]]="",INDIRECT(ADDRESS(ROW()-1,COLUMN())),NOTA[[#This Row],[FAKTUR]]))</f>
        <v>UNTANA</v>
      </c>
      <c r="AJ187" s="27" t="str">
        <f ca="1">IF(NOTA[[#This Row],[ID]]="","",COUNTIF(NOTA[ID_H],NOTA[[#This Row],[ID_H]]))</f>
        <v/>
      </c>
      <c r="AK187" s="27">
        <f ca="1">IF(NOTA[[#This Row],[TGL.NOTA]]="",IF(NOTA[[#This Row],[SUPPLIER_H]]="","",AK186),MONTH(NOTA[[#This Row],[TGL.NOTA]]))</f>
        <v>5</v>
      </c>
      <c r="AL187" s="27" t="str">
        <f>LOWER(SUBSTITUTE(SUBSTITUTE(SUBSTITUTE(SUBSTITUTE(SUBSTITUTE(SUBSTITUTE(SUBSTITUTE(SUBSTITUTE(SUBSTITUTE(NOTA[NAMA BARANG]," ",),".",""),"-",""),"(",""),")",""),",",""),"/",""),"""",""),"+",""))</f>
        <v>kojikosegitigano6</v>
      </c>
      <c r="AM1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N1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O1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27" t="str">
        <f>IF(NOTA[[#This Row],[CONCAT4]]="","",_xlfn.IFNA(MATCH(NOTA[[#This Row],[CONCAT4]],[2]!RAW[CONCAT_H],0),FALSE))</f>
        <v/>
      </c>
      <c r="AQ187" s="145" t="e">
        <f>IF(NOTA[[#This Row],[CONCAT1]]="","",MATCH(NOTA[[#This Row],[CONCAT1]],[3]!db[NB NOTA_C],0)+1)</f>
        <v>#N/A</v>
      </c>
    </row>
    <row r="188" spans="1:43" ht="20.100000000000001" customHeight="1" x14ac:dyDescent="0.25">
      <c r="A1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6" t="str">
        <f>IF(NOTA[[#This Row],[ID_P]]="","",MATCH(NOTA[[#This Row],[ID_P]],[1]!B_MSK[N_ID],0))</f>
        <v/>
      </c>
      <c r="D188" s="36">
        <f ca="1">IF(NOTA[[#This Row],[NAMA BARANG]]="","",INDEX(NOTA[ID],MATCH(,INDIRECT(ADDRESS(ROW(NOTA[ID]),COLUMN(NOTA[ID]))&amp;":"&amp;ADDRESS(ROW(),COLUMN(NOTA[ID]))),-1)))</f>
        <v>31</v>
      </c>
      <c r="E188" s="14"/>
      <c r="F188" s="16"/>
      <c r="G188" s="16"/>
      <c r="H188" s="20"/>
      <c r="I188" s="16"/>
      <c r="J188" s="37"/>
      <c r="K188" s="16"/>
      <c r="L188" s="16" t="s">
        <v>353</v>
      </c>
      <c r="M188" s="28">
        <v>2</v>
      </c>
      <c r="N188" s="16">
        <v>48</v>
      </c>
      <c r="O188" s="16" t="s">
        <v>146</v>
      </c>
      <c r="P188" s="35">
        <v>67500</v>
      </c>
      <c r="Q188" s="38"/>
      <c r="R188" s="28" t="s">
        <v>277</v>
      </c>
      <c r="S188" s="39"/>
      <c r="T188" s="39"/>
      <c r="U188" s="40"/>
      <c r="V188" s="26"/>
      <c r="W188" s="40">
        <f>IF(NOTA[[#This Row],[HARGA/ CTN]]="",NOTA[[#This Row],[JUMLAH_H]],NOTA[[#This Row],[HARGA/ CTN]]*IF(NOTA[[#This Row],[C]]="",0,NOTA[[#This Row],[C]]))</f>
        <v>3240000</v>
      </c>
      <c r="X188" s="40">
        <f>IF(NOTA[[#This Row],[JUMLAH]]="","",NOTA[[#This Row],[JUMLAH]]*NOTA[[#This Row],[DISC 1]])</f>
        <v>0</v>
      </c>
      <c r="Y188" s="40">
        <f>IF(NOTA[[#This Row],[JUMLAH]]="","",(NOTA[[#This Row],[JUMLAH]]-NOTA[[#This Row],[DISC 1-]])*NOTA[[#This Row],[DISC 2]])</f>
        <v>0</v>
      </c>
      <c r="Z188" s="40">
        <f>IF(NOTA[[#This Row],[JUMLAH]]="","",NOTA[[#This Row],[DISC 1-]]+NOTA[[#This Row],[DISC 2-]])</f>
        <v>0</v>
      </c>
      <c r="AA188" s="40">
        <f>IF(NOTA[[#This Row],[JUMLAH]]="","",NOTA[[#This Row],[JUMLAH]]-NOTA[[#This Row],[DISC]])</f>
        <v>3240000</v>
      </c>
      <c r="AB188" s="40"/>
      <c r="AC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35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88" s="40">
        <f>IF(OR(NOTA[[#This Row],[QTY]]="",NOTA[[#This Row],[HARGA SATUAN]]="",),"",NOTA[[#This Row],[QTY]]*NOTA[[#This Row],[HARGA SATUAN]])</f>
        <v>3240000</v>
      </c>
      <c r="AG188" s="37">
        <f ca="1">IF(NOTA[ID_H]="","",INDEX(NOTA[TANGGAL],MATCH(,INDIRECT(ADDRESS(ROW(NOTA[TANGGAL]),COLUMN(NOTA[TANGGAL]))&amp;":"&amp;ADDRESS(ROW(),COLUMN(NOTA[TANGGAL]))),-1)))</f>
        <v>45055</v>
      </c>
      <c r="AH188" s="35" t="str">
        <f ca="1">IF(NOTA[[#This Row],[NAMA BARANG]]="","",INDEX(NOTA[SUPPLIER],MATCH(,INDIRECT(ADDRESS(ROW(NOTA[ID]),COLUMN(NOTA[ID]))&amp;":"&amp;ADDRESS(ROW(),COLUMN(NOTA[ID]))),-1)))</f>
        <v>ETJ</v>
      </c>
      <c r="AI188" s="35" t="str">
        <f ca="1">IF(NOTA[[#This Row],[ID_H]]="","",IF(NOTA[[#This Row],[FAKTUR]]="",INDIRECT(ADDRESS(ROW()-1,COLUMN())),NOTA[[#This Row],[FAKTUR]]))</f>
        <v>UNTANA</v>
      </c>
      <c r="AJ188" s="27" t="str">
        <f ca="1">IF(NOTA[[#This Row],[ID]]="","",COUNTIF(NOTA[ID_H],NOTA[[#This Row],[ID_H]]))</f>
        <v/>
      </c>
      <c r="AK188" s="27">
        <f ca="1">IF(NOTA[[#This Row],[TGL.NOTA]]="",IF(NOTA[[#This Row],[SUPPLIER_H]]="","",AK187),MONTH(NOTA[[#This Row],[TGL.NOTA]]))</f>
        <v>5</v>
      </c>
      <c r="AL188" s="27" t="str">
        <f>LOWER(SUBSTITUTE(SUBSTITUTE(SUBSTITUTE(SUBSTITUTE(SUBSTITUTE(SUBSTITUTE(SUBSTITUTE(SUBSTITUTE(SUBSTITUTE(NOTA[NAMA BARANG]," ",),".",""),"-",""),"(",""),")",""),",",""),"/",""),"""",""),"+",""))</f>
        <v>kojikosegitigano8</v>
      </c>
      <c r="AM1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N1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O1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27" t="str">
        <f>IF(NOTA[[#This Row],[CONCAT4]]="","",_xlfn.IFNA(MATCH(NOTA[[#This Row],[CONCAT4]],[2]!RAW[CONCAT_H],0),FALSE))</f>
        <v/>
      </c>
      <c r="AQ188" s="145">
        <f>IF(NOTA[[#This Row],[CONCAT1]]="","",MATCH(NOTA[[#This Row],[CONCAT1]],[3]!db[NB NOTA_C],0)+1)</f>
        <v>1451</v>
      </c>
    </row>
    <row r="189" spans="1:43" ht="20.100000000000001" customHeight="1" x14ac:dyDescent="0.25">
      <c r="A1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6" t="str">
        <f>IF(NOTA[[#This Row],[ID_P]]="","",MATCH(NOTA[[#This Row],[ID_P]],[1]!B_MSK[N_ID],0))</f>
        <v/>
      </c>
      <c r="D189" s="36">
        <f ca="1">IF(NOTA[[#This Row],[NAMA BARANG]]="","",INDEX(NOTA[ID],MATCH(,INDIRECT(ADDRESS(ROW(NOTA[ID]),COLUMN(NOTA[ID]))&amp;":"&amp;ADDRESS(ROW(),COLUMN(NOTA[ID]))),-1)))</f>
        <v>31</v>
      </c>
      <c r="E189" s="14"/>
      <c r="F189" s="16"/>
      <c r="G189" s="16"/>
      <c r="H189" s="20"/>
      <c r="I189" s="16"/>
      <c r="J189" s="37"/>
      <c r="K189" s="16"/>
      <c r="L189" s="16" t="s">
        <v>354</v>
      </c>
      <c r="M189" s="28">
        <v>2</v>
      </c>
      <c r="N189" s="16">
        <v>32</v>
      </c>
      <c r="O189" s="16" t="s">
        <v>146</v>
      </c>
      <c r="P189" s="35">
        <v>85000</v>
      </c>
      <c r="Q189" s="38"/>
      <c r="R189" s="28" t="s">
        <v>355</v>
      </c>
      <c r="S189" s="39"/>
      <c r="T189" s="39"/>
      <c r="U189" s="40"/>
      <c r="V189" s="26"/>
      <c r="W189" s="40">
        <f>IF(NOTA[[#This Row],[HARGA/ CTN]]="",NOTA[[#This Row],[JUMLAH_H]],NOTA[[#This Row],[HARGA/ CTN]]*IF(NOTA[[#This Row],[C]]="",0,NOTA[[#This Row],[C]]))</f>
        <v>2720000</v>
      </c>
      <c r="X189" s="40">
        <f>IF(NOTA[[#This Row],[JUMLAH]]="","",NOTA[[#This Row],[JUMLAH]]*NOTA[[#This Row],[DISC 1]])</f>
        <v>0</v>
      </c>
      <c r="Y189" s="40">
        <f>IF(NOTA[[#This Row],[JUMLAH]]="","",(NOTA[[#This Row],[JUMLAH]]-NOTA[[#This Row],[DISC 1-]])*NOTA[[#This Row],[DISC 2]])</f>
        <v>0</v>
      </c>
      <c r="Z189" s="40">
        <f>IF(NOTA[[#This Row],[JUMLAH]]="","",NOTA[[#This Row],[DISC 1-]]+NOTA[[#This Row],[DISC 2-]])</f>
        <v>0</v>
      </c>
      <c r="AA189" s="40">
        <f>IF(NOTA[[#This Row],[JUMLAH]]="","",NOTA[[#This Row],[JUMLAH]]-NOTA[[#This Row],[DISC]])</f>
        <v>2720000</v>
      </c>
      <c r="AB189" s="40"/>
      <c r="AC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3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189" s="40">
        <f>IF(OR(NOTA[[#This Row],[QTY]]="",NOTA[[#This Row],[HARGA SATUAN]]="",),"",NOTA[[#This Row],[QTY]]*NOTA[[#This Row],[HARGA SATUAN]])</f>
        <v>2720000</v>
      </c>
      <c r="AG189" s="37">
        <f ca="1">IF(NOTA[ID_H]="","",INDEX(NOTA[TANGGAL],MATCH(,INDIRECT(ADDRESS(ROW(NOTA[TANGGAL]),COLUMN(NOTA[TANGGAL]))&amp;":"&amp;ADDRESS(ROW(),COLUMN(NOTA[TANGGAL]))),-1)))</f>
        <v>45055</v>
      </c>
      <c r="AH189" s="35" t="str">
        <f ca="1">IF(NOTA[[#This Row],[NAMA BARANG]]="","",INDEX(NOTA[SUPPLIER],MATCH(,INDIRECT(ADDRESS(ROW(NOTA[ID]),COLUMN(NOTA[ID]))&amp;":"&amp;ADDRESS(ROW(),COLUMN(NOTA[ID]))),-1)))</f>
        <v>ETJ</v>
      </c>
      <c r="AI189" s="35" t="str">
        <f ca="1">IF(NOTA[[#This Row],[ID_H]]="","",IF(NOTA[[#This Row],[FAKTUR]]="",INDIRECT(ADDRESS(ROW()-1,COLUMN())),NOTA[[#This Row],[FAKTUR]]))</f>
        <v>UNTANA</v>
      </c>
      <c r="AJ189" s="27" t="str">
        <f ca="1">IF(NOTA[[#This Row],[ID]]="","",COUNTIF(NOTA[ID_H],NOTA[[#This Row],[ID_H]]))</f>
        <v/>
      </c>
      <c r="AK189" s="27">
        <f ca="1">IF(NOTA[[#This Row],[TGL.NOTA]]="",IF(NOTA[[#This Row],[SUPPLIER_H]]="","",AK188),MONTH(NOTA[[#This Row],[TGL.NOTA]]))</f>
        <v>5</v>
      </c>
      <c r="AL189" s="27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1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1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1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27" t="str">
        <f>IF(NOTA[[#This Row],[CONCAT4]]="","",_xlfn.IFNA(MATCH(NOTA[[#This Row],[CONCAT4]],[2]!RAW[CONCAT_H],0),FALSE))</f>
        <v/>
      </c>
      <c r="AQ189" s="145">
        <f>IF(NOTA[[#This Row],[CONCAT1]]="","",MATCH(NOTA[[#This Row],[CONCAT1]],[3]!db[NB NOTA_C],0)+1)</f>
        <v>1452</v>
      </c>
    </row>
    <row r="190" spans="1:43" ht="20.100000000000001" customHeight="1" x14ac:dyDescent="0.25">
      <c r="A1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6" t="str">
        <f>IF(NOTA[[#This Row],[ID_P]]="","",MATCH(NOTA[[#This Row],[ID_P]],[1]!B_MSK[N_ID],0))</f>
        <v/>
      </c>
      <c r="D190" s="36">
        <f ca="1">IF(NOTA[[#This Row],[NAMA BARANG]]="","",INDEX(NOTA[ID],MATCH(,INDIRECT(ADDRESS(ROW(NOTA[ID]),COLUMN(NOTA[ID]))&amp;":"&amp;ADDRESS(ROW(),COLUMN(NOTA[ID]))),-1)))</f>
        <v>31</v>
      </c>
      <c r="E190" s="14"/>
      <c r="F190" s="16"/>
      <c r="G190" s="16"/>
      <c r="H190" s="20"/>
      <c r="I190" s="16"/>
      <c r="J190" s="37"/>
      <c r="K190" s="16"/>
      <c r="L190" s="16" t="s">
        <v>356</v>
      </c>
      <c r="M190" s="28">
        <v>2</v>
      </c>
      <c r="N190" s="16">
        <v>32</v>
      </c>
      <c r="O190" s="16" t="s">
        <v>146</v>
      </c>
      <c r="P190" s="35">
        <v>120000</v>
      </c>
      <c r="Q190" s="38"/>
      <c r="R190" s="28" t="s">
        <v>355</v>
      </c>
      <c r="S190" s="39"/>
      <c r="T190" s="39"/>
      <c r="U190" s="40"/>
      <c r="V190" s="26"/>
      <c r="W190" s="40">
        <f>IF(NOTA[[#This Row],[HARGA/ CTN]]="",NOTA[[#This Row],[JUMLAH_H]],NOTA[[#This Row],[HARGA/ CTN]]*IF(NOTA[[#This Row],[C]]="",0,NOTA[[#This Row],[C]]))</f>
        <v>3840000</v>
      </c>
      <c r="X190" s="40">
        <f>IF(NOTA[[#This Row],[JUMLAH]]="","",NOTA[[#This Row],[JUMLAH]]*NOTA[[#This Row],[DISC 1]])</f>
        <v>0</v>
      </c>
      <c r="Y190" s="40">
        <f>IF(NOTA[[#This Row],[JUMLAH]]="","",(NOTA[[#This Row],[JUMLAH]]-NOTA[[#This Row],[DISC 1-]])*NOTA[[#This Row],[DISC 2]])</f>
        <v>0</v>
      </c>
      <c r="Z190" s="40">
        <f>IF(NOTA[[#This Row],[JUMLAH]]="","",NOTA[[#This Row],[DISC 1-]]+NOTA[[#This Row],[DISC 2-]])</f>
        <v>0</v>
      </c>
      <c r="AA190" s="40">
        <f>IF(NOTA[[#This Row],[JUMLAH]]="","",NOTA[[#This Row],[JUMLAH]]-NOTA[[#This Row],[DISC]])</f>
        <v>3840000</v>
      </c>
      <c r="AB190" s="40"/>
      <c r="AC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3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190" s="40">
        <f>IF(OR(NOTA[[#This Row],[QTY]]="",NOTA[[#This Row],[HARGA SATUAN]]="",),"",NOTA[[#This Row],[QTY]]*NOTA[[#This Row],[HARGA SATUAN]])</f>
        <v>3840000</v>
      </c>
      <c r="AG190" s="37">
        <f ca="1">IF(NOTA[ID_H]="","",INDEX(NOTA[TANGGAL],MATCH(,INDIRECT(ADDRESS(ROW(NOTA[TANGGAL]),COLUMN(NOTA[TANGGAL]))&amp;":"&amp;ADDRESS(ROW(),COLUMN(NOTA[TANGGAL]))),-1)))</f>
        <v>45055</v>
      </c>
      <c r="AH190" s="35" t="str">
        <f ca="1">IF(NOTA[[#This Row],[NAMA BARANG]]="","",INDEX(NOTA[SUPPLIER],MATCH(,INDIRECT(ADDRESS(ROW(NOTA[ID]),COLUMN(NOTA[ID]))&amp;":"&amp;ADDRESS(ROW(),COLUMN(NOTA[ID]))),-1)))</f>
        <v>ETJ</v>
      </c>
      <c r="AI190" s="35" t="str">
        <f ca="1">IF(NOTA[[#This Row],[ID_H]]="","",IF(NOTA[[#This Row],[FAKTUR]]="",INDIRECT(ADDRESS(ROW()-1,COLUMN())),NOTA[[#This Row],[FAKTUR]]))</f>
        <v>UNTANA</v>
      </c>
      <c r="AJ190" s="27" t="str">
        <f ca="1">IF(NOTA[[#This Row],[ID]]="","",COUNTIF(NOTA[ID_H],NOTA[[#This Row],[ID_H]]))</f>
        <v/>
      </c>
      <c r="AK190" s="27">
        <f ca="1">IF(NOTA[[#This Row],[TGL.NOTA]]="",IF(NOTA[[#This Row],[SUPPLIER_H]]="","",AK189),MONTH(NOTA[[#This Row],[TGL.NOTA]]))</f>
        <v>5</v>
      </c>
      <c r="AL190" s="27" t="str">
        <f>LOWER(SUBSTITUTE(SUBSTITUTE(SUBSTITUTE(SUBSTITUTE(SUBSTITUTE(SUBSTITUTE(SUBSTITUTE(SUBSTITUTE(SUBSTITUTE(NOTA[NAMA BARANG]," ",),".",""),"-",""),"(",""),")",""),",",""),"/",""),"""",""),"+",""))</f>
        <v>kojikosegitigano12</v>
      </c>
      <c r="AM1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N1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O1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27" t="str">
        <f>IF(NOTA[[#This Row],[CONCAT4]]="","",_xlfn.IFNA(MATCH(NOTA[[#This Row],[CONCAT4]],[2]!RAW[CONCAT_H],0),FALSE))</f>
        <v/>
      </c>
      <c r="AQ190" s="145">
        <f>IF(NOTA[[#This Row],[CONCAT1]]="","",MATCH(NOTA[[#This Row],[CONCAT1]],[3]!db[NB NOTA_C],0)+1)</f>
        <v>1453</v>
      </c>
    </row>
    <row r="191" spans="1:43" ht="20.100000000000001" customHeight="1" x14ac:dyDescent="0.25">
      <c r="A1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6" t="str">
        <f>IF(NOTA[[#This Row],[ID_P]]="","",MATCH(NOTA[[#This Row],[ID_P]],[1]!B_MSK[N_ID],0))</f>
        <v/>
      </c>
      <c r="D191" s="36">
        <f ca="1">IF(NOTA[[#This Row],[NAMA BARANG]]="","",INDEX(NOTA[ID],MATCH(,INDIRECT(ADDRESS(ROW(NOTA[ID]),COLUMN(NOTA[ID]))&amp;":"&amp;ADDRESS(ROW(),COLUMN(NOTA[ID]))),-1)))</f>
        <v>31</v>
      </c>
      <c r="E191" s="14"/>
      <c r="F191" s="16"/>
      <c r="G191" s="16"/>
      <c r="H191" s="20"/>
      <c r="I191" s="16"/>
      <c r="J191" s="37"/>
      <c r="K191" s="16"/>
      <c r="L191" s="16" t="s">
        <v>357</v>
      </c>
      <c r="M191" s="28">
        <v>10</v>
      </c>
      <c r="N191" s="16">
        <v>1440</v>
      </c>
      <c r="O191" s="16" t="s">
        <v>160</v>
      </c>
      <c r="P191" s="35">
        <v>6000</v>
      </c>
      <c r="Q191" s="38"/>
      <c r="R191" s="28" t="s">
        <v>161</v>
      </c>
      <c r="S191" s="39"/>
      <c r="T191" s="39"/>
      <c r="U191" s="40"/>
      <c r="V191" s="26"/>
      <c r="W191" s="40">
        <f>IF(NOTA[[#This Row],[HARGA/ CTN]]="",NOTA[[#This Row],[JUMLAH_H]],NOTA[[#This Row],[HARGA/ CTN]]*IF(NOTA[[#This Row],[C]]="",0,NOTA[[#This Row],[C]]))</f>
        <v>8640000</v>
      </c>
      <c r="X191" s="40">
        <f>IF(NOTA[[#This Row],[JUMLAH]]="","",NOTA[[#This Row],[JUMLAH]]*NOTA[[#This Row],[DISC 1]])</f>
        <v>0</v>
      </c>
      <c r="Y191" s="40">
        <f>IF(NOTA[[#This Row],[JUMLAH]]="","",(NOTA[[#This Row],[JUMLAH]]-NOTA[[#This Row],[DISC 1-]])*NOTA[[#This Row],[DISC 2]])</f>
        <v>0</v>
      </c>
      <c r="Z191" s="40">
        <f>IF(NOTA[[#This Row],[JUMLAH]]="","",NOTA[[#This Row],[DISC 1-]]+NOTA[[#This Row],[DISC 2-]])</f>
        <v>0</v>
      </c>
      <c r="AA191" s="40">
        <f>IF(NOTA[[#This Row],[JUMLAH]]="","",NOTA[[#This Row],[JUMLAH]]-NOTA[[#This Row],[DISC]])</f>
        <v>8640000</v>
      </c>
      <c r="AB191" s="40"/>
      <c r="AC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3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1" s="40">
        <f>IF(OR(NOTA[[#This Row],[QTY]]="",NOTA[[#This Row],[HARGA SATUAN]]="",),"",NOTA[[#This Row],[QTY]]*NOTA[[#This Row],[HARGA SATUAN]])</f>
        <v>8640000</v>
      </c>
      <c r="AG191" s="37">
        <f ca="1">IF(NOTA[ID_H]="","",INDEX(NOTA[TANGGAL],MATCH(,INDIRECT(ADDRESS(ROW(NOTA[TANGGAL]),COLUMN(NOTA[TANGGAL]))&amp;":"&amp;ADDRESS(ROW(),COLUMN(NOTA[TANGGAL]))),-1)))</f>
        <v>45055</v>
      </c>
      <c r="AH191" s="35" t="str">
        <f ca="1">IF(NOTA[[#This Row],[NAMA BARANG]]="","",INDEX(NOTA[SUPPLIER],MATCH(,INDIRECT(ADDRESS(ROW(NOTA[ID]),COLUMN(NOTA[ID]))&amp;":"&amp;ADDRESS(ROW(),COLUMN(NOTA[ID]))),-1)))</f>
        <v>ETJ</v>
      </c>
      <c r="AI191" s="35" t="str">
        <f ca="1">IF(NOTA[[#This Row],[ID_H]]="","",IF(NOTA[[#This Row],[FAKTUR]]="",INDIRECT(ADDRESS(ROW()-1,COLUMN())),NOTA[[#This Row],[FAKTUR]]))</f>
        <v>UNTANA</v>
      </c>
      <c r="AJ191" s="27" t="str">
        <f ca="1">IF(NOTA[[#This Row],[ID]]="","",COUNTIF(NOTA[ID_H],NOTA[[#This Row],[ID_H]]))</f>
        <v/>
      </c>
      <c r="AK191" s="27">
        <f ca="1">IF(NOTA[[#This Row],[TGL.NOTA]]="",IF(NOTA[[#This Row],[SUPPLIER_H]]="","",AK190),MONTH(NOTA[[#This Row],[TGL.NOTA]]))</f>
        <v>5</v>
      </c>
      <c r="AL191" s="27" t="str">
        <f>LOWER(SUBSTITUTE(SUBSTITUTE(SUBSTITUTE(SUBSTITUTE(SUBSTITUTE(SUBSTITUTE(SUBSTITUTE(SUBSTITUTE(SUBSTITUTE(NOTA[NAMA BARANG]," ",),".",""),"-",""),"(",""),")",""),",",""),"/",""),"""",""),"+",""))</f>
        <v>usagiop12w</v>
      </c>
      <c r="AM1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usagiop12w864000</v>
      </c>
      <c r="AN1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usagiop12w864000</v>
      </c>
      <c r="AO1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27" t="str">
        <f>IF(NOTA[[#This Row],[CONCAT4]]="","",_xlfn.IFNA(MATCH(NOTA[[#This Row],[CONCAT4]],[2]!RAW[CONCAT_H],0),FALSE))</f>
        <v/>
      </c>
      <c r="AQ191" s="145" t="e">
        <f>IF(NOTA[[#This Row],[CONCAT1]]="","",MATCH(NOTA[[#This Row],[CONCAT1]],[3]!db[NB NOTA_C],0)+1)</f>
        <v>#N/A</v>
      </c>
    </row>
    <row r="192" spans="1:43" ht="20.100000000000001" customHeight="1" x14ac:dyDescent="0.25">
      <c r="A1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6" t="str">
        <f>IF(NOTA[[#This Row],[ID_P]]="","",MATCH(NOTA[[#This Row],[ID_P]],[1]!B_MSK[N_ID],0))</f>
        <v/>
      </c>
      <c r="D192" s="36">
        <f ca="1">IF(NOTA[[#This Row],[NAMA BARANG]]="","",INDEX(NOTA[ID],MATCH(,INDIRECT(ADDRESS(ROW(NOTA[ID]),COLUMN(NOTA[ID]))&amp;":"&amp;ADDRESS(ROW(),COLUMN(NOTA[ID]))),-1)))</f>
        <v>31</v>
      </c>
      <c r="E192" s="14"/>
      <c r="F192" s="16"/>
      <c r="G192" s="16"/>
      <c r="H192" s="20"/>
      <c r="I192" s="16"/>
      <c r="J192" s="37"/>
      <c r="K192" s="16"/>
      <c r="L192" s="16" t="s">
        <v>358</v>
      </c>
      <c r="M192" s="28">
        <v>1</v>
      </c>
      <c r="N192" s="16">
        <v>1000</v>
      </c>
      <c r="O192" s="16" t="s">
        <v>160</v>
      </c>
      <c r="P192" s="35">
        <v>1950</v>
      </c>
      <c r="Q192" s="38"/>
      <c r="R192" s="28" t="s">
        <v>359</v>
      </c>
      <c r="S192" s="39"/>
      <c r="T192" s="39"/>
      <c r="U192" s="40"/>
      <c r="V192" s="26"/>
      <c r="W192" s="40">
        <f>IF(NOTA[[#This Row],[HARGA/ CTN]]="",NOTA[[#This Row],[JUMLAH_H]],NOTA[[#This Row],[HARGA/ CTN]]*IF(NOTA[[#This Row],[C]]="",0,NOTA[[#This Row],[C]]))</f>
        <v>1950000</v>
      </c>
      <c r="X192" s="40">
        <f>IF(NOTA[[#This Row],[JUMLAH]]="","",NOTA[[#This Row],[JUMLAH]]*NOTA[[#This Row],[DISC 1]])</f>
        <v>0</v>
      </c>
      <c r="Y192" s="40">
        <f>IF(NOTA[[#This Row],[JUMLAH]]="","",(NOTA[[#This Row],[JUMLAH]]-NOTA[[#This Row],[DISC 1-]])*NOTA[[#This Row],[DISC 2]])</f>
        <v>0</v>
      </c>
      <c r="Z192" s="40">
        <f>IF(NOTA[[#This Row],[JUMLAH]]="","",NOTA[[#This Row],[DISC 1-]]+NOTA[[#This Row],[DISC 2-]])</f>
        <v>0</v>
      </c>
      <c r="AA192" s="40">
        <f>IF(NOTA[[#This Row],[JUMLAH]]="","",NOTA[[#This Row],[JUMLAH]]-NOTA[[#This Row],[DISC]])</f>
        <v>1950000</v>
      </c>
      <c r="AB192" s="40"/>
      <c r="AC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192" s="40">
        <f>IF(OR(NOTA[[#This Row],[QTY]]="",NOTA[[#This Row],[HARGA SATUAN]]="",),"",NOTA[[#This Row],[QTY]]*NOTA[[#This Row],[HARGA SATUAN]])</f>
        <v>1950000</v>
      </c>
      <c r="AG192" s="37">
        <f ca="1">IF(NOTA[ID_H]="","",INDEX(NOTA[TANGGAL],MATCH(,INDIRECT(ADDRESS(ROW(NOTA[TANGGAL]),COLUMN(NOTA[TANGGAL]))&amp;":"&amp;ADDRESS(ROW(),COLUMN(NOTA[TANGGAL]))),-1)))</f>
        <v>45055</v>
      </c>
      <c r="AH192" s="35" t="str">
        <f ca="1">IF(NOTA[[#This Row],[NAMA BARANG]]="","",INDEX(NOTA[SUPPLIER],MATCH(,INDIRECT(ADDRESS(ROW(NOTA[ID]),COLUMN(NOTA[ID]))&amp;":"&amp;ADDRESS(ROW(),COLUMN(NOTA[ID]))),-1)))</f>
        <v>ETJ</v>
      </c>
      <c r="AI192" s="35" t="str">
        <f ca="1">IF(NOTA[[#This Row],[ID_H]]="","",IF(NOTA[[#This Row],[FAKTUR]]="",INDIRECT(ADDRESS(ROW()-1,COLUMN())),NOTA[[#This Row],[FAKTUR]]))</f>
        <v>UNTANA</v>
      </c>
      <c r="AJ192" s="27" t="str">
        <f ca="1">IF(NOTA[[#This Row],[ID]]="","",COUNTIF(NOTA[ID_H],NOTA[[#This Row],[ID_H]]))</f>
        <v/>
      </c>
      <c r="AK192" s="27">
        <f ca="1">IF(NOTA[[#This Row],[TGL.NOTA]]="",IF(NOTA[[#This Row],[SUPPLIER_H]]="","",AK191),MONTH(NOTA[[#This Row],[TGL.NOTA]]))</f>
        <v>5</v>
      </c>
      <c r="AL192" s="27" t="str">
        <f>LOWER(SUBSTITUTE(SUBSTITUTE(SUBSTITUTE(SUBSTITUTE(SUBSTITUTE(SUBSTITUTE(SUBSTITUTE(SUBSTITUTE(SUBSTITUTE(NOTA[NAMA BARANG]," ",),".",""),"-",""),"(",""),")",""),",",""),"/",""),"""",""),"+",""))</f>
        <v>enterabsenlebar</v>
      </c>
      <c r="AM1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N1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O1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27" t="str">
        <f>IF(NOTA[[#This Row],[CONCAT4]]="","",_xlfn.IFNA(MATCH(NOTA[[#This Row],[CONCAT4]],[2]!RAW[CONCAT_H],0),FALSE))</f>
        <v/>
      </c>
      <c r="AQ192" s="145" t="e">
        <f>IF(NOTA[[#This Row],[CONCAT1]]="","",MATCH(NOTA[[#This Row],[CONCAT1]],[3]!db[NB NOTA_C],0)+1)</f>
        <v>#N/A</v>
      </c>
    </row>
    <row r="193" spans="1:43" ht="20.100000000000001" customHeight="1" x14ac:dyDescent="0.25">
      <c r="A1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6" t="str">
        <f>IF(NOTA[[#This Row],[ID_P]]="","",MATCH(NOTA[[#This Row],[ID_P]],[1]!B_MSK[N_ID],0))</f>
        <v/>
      </c>
      <c r="D193" s="36">
        <f ca="1">IF(NOTA[[#This Row],[NAMA BARANG]]="","",INDEX(NOTA[ID],MATCH(,INDIRECT(ADDRESS(ROW(NOTA[ID]),COLUMN(NOTA[ID]))&amp;":"&amp;ADDRESS(ROW(),COLUMN(NOTA[ID]))),-1)))</f>
        <v>31</v>
      </c>
      <c r="E193" s="14"/>
      <c r="F193" s="16"/>
      <c r="G193" s="16"/>
      <c r="H193" s="20"/>
      <c r="I193" s="16"/>
      <c r="J193" s="37"/>
      <c r="K193" s="16"/>
      <c r="L193" s="16" t="s">
        <v>360</v>
      </c>
      <c r="M193" s="28">
        <v>1</v>
      </c>
      <c r="N193" s="16">
        <v>1500</v>
      </c>
      <c r="O193" s="16" t="s">
        <v>146</v>
      </c>
      <c r="P193" s="35">
        <v>5000</v>
      </c>
      <c r="Q193" s="38"/>
      <c r="R193" s="28" t="s">
        <v>361</v>
      </c>
      <c r="S193" s="39"/>
      <c r="T193" s="39"/>
      <c r="U193" s="40"/>
      <c r="V193" s="26"/>
      <c r="W193" s="40">
        <f>IF(NOTA[[#This Row],[HARGA/ CTN]]="",NOTA[[#This Row],[JUMLAH_H]],NOTA[[#This Row],[HARGA/ CTN]]*IF(NOTA[[#This Row],[C]]="",0,NOTA[[#This Row],[C]]))</f>
        <v>7500000</v>
      </c>
      <c r="X193" s="40">
        <f>IF(NOTA[[#This Row],[JUMLAH]]="","",NOTA[[#This Row],[JUMLAH]]*NOTA[[#This Row],[DISC 1]])</f>
        <v>0</v>
      </c>
      <c r="Y193" s="40">
        <f>IF(NOTA[[#This Row],[JUMLAH]]="","",(NOTA[[#This Row],[JUMLAH]]-NOTA[[#This Row],[DISC 1-]])*NOTA[[#This Row],[DISC 2]])</f>
        <v>0</v>
      </c>
      <c r="Z193" s="40">
        <f>IF(NOTA[[#This Row],[JUMLAH]]="","",NOTA[[#This Row],[DISC 1-]]+NOTA[[#This Row],[DISC 2-]])</f>
        <v>0</v>
      </c>
      <c r="AA193" s="40">
        <f>IF(NOTA[[#This Row],[JUMLAH]]="","",NOTA[[#This Row],[JUMLAH]]-NOTA[[#This Row],[DISC]])</f>
        <v>7500000</v>
      </c>
      <c r="AB193" s="40"/>
      <c r="AC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35930000</v>
      </c>
      <c r="AE193" s="3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193" s="40">
        <f>IF(OR(NOTA[[#This Row],[QTY]]="",NOTA[[#This Row],[HARGA SATUAN]]="",),"",NOTA[[#This Row],[QTY]]*NOTA[[#This Row],[HARGA SATUAN]])</f>
        <v>7500000</v>
      </c>
      <c r="AG193" s="37">
        <f ca="1">IF(NOTA[ID_H]="","",INDEX(NOTA[TANGGAL],MATCH(,INDIRECT(ADDRESS(ROW(NOTA[TANGGAL]),COLUMN(NOTA[TANGGAL]))&amp;":"&amp;ADDRESS(ROW(),COLUMN(NOTA[TANGGAL]))),-1)))</f>
        <v>45055</v>
      </c>
      <c r="AH193" s="35" t="str">
        <f ca="1">IF(NOTA[[#This Row],[NAMA BARANG]]="","",INDEX(NOTA[SUPPLIER],MATCH(,INDIRECT(ADDRESS(ROW(NOTA[ID]),COLUMN(NOTA[ID]))&amp;":"&amp;ADDRESS(ROW(),COLUMN(NOTA[ID]))),-1)))</f>
        <v>ETJ</v>
      </c>
      <c r="AI193" s="35" t="str">
        <f ca="1">IF(NOTA[[#This Row],[ID_H]]="","",IF(NOTA[[#This Row],[FAKTUR]]="",INDIRECT(ADDRESS(ROW()-1,COLUMN())),NOTA[[#This Row],[FAKTUR]]))</f>
        <v>UNTANA</v>
      </c>
      <c r="AJ193" s="27" t="str">
        <f ca="1">IF(NOTA[[#This Row],[ID]]="","",COUNTIF(NOTA[ID_H],NOTA[[#This Row],[ID_H]]))</f>
        <v/>
      </c>
      <c r="AK193" s="27">
        <f ca="1">IF(NOTA[[#This Row],[TGL.NOTA]]="",IF(NOTA[[#This Row],[SUPPLIER_H]]="","",AK192),MONTH(NOTA[[#This Row],[TGL.NOTA]]))</f>
        <v>5</v>
      </c>
      <c r="AL193" s="27" t="str">
        <f>LOWER(SUBSTITUTE(SUBSTITUTE(SUBSTITUTE(SUBSTITUTE(SUBSTITUTE(SUBSTITUTE(SUBSTITUTE(SUBSTITUTE(SUBSTITUTE(NOTA[NAMA BARANG]," ",),".",""),"-",""),"(",""),")",""),",",""),"/",""),"""",""),"+",""))</f>
        <v>busur312mika</v>
      </c>
      <c r="AM1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busur312mika7500000</v>
      </c>
      <c r="AN1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busur312mika7500000</v>
      </c>
      <c r="AO1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3" s="27" t="str">
        <f>IF(NOTA[[#This Row],[CONCAT4]]="","",_xlfn.IFNA(MATCH(NOTA[[#This Row],[CONCAT4]],[2]!RAW[CONCAT_H],0),FALSE))</f>
        <v/>
      </c>
      <c r="AQ193" s="145">
        <f>IF(NOTA[[#This Row],[CONCAT1]]="","",MATCH(NOTA[[#This Row],[CONCAT1]],[3]!db[NB NOTA_C],0)+1)</f>
        <v>417</v>
      </c>
    </row>
    <row r="194" spans="1:43" ht="20.100000000000001" customHeight="1" x14ac:dyDescent="0.25">
      <c r="A1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6" t="str">
        <f>IF(NOTA[[#This Row],[ID_P]]="","",MATCH(NOTA[[#This Row],[ID_P]],[1]!B_MSK[N_ID],0))</f>
        <v/>
      </c>
      <c r="D194" s="36" t="str">
        <f ca="1">IF(NOTA[[#This Row],[NAMA BARANG]]="","",INDEX(NOTA[ID],MATCH(,INDIRECT(ADDRESS(ROW(NOTA[ID]),COLUMN(NOTA[ID]))&amp;":"&amp;ADDRESS(ROW(),COLUMN(NOTA[ID]))),-1)))</f>
        <v/>
      </c>
      <c r="E194" s="14"/>
      <c r="F194" s="16"/>
      <c r="G194" s="16"/>
      <c r="H194" s="20"/>
      <c r="I194" s="16"/>
      <c r="J194" s="37"/>
      <c r="K194" s="16"/>
      <c r="L194" s="16"/>
      <c r="M194" s="28"/>
      <c r="N194" s="16"/>
      <c r="O194" s="16"/>
      <c r="P194" s="35"/>
      <c r="Q194" s="38"/>
      <c r="R194" s="28"/>
      <c r="S194" s="39"/>
      <c r="T194" s="39"/>
      <c r="U194" s="40"/>
      <c r="V194" s="26"/>
      <c r="W194" s="40" t="str">
        <f>IF(NOTA[[#This Row],[HARGA/ CTN]]="",NOTA[[#This Row],[JUMLAH_H]],NOTA[[#This Row],[HARGA/ CTN]]*IF(NOTA[[#This Row],[C]]="",0,NOTA[[#This Row],[C]]))</f>
        <v/>
      </c>
      <c r="X194" s="40" t="str">
        <f>IF(NOTA[[#This Row],[JUMLAH]]="","",NOTA[[#This Row],[JUMLAH]]*NOTA[[#This Row],[DISC 1]])</f>
        <v/>
      </c>
      <c r="Y194" s="40" t="str">
        <f>IF(NOTA[[#This Row],[JUMLAH]]="","",(NOTA[[#This Row],[JUMLAH]]-NOTA[[#This Row],[DISC 1-]])*NOTA[[#This Row],[DISC 2]])</f>
        <v/>
      </c>
      <c r="Z194" s="40" t="str">
        <f>IF(NOTA[[#This Row],[JUMLAH]]="","",NOTA[[#This Row],[DISC 1-]]+NOTA[[#This Row],[DISC 2-]])</f>
        <v/>
      </c>
      <c r="AA194" s="40" t="str">
        <f>IF(NOTA[[#This Row],[JUMLAH]]="","",NOTA[[#This Row],[JUMLAH]]-NOTA[[#This Row],[DISC]])</f>
        <v/>
      </c>
      <c r="AB194" s="40"/>
      <c r="AC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4" s="40" t="str">
        <f>IF(OR(NOTA[[#This Row],[QTY]]="",NOTA[[#This Row],[HARGA SATUAN]]="",),"",NOTA[[#This Row],[QTY]]*NOTA[[#This Row],[HARGA SATUAN]])</f>
        <v/>
      </c>
      <c r="AG194" s="37" t="str">
        <f ca="1">IF(NOTA[ID_H]="","",INDEX(NOTA[TANGGAL],MATCH(,INDIRECT(ADDRESS(ROW(NOTA[TANGGAL]),COLUMN(NOTA[TANGGAL]))&amp;":"&amp;ADDRESS(ROW(),COLUMN(NOTA[TANGGAL]))),-1)))</f>
        <v/>
      </c>
      <c r="AH194" s="35" t="str">
        <f ca="1">IF(NOTA[[#This Row],[NAMA BARANG]]="","",INDEX(NOTA[SUPPLIER],MATCH(,INDIRECT(ADDRESS(ROW(NOTA[ID]),COLUMN(NOTA[ID]))&amp;":"&amp;ADDRESS(ROW(),COLUMN(NOTA[ID]))),-1)))</f>
        <v/>
      </c>
      <c r="AI194" s="35" t="str">
        <f ca="1">IF(NOTA[[#This Row],[ID_H]]="","",IF(NOTA[[#This Row],[FAKTUR]]="",INDIRECT(ADDRESS(ROW()-1,COLUMN())),NOTA[[#This Row],[FAKTUR]]))</f>
        <v/>
      </c>
      <c r="AJ194" s="27" t="str">
        <f ca="1">IF(NOTA[[#This Row],[ID]]="","",COUNTIF(NOTA[ID_H],NOTA[[#This Row],[ID_H]]))</f>
        <v/>
      </c>
      <c r="AK194" s="27" t="str">
        <f ca="1">IF(NOTA[[#This Row],[TGL.NOTA]]="",IF(NOTA[[#This Row],[SUPPLIER_H]]="","",AK193),MONTH(NOTA[[#This Row],[TGL.NOTA]]))</f>
        <v/>
      </c>
      <c r="AL194" s="27" t="str">
        <f>LOWER(SUBSTITUTE(SUBSTITUTE(SUBSTITUTE(SUBSTITUTE(SUBSTITUTE(SUBSTITUTE(SUBSTITUTE(SUBSTITUTE(SUBSTITUTE(NOTA[NAMA BARANG]," ",),".",""),"-",""),"(",""),")",""),",",""),"/",""),"""",""),"+",""))</f>
        <v/>
      </c>
      <c r="AM1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27" t="str">
        <f>IF(NOTA[[#This Row],[CONCAT4]]="","",_xlfn.IFNA(MATCH(NOTA[[#This Row],[CONCAT4]],[2]!RAW[CONCAT_H],0),FALSE))</f>
        <v/>
      </c>
      <c r="AQ194" s="145" t="str">
        <f>IF(NOTA[[#This Row],[CONCAT1]]="","",MATCH(NOTA[[#This Row],[CONCAT1]],[3]!db[NB NOTA_C],0)+1)</f>
        <v/>
      </c>
    </row>
    <row r="195" spans="1:43" ht="20.100000000000001" customHeight="1" x14ac:dyDescent="0.25">
      <c r="A195" s="35">
        <f ca="1">IF(INDIRECT(ADDRESS(ROW()-1,COLUMN(NOTA[[#Headers],[ID]])))="ID",1,IF(NOTA[[#This Row],[FAKTUR]]="","",COUNT(INDIRECT(ADDRESS(ROW(NOTA[ID]),COLUMN(NOTA[ID]))&amp;":"&amp;ADDRESS(ROW()-1,COLUMN(NOTA[ID]))))+1))</f>
        <v>32</v>
      </c>
      <c r="B1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ETJ_0905_123-3</v>
      </c>
      <c r="C195" s="36" t="e">
        <f ca="1">IF(NOTA[[#This Row],[ID_P]]="","",MATCH(NOTA[[#This Row],[ID_P]],[1]!B_MSK[N_ID],0))</f>
        <v>#REF!</v>
      </c>
      <c r="D195" s="36">
        <f ca="1">IF(NOTA[[#This Row],[NAMA BARANG]]="","",INDEX(NOTA[ID],MATCH(,INDIRECT(ADDRESS(ROW(NOTA[ID]),COLUMN(NOTA[ID]))&amp;":"&amp;ADDRESS(ROW(),COLUMN(NOTA[ID]))),-1)))</f>
        <v>32</v>
      </c>
      <c r="E195" s="14"/>
      <c r="F195" s="16" t="s">
        <v>331</v>
      </c>
      <c r="G195" s="16" t="s">
        <v>112</v>
      </c>
      <c r="H195" s="20" t="s">
        <v>362</v>
      </c>
      <c r="I195" s="16"/>
      <c r="J195" s="37">
        <v>45052</v>
      </c>
      <c r="K195" s="16"/>
      <c r="L195" s="16" t="s">
        <v>363</v>
      </c>
      <c r="M195" s="28">
        <v>3</v>
      </c>
      <c r="N195" s="16">
        <v>900</v>
      </c>
      <c r="O195" s="16" t="s">
        <v>160</v>
      </c>
      <c r="P195" s="35">
        <v>9000</v>
      </c>
      <c r="Q195" s="38"/>
      <c r="R195" s="28" t="s">
        <v>364</v>
      </c>
      <c r="S195" s="39"/>
      <c r="T195" s="39"/>
      <c r="U195" s="40"/>
      <c r="V195" s="26"/>
      <c r="W195" s="40">
        <f>IF(NOTA[[#This Row],[HARGA/ CTN]]="",NOTA[[#This Row],[JUMLAH_H]],NOTA[[#This Row],[HARGA/ CTN]]*IF(NOTA[[#This Row],[C]]="",0,NOTA[[#This Row],[C]]))</f>
        <v>8100000</v>
      </c>
      <c r="X195" s="40">
        <f>IF(NOTA[[#This Row],[JUMLAH]]="","",NOTA[[#This Row],[JUMLAH]]*NOTA[[#This Row],[DISC 1]])</f>
        <v>0</v>
      </c>
      <c r="Y195" s="40">
        <f>IF(NOTA[[#This Row],[JUMLAH]]="","",(NOTA[[#This Row],[JUMLAH]]-NOTA[[#This Row],[DISC 1-]])*NOTA[[#This Row],[DISC 2]])</f>
        <v>0</v>
      </c>
      <c r="Z195" s="40">
        <f>IF(NOTA[[#This Row],[JUMLAH]]="","",NOTA[[#This Row],[DISC 1-]]+NOTA[[#This Row],[DISC 2-]])</f>
        <v>0</v>
      </c>
      <c r="AA195" s="40">
        <f>IF(NOTA[[#This Row],[JUMLAH]]="","",NOTA[[#This Row],[JUMLAH]]-NOTA[[#This Row],[DISC]])</f>
        <v>8100000</v>
      </c>
      <c r="AB195" s="40"/>
      <c r="AC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3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195" s="40">
        <f>IF(OR(NOTA[[#This Row],[QTY]]="",NOTA[[#This Row],[HARGA SATUAN]]="",),"",NOTA[[#This Row],[QTY]]*NOTA[[#This Row],[HARGA SATUAN]])</f>
        <v>8100000</v>
      </c>
      <c r="AG195" s="37">
        <f ca="1">IF(NOTA[ID_H]="","",INDEX(NOTA[TANGGAL],MATCH(,INDIRECT(ADDRESS(ROW(NOTA[TANGGAL]),COLUMN(NOTA[TANGGAL]))&amp;":"&amp;ADDRESS(ROW(),COLUMN(NOTA[TANGGAL]))),-1)))</f>
        <v>45055</v>
      </c>
      <c r="AH195" s="35" t="str">
        <f ca="1">IF(NOTA[[#This Row],[NAMA BARANG]]="","",INDEX(NOTA[SUPPLIER],MATCH(,INDIRECT(ADDRESS(ROW(NOTA[ID]),COLUMN(NOTA[ID]))&amp;":"&amp;ADDRESS(ROW(),COLUMN(NOTA[ID]))),-1)))</f>
        <v>ETJ</v>
      </c>
      <c r="AI195" s="35" t="str">
        <f ca="1">IF(NOTA[[#This Row],[ID_H]]="","",IF(NOTA[[#This Row],[FAKTUR]]="",INDIRECT(ADDRESS(ROW()-1,COLUMN())),NOTA[[#This Row],[FAKTUR]]))</f>
        <v>UNTANA</v>
      </c>
      <c r="AJ195" s="27">
        <f ca="1">IF(NOTA[[#This Row],[ID]]="","",COUNTIF(NOTA[ID_H],NOTA[[#This Row],[ID_H]]))</f>
        <v>3</v>
      </c>
      <c r="AK195" s="27">
        <f>IF(NOTA[[#This Row],[TGL.NOTA]]="",IF(NOTA[[#This Row],[SUPPLIER_H]]="","",AK194),MONTH(NOTA[[#This Row],[TGL.NOTA]]))</f>
        <v>5</v>
      </c>
      <c r="AL195" s="27" t="str">
        <f>LOWER(SUBSTITUTE(SUBSTITUTE(SUBSTITUTE(SUBSTITUTE(SUBSTITUTE(SUBSTITUTE(SUBSTITUTE(SUBSTITUTE(SUBSTITUTE(NOTA[NAMA BARANG]," ",),".",""),"-",""),"(",""),")",""),",",""),"/",""),"""",""),"+",""))</f>
        <v>sempoa13t</v>
      </c>
      <c r="AM1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1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195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ETJUNTANAG41.2345052sempoa13t</v>
      </c>
      <c r="AP195" s="27" t="e">
        <f>IF(NOTA[[#This Row],[CONCAT4]]="","",_xlfn.IFNA(MATCH(NOTA[[#This Row],[CONCAT4]],[2]!RAW[CONCAT_H],0),FALSE))</f>
        <v>#REF!</v>
      </c>
      <c r="AQ195" s="145" t="e">
        <f>IF(NOTA[[#This Row],[CONCAT1]]="","",MATCH(NOTA[[#This Row],[CONCAT1]],[3]!db[NB NOTA_C],0)+1)</f>
        <v>#N/A</v>
      </c>
    </row>
    <row r="196" spans="1:43" ht="20.100000000000001" customHeight="1" x14ac:dyDescent="0.25">
      <c r="A1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6" t="str">
        <f>IF(NOTA[[#This Row],[ID_P]]="","",MATCH(NOTA[[#This Row],[ID_P]],[1]!B_MSK[N_ID],0))</f>
        <v/>
      </c>
      <c r="D196" s="36">
        <f ca="1">IF(NOTA[[#This Row],[NAMA BARANG]]="","",INDEX(NOTA[ID],MATCH(,INDIRECT(ADDRESS(ROW(NOTA[ID]),COLUMN(NOTA[ID]))&amp;":"&amp;ADDRESS(ROW(),COLUMN(NOTA[ID]))),-1)))</f>
        <v>32</v>
      </c>
      <c r="E196" s="14"/>
      <c r="F196" s="16"/>
      <c r="G196" s="16"/>
      <c r="H196" s="20"/>
      <c r="I196" s="16"/>
      <c r="J196" s="37"/>
      <c r="K196" s="16"/>
      <c r="L196" s="16" t="s">
        <v>365</v>
      </c>
      <c r="M196" s="28">
        <v>2</v>
      </c>
      <c r="N196" s="16">
        <v>600</v>
      </c>
      <c r="O196" s="16" t="s">
        <v>160</v>
      </c>
      <c r="P196" s="35">
        <v>9250</v>
      </c>
      <c r="Q196" s="38"/>
      <c r="R196" s="28" t="s">
        <v>364</v>
      </c>
      <c r="S196" s="39"/>
      <c r="T196" s="39"/>
      <c r="U196" s="40"/>
      <c r="V196" s="26"/>
      <c r="W196" s="40">
        <f>IF(NOTA[[#This Row],[HARGA/ CTN]]="",NOTA[[#This Row],[JUMLAH_H]],NOTA[[#This Row],[HARGA/ CTN]]*IF(NOTA[[#This Row],[C]]="",0,NOTA[[#This Row],[C]]))</f>
        <v>5550000</v>
      </c>
      <c r="X196" s="40">
        <f>IF(NOTA[[#This Row],[JUMLAH]]="","",NOTA[[#This Row],[JUMLAH]]*NOTA[[#This Row],[DISC 1]])</f>
        <v>0</v>
      </c>
      <c r="Y196" s="40">
        <f>IF(NOTA[[#This Row],[JUMLAH]]="","",(NOTA[[#This Row],[JUMLAH]]-NOTA[[#This Row],[DISC 1-]])*NOTA[[#This Row],[DISC 2]])</f>
        <v>0</v>
      </c>
      <c r="Z196" s="40">
        <f>IF(NOTA[[#This Row],[JUMLAH]]="","",NOTA[[#This Row],[DISC 1-]]+NOTA[[#This Row],[DISC 2-]])</f>
        <v>0</v>
      </c>
      <c r="AA196" s="40">
        <f>IF(NOTA[[#This Row],[JUMLAH]]="","",NOTA[[#This Row],[JUMLAH]]-NOTA[[#This Row],[DISC]])</f>
        <v>5550000</v>
      </c>
      <c r="AB196" s="40"/>
      <c r="AC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35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196" s="40">
        <f>IF(OR(NOTA[[#This Row],[QTY]]="",NOTA[[#This Row],[HARGA SATUAN]]="",),"",NOTA[[#This Row],[QTY]]*NOTA[[#This Row],[HARGA SATUAN]])</f>
        <v>5550000</v>
      </c>
      <c r="AG196" s="37">
        <f ca="1">IF(NOTA[ID_H]="","",INDEX(NOTA[TANGGAL],MATCH(,INDIRECT(ADDRESS(ROW(NOTA[TANGGAL]),COLUMN(NOTA[TANGGAL]))&amp;":"&amp;ADDRESS(ROW(),COLUMN(NOTA[TANGGAL]))),-1)))</f>
        <v>45055</v>
      </c>
      <c r="AH196" s="35" t="str">
        <f ca="1">IF(NOTA[[#This Row],[NAMA BARANG]]="","",INDEX(NOTA[SUPPLIER],MATCH(,INDIRECT(ADDRESS(ROW(NOTA[ID]),COLUMN(NOTA[ID]))&amp;":"&amp;ADDRESS(ROW(),COLUMN(NOTA[ID]))),-1)))</f>
        <v>ETJ</v>
      </c>
      <c r="AI196" s="35" t="str">
        <f ca="1">IF(NOTA[[#This Row],[ID_H]]="","",IF(NOTA[[#This Row],[FAKTUR]]="",INDIRECT(ADDRESS(ROW()-1,COLUMN())),NOTA[[#This Row],[FAKTUR]]))</f>
        <v>UNTANA</v>
      </c>
      <c r="AJ196" s="27" t="str">
        <f ca="1">IF(NOTA[[#This Row],[ID]]="","",COUNTIF(NOTA[ID_H],NOTA[[#This Row],[ID_H]]))</f>
        <v/>
      </c>
      <c r="AK196" s="27">
        <f ca="1">IF(NOTA[[#This Row],[TGL.NOTA]]="",IF(NOTA[[#This Row],[SUPPLIER_H]]="","",AK195),MONTH(NOTA[[#This Row],[TGL.NOTA]]))</f>
        <v>5</v>
      </c>
      <c r="AL196" s="27" t="str">
        <f>LOWER(SUBSTITUTE(SUBSTITUTE(SUBSTITUTE(SUBSTITUTE(SUBSTITUTE(SUBSTITUTE(SUBSTITUTE(SUBSTITUTE(SUBSTITUTE(NOTA[NAMA BARANG]," ",),".",""),"-",""),"(",""),")",""),",",""),"/",""),"""",""),"+",""))</f>
        <v>sempoa17t</v>
      </c>
      <c r="AM1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1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1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27" t="str">
        <f>IF(NOTA[[#This Row],[CONCAT4]]="","",_xlfn.IFNA(MATCH(NOTA[[#This Row],[CONCAT4]],[2]!RAW[CONCAT_H],0),FALSE))</f>
        <v/>
      </c>
      <c r="AQ196" s="145" t="e">
        <f>IF(NOTA[[#This Row],[CONCAT1]]="","",MATCH(NOTA[[#This Row],[CONCAT1]],[3]!db[NB NOTA_C],0)+1)</f>
        <v>#N/A</v>
      </c>
    </row>
    <row r="197" spans="1:43" ht="20.100000000000001" customHeight="1" x14ac:dyDescent="0.25">
      <c r="A1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6" t="str">
        <f>IF(NOTA[[#This Row],[ID_P]]="","",MATCH(NOTA[[#This Row],[ID_P]],[1]!B_MSK[N_ID],0))</f>
        <v/>
      </c>
      <c r="D197" s="36">
        <f ca="1">IF(NOTA[[#This Row],[NAMA BARANG]]="","",INDEX(NOTA[ID],MATCH(,INDIRECT(ADDRESS(ROW(NOTA[ID]),COLUMN(NOTA[ID]))&amp;":"&amp;ADDRESS(ROW(),COLUMN(NOTA[ID]))),-1)))</f>
        <v>32</v>
      </c>
      <c r="E197" s="14"/>
      <c r="F197" s="16"/>
      <c r="G197" s="16"/>
      <c r="H197" s="20"/>
      <c r="I197" s="16"/>
      <c r="J197" s="37"/>
      <c r="K197" s="16"/>
      <c r="L197" s="16" t="s">
        <v>366</v>
      </c>
      <c r="M197" s="28">
        <v>1</v>
      </c>
      <c r="N197" s="16">
        <v>100</v>
      </c>
      <c r="O197" s="16" t="s">
        <v>146</v>
      </c>
      <c r="P197" s="35">
        <v>20000</v>
      </c>
      <c r="Q197" s="38"/>
      <c r="R197" s="28" t="s">
        <v>367</v>
      </c>
      <c r="S197" s="39"/>
      <c r="T197" s="39"/>
      <c r="U197" s="40"/>
      <c r="V197" s="26"/>
      <c r="W197" s="40">
        <f>IF(NOTA[[#This Row],[HARGA/ CTN]]="",NOTA[[#This Row],[JUMLAH_H]],NOTA[[#This Row],[HARGA/ CTN]]*IF(NOTA[[#This Row],[C]]="",0,NOTA[[#This Row],[C]]))</f>
        <v>2000000</v>
      </c>
      <c r="X197" s="40">
        <f>IF(NOTA[[#This Row],[JUMLAH]]="","",NOTA[[#This Row],[JUMLAH]]*NOTA[[#This Row],[DISC 1]])</f>
        <v>0</v>
      </c>
      <c r="Y197" s="40">
        <f>IF(NOTA[[#This Row],[JUMLAH]]="","",(NOTA[[#This Row],[JUMLAH]]-NOTA[[#This Row],[DISC 1-]])*NOTA[[#This Row],[DISC 2]])</f>
        <v>0</v>
      </c>
      <c r="Z197" s="40">
        <f>IF(NOTA[[#This Row],[JUMLAH]]="","",NOTA[[#This Row],[DISC 1-]]+NOTA[[#This Row],[DISC 2-]])</f>
        <v>0</v>
      </c>
      <c r="AA197" s="40">
        <f>IF(NOTA[[#This Row],[JUMLAH]]="","",NOTA[[#This Row],[JUMLAH]]-NOTA[[#This Row],[DISC]])</f>
        <v>2000000</v>
      </c>
      <c r="AB197" s="40"/>
      <c r="AC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15650000</v>
      </c>
      <c r="AE197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197" s="40">
        <f>IF(OR(NOTA[[#This Row],[QTY]]="",NOTA[[#This Row],[HARGA SATUAN]]="",),"",NOTA[[#This Row],[QTY]]*NOTA[[#This Row],[HARGA SATUAN]])</f>
        <v>2000000</v>
      </c>
      <c r="AG197" s="37">
        <f ca="1">IF(NOTA[ID_H]="","",INDEX(NOTA[TANGGAL],MATCH(,INDIRECT(ADDRESS(ROW(NOTA[TANGGAL]),COLUMN(NOTA[TANGGAL]))&amp;":"&amp;ADDRESS(ROW(),COLUMN(NOTA[TANGGAL]))),-1)))</f>
        <v>45055</v>
      </c>
      <c r="AH197" s="35" t="str">
        <f ca="1">IF(NOTA[[#This Row],[NAMA BARANG]]="","",INDEX(NOTA[SUPPLIER],MATCH(,INDIRECT(ADDRESS(ROW(NOTA[ID]),COLUMN(NOTA[ID]))&amp;":"&amp;ADDRESS(ROW(),COLUMN(NOTA[ID]))),-1)))</f>
        <v>ETJ</v>
      </c>
      <c r="AI197" s="35" t="str">
        <f ca="1">IF(NOTA[[#This Row],[ID_H]]="","",IF(NOTA[[#This Row],[FAKTUR]]="",INDIRECT(ADDRESS(ROW()-1,COLUMN())),NOTA[[#This Row],[FAKTUR]]))</f>
        <v>UNTANA</v>
      </c>
      <c r="AJ197" s="27" t="str">
        <f ca="1">IF(NOTA[[#This Row],[ID]]="","",COUNTIF(NOTA[ID_H],NOTA[[#This Row],[ID_H]]))</f>
        <v/>
      </c>
      <c r="AK197" s="27">
        <f ca="1">IF(NOTA[[#This Row],[TGL.NOTA]]="",IF(NOTA[[#This Row],[SUPPLIER_H]]="","",AK196),MONTH(NOTA[[#This Row],[TGL.NOTA]]))</f>
        <v>5</v>
      </c>
      <c r="AL197" s="27" t="str">
        <f>LOWER(SUBSTITUTE(SUBSTITUTE(SUBSTITUTE(SUBSTITUTE(SUBSTITUTE(SUBSTITUTE(SUBSTITUTE(SUBSTITUTE(SUBSTITUTE(NOTA[NAMA BARANG]," ",),".",""),"-",""),"(",""),")",""),",",""),"/",""),"""",""),"+",""))</f>
        <v>kojikobusur360k</v>
      </c>
      <c r="AM1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kojikobusur360k2000000</v>
      </c>
      <c r="AN1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kojikobusur360k2000000</v>
      </c>
      <c r="AO1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7" s="27" t="str">
        <f>IF(NOTA[[#This Row],[CONCAT4]]="","",_xlfn.IFNA(MATCH(NOTA[[#This Row],[CONCAT4]],[2]!RAW[CONCAT_H],0),FALSE))</f>
        <v/>
      </c>
      <c r="AQ197" s="145" t="e">
        <f>IF(NOTA[[#This Row],[CONCAT1]]="","",MATCH(NOTA[[#This Row],[CONCAT1]],[3]!db[NB NOTA_C],0)+1)</f>
        <v>#N/A</v>
      </c>
    </row>
    <row r="198" spans="1:43" ht="20.100000000000001" customHeight="1" x14ac:dyDescent="0.25">
      <c r="A1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6" t="str">
        <f>IF(NOTA[[#This Row],[ID_P]]="","",MATCH(NOTA[[#This Row],[ID_P]],[1]!B_MSK[N_ID],0))</f>
        <v/>
      </c>
      <c r="D198" s="36" t="str">
        <f ca="1">IF(NOTA[[#This Row],[NAMA BARANG]]="","",INDEX(NOTA[ID],MATCH(,INDIRECT(ADDRESS(ROW(NOTA[ID]),COLUMN(NOTA[ID]))&amp;":"&amp;ADDRESS(ROW(),COLUMN(NOTA[ID]))),-1)))</f>
        <v/>
      </c>
      <c r="E198" s="14"/>
      <c r="F198" s="16"/>
      <c r="G198" s="16"/>
      <c r="H198" s="20"/>
      <c r="I198" s="16"/>
      <c r="J198" s="37"/>
      <c r="K198" s="16"/>
      <c r="L198" s="16"/>
      <c r="M198" s="28"/>
      <c r="N198" s="16"/>
      <c r="O198" s="16"/>
      <c r="P198" s="35"/>
      <c r="Q198" s="38"/>
      <c r="R198" s="28"/>
      <c r="S198" s="39"/>
      <c r="T198" s="39"/>
      <c r="U198" s="40"/>
      <c r="V198" s="26"/>
      <c r="W198" s="40" t="str">
        <f>IF(NOTA[[#This Row],[HARGA/ CTN]]="",NOTA[[#This Row],[JUMLAH_H]],NOTA[[#This Row],[HARGA/ CTN]]*IF(NOTA[[#This Row],[C]]="",0,NOTA[[#This Row],[C]]))</f>
        <v/>
      </c>
      <c r="X198" s="40" t="str">
        <f>IF(NOTA[[#This Row],[JUMLAH]]="","",NOTA[[#This Row],[JUMLAH]]*NOTA[[#This Row],[DISC 1]])</f>
        <v/>
      </c>
      <c r="Y198" s="40" t="str">
        <f>IF(NOTA[[#This Row],[JUMLAH]]="","",(NOTA[[#This Row],[JUMLAH]]-NOTA[[#This Row],[DISC 1-]])*NOTA[[#This Row],[DISC 2]])</f>
        <v/>
      </c>
      <c r="Z198" s="40" t="str">
        <f>IF(NOTA[[#This Row],[JUMLAH]]="","",NOTA[[#This Row],[DISC 1-]]+NOTA[[#This Row],[DISC 2-]])</f>
        <v/>
      </c>
      <c r="AA198" s="40" t="str">
        <f>IF(NOTA[[#This Row],[JUMLAH]]="","",NOTA[[#This Row],[JUMLAH]]-NOTA[[#This Row],[DISC]])</f>
        <v/>
      </c>
      <c r="AB198" s="40"/>
      <c r="AC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8" s="40" t="str">
        <f>IF(OR(NOTA[[#This Row],[QTY]]="",NOTA[[#This Row],[HARGA SATUAN]]="",),"",NOTA[[#This Row],[QTY]]*NOTA[[#This Row],[HARGA SATUAN]])</f>
        <v/>
      </c>
      <c r="AG198" s="37" t="str">
        <f ca="1">IF(NOTA[ID_H]="","",INDEX(NOTA[TANGGAL],MATCH(,INDIRECT(ADDRESS(ROW(NOTA[TANGGAL]),COLUMN(NOTA[TANGGAL]))&amp;":"&amp;ADDRESS(ROW(),COLUMN(NOTA[TANGGAL]))),-1)))</f>
        <v/>
      </c>
      <c r="AH198" s="35" t="str">
        <f ca="1">IF(NOTA[[#This Row],[NAMA BARANG]]="","",INDEX(NOTA[SUPPLIER],MATCH(,INDIRECT(ADDRESS(ROW(NOTA[ID]),COLUMN(NOTA[ID]))&amp;":"&amp;ADDRESS(ROW(),COLUMN(NOTA[ID]))),-1)))</f>
        <v/>
      </c>
      <c r="AI198" s="35" t="str">
        <f ca="1">IF(NOTA[[#This Row],[ID_H]]="","",IF(NOTA[[#This Row],[FAKTUR]]="",INDIRECT(ADDRESS(ROW()-1,COLUMN())),NOTA[[#This Row],[FAKTUR]]))</f>
        <v/>
      </c>
      <c r="AJ198" s="27" t="str">
        <f ca="1">IF(NOTA[[#This Row],[ID]]="","",COUNTIF(NOTA[ID_H],NOTA[[#This Row],[ID_H]]))</f>
        <v/>
      </c>
      <c r="AK198" s="27" t="str">
        <f ca="1">IF(NOTA[[#This Row],[TGL.NOTA]]="",IF(NOTA[[#This Row],[SUPPLIER_H]]="","",AK197),MONTH(NOTA[[#This Row],[TGL.NOTA]]))</f>
        <v/>
      </c>
      <c r="AL198" s="27" t="str">
        <f>LOWER(SUBSTITUTE(SUBSTITUTE(SUBSTITUTE(SUBSTITUTE(SUBSTITUTE(SUBSTITUTE(SUBSTITUTE(SUBSTITUTE(SUBSTITUTE(NOTA[NAMA BARANG]," ",),".",""),"-",""),"(",""),")",""),",",""),"/",""),"""",""),"+",""))</f>
        <v/>
      </c>
      <c r="AM1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27" t="str">
        <f>IF(NOTA[[#This Row],[CONCAT4]]="","",_xlfn.IFNA(MATCH(NOTA[[#This Row],[CONCAT4]],[2]!RAW[CONCAT_H],0),FALSE))</f>
        <v/>
      </c>
      <c r="AQ198" s="145" t="str">
        <f>IF(NOTA[[#This Row],[CONCAT1]]="","",MATCH(NOTA[[#This Row],[CONCAT1]],[3]!db[NB NOTA_C],0)+1)</f>
        <v/>
      </c>
    </row>
    <row r="199" spans="1:43" ht="20.100000000000001" customHeight="1" x14ac:dyDescent="0.25">
      <c r="A199" s="35">
        <f ca="1">IF(INDIRECT(ADDRESS(ROW()-1,COLUMN(NOTA[[#Headers],[ID]])))="ID",1,IF(NOTA[[#This Row],[FAKTUR]]="","",COUNT(INDIRECT(ADDRESS(ROW(NOTA[ID]),COLUMN(NOTA[ID]))&amp;":"&amp;ADDRESS(ROW()-1,COLUMN(NOTA[ID]))))+1))</f>
        <v>33</v>
      </c>
      <c r="B19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SA[_0905_SOS-1</v>
      </c>
      <c r="C199" s="36" t="e">
        <f ca="1">IF(NOTA[[#This Row],[ID_P]]="","",MATCH(NOTA[[#This Row],[ID_P]],[1]!B_MSK[N_ID],0))</f>
        <v>#REF!</v>
      </c>
      <c r="D199" s="36">
        <f ca="1">IF(NOTA[[#This Row],[NAMA BARANG]]="","",INDEX(NOTA[ID],MATCH(,INDIRECT(ADDRESS(ROW(NOTA[ID]),COLUMN(NOTA[ID]))&amp;":"&amp;ADDRESS(ROW(),COLUMN(NOTA[ID]))),-1)))</f>
        <v>33</v>
      </c>
      <c r="E199" s="14"/>
      <c r="F199" s="16" t="s">
        <v>368</v>
      </c>
      <c r="G199" s="16" t="s">
        <v>112</v>
      </c>
      <c r="H199" s="20" t="s">
        <v>369</v>
      </c>
      <c r="I199" s="16"/>
      <c r="J199" s="37">
        <v>45051</v>
      </c>
      <c r="K199" s="16"/>
      <c r="L199" s="16" t="s">
        <v>370</v>
      </c>
      <c r="M199" s="28">
        <v>30</v>
      </c>
      <c r="N199" s="16">
        <f>288*30</f>
        <v>8640</v>
      </c>
      <c r="O199" s="16" t="s">
        <v>160</v>
      </c>
      <c r="P199" s="35">
        <v>12750</v>
      </c>
      <c r="Q199" s="38"/>
      <c r="R199" s="28" t="s">
        <v>371</v>
      </c>
      <c r="S199" s="39"/>
      <c r="T199" s="39"/>
      <c r="U199" s="40"/>
      <c r="V199" s="26"/>
      <c r="W199" s="40">
        <f>IF(NOTA[[#This Row],[HARGA/ CTN]]="",NOTA[[#This Row],[JUMLAH_H]],NOTA[[#This Row],[HARGA/ CTN]]*IF(NOTA[[#This Row],[C]]="",0,NOTA[[#This Row],[C]]))</f>
        <v>110160000</v>
      </c>
      <c r="X199" s="40">
        <f>IF(NOTA[[#This Row],[JUMLAH]]="","",NOTA[[#This Row],[JUMLAH]]*NOTA[[#This Row],[DISC 1]])</f>
        <v>0</v>
      </c>
      <c r="Y199" s="40">
        <f>IF(NOTA[[#This Row],[JUMLAH]]="","",(NOTA[[#This Row],[JUMLAH]]-NOTA[[#This Row],[DISC 1-]])*NOTA[[#This Row],[DISC 2]])</f>
        <v>0</v>
      </c>
      <c r="Z199" s="40">
        <f>IF(NOTA[[#This Row],[JUMLAH]]="","",NOTA[[#This Row],[DISC 1-]]+NOTA[[#This Row],[DISC 2-]])</f>
        <v>0</v>
      </c>
      <c r="AA199" s="40">
        <f>IF(NOTA[[#This Row],[JUMLAH]]="","",NOTA[[#This Row],[JUMLAH]]-NOTA[[#This Row],[DISC]])</f>
        <v>110160000</v>
      </c>
      <c r="AB199" s="40"/>
      <c r="AC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9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110160000</v>
      </c>
      <c r="AE199" s="3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199" s="40">
        <f>IF(OR(NOTA[[#This Row],[QTY]]="",NOTA[[#This Row],[HARGA SATUAN]]="",),"",NOTA[[#This Row],[QTY]]*NOTA[[#This Row],[HARGA SATUAN]])</f>
        <v>110160000</v>
      </c>
      <c r="AG199" s="37">
        <f ca="1">IF(NOTA[ID_H]="","",INDEX(NOTA[TANGGAL],MATCH(,INDIRECT(ADDRESS(ROW(NOTA[TANGGAL]),COLUMN(NOTA[TANGGAL]))&amp;":"&amp;ADDRESS(ROW(),COLUMN(NOTA[TANGGAL]))),-1)))</f>
        <v>45055</v>
      </c>
      <c r="AH199" s="35" t="str">
        <f ca="1">IF(NOTA[[#This Row],[NAMA BARANG]]="","",INDEX(NOTA[SUPPLIER],MATCH(,INDIRECT(ADDRESS(ROW(NOTA[ID]),COLUMN(NOTA[ID]))&amp;":"&amp;ADDRESS(ROW(),COLUMN(NOTA[ID]))),-1)))</f>
        <v>SA[UTRO OFFICE</v>
      </c>
      <c r="AI199" s="35" t="str">
        <f ca="1">IF(NOTA[[#This Row],[ID_H]]="","",IF(NOTA[[#This Row],[FAKTUR]]="",INDIRECT(ADDRESS(ROW()-1,COLUMN())),NOTA[[#This Row],[FAKTUR]]))</f>
        <v>UNTANA</v>
      </c>
      <c r="AJ199" s="27">
        <f ca="1">IF(NOTA[[#This Row],[ID]]="","",COUNTIF(NOTA[ID_H],NOTA[[#This Row],[ID_H]]))</f>
        <v>1</v>
      </c>
      <c r="AK199" s="27">
        <f>IF(NOTA[[#This Row],[TGL.NOTA]]="",IF(NOTA[[#This Row],[SUPPLIER_H]]="","",AK198),MONTH(NOTA[[#This Row],[TGL.NOTA]]))</f>
        <v>5</v>
      </c>
      <c r="AL199" s="27" t="str">
        <f>LOWER(SUBSTITUTE(SUBSTITUTE(SUBSTITUTE(SUBSTITUTE(SUBSTITUTE(SUBSTITUTE(SUBSTITUTE(SUBSTITUTE(SUBSTITUTE(NOTA[NAMA BARANG]," ",),".",""),"-",""),"(",""),")",""),",",""),"/",""),"""",""),"+",""))</f>
        <v>crayonputardisneypanjangn</v>
      </c>
      <c r="AM1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crayonputardisneypanjangn3672000</v>
      </c>
      <c r="AN1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crayonputardisneypanjangn3672000</v>
      </c>
      <c r="AO199" s="27" t="str">
        <f>IF(NOTA[[#This Row],[SUPPLIER]]="","",NOTA[[#This Row],[SUPPLIER]]&amp;NOTA[[#This Row],[FAKTUR]]&amp;NOTA[[#This Row],[NO.NOTA]]&amp;NOTA[[#This Row],[NO.SJ]]&amp;NOTA[[#This Row],[TGL.NOTA]]&amp;NOTA[[#This Row],[CONCAT1]])</f>
        <v>SA[UTRO OFFICEUNTANAG-0962 INV SOS45051crayonputardisneypanjangn</v>
      </c>
      <c r="AP199" s="27" t="e">
        <f>IF(NOTA[[#This Row],[CONCAT4]]="","",_xlfn.IFNA(MATCH(NOTA[[#This Row],[CONCAT4]],[2]!RAW[CONCAT_H],0),FALSE))</f>
        <v>#REF!</v>
      </c>
      <c r="AQ199" s="145" t="e">
        <f>IF(NOTA[[#This Row],[CONCAT1]]="","",MATCH(NOTA[[#This Row],[CONCAT1]],[3]!db[NB NOTA_C],0)+1)</f>
        <v>#N/A</v>
      </c>
    </row>
    <row r="200" spans="1:43" ht="20.100000000000001" customHeight="1" x14ac:dyDescent="0.25">
      <c r="A2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6" t="str">
        <f>IF(NOTA[[#This Row],[ID_P]]="","",MATCH(NOTA[[#This Row],[ID_P]],[1]!B_MSK[N_ID],0))</f>
        <v/>
      </c>
      <c r="D200" s="36" t="str">
        <f ca="1">IF(NOTA[[#This Row],[NAMA BARANG]]="","",INDEX(NOTA[ID],MATCH(,INDIRECT(ADDRESS(ROW(NOTA[ID]),COLUMN(NOTA[ID]))&amp;":"&amp;ADDRESS(ROW(),COLUMN(NOTA[ID]))),-1)))</f>
        <v/>
      </c>
      <c r="E200" s="14"/>
      <c r="F200" s="16"/>
      <c r="G200" s="16"/>
      <c r="H200" s="20"/>
      <c r="I200" s="16"/>
      <c r="J200" s="37"/>
      <c r="K200" s="16"/>
      <c r="L200" s="16"/>
      <c r="M200" s="28"/>
      <c r="N200" s="16"/>
      <c r="O200" s="16"/>
      <c r="P200" s="35"/>
      <c r="Q200" s="38"/>
      <c r="R200" s="28"/>
      <c r="S200" s="39"/>
      <c r="T200" s="39"/>
      <c r="U200" s="40"/>
      <c r="V200" s="26"/>
      <c r="W200" s="40" t="str">
        <f>IF(NOTA[[#This Row],[HARGA/ CTN]]="",NOTA[[#This Row],[JUMLAH_H]],NOTA[[#This Row],[HARGA/ CTN]]*IF(NOTA[[#This Row],[C]]="",0,NOTA[[#This Row],[C]]))</f>
        <v/>
      </c>
      <c r="X200" s="40" t="str">
        <f>IF(NOTA[[#This Row],[JUMLAH]]="","",NOTA[[#This Row],[JUMLAH]]*NOTA[[#This Row],[DISC 1]])</f>
        <v/>
      </c>
      <c r="Y200" s="40" t="str">
        <f>IF(NOTA[[#This Row],[JUMLAH]]="","",(NOTA[[#This Row],[JUMLAH]]-NOTA[[#This Row],[DISC 1-]])*NOTA[[#This Row],[DISC 2]])</f>
        <v/>
      </c>
      <c r="Z200" s="40" t="str">
        <f>IF(NOTA[[#This Row],[JUMLAH]]="","",NOTA[[#This Row],[DISC 1-]]+NOTA[[#This Row],[DISC 2-]])</f>
        <v/>
      </c>
      <c r="AA200" s="40" t="str">
        <f>IF(NOTA[[#This Row],[JUMLAH]]="","",NOTA[[#This Row],[JUMLAH]]-NOTA[[#This Row],[DISC]])</f>
        <v/>
      </c>
      <c r="AB200" s="40"/>
      <c r="AC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40" t="str">
        <f>IF(OR(NOTA[[#This Row],[QTY]]="",NOTA[[#This Row],[HARGA SATUAN]]="",),"",NOTA[[#This Row],[QTY]]*NOTA[[#This Row],[HARGA SATUAN]])</f>
        <v/>
      </c>
      <c r="AG200" s="37" t="str">
        <f ca="1">IF(NOTA[ID_H]="","",INDEX(NOTA[TANGGAL],MATCH(,INDIRECT(ADDRESS(ROW(NOTA[TANGGAL]),COLUMN(NOTA[TANGGAL]))&amp;":"&amp;ADDRESS(ROW(),COLUMN(NOTA[TANGGAL]))),-1)))</f>
        <v/>
      </c>
      <c r="AH200" s="35" t="str">
        <f ca="1">IF(NOTA[[#This Row],[NAMA BARANG]]="","",INDEX(NOTA[SUPPLIER],MATCH(,INDIRECT(ADDRESS(ROW(NOTA[ID]),COLUMN(NOTA[ID]))&amp;":"&amp;ADDRESS(ROW(),COLUMN(NOTA[ID]))),-1)))</f>
        <v/>
      </c>
      <c r="AI200" s="35" t="str">
        <f ca="1">IF(NOTA[[#This Row],[ID_H]]="","",IF(NOTA[[#This Row],[FAKTUR]]="",INDIRECT(ADDRESS(ROW()-1,COLUMN())),NOTA[[#This Row],[FAKTUR]]))</f>
        <v/>
      </c>
      <c r="AJ200" s="27" t="str">
        <f ca="1">IF(NOTA[[#This Row],[ID]]="","",COUNTIF(NOTA[ID_H],NOTA[[#This Row],[ID_H]]))</f>
        <v/>
      </c>
      <c r="AK200" s="27" t="str">
        <f ca="1">IF(NOTA[[#This Row],[TGL.NOTA]]="",IF(NOTA[[#This Row],[SUPPLIER_H]]="","",AK199),MONTH(NOTA[[#This Row],[TGL.NOTA]]))</f>
        <v/>
      </c>
      <c r="AL200" s="27" t="str">
        <f>LOWER(SUBSTITUTE(SUBSTITUTE(SUBSTITUTE(SUBSTITUTE(SUBSTITUTE(SUBSTITUTE(SUBSTITUTE(SUBSTITUTE(SUBSTITUTE(NOTA[NAMA BARANG]," ",),".",""),"-",""),"(",""),")",""),",",""),"/",""),"""",""),"+",""))</f>
        <v/>
      </c>
      <c r="AM2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27" t="str">
        <f>IF(NOTA[[#This Row],[CONCAT4]]="","",_xlfn.IFNA(MATCH(NOTA[[#This Row],[CONCAT4]],[2]!RAW[CONCAT_H],0),FALSE))</f>
        <v/>
      </c>
      <c r="AQ200" s="145" t="str">
        <f>IF(NOTA[[#This Row],[CONCAT1]]="","",MATCH(NOTA[[#This Row],[CONCAT1]],[3]!db[NB NOTA_C],0)+1)</f>
        <v/>
      </c>
    </row>
    <row r="201" spans="1:43" ht="20.100000000000001" customHeight="1" x14ac:dyDescent="0.25">
      <c r="A201" s="35">
        <f ca="1">IF(INDIRECT(ADDRESS(ROW()-1,COLUMN(NOTA[[#Headers],[ID]])))="ID",1,IF(NOTA[[#This Row],[FAKTUR]]="","",COUNT(INDIRECT(ADDRESS(ROW(NOTA[ID]),COLUMN(NOTA[ID]))&amp;":"&amp;ADDRESS(ROW()-1,COLUMN(NOTA[ID]))))+1))</f>
        <v>34</v>
      </c>
      <c r="B20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DUT_0905_23H-1</v>
      </c>
      <c r="C201" s="36" t="e">
        <f ca="1">IF(NOTA[[#This Row],[ID_P]]="","",MATCH(NOTA[[#This Row],[ID_P]],[1]!B_MSK[N_ID],0))</f>
        <v>#REF!</v>
      </c>
      <c r="D201" s="36">
        <f ca="1">IF(NOTA[[#This Row],[NAMA BARANG]]="","",INDEX(NOTA[ID],MATCH(,INDIRECT(ADDRESS(ROW(NOTA[ID]),COLUMN(NOTA[ID]))&amp;":"&amp;ADDRESS(ROW(),COLUMN(NOTA[ID]))),-1)))</f>
        <v>34</v>
      </c>
      <c r="E201" s="14"/>
      <c r="F201" s="16" t="s">
        <v>249</v>
      </c>
      <c r="G201" s="16" t="s">
        <v>112</v>
      </c>
      <c r="H201" s="20" t="s">
        <v>372</v>
      </c>
      <c r="I201" s="16"/>
      <c r="J201" s="37">
        <v>45051</v>
      </c>
      <c r="K201" s="16"/>
      <c r="L201" s="16" t="s">
        <v>373</v>
      </c>
      <c r="M201" s="28">
        <v>2</v>
      </c>
      <c r="N201" s="16">
        <v>216</v>
      </c>
      <c r="O201" s="16" t="s">
        <v>125</v>
      </c>
      <c r="P201" s="35">
        <v>42500</v>
      </c>
      <c r="Q201" s="38"/>
      <c r="R201" s="28" t="s">
        <v>374</v>
      </c>
      <c r="S201" s="39">
        <v>0.03</v>
      </c>
      <c r="T201" s="39"/>
      <c r="U201" s="40"/>
      <c r="V201" s="26"/>
      <c r="W201" s="40">
        <f>IF(NOTA[[#This Row],[HARGA/ CTN]]="",NOTA[[#This Row],[JUMLAH_H]],NOTA[[#This Row],[HARGA/ CTN]]*IF(NOTA[[#This Row],[C]]="",0,NOTA[[#This Row],[C]]))</f>
        <v>9180000</v>
      </c>
      <c r="X201" s="40">
        <f>IF(NOTA[[#This Row],[JUMLAH]]="","",NOTA[[#This Row],[JUMLAH]]*NOTA[[#This Row],[DISC 1]])</f>
        <v>275400</v>
      </c>
      <c r="Y201" s="40">
        <f>IF(NOTA[[#This Row],[JUMLAH]]="","",(NOTA[[#This Row],[JUMLAH]]-NOTA[[#This Row],[DISC 1-]])*NOTA[[#This Row],[DISC 2]])</f>
        <v>0</v>
      </c>
      <c r="Z201" s="40">
        <f>IF(NOTA[[#This Row],[JUMLAH]]="","",NOTA[[#This Row],[DISC 1-]]+NOTA[[#This Row],[DISC 2-]])</f>
        <v>275400</v>
      </c>
      <c r="AA201" s="40">
        <f>IF(NOTA[[#This Row],[JUMLAH]]="","",NOTA[[#This Row],[JUMLAH]]-NOTA[[#This Row],[DISC]])</f>
        <v>8904600</v>
      </c>
      <c r="AB201" s="40"/>
      <c r="AC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275400</v>
      </c>
      <c r="AD2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8904600</v>
      </c>
      <c r="AE201" s="35">
        <f>IF(NOTA[[#This Row],[NAMA BARANG]]="","",IF(NOTA[[#This Row],[JUMLAH_H]]="",NOTA[[#This Row],[HARGA/ CTN]],NOTA[[#This Row],[QTY]]*NOTA[[#This Row],[HARGA SATUAN]]/IF(ISNUMBER(NOTA[[#This Row],[C]]),NOTA[[#This Row],[C]],1)))</f>
        <v>4590000</v>
      </c>
      <c r="AF201" s="40">
        <f>IF(OR(NOTA[[#This Row],[QTY]]="",NOTA[[#This Row],[HARGA SATUAN]]="",),"",NOTA[[#This Row],[QTY]]*NOTA[[#This Row],[HARGA SATUAN]])</f>
        <v>9180000</v>
      </c>
      <c r="AG201" s="37">
        <f ca="1">IF(NOTA[ID_H]="","",INDEX(NOTA[TANGGAL],MATCH(,INDIRECT(ADDRESS(ROW(NOTA[TANGGAL]),COLUMN(NOTA[TANGGAL]))&amp;":"&amp;ADDRESS(ROW(),COLUMN(NOTA[TANGGAL]))),-1)))</f>
        <v>45055</v>
      </c>
      <c r="AH201" s="35" t="str">
        <f ca="1">IF(NOTA[[#This Row],[NAMA BARANG]]="","",INDEX(NOTA[SUPPLIER],MATCH(,INDIRECT(ADDRESS(ROW(NOTA[ID]),COLUMN(NOTA[ID]))&amp;":"&amp;ADDRESS(ROW(),COLUMN(NOTA[ID]))),-1)))</f>
        <v>DUTA BUANA</v>
      </c>
      <c r="AI201" s="35" t="str">
        <f ca="1">IF(NOTA[[#This Row],[ID_H]]="","",IF(NOTA[[#This Row],[FAKTUR]]="",INDIRECT(ADDRESS(ROW()-1,COLUMN())),NOTA[[#This Row],[FAKTUR]]))</f>
        <v>UNTANA</v>
      </c>
      <c r="AJ201" s="27">
        <f ca="1">IF(NOTA[[#This Row],[ID]]="","",COUNTIF(NOTA[ID_H],NOTA[[#This Row],[ID_H]]))</f>
        <v>1</v>
      </c>
      <c r="AK201" s="27">
        <f>IF(NOTA[[#This Row],[TGL.NOTA]]="",IF(NOTA[[#This Row],[SUPPLIER_H]]="","",AK200),MONTH(NOTA[[#This Row],[TGL.NOTA]]))</f>
        <v>5</v>
      </c>
      <c r="AL201" s="27" t="str">
        <f>LOWER(SUBSTITUTE(SUBSTITUTE(SUBSTITUTE(SUBSTITUTE(SUBSTITUTE(SUBSTITUTE(SUBSTITUTE(SUBSTITUTE(SUBSTITUTE(NOTA[NAMA BARANG]," ",),".",""),"-",""),"(",""),")",""),",",""),"/",""),"""",""),"+",""))</f>
        <v>ballpentf7294wr</v>
      </c>
      <c r="AM2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ballpentf7294wr45900000.03</v>
      </c>
      <c r="AN2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ballpentf7294wr45900000.03</v>
      </c>
      <c r="AO201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121/ 05-23H45051ballpentf7294wr</v>
      </c>
      <c r="AP201" s="27" t="e">
        <f>IF(NOTA[[#This Row],[CONCAT4]]="","",_xlfn.IFNA(MATCH(NOTA[[#This Row],[CONCAT4]],[2]!RAW[CONCAT_H],0),FALSE))</f>
        <v>#REF!</v>
      </c>
      <c r="AQ201" s="145">
        <f>IF(NOTA[[#This Row],[CONCAT1]]="","",MATCH(NOTA[[#This Row],[CONCAT1]],[3]!db[NB NOTA_C],0)+1)</f>
        <v>117</v>
      </c>
    </row>
    <row r="202" spans="1:43" ht="20.100000000000001" customHeight="1" x14ac:dyDescent="0.25">
      <c r="A2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6" t="str">
        <f>IF(NOTA[[#This Row],[ID_P]]="","",MATCH(NOTA[[#This Row],[ID_P]],[1]!B_MSK[N_ID],0))</f>
        <v/>
      </c>
      <c r="D202" s="36" t="str">
        <f ca="1">IF(NOTA[[#This Row],[NAMA BARANG]]="","",INDEX(NOTA[ID],MATCH(,INDIRECT(ADDRESS(ROW(NOTA[ID]),COLUMN(NOTA[ID]))&amp;":"&amp;ADDRESS(ROW(),COLUMN(NOTA[ID]))),-1)))</f>
        <v/>
      </c>
      <c r="E202" s="14"/>
      <c r="F202" s="16"/>
      <c r="G202" s="16"/>
      <c r="H202" s="20"/>
      <c r="I202" s="16"/>
      <c r="J202" s="37"/>
      <c r="K202" s="16"/>
      <c r="L202" s="16"/>
      <c r="M202" s="28"/>
      <c r="N202" s="16"/>
      <c r="O202" s="16"/>
      <c r="P202" s="35"/>
      <c r="Q202" s="38"/>
      <c r="R202" s="28"/>
      <c r="S202" s="39"/>
      <c r="T202" s="39"/>
      <c r="U202" s="40"/>
      <c r="V202" s="26"/>
      <c r="W202" s="40" t="str">
        <f>IF(NOTA[[#This Row],[HARGA/ CTN]]="",NOTA[[#This Row],[JUMLAH_H]],NOTA[[#This Row],[HARGA/ CTN]]*IF(NOTA[[#This Row],[C]]="",0,NOTA[[#This Row],[C]]))</f>
        <v/>
      </c>
      <c r="X202" s="40" t="str">
        <f>IF(NOTA[[#This Row],[JUMLAH]]="","",NOTA[[#This Row],[JUMLAH]]*NOTA[[#This Row],[DISC 1]])</f>
        <v/>
      </c>
      <c r="Y202" s="40" t="str">
        <f>IF(NOTA[[#This Row],[JUMLAH]]="","",(NOTA[[#This Row],[JUMLAH]]-NOTA[[#This Row],[DISC 1-]])*NOTA[[#This Row],[DISC 2]])</f>
        <v/>
      </c>
      <c r="Z202" s="40" t="str">
        <f>IF(NOTA[[#This Row],[JUMLAH]]="","",NOTA[[#This Row],[DISC 1-]]+NOTA[[#This Row],[DISC 2-]])</f>
        <v/>
      </c>
      <c r="AA202" s="40" t="str">
        <f>IF(NOTA[[#This Row],[JUMLAH]]="","",NOTA[[#This Row],[JUMLAH]]-NOTA[[#This Row],[DISC]])</f>
        <v/>
      </c>
      <c r="AB202" s="40"/>
      <c r="AC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2" s="40" t="str">
        <f>IF(OR(NOTA[[#This Row],[QTY]]="",NOTA[[#This Row],[HARGA SATUAN]]="",),"",NOTA[[#This Row],[QTY]]*NOTA[[#This Row],[HARGA SATUAN]])</f>
        <v/>
      </c>
      <c r="AG202" s="37" t="str">
        <f ca="1">IF(NOTA[ID_H]="","",INDEX(NOTA[TANGGAL],MATCH(,INDIRECT(ADDRESS(ROW(NOTA[TANGGAL]),COLUMN(NOTA[TANGGAL]))&amp;":"&amp;ADDRESS(ROW(),COLUMN(NOTA[TANGGAL]))),-1)))</f>
        <v/>
      </c>
      <c r="AH202" s="35" t="str">
        <f ca="1">IF(NOTA[[#This Row],[NAMA BARANG]]="","",INDEX(NOTA[SUPPLIER],MATCH(,INDIRECT(ADDRESS(ROW(NOTA[ID]),COLUMN(NOTA[ID]))&amp;":"&amp;ADDRESS(ROW(),COLUMN(NOTA[ID]))),-1)))</f>
        <v/>
      </c>
      <c r="AI202" s="35" t="str">
        <f ca="1">IF(NOTA[[#This Row],[ID_H]]="","",IF(NOTA[[#This Row],[FAKTUR]]="",INDIRECT(ADDRESS(ROW()-1,COLUMN())),NOTA[[#This Row],[FAKTUR]]))</f>
        <v/>
      </c>
      <c r="AJ202" s="27" t="str">
        <f ca="1">IF(NOTA[[#This Row],[ID]]="","",COUNTIF(NOTA[ID_H],NOTA[[#This Row],[ID_H]]))</f>
        <v/>
      </c>
      <c r="AK202" s="27" t="str">
        <f ca="1">IF(NOTA[[#This Row],[TGL.NOTA]]="",IF(NOTA[[#This Row],[SUPPLIER_H]]="","",AK201),MONTH(NOTA[[#This Row],[TGL.NOTA]]))</f>
        <v/>
      </c>
      <c r="AL202" s="27" t="str">
        <f>LOWER(SUBSTITUTE(SUBSTITUTE(SUBSTITUTE(SUBSTITUTE(SUBSTITUTE(SUBSTITUTE(SUBSTITUTE(SUBSTITUTE(SUBSTITUTE(NOTA[NAMA BARANG]," ",),".",""),"-",""),"(",""),")",""),",",""),"/",""),"""",""),"+",""))</f>
        <v/>
      </c>
      <c r="AM2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27" t="str">
        <f>IF(NOTA[[#This Row],[CONCAT4]]="","",_xlfn.IFNA(MATCH(NOTA[[#This Row],[CONCAT4]],[2]!RAW[CONCAT_H],0),FALSE))</f>
        <v/>
      </c>
      <c r="AQ202" s="145" t="str">
        <f>IF(NOTA[[#This Row],[CONCAT1]]="","",MATCH(NOTA[[#This Row],[CONCAT1]],[3]!db[NB NOTA_C],0)+1)</f>
        <v/>
      </c>
    </row>
    <row r="203" spans="1:43" ht="20.100000000000001" customHeight="1" x14ac:dyDescent="0.25">
      <c r="A203" s="35">
        <f ca="1">IF(INDIRECT(ADDRESS(ROW()-1,COLUMN(NOTA[[#Headers],[ID]])))="ID",1,IF(NOTA[[#This Row],[FAKTUR]]="","",COUNT(INDIRECT(ADDRESS(ROW(NOTA[ID]),COLUMN(NOTA[ID]))&amp;":"&amp;ADDRESS(ROW()-1,COLUMN(NOTA[ID]))))+1))</f>
        <v>35</v>
      </c>
      <c r="B2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3" s="36" t="e">
        <f ca="1">IF(NOTA[[#This Row],[ID_P]]="","",MATCH(NOTA[[#This Row],[ID_P]],[1]!B_MSK[N_ID],0))</f>
        <v>#REF!</v>
      </c>
      <c r="D203" s="36">
        <f ca="1">IF(NOTA[[#This Row],[NAMA BARANG]]="","",INDEX(NOTA[ID],MATCH(,INDIRECT(ADDRESS(ROW(NOTA[ID]),COLUMN(NOTA[ID]))&amp;":"&amp;ADDRESS(ROW(),COLUMN(NOTA[ID]))),-1)))</f>
        <v>35</v>
      </c>
      <c r="E203" s="14"/>
      <c r="F203" s="16" t="s">
        <v>124</v>
      </c>
      <c r="G203" s="16" t="s">
        <v>112</v>
      </c>
      <c r="H203" s="20" t="s">
        <v>123</v>
      </c>
      <c r="I203" s="16"/>
      <c r="J203" s="37">
        <v>45050</v>
      </c>
      <c r="K203" s="16"/>
      <c r="L203" s="16" t="s">
        <v>375</v>
      </c>
      <c r="M203" s="28">
        <v>21</v>
      </c>
      <c r="N203" s="16">
        <v>1050</v>
      </c>
      <c r="O203" s="16" t="s">
        <v>125</v>
      </c>
      <c r="P203" s="35"/>
      <c r="Q203" s="38"/>
      <c r="R203" s="28"/>
      <c r="S203" s="39"/>
      <c r="T203" s="39"/>
      <c r="U203" s="40"/>
      <c r="V203" s="26"/>
      <c r="W203" s="40" t="str">
        <f>IF(NOTA[[#This Row],[HARGA/ CTN]]="",NOTA[[#This Row],[JUMLAH_H]],NOTA[[#This Row],[HARGA/ CTN]]*IF(NOTA[[#This Row],[C]]="",0,NOTA[[#This Row],[C]]))</f>
        <v/>
      </c>
      <c r="X203" s="40" t="str">
        <f>IF(NOTA[[#This Row],[JUMLAH]]="","",NOTA[[#This Row],[JUMLAH]]*NOTA[[#This Row],[DISC 1]])</f>
        <v/>
      </c>
      <c r="Y203" s="40" t="str">
        <f>IF(NOTA[[#This Row],[JUMLAH]]="","",(NOTA[[#This Row],[JUMLAH]]-NOTA[[#This Row],[DISC 1-]])*NOTA[[#This Row],[DISC 2]])</f>
        <v/>
      </c>
      <c r="Z203" s="40" t="str">
        <f>IF(NOTA[[#This Row],[JUMLAH]]="","",NOTA[[#This Row],[DISC 1-]]+NOTA[[#This Row],[DISC 2-]])</f>
        <v/>
      </c>
      <c r="AA203" s="40" t="str">
        <f>IF(NOTA[[#This Row],[JUMLAH]]="","",NOTA[[#This Row],[JUMLAH]]-NOTA[[#This Row],[DISC]])</f>
        <v/>
      </c>
      <c r="AB203" s="40"/>
      <c r="AC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3" s="40" t="str">
        <f>IF(OR(NOTA[[#This Row],[QTY]]="",NOTA[[#This Row],[HARGA SATUAN]]="",),"",NOTA[[#This Row],[QTY]]*NOTA[[#This Row],[HARGA SATUAN]])</f>
        <v/>
      </c>
      <c r="AG203" s="37">
        <f ca="1">IF(NOTA[ID_H]="","",INDEX(NOTA[TANGGAL],MATCH(,INDIRECT(ADDRESS(ROW(NOTA[TANGGAL]),COLUMN(NOTA[TANGGAL]))&amp;":"&amp;ADDRESS(ROW(),COLUMN(NOTA[TANGGAL]))),-1)))</f>
        <v>45055</v>
      </c>
      <c r="AH203" s="35" t="str">
        <f ca="1">IF(NOTA[[#This Row],[NAMA BARANG]]="","",INDEX(NOTA[SUPPLIER],MATCH(,INDIRECT(ADDRESS(ROW(NOTA[ID]),COLUMN(NOTA[ID]))&amp;":"&amp;ADDRESS(ROW(),COLUMN(NOTA[ID]))),-1)))</f>
        <v>GRAFINDO</v>
      </c>
      <c r="AI203" s="35" t="str">
        <f ca="1">IF(NOTA[[#This Row],[ID_H]]="","",IF(NOTA[[#This Row],[FAKTUR]]="",INDIRECT(ADDRESS(ROW()-1,COLUMN())),NOTA[[#This Row],[FAKTUR]]))</f>
        <v>UNTANA</v>
      </c>
      <c r="AJ203" s="27">
        <f ca="1">IF(NOTA[[#This Row],[ID]]="","",COUNTIF(NOTA[ID_H],NOTA[[#This Row],[ID_H]]))</f>
        <v>3</v>
      </c>
      <c r="AK203" s="27">
        <f>IF(NOTA[[#This Row],[TGL.NOTA]]="",IF(NOTA[[#This Row],[SUPPLIER_H]]="","",AK202),MONTH(NOTA[[#This Row],[TGL.NOTA]]))</f>
        <v>5</v>
      </c>
      <c r="AL203" s="27" t="str">
        <f>LOWER(SUBSTITUTE(SUBSTITUTE(SUBSTITUTE(SUBSTITUTE(SUBSTITUTE(SUBSTITUTE(SUBSTITUTE(SUBSTITUTE(SUBSTITUTE(NOTA[NAMA BARANG]," ",),".",""),"-",""),"(",""),")",""),",",""),"/",""),"""",""),"+",""))</f>
        <v>ac106fputihsusu</v>
      </c>
      <c r="AM2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ac106fputihsusu0</v>
      </c>
      <c r="AN2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ac106fputihsusu0</v>
      </c>
      <c r="AO203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JALAN45050ac106fputihsusu</v>
      </c>
      <c r="AP203" s="27" t="e">
        <f>IF(NOTA[[#This Row],[CONCAT4]]="","",_xlfn.IFNA(MATCH(NOTA[[#This Row],[CONCAT4]],[2]!RAW[CONCAT_H],0),FALSE))</f>
        <v>#REF!</v>
      </c>
      <c r="AQ203" s="145" t="e">
        <f>IF(NOTA[[#This Row],[CONCAT1]]="","",MATCH(NOTA[[#This Row],[CONCAT1]],[3]!db[NB NOTA_C],0)+1)</f>
        <v>#N/A</v>
      </c>
    </row>
    <row r="204" spans="1:43" ht="20.100000000000001" customHeight="1" x14ac:dyDescent="0.25">
      <c r="A2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6" t="str">
        <f>IF(NOTA[[#This Row],[ID_P]]="","",MATCH(NOTA[[#This Row],[ID_P]],[1]!B_MSK[N_ID],0))</f>
        <v/>
      </c>
      <c r="D204" s="36">
        <f ca="1">IF(NOTA[[#This Row],[NAMA BARANG]]="","",INDEX(NOTA[ID],MATCH(,INDIRECT(ADDRESS(ROW(NOTA[ID]),COLUMN(NOTA[ID]))&amp;":"&amp;ADDRESS(ROW(),COLUMN(NOTA[ID]))),-1)))</f>
        <v>35</v>
      </c>
      <c r="E204" s="14"/>
      <c r="F204" s="16"/>
      <c r="G204" s="16"/>
      <c r="H204" s="20"/>
      <c r="I204" s="16"/>
      <c r="J204" s="37"/>
      <c r="K204" s="16"/>
      <c r="L204" s="16" t="s">
        <v>376</v>
      </c>
      <c r="M204" s="28">
        <v>3</v>
      </c>
      <c r="N204" s="16">
        <v>150</v>
      </c>
      <c r="O204" s="16" t="s">
        <v>125</v>
      </c>
      <c r="P204" s="35"/>
      <c r="Q204" s="38"/>
      <c r="R204" s="28"/>
      <c r="S204" s="39"/>
      <c r="T204" s="39"/>
      <c r="U204" s="40"/>
      <c r="V204" s="26"/>
      <c r="W204" s="40" t="str">
        <f>IF(NOTA[[#This Row],[HARGA/ CTN]]="",NOTA[[#This Row],[JUMLAH_H]],NOTA[[#This Row],[HARGA/ CTN]]*IF(NOTA[[#This Row],[C]]="",0,NOTA[[#This Row],[C]]))</f>
        <v/>
      </c>
      <c r="X204" s="40" t="str">
        <f>IF(NOTA[[#This Row],[JUMLAH]]="","",NOTA[[#This Row],[JUMLAH]]*NOTA[[#This Row],[DISC 1]])</f>
        <v/>
      </c>
      <c r="Y204" s="40" t="str">
        <f>IF(NOTA[[#This Row],[JUMLAH]]="","",(NOTA[[#This Row],[JUMLAH]]-NOTA[[#This Row],[DISC 1-]])*NOTA[[#This Row],[DISC 2]])</f>
        <v/>
      </c>
      <c r="Z204" s="40" t="str">
        <f>IF(NOTA[[#This Row],[JUMLAH]]="","",NOTA[[#This Row],[DISC 1-]]+NOTA[[#This Row],[DISC 2-]])</f>
        <v/>
      </c>
      <c r="AA204" s="40" t="str">
        <f>IF(NOTA[[#This Row],[JUMLAH]]="","",NOTA[[#This Row],[JUMLAH]]-NOTA[[#This Row],[DISC]])</f>
        <v/>
      </c>
      <c r="AB204" s="40"/>
      <c r="AC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4" s="40" t="str">
        <f>IF(OR(NOTA[[#This Row],[QTY]]="",NOTA[[#This Row],[HARGA SATUAN]]="",),"",NOTA[[#This Row],[QTY]]*NOTA[[#This Row],[HARGA SATUAN]])</f>
        <v/>
      </c>
      <c r="AG204" s="37">
        <f ca="1">IF(NOTA[ID_H]="","",INDEX(NOTA[TANGGAL],MATCH(,INDIRECT(ADDRESS(ROW(NOTA[TANGGAL]),COLUMN(NOTA[TANGGAL]))&amp;":"&amp;ADDRESS(ROW(),COLUMN(NOTA[TANGGAL]))),-1)))</f>
        <v>45055</v>
      </c>
      <c r="AH204" s="35" t="str">
        <f ca="1">IF(NOTA[[#This Row],[NAMA BARANG]]="","",INDEX(NOTA[SUPPLIER],MATCH(,INDIRECT(ADDRESS(ROW(NOTA[ID]),COLUMN(NOTA[ID]))&amp;":"&amp;ADDRESS(ROW(),COLUMN(NOTA[ID]))),-1)))</f>
        <v>GRAFINDO</v>
      </c>
      <c r="AI204" s="35" t="str">
        <f ca="1">IF(NOTA[[#This Row],[ID_H]]="","",IF(NOTA[[#This Row],[FAKTUR]]="",INDIRECT(ADDRESS(ROW()-1,COLUMN())),NOTA[[#This Row],[FAKTUR]]))</f>
        <v>UNTANA</v>
      </c>
      <c r="AJ204" s="27" t="str">
        <f ca="1">IF(NOTA[[#This Row],[ID]]="","",COUNTIF(NOTA[ID_H],NOTA[[#This Row],[ID_H]]))</f>
        <v/>
      </c>
      <c r="AK204" s="27">
        <f ca="1">IF(NOTA[[#This Row],[TGL.NOTA]]="",IF(NOTA[[#This Row],[SUPPLIER_H]]="","",AK203),MONTH(NOTA[[#This Row],[TGL.NOTA]]))</f>
        <v>5</v>
      </c>
      <c r="AL204" s="27" t="str">
        <f>LOWER(SUBSTITUTE(SUBSTITUTE(SUBSTITUTE(SUBSTITUTE(SUBSTITUTE(SUBSTITUTE(SUBSTITUTE(SUBSTITUTE(SUBSTITUTE(NOTA[NAMA BARANG]," ",),".",""),"-",""),"(",""),")",""),",",""),"/",""),"""",""),"+",""))</f>
        <v>ac106fkuning</v>
      </c>
      <c r="AM2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ac106fkuning0</v>
      </c>
      <c r="AN2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ac106fkuning0</v>
      </c>
      <c r="AO2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27" t="str">
        <f>IF(NOTA[[#This Row],[CONCAT4]]="","",_xlfn.IFNA(MATCH(NOTA[[#This Row],[CONCAT4]],[2]!RAW[CONCAT_H],0),FALSE))</f>
        <v/>
      </c>
      <c r="AQ204" s="145" t="e">
        <f>IF(NOTA[[#This Row],[CONCAT1]]="","",MATCH(NOTA[[#This Row],[CONCAT1]],[3]!db[NB NOTA_C],0)+1)</f>
        <v>#N/A</v>
      </c>
    </row>
    <row r="205" spans="1:43" ht="20.100000000000001" customHeight="1" x14ac:dyDescent="0.25">
      <c r="A2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6" t="str">
        <f>IF(NOTA[[#This Row],[ID_P]]="","",MATCH(NOTA[[#This Row],[ID_P]],[1]!B_MSK[N_ID],0))</f>
        <v/>
      </c>
      <c r="D205" s="36">
        <f ca="1">IF(NOTA[[#This Row],[NAMA BARANG]]="","",INDEX(NOTA[ID],MATCH(,INDIRECT(ADDRESS(ROW(NOTA[ID]),COLUMN(NOTA[ID]))&amp;":"&amp;ADDRESS(ROW(),COLUMN(NOTA[ID]))),-1)))</f>
        <v>35</v>
      </c>
      <c r="E205" s="14"/>
      <c r="F205" s="16"/>
      <c r="G205" s="16"/>
      <c r="H205" s="20"/>
      <c r="I205" s="16"/>
      <c r="J205" s="37"/>
      <c r="K205" s="16"/>
      <c r="L205" s="16" t="s">
        <v>377</v>
      </c>
      <c r="M205" s="28">
        <v>2</v>
      </c>
      <c r="N205" s="16">
        <v>100</v>
      </c>
      <c r="O205" s="16" t="s">
        <v>125</v>
      </c>
      <c r="P205" s="35"/>
      <c r="Q205" s="38"/>
      <c r="R205" s="28"/>
      <c r="S205" s="39"/>
      <c r="T205" s="39"/>
      <c r="U205" s="40"/>
      <c r="V205" s="26"/>
      <c r="W205" s="40" t="str">
        <f>IF(NOTA[[#This Row],[HARGA/ CTN]]="",NOTA[[#This Row],[JUMLAH_H]],NOTA[[#This Row],[HARGA/ CTN]]*IF(NOTA[[#This Row],[C]]="",0,NOTA[[#This Row],[C]]))</f>
        <v/>
      </c>
      <c r="X205" s="40" t="str">
        <f>IF(NOTA[[#This Row],[JUMLAH]]="","",NOTA[[#This Row],[JUMLAH]]*NOTA[[#This Row],[DISC 1]])</f>
        <v/>
      </c>
      <c r="Y205" s="40" t="str">
        <f>IF(NOTA[[#This Row],[JUMLAH]]="","",(NOTA[[#This Row],[JUMLAH]]-NOTA[[#This Row],[DISC 1-]])*NOTA[[#This Row],[DISC 2]])</f>
        <v/>
      </c>
      <c r="Z205" s="40" t="str">
        <f>IF(NOTA[[#This Row],[JUMLAH]]="","",NOTA[[#This Row],[DISC 1-]]+NOTA[[#This Row],[DISC 2-]])</f>
        <v/>
      </c>
      <c r="AA205" s="40" t="str">
        <f>IF(NOTA[[#This Row],[JUMLAH]]="","",NOTA[[#This Row],[JUMLAH]]-NOTA[[#This Row],[DISC]])</f>
        <v/>
      </c>
      <c r="AB205" s="40"/>
      <c r="AC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05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5" s="40" t="str">
        <f>IF(OR(NOTA[[#This Row],[QTY]]="",NOTA[[#This Row],[HARGA SATUAN]]="",),"",NOTA[[#This Row],[QTY]]*NOTA[[#This Row],[HARGA SATUAN]])</f>
        <v/>
      </c>
      <c r="AG205" s="37">
        <f ca="1">IF(NOTA[ID_H]="","",INDEX(NOTA[TANGGAL],MATCH(,INDIRECT(ADDRESS(ROW(NOTA[TANGGAL]),COLUMN(NOTA[TANGGAL]))&amp;":"&amp;ADDRESS(ROW(),COLUMN(NOTA[TANGGAL]))),-1)))</f>
        <v>45055</v>
      </c>
      <c r="AH205" s="35" t="str">
        <f ca="1">IF(NOTA[[#This Row],[NAMA BARANG]]="","",INDEX(NOTA[SUPPLIER],MATCH(,INDIRECT(ADDRESS(ROW(NOTA[ID]),COLUMN(NOTA[ID]))&amp;":"&amp;ADDRESS(ROW(),COLUMN(NOTA[ID]))),-1)))</f>
        <v>GRAFINDO</v>
      </c>
      <c r="AI205" s="35" t="str">
        <f ca="1">IF(NOTA[[#This Row],[ID_H]]="","",IF(NOTA[[#This Row],[FAKTUR]]="",INDIRECT(ADDRESS(ROW()-1,COLUMN())),NOTA[[#This Row],[FAKTUR]]))</f>
        <v>UNTANA</v>
      </c>
      <c r="AJ205" s="27" t="str">
        <f ca="1">IF(NOTA[[#This Row],[ID]]="","",COUNTIF(NOTA[ID_H],NOTA[[#This Row],[ID_H]]))</f>
        <v/>
      </c>
      <c r="AK205" s="27">
        <f ca="1">IF(NOTA[[#This Row],[TGL.NOTA]]="",IF(NOTA[[#This Row],[SUPPLIER_H]]="","",AK204),MONTH(NOTA[[#This Row],[TGL.NOTA]]))</f>
        <v>5</v>
      </c>
      <c r="AL205" s="27" t="str">
        <f>LOWER(SUBSTITUTE(SUBSTITUTE(SUBSTITUTE(SUBSTITUTE(SUBSTITUTE(SUBSTITUTE(SUBSTITUTE(SUBSTITUTE(SUBSTITUTE(NOTA[NAMA BARANG]," ",),".",""),"-",""),"(",""),")",""),",",""),"/",""),"""",""),"+",""))</f>
        <v>ac106fmerah</v>
      </c>
      <c r="AM2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ac106fmerah0</v>
      </c>
      <c r="AN2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ac106fmerah0</v>
      </c>
      <c r="AO2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5" s="27" t="str">
        <f>IF(NOTA[[#This Row],[CONCAT4]]="","",_xlfn.IFNA(MATCH(NOTA[[#This Row],[CONCAT4]],[2]!RAW[CONCAT_H],0),FALSE))</f>
        <v/>
      </c>
      <c r="AQ205" s="145" t="e">
        <f>IF(NOTA[[#This Row],[CONCAT1]]="","",MATCH(NOTA[[#This Row],[CONCAT1]],[3]!db[NB NOTA_C],0)+1)</f>
        <v>#N/A</v>
      </c>
    </row>
    <row r="206" spans="1:43" ht="20.100000000000001" customHeight="1" x14ac:dyDescent="0.25">
      <c r="A2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6" t="str">
        <f>IF(NOTA[[#This Row],[ID_P]]="","",MATCH(NOTA[[#This Row],[ID_P]],[1]!B_MSK[N_ID],0))</f>
        <v/>
      </c>
      <c r="D206" s="36" t="str">
        <f ca="1">IF(NOTA[[#This Row],[NAMA BARANG]]="","",INDEX(NOTA[ID],MATCH(,INDIRECT(ADDRESS(ROW(NOTA[ID]),COLUMN(NOTA[ID]))&amp;":"&amp;ADDRESS(ROW(),COLUMN(NOTA[ID]))),-1)))</f>
        <v/>
      </c>
      <c r="E206" s="14"/>
      <c r="F206" s="16"/>
      <c r="G206" s="16"/>
      <c r="H206" s="20"/>
      <c r="I206" s="16"/>
      <c r="J206" s="37"/>
      <c r="K206" s="16"/>
      <c r="L206" s="16"/>
      <c r="M206" s="28"/>
      <c r="N206" s="16"/>
      <c r="O206" s="16"/>
      <c r="P206" s="35"/>
      <c r="Q206" s="38"/>
      <c r="R206" s="28"/>
      <c r="S206" s="39"/>
      <c r="T206" s="39"/>
      <c r="U206" s="40"/>
      <c r="V206" s="26"/>
      <c r="W206" s="40" t="str">
        <f>IF(NOTA[[#This Row],[HARGA/ CTN]]="",NOTA[[#This Row],[JUMLAH_H]],NOTA[[#This Row],[HARGA/ CTN]]*IF(NOTA[[#This Row],[C]]="",0,NOTA[[#This Row],[C]]))</f>
        <v/>
      </c>
      <c r="X206" s="40" t="str">
        <f>IF(NOTA[[#This Row],[JUMLAH]]="","",NOTA[[#This Row],[JUMLAH]]*NOTA[[#This Row],[DISC 1]])</f>
        <v/>
      </c>
      <c r="Y206" s="40" t="str">
        <f>IF(NOTA[[#This Row],[JUMLAH]]="","",(NOTA[[#This Row],[JUMLAH]]-NOTA[[#This Row],[DISC 1-]])*NOTA[[#This Row],[DISC 2]])</f>
        <v/>
      </c>
      <c r="Z206" s="40" t="str">
        <f>IF(NOTA[[#This Row],[JUMLAH]]="","",NOTA[[#This Row],[DISC 1-]]+NOTA[[#This Row],[DISC 2-]])</f>
        <v/>
      </c>
      <c r="AA206" s="40" t="str">
        <f>IF(NOTA[[#This Row],[JUMLAH]]="","",NOTA[[#This Row],[JUMLAH]]-NOTA[[#This Row],[DISC]])</f>
        <v/>
      </c>
      <c r="AB206" s="40"/>
      <c r="AC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6" s="40" t="str">
        <f>IF(OR(NOTA[[#This Row],[QTY]]="",NOTA[[#This Row],[HARGA SATUAN]]="",),"",NOTA[[#This Row],[QTY]]*NOTA[[#This Row],[HARGA SATUAN]])</f>
        <v/>
      </c>
      <c r="AG206" s="37" t="str">
        <f ca="1">IF(NOTA[ID_H]="","",INDEX(NOTA[TANGGAL],MATCH(,INDIRECT(ADDRESS(ROW(NOTA[TANGGAL]),COLUMN(NOTA[TANGGAL]))&amp;":"&amp;ADDRESS(ROW(),COLUMN(NOTA[TANGGAL]))),-1)))</f>
        <v/>
      </c>
      <c r="AH206" s="35" t="str">
        <f ca="1">IF(NOTA[[#This Row],[NAMA BARANG]]="","",INDEX(NOTA[SUPPLIER],MATCH(,INDIRECT(ADDRESS(ROW(NOTA[ID]),COLUMN(NOTA[ID]))&amp;":"&amp;ADDRESS(ROW(),COLUMN(NOTA[ID]))),-1)))</f>
        <v/>
      </c>
      <c r="AI206" s="35" t="str">
        <f ca="1">IF(NOTA[[#This Row],[ID_H]]="","",IF(NOTA[[#This Row],[FAKTUR]]="",INDIRECT(ADDRESS(ROW()-1,COLUMN())),NOTA[[#This Row],[FAKTUR]]))</f>
        <v/>
      </c>
      <c r="AJ206" s="27" t="str">
        <f ca="1">IF(NOTA[[#This Row],[ID]]="","",COUNTIF(NOTA[ID_H],NOTA[[#This Row],[ID_H]]))</f>
        <v/>
      </c>
      <c r="AK206" s="27" t="str">
        <f ca="1">IF(NOTA[[#This Row],[TGL.NOTA]]="",IF(NOTA[[#This Row],[SUPPLIER_H]]="","",AK205),MONTH(NOTA[[#This Row],[TGL.NOTA]]))</f>
        <v/>
      </c>
      <c r="AL206" s="27" t="str">
        <f>LOWER(SUBSTITUTE(SUBSTITUTE(SUBSTITUTE(SUBSTITUTE(SUBSTITUTE(SUBSTITUTE(SUBSTITUTE(SUBSTITUTE(SUBSTITUTE(NOTA[NAMA BARANG]," ",),".",""),"-",""),"(",""),")",""),",",""),"/",""),"""",""),"+",""))</f>
        <v/>
      </c>
      <c r="AM2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27" t="str">
        <f>IF(NOTA[[#This Row],[CONCAT4]]="","",_xlfn.IFNA(MATCH(NOTA[[#This Row],[CONCAT4]],[2]!RAW[CONCAT_H],0),FALSE))</f>
        <v/>
      </c>
      <c r="AQ206" s="145" t="str">
        <f>IF(NOTA[[#This Row],[CONCAT1]]="","",MATCH(NOTA[[#This Row],[CONCAT1]],[3]!db[NB NOTA_C],0)+1)</f>
        <v/>
      </c>
    </row>
    <row r="207" spans="1:43" ht="20.100000000000001" customHeight="1" x14ac:dyDescent="0.25">
      <c r="A207" s="35">
        <f ca="1">IF(INDIRECT(ADDRESS(ROW()-1,COLUMN(NOTA[[#Headers],[ID]])))="ID",1,IF(NOTA[[#This Row],[FAKTUR]]="","",COUNT(INDIRECT(ADDRESS(ROW(NOTA[ID]),COLUMN(NOTA[ID]))&amp;":"&amp;ADDRESS(ROW()-1,COLUMN(NOTA[ID]))))+1))</f>
        <v>36</v>
      </c>
      <c r="B20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GRA_0905_LAN-3</v>
      </c>
      <c r="C207" s="36" t="e">
        <f ca="1">IF(NOTA[[#This Row],[ID_P]]="","",MATCH(NOTA[[#This Row],[ID_P]],[1]!B_MSK[N_ID],0))</f>
        <v>#REF!</v>
      </c>
      <c r="D207" s="36">
        <f ca="1">IF(NOTA[[#This Row],[NAMA BARANG]]="","",INDEX(NOTA[ID],MATCH(,INDIRECT(ADDRESS(ROW(NOTA[ID]),COLUMN(NOTA[ID]))&amp;":"&amp;ADDRESS(ROW(),COLUMN(NOTA[ID]))),-1)))</f>
        <v>36</v>
      </c>
      <c r="E207" s="14"/>
      <c r="F207" s="16" t="s">
        <v>124</v>
      </c>
      <c r="G207" s="16" t="s">
        <v>112</v>
      </c>
      <c r="H207" s="20" t="s">
        <v>123</v>
      </c>
      <c r="I207" s="16"/>
      <c r="J207" s="37">
        <v>45050</v>
      </c>
      <c r="K207" s="16"/>
      <c r="L207" s="16" t="s">
        <v>378</v>
      </c>
      <c r="M207" s="28">
        <v>23</v>
      </c>
      <c r="N207" s="16">
        <v>1380</v>
      </c>
      <c r="O207" s="16" t="s">
        <v>125</v>
      </c>
      <c r="P207" s="35"/>
      <c r="Q207" s="38"/>
      <c r="R207" s="28" t="s">
        <v>379</v>
      </c>
      <c r="S207" s="39"/>
      <c r="T207" s="39"/>
      <c r="U207" s="40"/>
      <c r="V207" s="26"/>
      <c r="W207" s="40" t="str">
        <f>IF(NOTA[[#This Row],[HARGA/ CTN]]="",NOTA[[#This Row],[JUMLAH_H]],NOTA[[#This Row],[HARGA/ CTN]]*IF(NOTA[[#This Row],[C]]="",0,NOTA[[#This Row],[C]]))</f>
        <v/>
      </c>
      <c r="X207" s="40" t="str">
        <f>IF(NOTA[[#This Row],[JUMLAH]]="","",NOTA[[#This Row],[JUMLAH]]*NOTA[[#This Row],[DISC 1]])</f>
        <v/>
      </c>
      <c r="Y207" s="40" t="str">
        <f>IF(NOTA[[#This Row],[JUMLAH]]="","",(NOTA[[#This Row],[JUMLAH]]-NOTA[[#This Row],[DISC 1-]])*NOTA[[#This Row],[DISC 2]])</f>
        <v/>
      </c>
      <c r="Z207" s="40" t="str">
        <f>IF(NOTA[[#This Row],[JUMLAH]]="","",NOTA[[#This Row],[DISC 1-]]+NOTA[[#This Row],[DISC 2-]])</f>
        <v/>
      </c>
      <c r="AA207" s="40" t="str">
        <f>IF(NOTA[[#This Row],[JUMLAH]]="","",NOTA[[#This Row],[JUMLAH]]-NOTA[[#This Row],[DISC]])</f>
        <v/>
      </c>
      <c r="AB207" s="40"/>
      <c r="AC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7" s="40" t="str">
        <f>IF(OR(NOTA[[#This Row],[QTY]]="",NOTA[[#This Row],[HARGA SATUAN]]="",),"",NOTA[[#This Row],[QTY]]*NOTA[[#This Row],[HARGA SATUAN]])</f>
        <v/>
      </c>
      <c r="AG207" s="37">
        <f ca="1">IF(NOTA[ID_H]="","",INDEX(NOTA[TANGGAL],MATCH(,INDIRECT(ADDRESS(ROW(NOTA[TANGGAL]),COLUMN(NOTA[TANGGAL]))&amp;":"&amp;ADDRESS(ROW(),COLUMN(NOTA[TANGGAL]))),-1)))</f>
        <v>45055</v>
      </c>
      <c r="AH207" s="35" t="str">
        <f ca="1">IF(NOTA[[#This Row],[NAMA BARANG]]="","",INDEX(NOTA[SUPPLIER],MATCH(,INDIRECT(ADDRESS(ROW(NOTA[ID]),COLUMN(NOTA[ID]))&amp;":"&amp;ADDRESS(ROW(),COLUMN(NOTA[ID]))),-1)))</f>
        <v>GRAFINDO</v>
      </c>
      <c r="AI207" s="35" t="str">
        <f ca="1">IF(NOTA[[#This Row],[ID_H]]="","",IF(NOTA[[#This Row],[FAKTUR]]="",INDIRECT(ADDRESS(ROW()-1,COLUMN())),NOTA[[#This Row],[FAKTUR]]))</f>
        <v>UNTANA</v>
      </c>
      <c r="AJ207" s="27">
        <f ca="1">IF(NOTA[[#This Row],[ID]]="","",COUNTIF(NOTA[ID_H],NOTA[[#This Row],[ID_H]]))</f>
        <v>3</v>
      </c>
      <c r="AK207" s="27">
        <f>IF(NOTA[[#This Row],[TGL.NOTA]]="",IF(NOTA[[#This Row],[SUPPLIER_H]]="","",AK206),MONTH(NOTA[[#This Row],[TGL.NOTA]]))</f>
        <v>5</v>
      </c>
      <c r="AL207" s="27" t="str">
        <f>LOWER(SUBSTITUTE(SUBSTITUTE(SUBSTITUTE(SUBSTITUTE(SUBSTITUTE(SUBSTITUTE(SUBSTITUTE(SUBSTITUTE(SUBSTITUTE(NOTA[NAMA BARANG]," ",),".",""),"-",""),"(",""),")",""),",",""),"/",""),"""",""),"+",""))</f>
        <v>clearholderfoliosikaputih</v>
      </c>
      <c r="AM2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clearholderfoliosikaputih0</v>
      </c>
      <c r="AN2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clearholderfoliosikaputih0</v>
      </c>
      <c r="AO20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JALAN45050clearholderfoliosikaputih</v>
      </c>
      <c r="AP207" s="27" t="e">
        <f>IF(NOTA[[#This Row],[CONCAT4]]="","",_xlfn.IFNA(MATCH(NOTA[[#This Row],[CONCAT4]],[2]!RAW[CONCAT_H],0),FALSE))</f>
        <v>#REF!</v>
      </c>
      <c r="AQ207" s="145" t="e">
        <f>IF(NOTA[[#This Row],[CONCAT1]]="","",MATCH(NOTA[[#This Row],[CONCAT1]],[3]!db[NB NOTA_C],0)+1)</f>
        <v>#N/A</v>
      </c>
    </row>
    <row r="208" spans="1:43" ht="20.100000000000001" customHeight="1" x14ac:dyDescent="0.25">
      <c r="A2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18" t="str">
        <f>IF(NOTA[[#This Row],[ID_P]]="","",MATCH(NOTA[[#This Row],[ID_P]],[1]!B_MSK[N_ID],0))</f>
        <v/>
      </c>
      <c r="D208" s="18">
        <f ca="1">IF(NOTA[[#This Row],[NAMA BARANG]]="","",INDEX(NOTA[ID],MATCH(,INDIRECT(ADDRESS(ROW(NOTA[ID]),COLUMN(NOTA[ID]))&amp;":"&amp;ADDRESS(ROW(),COLUMN(NOTA[ID]))),-1)))</f>
        <v>36</v>
      </c>
      <c r="E208" s="19"/>
      <c r="F208" s="16"/>
      <c r="G208" s="16"/>
      <c r="H208" s="20"/>
      <c r="I208" s="21"/>
      <c r="J208" s="22"/>
      <c r="K208" s="16"/>
      <c r="L208" s="16" t="s">
        <v>380</v>
      </c>
      <c r="M208" s="28">
        <v>2</v>
      </c>
      <c r="N208" s="16">
        <v>1380</v>
      </c>
      <c r="O208" s="16" t="s">
        <v>125</v>
      </c>
      <c r="P208" s="35"/>
      <c r="Q208" s="38"/>
      <c r="R208" s="28" t="s">
        <v>379</v>
      </c>
      <c r="S208" s="39"/>
      <c r="T208" s="24"/>
      <c r="U208" s="25"/>
      <c r="V208" s="26"/>
      <c r="W208" s="25" t="str">
        <f>IF(NOTA[[#This Row],[HARGA/ CTN]]="",NOTA[[#This Row],[JUMLAH_H]],NOTA[[#This Row],[HARGA/ CTN]]*IF(NOTA[[#This Row],[C]]="",0,NOTA[[#This Row],[C]]))</f>
        <v/>
      </c>
      <c r="X208" s="25" t="str">
        <f>IF(NOTA[[#This Row],[JUMLAH]]="","",NOTA[[#This Row],[JUMLAH]]*NOTA[[#This Row],[DISC 1]])</f>
        <v/>
      </c>
      <c r="Y208" s="25" t="str">
        <f>IF(NOTA[[#This Row],[JUMLAH]]="","",(NOTA[[#This Row],[JUMLAH]]-NOTA[[#This Row],[DISC 1-]])*NOTA[[#This Row],[DISC 2]])</f>
        <v/>
      </c>
      <c r="Z208" s="25" t="str">
        <f>IF(NOTA[[#This Row],[JUMLAH]]="","",NOTA[[#This Row],[DISC 1-]]+NOTA[[#This Row],[DISC 2-]])</f>
        <v/>
      </c>
      <c r="AA208" s="25" t="str">
        <f>IF(NOTA[[#This Row],[JUMLAH]]="","",NOTA[[#This Row],[JUMLAH]]-NOTA[[#This Row],[DISC]])</f>
        <v/>
      </c>
      <c r="AB208" s="25"/>
      <c r="AC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8" s="25" t="str">
        <f>IF(OR(NOTA[[#This Row],[QTY]]="",NOTA[[#This Row],[HARGA SATUAN]]="",),"",NOTA[[#This Row],[QTY]]*NOTA[[#This Row],[HARGA SATUAN]])</f>
        <v/>
      </c>
      <c r="AG208" s="22">
        <f ca="1">IF(NOTA[ID_H]="","",INDEX(NOTA[TANGGAL],MATCH(,INDIRECT(ADDRESS(ROW(NOTA[TANGGAL]),COLUMN(NOTA[TANGGAL]))&amp;":"&amp;ADDRESS(ROW(),COLUMN(NOTA[TANGGAL]))),-1)))</f>
        <v>45055</v>
      </c>
      <c r="AH208" s="17" t="str">
        <f ca="1">IF(NOTA[[#This Row],[NAMA BARANG]]="","",INDEX(NOTA[SUPPLIER],MATCH(,INDIRECT(ADDRESS(ROW(NOTA[ID]),COLUMN(NOTA[ID]))&amp;":"&amp;ADDRESS(ROW(),COLUMN(NOTA[ID]))),-1)))</f>
        <v>GRAFINDO</v>
      </c>
      <c r="AI208" s="17" t="str">
        <f ca="1">IF(NOTA[[#This Row],[ID_H]]="","",IF(NOTA[[#This Row],[FAKTUR]]="",INDIRECT(ADDRESS(ROW()-1,COLUMN())),NOTA[[#This Row],[FAKTUR]]))</f>
        <v>UNTANA</v>
      </c>
      <c r="AJ208" s="27" t="str">
        <f ca="1">IF(NOTA[[#This Row],[ID]]="","",COUNTIF(NOTA[ID_H],NOTA[[#This Row],[ID_H]]))</f>
        <v/>
      </c>
      <c r="AK208" s="27">
        <f ca="1">IF(NOTA[[#This Row],[TGL.NOTA]]="",IF(NOTA[[#This Row],[SUPPLIER_H]]="","",AK207),MONTH(NOTA[[#This Row],[TGL.NOTA]]))</f>
        <v>5</v>
      </c>
      <c r="AL208" s="27" t="str">
        <f>LOWER(SUBSTITUTE(SUBSTITUTE(SUBSTITUTE(SUBSTITUTE(SUBSTITUTE(SUBSTITUTE(SUBSTITUTE(SUBSTITUTE(SUBSTITUTE(NOTA[NAMA BARANG]," ",),".",""),"-",""),"(",""),")",""),",",""),"/",""),"""",""),"+",""))</f>
        <v>clearholderfoliosikabiru</v>
      </c>
      <c r="AM2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clearholderfoliosikabiru0</v>
      </c>
      <c r="AN2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clearholderfoliosikabiru0</v>
      </c>
      <c r="AO2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27" t="str">
        <f>IF(NOTA[[#This Row],[CONCAT4]]="","",_xlfn.IFNA(MATCH(NOTA[[#This Row],[CONCAT4]],[2]!RAW[CONCAT_H],0),FALSE))</f>
        <v/>
      </c>
      <c r="AQ208" s="145" t="e">
        <f>IF(NOTA[[#This Row],[CONCAT1]]="","",MATCH(NOTA[[#This Row],[CONCAT1]],[3]!db[NB NOTA_C],0)+1)</f>
        <v>#N/A</v>
      </c>
    </row>
    <row r="209" spans="1:43" ht="20.100000000000001" customHeight="1" x14ac:dyDescent="0.25">
      <c r="A2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18" t="str">
        <f>IF(NOTA[[#This Row],[ID_P]]="","",MATCH(NOTA[[#This Row],[ID_P]],[1]!B_MSK[N_ID],0))</f>
        <v/>
      </c>
      <c r="D209" s="18">
        <f ca="1">IF(NOTA[[#This Row],[NAMA BARANG]]="","",INDEX(NOTA[ID],MATCH(,INDIRECT(ADDRESS(ROW(NOTA[ID]),COLUMN(NOTA[ID]))&amp;":"&amp;ADDRESS(ROW(),COLUMN(NOTA[ID]))),-1)))</f>
        <v>36</v>
      </c>
      <c r="E209" s="19"/>
      <c r="F209" s="21"/>
      <c r="G209" s="21"/>
      <c r="H209" s="41"/>
      <c r="I209" s="21"/>
      <c r="J209" s="22"/>
      <c r="K209" s="21"/>
      <c r="L209" s="16" t="s">
        <v>381</v>
      </c>
      <c r="M209" s="28">
        <v>5</v>
      </c>
      <c r="N209" s="16">
        <v>1380</v>
      </c>
      <c r="O209" s="16" t="s">
        <v>125</v>
      </c>
      <c r="P209" s="35"/>
      <c r="Q209" s="38"/>
      <c r="R209" s="28" t="s">
        <v>379</v>
      </c>
      <c r="S209" s="24"/>
      <c r="T209" s="24"/>
      <c r="U209" s="25"/>
      <c r="V209" s="26"/>
      <c r="W209" s="25" t="str">
        <f>IF(NOTA[[#This Row],[HARGA/ CTN]]="",NOTA[[#This Row],[JUMLAH_H]],NOTA[[#This Row],[HARGA/ CTN]]*IF(NOTA[[#This Row],[C]]="",0,NOTA[[#This Row],[C]]))</f>
        <v/>
      </c>
      <c r="X209" s="25" t="str">
        <f>IF(NOTA[[#This Row],[JUMLAH]]="","",NOTA[[#This Row],[JUMLAH]]*NOTA[[#This Row],[DISC 1]])</f>
        <v/>
      </c>
      <c r="Y209" s="25" t="str">
        <f>IF(NOTA[[#This Row],[JUMLAH]]="","",(NOTA[[#This Row],[JUMLAH]]-NOTA[[#This Row],[DISC 1-]])*NOTA[[#This Row],[DISC 2]])</f>
        <v/>
      </c>
      <c r="Z209" s="25" t="str">
        <f>IF(NOTA[[#This Row],[JUMLAH]]="","",NOTA[[#This Row],[DISC 1-]]+NOTA[[#This Row],[DISC 2-]])</f>
        <v/>
      </c>
      <c r="AA209" s="25" t="str">
        <f>IF(NOTA[[#This Row],[JUMLAH]]="","",NOTA[[#This Row],[JUMLAH]]-NOTA[[#This Row],[DISC]])</f>
        <v/>
      </c>
      <c r="AB209" s="25"/>
      <c r="AC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9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0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09" s="25" t="str">
        <f>IF(OR(NOTA[[#This Row],[QTY]]="",NOTA[[#This Row],[HARGA SATUAN]]="",),"",NOTA[[#This Row],[QTY]]*NOTA[[#This Row],[HARGA SATUAN]])</f>
        <v/>
      </c>
      <c r="AG209" s="22">
        <f ca="1">IF(NOTA[ID_H]="","",INDEX(NOTA[TANGGAL],MATCH(,INDIRECT(ADDRESS(ROW(NOTA[TANGGAL]),COLUMN(NOTA[TANGGAL]))&amp;":"&amp;ADDRESS(ROW(),COLUMN(NOTA[TANGGAL]))),-1)))</f>
        <v>45055</v>
      </c>
      <c r="AH209" s="17" t="str">
        <f ca="1">IF(NOTA[[#This Row],[NAMA BARANG]]="","",INDEX(NOTA[SUPPLIER],MATCH(,INDIRECT(ADDRESS(ROW(NOTA[ID]),COLUMN(NOTA[ID]))&amp;":"&amp;ADDRESS(ROW(),COLUMN(NOTA[ID]))),-1)))</f>
        <v>GRAFINDO</v>
      </c>
      <c r="AI209" s="17" t="str">
        <f ca="1">IF(NOTA[[#This Row],[ID_H]]="","",IF(NOTA[[#This Row],[FAKTUR]]="",INDIRECT(ADDRESS(ROW()-1,COLUMN())),NOTA[[#This Row],[FAKTUR]]))</f>
        <v>UNTANA</v>
      </c>
      <c r="AJ209" s="27" t="str">
        <f ca="1">IF(NOTA[[#This Row],[ID]]="","",COUNTIF(NOTA[ID_H],NOTA[[#This Row],[ID_H]]))</f>
        <v/>
      </c>
      <c r="AK209" s="27">
        <f ca="1">IF(NOTA[[#This Row],[TGL.NOTA]]="",IF(NOTA[[#This Row],[SUPPLIER_H]]="","",AK208),MONTH(NOTA[[#This Row],[TGL.NOTA]]))</f>
        <v>5</v>
      </c>
      <c r="AL209" s="27" t="str">
        <f>LOWER(SUBSTITUTE(SUBSTITUTE(SUBSTITUTE(SUBSTITUTE(SUBSTITUTE(SUBSTITUTE(SUBSTITUTE(SUBSTITUTE(SUBSTITUTE(NOTA[NAMA BARANG]," ",),".",""),"-",""),"(",""),")",""),",",""),"/",""),"""",""),"+",""))</f>
        <v>clearholderfoliosikamerah</v>
      </c>
      <c r="AM2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clearholderfoliosikamerah0</v>
      </c>
      <c r="AN2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clearholderfoliosikamerah0</v>
      </c>
      <c r="AO2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9" s="27" t="str">
        <f>IF(NOTA[[#This Row],[CONCAT4]]="","",_xlfn.IFNA(MATCH(NOTA[[#This Row],[CONCAT4]],[2]!RAW[CONCAT_H],0),FALSE))</f>
        <v/>
      </c>
      <c r="AQ209" s="145" t="e">
        <f>IF(NOTA[[#This Row],[CONCAT1]]="","",MATCH(NOTA[[#This Row],[CONCAT1]],[3]!db[NB NOTA_C],0)+1)</f>
        <v>#N/A</v>
      </c>
    </row>
    <row r="210" spans="1:43" ht="20.100000000000001" customHeight="1" x14ac:dyDescent="0.25">
      <c r="A2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18" t="str">
        <f>IF(NOTA[[#This Row],[ID_P]]="","",MATCH(NOTA[[#This Row],[ID_P]],[1]!B_MSK[N_ID],0))</f>
        <v/>
      </c>
      <c r="D210" s="18" t="str">
        <f ca="1">IF(NOTA[[#This Row],[NAMA BARANG]]="","",INDEX(NOTA[ID],MATCH(,INDIRECT(ADDRESS(ROW(NOTA[ID]),COLUMN(NOTA[ID]))&amp;":"&amp;ADDRESS(ROW(),COLUMN(NOTA[ID]))),-1)))</f>
        <v/>
      </c>
      <c r="E210" s="19"/>
      <c r="F210" s="16"/>
      <c r="G210" s="16"/>
      <c r="H210" s="20"/>
      <c r="I210" s="16"/>
      <c r="J210" s="22"/>
      <c r="K210" s="21"/>
      <c r="L210" s="16"/>
      <c r="M210" s="23"/>
      <c r="N210" s="21"/>
      <c r="O210" s="16"/>
      <c r="P210" s="17"/>
      <c r="Q210" s="34"/>
      <c r="R210" s="28"/>
      <c r="S210" s="24"/>
      <c r="T210" s="24"/>
      <c r="U210" s="25"/>
      <c r="V210" s="26"/>
      <c r="W210" s="25" t="str">
        <f>IF(NOTA[[#This Row],[HARGA/ CTN]]="",NOTA[[#This Row],[JUMLAH_H]],NOTA[[#This Row],[HARGA/ CTN]]*IF(NOTA[[#This Row],[C]]="",0,NOTA[[#This Row],[C]]))</f>
        <v/>
      </c>
      <c r="X210" s="25" t="str">
        <f>IF(NOTA[[#This Row],[JUMLAH]]="","",NOTA[[#This Row],[JUMLAH]]*NOTA[[#This Row],[DISC 1]])</f>
        <v/>
      </c>
      <c r="Y210" s="25" t="str">
        <f>IF(NOTA[[#This Row],[JUMLAH]]="","",(NOTA[[#This Row],[JUMLAH]]-NOTA[[#This Row],[DISC 1-]])*NOTA[[#This Row],[DISC 2]])</f>
        <v/>
      </c>
      <c r="Z210" s="25" t="str">
        <f>IF(NOTA[[#This Row],[JUMLAH]]="","",NOTA[[#This Row],[DISC 1-]]+NOTA[[#This Row],[DISC 2-]])</f>
        <v/>
      </c>
      <c r="AA210" s="25" t="str">
        <f>IF(NOTA[[#This Row],[JUMLAH]]="","",NOTA[[#This Row],[JUMLAH]]-NOTA[[#This Row],[DISC]])</f>
        <v/>
      </c>
      <c r="AB210" s="25"/>
      <c r="AC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0" s="25" t="str">
        <f>IF(OR(NOTA[[#This Row],[QTY]]="",NOTA[[#This Row],[HARGA SATUAN]]="",),"",NOTA[[#This Row],[QTY]]*NOTA[[#This Row],[HARGA SATUAN]])</f>
        <v/>
      </c>
      <c r="AG210" s="22" t="str">
        <f ca="1">IF(NOTA[ID_H]="","",INDEX(NOTA[TANGGAL],MATCH(,INDIRECT(ADDRESS(ROW(NOTA[TANGGAL]),COLUMN(NOTA[TANGGAL]))&amp;":"&amp;ADDRESS(ROW(),COLUMN(NOTA[TANGGAL]))),-1)))</f>
        <v/>
      </c>
      <c r="AH210" s="17" t="str">
        <f ca="1">IF(NOTA[[#This Row],[NAMA BARANG]]="","",INDEX(NOTA[SUPPLIER],MATCH(,INDIRECT(ADDRESS(ROW(NOTA[ID]),COLUMN(NOTA[ID]))&amp;":"&amp;ADDRESS(ROW(),COLUMN(NOTA[ID]))),-1)))</f>
        <v/>
      </c>
      <c r="AI210" s="17" t="str">
        <f ca="1">IF(NOTA[[#This Row],[ID_H]]="","",IF(NOTA[[#This Row],[FAKTUR]]="",INDIRECT(ADDRESS(ROW()-1,COLUMN())),NOTA[[#This Row],[FAKTUR]]))</f>
        <v/>
      </c>
      <c r="AJ210" s="27" t="str">
        <f ca="1">IF(NOTA[[#This Row],[ID]]="","",COUNTIF(NOTA[ID_H],NOTA[[#This Row],[ID_H]]))</f>
        <v/>
      </c>
      <c r="AK210" s="27" t="str">
        <f ca="1">IF(NOTA[[#This Row],[TGL.NOTA]]="",IF(NOTA[[#This Row],[SUPPLIER_H]]="","",AK209),MONTH(NOTA[[#This Row],[TGL.NOTA]]))</f>
        <v/>
      </c>
      <c r="AL210" s="27" t="str">
        <f>LOWER(SUBSTITUTE(SUBSTITUTE(SUBSTITUTE(SUBSTITUTE(SUBSTITUTE(SUBSTITUTE(SUBSTITUTE(SUBSTITUTE(SUBSTITUTE(NOTA[NAMA BARANG]," ",),".",""),"-",""),"(",""),")",""),",",""),"/",""),"""",""),"+",""))</f>
        <v/>
      </c>
      <c r="AM2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27" t="str">
        <f>IF(NOTA[[#This Row],[CONCAT4]]="","",_xlfn.IFNA(MATCH(NOTA[[#This Row],[CONCAT4]],[2]!RAW[CONCAT_H],0),FALSE))</f>
        <v/>
      </c>
      <c r="AQ210" s="145" t="str">
        <f>IF(NOTA[[#This Row],[CONCAT1]]="","",MATCH(NOTA[[#This Row],[CONCAT1]],[3]!db[NB NOTA_C],0)+1)</f>
        <v/>
      </c>
    </row>
    <row r="211" spans="1:43" ht="20.100000000000001" customHeight="1" x14ac:dyDescent="0.25">
      <c r="A211" s="17">
        <f ca="1">IF(INDIRECT(ADDRESS(ROW()-1,COLUMN(NOTA[[#Headers],[ID]])))="ID",1,IF(NOTA[[#This Row],[FAKTUR]]="","",COUNT(INDIRECT(ADDRESS(ROW(NOTA[ID]),COLUMN(NOTA[ID]))&amp;":"&amp;ADDRESS(ROW()-1,COLUMN(NOTA[ID]))))+1))</f>
        <v>37</v>
      </c>
      <c r="B21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PPW_0805_ 23-2</v>
      </c>
      <c r="C211" s="18" t="e">
        <f ca="1">IF(NOTA[[#This Row],[ID_P]]="","",MATCH(NOTA[[#This Row],[ID_P]],[1]!B_MSK[N_ID],0))</f>
        <v>#REF!</v>
      </c>
      <c r="D211" s="18">
        <f ca="1">IF(NOTA[[#This Row],[NAMA BARANG]]="","",INDEX(NOTA[ID],MATCH(,INDIRECT(ADDRESS(ROW(NOTA[ID]),COLUMN(NOTA[ID]))&amp;":"&amp;ADDRESS(ROW(),COLUMN(NOTA[ID]))),-1)))</f>
        <v>37</v>
      </c>
      <c r="E211" s="19">
        <v>45054</v>
      </c>
      <c r="F211" s="16" t="s">
        <v>382</v>
      </c>
      <c r="G211" s="16" t="s">
        <v>112</v>
      </c>
      <c r="H211" s="20" t="s">
        <v>383</v>
      </c>
      <c r="I211" s="22"/>
      <c r="J211" s="22">
        <v>45051</v>
      </c>
      <c r="K211" s="21"/>
      <c r="L211" s="16" t="s">
        <v>384</v>
      </c>
      <c r="M211" s="23">
        <v>1</v>
      </c>
      <c r="N211" s="21">
        <v>16</v>
      </c>
      <c r="O211" s="16" t="s">
        <v>146</v>
      </c>
      <c r="P211" s="17">
        <v>179780</v>
      </c>
      <c r="Q211" s="34"/>
      <c r="R211" s="28" t="s">
        <v>355</v>
      </c>
      <c r="S211" s="24">
        <v>0.2</v>
      </c>
      <c r="T211" s="24">
        <v>0.04</v>
      </c>
      <c r="U211" s="25"/>
      <c r="V211" s="26"/>
      <c r="W211" s="25">
        <f>IF(NOTA[[#This Row],[HARGA/ CTN]]="",NOTA[[#This Row],[JUMLAH_H]],NOTA[[#This Row],[HARGA/ CTN]]*IF(NOTA[[#This Row],[C]]="",0,NOTA[[#This Row],[C]]))</f>
        <v>2876480</v>
      </c>
      <c r="X211" s="25">
        <f>IF(NOTA[[#This Row],[JUMLAH]]="","",NOTA[[#This Row],[JUMLAH]]*NOTA[[#This Row],[DISC 1]])</f>
        <v>575296</v>
      </c>
      <c r="Y211" s="25">
        <f>IF(NOTA[[#This Row],[JUMLAH]]="","",(NOTA[[#This Row],[JUMLAH]]-NOTA[[#This Row],[DISC 1-]])*NOTA[[#This Row],[DISC 2]])</f>
        <v>92047.360000000001</v>
      </c>
      <c r="Z211" s="25">
        <f>IF(NOTA[[#This Row],[JUMLAH]]="","",NOTA[[#This Row],[DISC 1-]]+NOTA[[#This Row],[DISC 2-]])</f>
        <v>667343.35999999999</v>
      </c>
      <c r="AA211" s="25">
        <f>IF(NOTA[[#This Row],[JUMLAH]]="","",NOTA[[#This Row],[JUMLAH]]-NOTA[[#This Row],[DISC]])</f>
        <v>2209136.6400000001</v>
      </c>
      <c r="AB211" s="25"/>
      <c r="AC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17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F211" s="25">
        <f>IF(OR(NOTA[[#This Row],[QTY]]="",NOTA[[#This Row],[HARGA SATUAN]]="",),"",NOTA[[#This Row],[QTY]]*NOTA[[#This Row],[HARGA SATUAN]])</f>
        <v>2876480</v>
      </c>
      <c r="AG211" s="22">
        <f ca="1">IF(NOTA[ID_H]="","",INDEX(NOTA[TANGGAL],MATCH(,INDIRECT(ADDRESS(ROW(NOTA[TANGGAL]),COLUMN(NOTA[TANGGAL]))&amp;":"&amp;ADDRESS(ROW(),COLUMN(NOTA[TANGGAL]))),-1)))</f>
        <v>45054</v>
      </c>
      <c r="AH211" s="17" t="str">
        <f ca="1">IF(NOTA[[#This Row],[NAMA BARANG]]="","",INDEX(NOTA[SUPPLIER],MATCH(,INDIRECT(ADDRESS(ROW(NOTA[ID]),COLUMN(NOTA[ID]))&amp;":"&amp;ADDRESS(ROW(),COLUMN(NOTA[ID]))),-1)))</f>
        <v>PPW</v>
      </c>
      <c r="AI211" s="17" t="str">
        <f ca="1">IF(NOTA[[#This Row],[ID_H]]="","",IF(NOTA[[#This Row],[FAKTUR]]="",INDIRECT(ADDRESS(ROW()-1,COLUMN())),NOTA[[#This Row],[FAKTUR]]))</f>
        <v>UNTANA</v>
      </c>
      <c r="AJ211" s="27">
        <f ca="1">IF(NOTA[[#This Row],[ID]]="","",COUNTIF(NOTA[ID_H],NOTA[[#This Row],[ID_H]]))</f>
        <v>2</v>
      </c>
      <c r="AK211" s="27">
        <f>IF(NOTA[[#This Row],[TGL.NOTA]]="",IF(NOTA[[#This Row],[SUPPLIER_H]]="","",AK210),MONTH(NOTA[[#This Row],[TGL.NOTA]]))</f>
        <v>5</v>
      </c>
      <c r="AL211" s="27" t="str">
        <f>LOWER(SUBSTITUTE(SUBSTITUTE(SUBSTITUTE(SUBSTITUTE(SUBSTITUTE(SUBSTITUTE(SUBSTITUTE(SUBSTITUTE(SUBSTITUTE(NOTA[NAMA BARANG]," ",),".",""),"-",""),"(",""),")",""),",",""),"/",""),"""",""),"+",""))</f>
        <v>segitigabtno10</v>
      </c>
      <c r="AM2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N2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O21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PPWUNTANA0106/ HW/ V/ 2345051segitigabtno10</v>
      </c>
      <c r="AP211" s="27" t="e">
        <f>IF(NOTA[[#This Row],[CONCAT4]]="","",_xlfn.IFNA(MATCH(NOTA[[#This Row],[CONCAT4]],[2]!RAW[CONCAT_H],0),FALSE))</f>
        <v>#REF!</v>
      </c>
      <c r="AQ211" s="145">
        <f>IF(NOTA[[#This Row],[CONCAT1]]="","",MATCH(NOTA[[#This Row],[CONCAT1]],[3]!db[NB NOTA_C],0)+1)</f>
        <v>2126</v>
      </c>
    </row>
    <row r="212" spans="1:43" ht="20.100000000000001" customHeight="1" x14ac:dyDescent="0.25">
      <c r="A2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18" t="str">
        <f>IF(NOTA[[#This Row],[ID_P]]="","",MATCH(NOTA[[#This Row],[ID_P]],[1]!B_MSK[N_ID],0))</f>
        <v/>
      </c>
      <c r="D212" s="18">
        <f ca="1">IF(NOTA[[#This Row],[NAMA BARANG]]="","",INDEX(NOTA[ID],MATCH(,INDIRECT(ADDRESS(ROW(NOTA[ID]),COLUMN(NOTA[ID]))&amp;":"&amp;ADDRESS(ROW(),COLUMN(NOTA[ID]))),-1)))</f>
        <v>37</v>
      </c>
      <c r="E212" s="19"/>
      <c r="F212" s="16"/>
      <c r="G212" s="16"/>
      <c r="H212" s="20"/>
      <c r="I212" s="21"/>
      <c r="J212" s="22"/>
      <c r="K212" s="21"/>
      <c r="L212" s="16" t="s">
        <v>385</v>
      </c>
      <c r="M212" s="23">
        <v>1</v>
      </c>
      <c r="N212" s="21">
        <v>16</v>
      </c>
      <c r="O212" s="16" t="s">
        <v>146</v>
      </c>
      <c r="P212" s="17">
        <v>236880</v>
      </c>
      <c r="Q212" s="34"/>
      <c r="R212" s="28" t="s">
        <v>355</v>
      </c>
      <c r="S212" s="24">
        <v>0.2</v>
      </c>
      <c r="T212" s="24">
        <v>0.04</v>
      </c>
      <c r="U212" s="25"/>
      <c r="V212" s="26"/>
      <c r="W212" s="25">
        <f>IF(NOTA[[#This Row],[HARGA/ CTN]]="",NOTA[[#This Row],[JUMLAH_H]],NOTA[[#This Row],[HARGA/ CTN]]*IF(NOTA[[#This Row],[C]]="",0,NOTA[[#This Row],[C]]))</f>
        <v>3790080</v>
      </c>
      <c r="X212" s="25">
        <f>IF(NOTA[[#This Row],[JUMLAH]]="","",NOTA[[#This Row],[JUMLAH]]*NOTA[[#This Row],[DISC 1]])</f>
        <v>758016</v>
      </c>
      <c r="Y212" s="25">
        <f>IF(NOTA[[#This Row],[JUMLAH]]="","",(NOTA[[#This Row],[JUMLAH]]-NOTA[[#This Row],[DISC 1-]])*NOTA[[#This Row],[DISC 2]])</f>
        <v>121282.56</v>
      </c>
      <c r="Z212" s="25">
        <f>IF(NOTA[[#This Row],[JUMLAH]]="","",NOTA[[#This Row],[DISC 1-]]+NOTA[[#This Row],[DISC 2-]])</f>
        <v>879298.56000000006</v>
      </c>
      <c r="AA212" s="25">
        <f>IF(NOTA[[#This Row],[JUMLAH]]="","",NOTA[[#This Row],[JUMLAH]]-NOTA[[#This Row],[DISC]])</f>
        <v>2910781.4399999999</v>
      </c>
      <c r="AB212" s="25"/>
      <c r="AC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1546641.92</v>
      </c>
      <c r="AD21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5119918.0800000001</v>
      </c>
      <c r="AE212" s="17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F212" s="25">
        <f>IF(OR(NOTA[[#This Row],[QTY]]="",NOTA[[#This Row],[HARGA SATUAN]]="",),"",NOTA[[#This Row],[QTY]]*NOTA[[#This Row],[HARGA SATUAN]])</f>
        <v>3790080</v>
      </c>
      <c r="AG212" s="22">
        <f ca="1">IF(NOTA[ID_H]="","",INDEX(NOTA[TANGGAL],MATCH(,INDIRECT(ADDRESS(ROW(NOTA[TANGGAL]),COLUMN(NOTA[TANGGAL]))&amp;":"&amp;ADDRESS(ROW(),COLUMN(NOTA[TANGGAL]))),-1)))</f>
        <v>45054</v>
      </c>
      <c r="AH212" s="17" t="str">
        <f ca="1">IF(NOTA[[#This Row],[NAMA BARANG]]="","",INDEX(NOTA[SUPPLIER],MATCH(,INDIRECT(ADDRESS(ROW(NOTA[ID]),COLUMN(NOTA[ID]))&amp;":"&amp;ADDRESS(ROW(),COLUMN(NOTA[ID]))),-1)))</f>
        <v>PPW</v>
      </c>
      <c r="AI212" s="17" t="str">
        <f ca="1">IF(NOTA[[#This Row],[ID_H]]="","",IF(NOTA[[#This Row],[FAKTUR]]="",INDIRECT(ADDRESS(ROW()-1,COLUMN())),NOTA[[#This Row],[FAKTUR]]))</f>
        <v>UNTANA</v>
      </c>
      <c r="AJ212" s="27" t="str">
        <f ca="1">IF(NOTA[[#This Row],[ID]]="","",COUNTIF(NOTA[ID_H],NOTA[[#This Row],[ID_H]]))</f>
        <v/>
      </c>
      <c r="AK212" s="27">
        <f ca="1">IF(NOTA[[#This Row],[TGL.NOTA]]="",IF(NOTA[[#This Row],[SUPPLIER_H]]="","",AK211),MONTH(NOTA[[#This Row],[TGL.NOTA]]))</f>
        <v>5</v>
      </c>
      <c r="AL212" s="27" t="str">
        <f>LOWER(SUBSTITUTE(SUBSTITUTE(SUBSTITUTE(SUBSTITUTE(SUBSTITUTE(SUBSTITUTE(SUBSTITUTE(SUBSTITUTE(SUBSTITUTE(NOTA[NAMA BARANG]," ",),".",""),"-",""),"(",""),")",""),",",""),"/",""),"""",""),"+",""))</f>
        <v>segitigabtno12</v>
      </c>
      <c r="AM2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segitigabtno1237900800.20.04</v>
      </c>
      <c r="AN2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segitigabtno1237900800.20.04</v>
      </c>
      <c r="AO2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27" t="str">
        <f>IF(NOTA[[#This Row],[CONCAT4]]="","",_xlfn.IFNA(MATCH(NOTA[[#This Row],[CONCAT4]],[2]!RAW[CONCAT_H],0),FALSE))</f>
        <v/>
      </c>
      <c r="AQ212" s="145">
        <f>IF(NOTA[[#This Row],[CONCAT1]]="","",MATCH(NOTA[[#This Row],[CONCAT1]],[3]!db[NB NOTA_C],0)+1)</f>
        <v>2127</v>
      </c>
    </row>
    <row r="213" spans="1:43" ht="20.100000000000001" customHeight="1" x14ac:dyDescent="0.25">
      <c r="A2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18" t="str">
        <f>IF(NOTA[[#This Row],[ID_P]]="","",MATCH(NOTA[[#This Row],[ID_P]],[1]!B_MSK[N_ID],0))</f>
        <v/>
      </c>
      <c r="D213" s="18" t="str">
        <f ca="1">IF(NOTA[[#This Row],[NAMA BARANG]]="","",INDEX(NOTA[ID],MATCH(,INDIRECT(ADDRESS(ROW(NOTA[ID]),COLUMN(NOTA[ID]))&amp;":"&amp;ADDRESS(ROW(),COLUMN(NOTA[ID]))),-1)))</f>
        <v/>
      </c>
      <c r="E213" s="19"/>
      <c r="F213" s="16"/>
      <c r="G213" s="16"/>
      <c r="H213" s="20"/>
      <c r="I213" s="21"/>
      <c r="J213" s="22"/>
      <c r="K213" s="21"/>
      <c r="L213" s="16"/>
      <c r="M213" s="23"/>
      <c r="N213" s="21"/>
      <c r="O213" s="16"/>
      <c r="P213" s="17"/>
      <c r="Q213" s="34"/>
      <c r="R213" s="28"/>
      <c r="S213" s="24"/>
      <c r="T213" s="24"/>
      <c r="U213" s="25"/>
      <c r="V213" s="26"/>
      <c r="W213" s="25" t="str">
        <f>IF(NOTA[[#This Row],[HARGA/ CTN]]="",NOTA[[#This Row],[JUMLAH_H]],NOTA[[#This Row],[HARGA/ CTN]]*IF(NOTA[[#This Row],[C]]="",0,NOTA[[#This Row],[C]]))</f>
        <v/>
      </c>
      <c r="X213" s="25" t="str">
        <f>IF(NOTA[[#This Row],[JUMLAH]]="","",NOTA[[#This Row],[JUMLAH]]*NOTA[[#This Row],[DISC 1]])</f>
        <v/>
      </c>
      <c r="Y213" s="25" t="str">
        <f>IF(NOTA[[#This Row],[JUMLAH]]="","",(NOTA[[#This Row],[JUMLAH]]-NOTA[[#This Row],[DISC 1-]])*NOTA[[#This Row],[DISC 2]])</f>
        <v/>
      </c>
      <c r="Z213" s="25" t="str">
        <f>IF(NOTA[[#This Row],[JUMLAH]]="","",NOTA[[#This Row],[DISC 1-]]+NOTA[[#This Row],[DISC 2-]])</f>
        <v/>
      </c>
      <c r="AA213" s="25" t="str">
        <f>IF(NOTA[[#This Row],[JUMLAH]]="","",NOTA[[#This Row],[JUMLAH]]-NOTA[[#This Row],[DISC]])</f>
        <v/>
      </c>
      <c r="AB213" s="25"/>
      <c r="AC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25" t="str">
        <f>IF(OR(NOTA[[#This Row],[QTY]]="",NOTA[[#This Row],[HARGA SATUAN]]="",),"",NOTA[[#This Row],[QTY]]*NOTA[[#This Row],[HARGA SATUAN]])</f>
        <v/>
      </c>
      <c r="AG213" s="22" t="str">
        <f ca="1">IF(NOTA[ID_H]="","",INDEX(NOTA[TANGGAL],MATCH(,INDIRECT(ADDRESS(ROW(NOTA[TANGGAL]),COLUMN(NOTA[TANGGAL]))&amp;":"&amp;ADDRESS(ROW(),COLUMN(NOTA[TANGGAL]))),-1)))</f>
        <v/>
      </c>
      <c r="AH213" s="17" t="str">
        <f ca="1">IF(NOTA[[#This Row],[NAMA BARANG]]="","",INDEX(NOTA[SUPPLIER],MATCH(,INDIRECT(ADDRESS(ROW(NOTA[ID]),COLUMN(NOTA[ID]))&amp;":"&amp;ADDRESS(ROW(),COLUMN(NOTA[ID]))),-1)))</f>
        <v/>
      </c>
      <c r="AI213" s="17" t="str">
        <f ca="1">IF(NOTA[[#This Row],[ID_H]]="","",IF(NOTA[[#This Row],[FAKTUR]]="",INDIRECT(ADDRESS(ROW()-1,COLUMN())),NOTA[[#This Row],[FAKTUR]]))</f>
        <v/>
      </c>
      <c r="AJ213" s="27" t="str">
        <f ca="1">IF(NOTA[[#This Row],[ID]]="","",COUNTIF(NOTA[ID_H],NOTA[[#This Row],[ID_H]]))</f>
        <v/>
      </c>
      <c r="AK213" s="27" t="str">
        <f ca="1">IF(NOTA[[#This Row],[TGL.NOTA]]="",IF(NOTA[[#This Row],[SUPPLIER_H]]="","",AK212),MONTH(NOTA[[#This Row],[TGL.NOTA]]))</f>
        <v/>
      </c>
      <c r="AL213" s="27" t="str">
        <f>LOWER(SUBSTITUTE(SUBSTITUTE(SUBSTITUTE(SUBSTITUTE(SUBSTITUTE(SUBSTITUTE(SUBSTITUTE(SUBSTITUTE(SUBSTITUTE(NOTA[NAMA BARANG]," ",),".",""),"-",""),"(",""),")",""),",",""),"/",""),"""",""),"+",""))</f>
        <v/>
      </c>
      <c r="AM2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27" t="str">
        <f>IF(NOTA[[#This Row],[CONCAT4]]="","",_xlfn.IFNA(MATCH(NOTA[[#This Row],[CONCAT4]],[2]!RAW[CONCAT_H],0),FALSE))</f>
        <v/>
      </c>
      <c r="AQ213" s="145" t="str">
        <f>IF(NOTA[[#This Row],[CONCAT1]]="","",MATCH(NOTA[[#This Row],[CONCAT1]],[3]!db[NB NOTA_C],0)+1)</f>
        <v/>
      </c>
    </row>
    <row r="214" spans="1:43" ht="20.100000000000001" customHeight="1" x14ac:dyDescent="0.25">
      <c r="A214" s="17">
        <f ca="1">IF(INDIRECT(ADDRESS(ROW()-1,COLUMN(NOTA[[#Headers],[ID]])))="ID",1,IF(NOTA[[#This Row],[FAKTUR]]="","",COUNT(INDIRECT(ADDRESS(ROW(NOTA[ID]),COLUMN(NOTA[ID]))&amp;":"&amp;ADDRESS(ROW()-1,COLUMN(NOTA[ID]))))+1))</f>
        <v>38</v>
      </c>
      <c r="B21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SIN_0805_EDY-1</v>
      </c>
      <c r="C214" s="18" t="e">
        <f ca="1">IF(NOTA[[#This Row],[ID_P]]="","",MATCH(NOTA[[#This Row],[ID_P]],[1]!B_MSK[N_ID],0))</f>
        <v>#REF!</v>
      </c>
      <c r="D214" s="18">
        <f ca="1">IF(NOTA[[#This Row],[NAMA BARANG]]="","",INDEX(NOTA[ID],MATCH(,INDIRECT(ADDRESS(ROW(NOTA[ID]),COLUMN(NOTA[ID]))&amp;":"&amp;ADDRESS(ROW(),COLUMN(NOTA[ID]))),-1)))</f>
        <v>38</v>
      </c>
      <c r="E214" s="19"/>
      <c r="F214" s="16" t="s">
        <v>386</v>
      </c>
      <c r="G214" s="16" t="s">
        <v>112</v>
      </c>
      <c r="H214" s="20" t="s">
        <v>387</v>
      </c>
      <c r="I214" s="21"/>
      <c r="J214" s="22">
        <v>45051</v>
      </c>
      <c r="K214" s="21"/>
      <c r="L214" s="16" t="s">
        <v>388</v>
      </c>
      <c r="M214" s="23">
        <v>15</v>
      </c>
      <c r="N214" s="21">
        <v>1440</v>
      </c>
      <c r="O214" s="16" t="s">
        <v>160</v>
      </c>
      <c r="P214" s="17">
        <v>18500</v>
      </c>
      <c r="Q214" s="34"/>
      <c r="R214" s="28"/>
      <c r="S214" s="24"/>
      <c r="T214" s="24"/>
      <c r="U214" s="25"/>
      <c r="V214" s="26"/>
      <c r="W214" s="25">
        <f>IF(NOTA[[#This Row],[HARGA/ CTN]]="",NOTA[[#This Row],[JUMLAH_H]],NOTA[[#This Row],[HARGA/ CTN]]*IF(NOTA[[#This Row],[C]]="",0,NOTA[[#This Row],[C]]))</f>
        <v>26640000</v>
      </c>
      <c r="X214" s="25">
        <f>IF(NOTA[[#This Row],[JUMLAH]]="","",NOTA[[#This Row],[JUMLAH]]*NOTA[[#This Row],[DISC 1]])</f>
        <v>0</v>
      </c>
      <c r="Y214" s="25">
        <f>IF(NOTA[[#This Row],[JUMLAH]]="","",(NOTA[[#This Row],[JUMLAH]]-NOTA[[#This Row],[DISC 1-]])*NOTA[[#This Row],[DISC 2]])</f>
        <v>0</v>
      </c>
      <c r="Z214" s="25">
        <f>IF(NOTA[[#This Row],[JUMLAH]]="","",NOTA[[#This Row],[DISC 1-]]+NOTA[[#This Row],[DISC 2-]])</f>
        <v>0</v>
      </c>
      <c r="AA214" s="25">
        <f>IF(NOTA[[#This Row],[JUMLAH]]="","",NOTA[[#This Row],[JUMLAH]]-NOTA[[#This Row],[DISC]])</f>
        <v>26640000</v>
      </c>
      <c r="AB214" s="25"/>
      <c r="AC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E214" s="17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214" s="25">
        <f>IF(OR(NOTA[[#This Row],[QTY]]="",NOTA[[#This Row],[HARGA SATUAN]]="",),"",NOTA[[#This Row],[QTY]]*NOTA[[#This Row],[HARGA SATUAN]])</f>
        <v>26640000</v>
      </c>
      <c r="AG214" s="22">
        <f ca="1">IF(NOTA[ID_H]="","",INDEX(NOTA[TANGGAL],MATCH(,INDIRECT(ADDRESS(ROW(NOTA[TANGGAL]),COLUMN(NOTA[TANGGAL]))&amp;":"&amp;ADDRESS(ROW(),COLUMN(NOTA[TANGGAL]))),-1)))</f>
        <v>45054</v>
      </c>
      <c r="AH214" s="17" t="str">
        <f ca="1">IF(NOTA[[#This Row],[NAMA BARANG]]="","",INDEX(NOTA[SUPPLIER],MATCH(,INDIRECT(ADDRESS(ROW(NOTA[ID]),COLUMN(NOTA[ID]))&amp;":"&amp;ADDRESS(ROW(),COLUMN(NOTA[ID]))),-1)))</f>
        <v>SINAR MAS</v>
      </c>
      <c r="AI214" s="17" t="str">
        <f ca="1">IF(NOTA[[#This Row],[ID_H]]="","",IF(NOTA[[#This Row],[FAKTUR]]="",INDIRECT(ADDRESS(ROW()-1,COLUMN())),NOTA[[#This Row],[FAKTUR]]))</f>
        <v>UNTANA</v>
      </c>
      <c r="AJ214" s="27">
        <f ca="1">IF(NOTA[[#This Row],[ID]]="","",COUNTIF(NOTA[ID_H],NOTA[[#This Row],[ID_H]]))</f>
        <v>1</v>
      </c>
      <c r="AK214" s="27">
        <f>IF(NOTA[[#This Row],[TGL.NOTA]]="",IF(NOTA[[#This Row],[SUPPLIER_H]]="","",AK213),MONTH(NOTA[[#This Row],[TGL.NOTA]]))</f>
        <v>5</v>
      </c>
      <c r="AL214" s="27" t="str">
        <f>LOWER(SUBSTITUTE(SUBSTITUTE(SUBSTITUTE(SUBSTITUTE(SUBSTITUTE(SUBSTITUTE(SUBSTITUTE(SUBSTITUTE(SUBSTITUTE(NOTA[NAMA BARANG]," ",),".",""),"-",""),"(",""),")",""),",",""),"/",""),"""",""),"+",""))</f>
        <v>pckode3ss3da20200</v>
      </c>
      <c r="AM2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pckode3ss3da202001776000</v>
      </c>
      <c r="AN2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pckode3ss3da202001776000</v>
      </c>
      <c r="AO214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MASUNTANA32 EDY45051pckode3ss3da20200</v>
      </c>
      <c r="AP214" s="27" t="e">
        <f>IF(NOTA[[#This Row],[CONCAT4]]="","",_xlfn.IFNA(MATCH(NOTA[[#This Row],[CONCAT4]],[2]!RAW[CONCAT_H],0),FALSE))</f>
        <v>#REF!</v>
      </c>
      <c r="AQ214" s="145" t="e">
        <f>IF(NOTA[[#This Row],[CONCAT1]]="","",MATCH(NOTA[[#This Row],[CONCAT1]],[3]!db[NB NOTA_C],0)+1)</f>
        <v>#N/A</v>
      </c>
    </row>
    <row r="215" spans="1:43" ht="20.100000000000001" customHeight="1" x14ac:dyDescent="0.25">
      <c r="A2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18" t="str">
        <f>IF(NOTA[[#This Row],[ID_P]]="","",MATCH(NOTA[[#This Row],[ID_P]],[1]!B_MSK[N_ID],0))</f>
        <v/>
      </c>
      <c r="D215" s="18" t="str">
        <f ca="1">IF(NOTA[[#This Row],[NAMA BARANG]]="","",INDEX(NOTA[ID],MATCH(,INDIRECT(ADDRESS(ROW(NOTA[ID]),COLUMN(NOTA[ID]))&amp;":"&amp;ADDRESS(ROW(),COLUMN(NOTA[ID]))),-1)))</f>
        <v/>
      </c>
      <c r="E215" s="19"/>
      <c r="F215" s="16"/>
      <c r="G215" s="16"/>
      <c r="H215" s="20"/>
      <c r="I215" s="16"/>
      <c r="J215" s="22"/>
      <c r="K215" s="21"/>
      <c r="L215" s="16"/>
      <c r="M215" s="23"/>
      <c r="N215" s="21"/>
      <c r="O215" s="16"/>
      <c r="P215" s="17"/>
      <c r="Q215" s="34"/>
      <c r="R215" s="28"/>
      <c r="S215" s="24"/>
      <c r="T215" s="24"/>
      <c r="U215" s="25"/>
      <c r="V215" s="26"/>
      <c r="W215" s="25" t="str">
        <f>IF(NOTA[[#This Row],[HARGA/ CTN]]="",NOTA[[#This Row],[JUMLAH_H]],NOTA[[#This Row],[HARGA/ CTN]]*IF(NOTA[[#This Row],[C]]="",0,NOTA[[#This Row],[C]]))</f>
        <v/>
      </c>
      <c r="X215" s="25" t="str">
        <f>IF(NOTA[[#This Row],[JUMLAH]]="","",NOTA[[#This Row],[JUMLAH]]*NOTA[[#This Row],[DISC 1]])</f>
        <v/>
      </c>
      <c r="Y215" s="25" t="str">
        <f>IF(NOTA[[#This Row],[JUMLAH]]="","",(NOTA[[#This Row],[JUMLAH]]-NOTA[[#This Row],[DISC 1-]])*NOTA[[#This Row],[DISC 2]])</f>
        <v/>
      </c>
      <c r="Z215" s="25" t="str">
        <f>IF(NOTA[[#This Row],[JUMLAH]]="","",NOTA[[#This Row],[DISC 1-]]+NOTA[[#This Row],[DISC 2-]])</f>
        <v/>
      </c>
      <c r="AA215" s="25" t="str">
        <f>IF(NOTA[[#This Row],[JUMLAH]]="","",NOTA[[#This Row],[JUMLAH]]-NOTA[[#This Row],[DISC]])</f>
        <v/>
      </c>
      <c r="AB215" s="25"/>
      <c r="AC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25" t="str">
        <f>IF(OR(NOTA[[#This Row],[QTY]]="",NOTA[[#This Row],[HARGA SATUAN]]="",),"",NOTA[[#This Row],[QTY]]*NOTA[[#This Row],[HARGA SATUAN]])</f>
        <v/>
      </c>
      <c r="AG215" s="22" t="str">
        <f ca="1">IF(NOTA[ID_H]="","",INDEX(NOTA[TANGGAL],MATCH(,INDIRECT(ADDRESS(ROW(NOTA[TANGGAL]),COLUMN(NOTA[TANGGAL]))&amp;":"&amp;ADDRESS(ROW(),COLUMN(NOTA[TANGGAL]))),-1)))</f>
        <v/>
      </c>
      <c r="AH215" s="17" t="str">
        <f ca="1">IF(NOTA[[#This Row],[NAMA BARANG]]="","",INDEX(NOTA[SUPPLIER],MATCH(,INDIRECT(ADDRESS(ROW(NOTA[ID]),COLUMN(NOTA[ID]))&amp;":"&amp;ADDRESS(ROW(),COLUMN(NOTA[ID]))),-1)))</f>
        <v/>
      </c>
      <c r="AI215" s="17" t="str">
        <f ca="1">IF(NOTA[[#This Row],[ID_H]]="","",IF(NOTA[[#This Row],[FAKTUR]]="",INDIRECT(ADDRESS(ROW()-1,COLUMN())),NOTA[[#This Row],[FAKTUR]]))</f>
        <v/>
      </c>
      <c r="AJ215" s="27" t="str">
        <f ca="1">IF(NOTA[[#This Row],[ID]]="","",COUNTIF(NOTA[ID_H],NOTA[[#This Row],[ID_H]]))</f>
        <v/>
      </c>
      <c r="AK215" s="27" t="str">
        <f ca="1">IF(NOTA[[#This Row],[TGL.NOTA]]="",IF(NOTA[[#This Row],[SUPPLIER_H]]="","",AK214),MONTH(NOTA[[#This Row],[TGL.NOTA]]))</f>
        <v/>
      </c>
      <c r="AL215" s="27" t="str">
        <f>LOWER(SUBSTITUTE(SUBSTITUTE(SUBSTITUTE(SUBSTITUTE(SUBSTITUTE(SUBSTITUTE(SUBSTITUTE(SUBSTITUTE(SUBSTITUTE(NOTA[NAMA BARANG]," ",),".",""),"-",""),"(",""),")",""),",",""),"/",""),"""",""),"+",""))</f>
        <v/>
      </c>
      <c r="AM2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27" t="str">
        <f>IF(NOTA[[#This Row],[CONCAT4]]="","",_xlfn.IFNA(MATCH(NOTA[[#This Row],[CONCAT4]],[2]!RAW[CONCAT_H],0),FALSE))</f>
        <v/>
      </c>
      <c r="AQ215" s="145" t="str">
        <f>IF(NOTA[[#This Row],[CONCAT1]]="","",MATCH(NOTA[[#This Row],[CONCAT1]],[3]!db[NB NOTA_C],0)+1)</f>
        <v/>
      </c>
    </row>
    <row r="216" spans="1:43" ht="20.100000000000001" customHeight="1" x14ac:dyDescent="0.25">
      <c r="A216" s="35">
        <f ca="1">IF(INDIRECT(ADDRESS(ROW()-1,COLUMN(NOTA[[#Headers],[ID]])))="ID",1,IF(NOTA[[#This Row],[FAKTUR]]="","",COUNT(INDIRECT(ADDRESS(ROW(NOTA[ID]),COLUMN(NOTA[ID]))&amp;":"&amp;ADDRESS(ROW()-1,COLUMN(NOTA[ID]))))+1))</f>
        <v>39</v>
      </c>
      <c r="B21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GRA_0905_129-3</v>
      </c>
      <c r="C216" s="36" t="e">
        <f ca="1">IF(NOTA[[#This Row],[ID_P]]="","",MATCH(NOTA[[#This Row],[ID_P]],[1]!B_MSK[N_ID],0))</f>
        <v>#REF!</v>
      </c>
      <c r="D216" s="36">
        <f ca="1">IF(NOTA[[#This Row],[NAMA BARANG]]="","",INDEX(NOTA[ID],MATCH(,INDIRECT(ADDRESS(ROW(NOTA[ID]),COLUMN(NOTA[ID]))&amp;":"&amp;ADDRESS(ROW(),COLUMN(NOTA[ID]))),-1)))</f>
        <v>39</v>
      </c>
      <c r="E216" s="14">
        <v>45055</v>
      </c>
      <c r="F216" s="16" t="s">
        <v>124</v>
      </c>
      <c r="G216" s="16" t="s">
        <v>112</v>
      </c>
      <c r="H216" s="20" t="s">
        <v>391</v>
      </c>
      <c r="I216" s="16"/>
      <c r="J216" s="37">
        <v>45050</v>
      </c>
      <c r="K216" s="16"/>
      <c r="L216" s="16" t="s">
        <v>392</v>
      </c>
      <c r="M216" s="28">
        <v>2</v>
      </c>
      <c r="N216" s="16">
        <v>100</v>
      </c>
      <c r="O216" s="16" t="s">
        <v>125</v>
      </c>
      <c r="P216" s="38">
        <v>15000</v>
      </c>
      <c r="Q216" s="38"/>
      <c r="R216" s="28"/>
      <c r="S216" s="39"/>
      <c r="T216" s="39"/>
      <c r="U216" s="40"/>
      <c r="V216" s="26"/>
      <c r="W216" s="40">
        <f>IF(NOTA[[#This Row],[HARGA/ CTN]]="",NOTA[[#This Row],[JUMLAH_H]],NOTA[[#This Row],[HARGA/ CTN]]*IF(NOTA[[#This Row],[C]]="",0,NOTA[[#This Row],[C]]))</f>
        <v>1500000</v>
      </c>
      <c r="X216" s="40">
        <f>IF(NOTA[[#This Row],[JUMLAH]]="","",NOTA[[#This Row],[JUMLAH]]*NOTA[[#This Row],[DISC 1]])</f>
        <v>0</v>
      </c>
      <c r="Y216" s="40">
        <f>IF(NOTA[[#This Row],[JUMLAH]]="","",(NOTA[[#This Row],[JUMLAH]]-NOTA[[#This Row],[DISC 1-]])*NOTA[[#This Row],[DISC 2]])</f>
        <v>0</v>
      </c>
      <c r="Z216" s="40">
        <f>IF(NOTA[[#This Row],[JUMLAH]]="","",NOTA[[#This Row],[DISC 1-]]+NOTA[[#This Row],[DISC 2-]])</f>
        <v>0</v>
      </c>
      <c r="AA216" s="40">
        <f>IF(NOTA[[#This Row],[JUMLAH]]="","",NOTA[[#This Row],[JUMLAH]]-NOTA[[#This Row],[DISC]])</f>
        <v>1500000</v>
      </c>
      <c r="AB216" s="40"/>
      <c r="AC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0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6" s="40">
        <f>IF(OR(NOTA[[#This Row],[QTY]]="",NOTA[[#This Row],[HARGA SATUAN]]="",),"",NOTA[[#This Row],[QTY]]*NOTA[[#This Row],[HARGA SATUAN]])</f>
        <v>1500000</v>
      </c>
      <c r="AG216" s="37">
        <f ca="1">IF(NOTA[ID_H]="","",INDEX(NOTA[TANGGAL],MATCH(,INDIRECT(ADDRESS(ROW(NOTA[TANGGAL]),COLUMN(NOTA[TANGGAL]))&amp;":"&amp;ADDRESS(ROW(),COLUMN(NOTA[TANGGAL]))),-1)))</f>
        <v>45055</v>
      </c>
      <c r="AH216" s="35" t="str">
        <f ca="1">IF(NOTA[[#This Row],[NAMA BARANG]]="","",INDEX(NOTA[SUPPLIER],MATCH(,INDIRECT(ADDRESS(ROW(NOTA[ID]),COLUMN(NOTA[ID]))&amp;":"&amp;ADDRESS(ROW(),COLUMN(NOTA[ID]))),-1)))</f>
        <v>GRAFINDO</v>
      </c>
      <c r="AI216" s="35" t="str">
        <f ca="1">IF(NOTA[[#This Row],[ID_H]]="","",IF(NOTA[[#This Row],[FAKTUR]]="",INDIRECT(ADDRESS(ROW()-1,COLUMN())),NOTA[[#This Row],[FAKTUR]]))</f>
        <v>UNTANA</v>
      </c>
      <c r="AJ216" s="27">
        <f ca="1">IF(NOTA[[#This Row],[ID]]="","",COUNTIF(NOTA[ID_H],NOTA[[#This Row],[ID_H]]))</f>
        <v>3</v>
      </c>
      <c r="AK216" s="27">
        <f>IF(NOTA[[#This Row],[TGL.NOTA]]="",IF(NOTA[[#This Row],[SUPPLIER_H]]="","",AK215),MONTH(NOTA[[#This Row],[TGL.NOTA]]))</f>
        <v>5</v>
      </c>
      <c r="AL216" s="27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M2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N2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O216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GRAFINDOUNTANAGA-23-05-012945050businessfilesikaac106merah</v>
      </c>
      <c r="AP216" s="27" t="e">
        <f>IF(NOTA[[#This Row],[CONCAT4]]="","",_xlfn.IFNA(MATCH(NOTA[[#This Row],[CONCAT4]],[2]!RAW[CONCAT_H],0),FALSE))</f>
        <v>#REF!</v>
      </c>
      <c r="AQ216" s="145">
        <f>IF(NOTA[[#This Row],[CONCAT1]]="","",MATCH(NOTA[[#This Row],[CONCAT1]],[3]!db[NB NOTA_C],0)+1)</f>
        <v>415</v>
      </c>
    </row>
    <row r="217" spans="1:43" ht="20.100000000000001" customHeight="1" x14ac:dyDescent="0.25">
      <c r="A2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6" t="str">
        <f>IF(NOTA[[#This Row],[ID_P]]="","",MATCH(NOTA[[#This Row],[ID_P]],[1]!B_MSK[N_ID],0))</f>
        <v/>
      </c>
      <c r="D217" s="36">
        <f ca="1">IF(NOTA[[#This Row],[NAMA BARANG]]="","",INDEX(NOTA[ID],MATCH(,INDIRECT(ADDRESS(ROW(NOTA[ID]),COLUMN(NOTA[ID]))&amp;":"&amp;ADDRESS(ROW(),COLUMN(NOTA[ID]))),-1)))</f>
        <v>39</v>
      </c>
      <c r="E217" s="14"/>
      <c r="F217" s="16"/>
      <c r="G217" s="16"/>
      <c r="H217" s="20"/>
      <c r="I217" s="16"/>
      <c r="J217" s="37"/>
      <c r="K217" s="16"/>
      <c r="L217" s="16" t="s">
        <v>393</v>
      </c>
      <c r="M217" s="28">
        <v>21</v>
      </c>
      <c r="N217" s="16">
        <v>1050</v>
      </c>
      <c r="O217" s="16" t="s">
        <v>125</v>
      </c>
      <c r="P217" s="35">
        <v>15000</v>
      </c>
      <c r="Q217" s="38"/>
      <c r="R217" s="28"/>
      <c r="S217" s="39"/>
      <c r="T217" s="39"/>
      <c r="U217" s="40"/>
      <c r="V217" s="26"/>
      <c r="W217" s="40">
        <f>IF(NOTA[[#This Row],[HARGA/ CTN]]="",NOTA[[#This Row],[JUMLAH_H]],NOTA[[#This Row],[HARGA/ CTN]]*IF(NOTA[[#This Row],[C]]="",0,NOTA[[#This Row],[C]]))</f>
        <v>15750000</v>
      </c>
      <c r="X217" s="40">
        <f>IF(NOTA[[#This Row],[JUMLAH]]="","",NOTA[[#This Row],[JUMLAH]]*NOTA[[#This Row],[DISC 1]])</f>
        <v>0</v>
      </c>
      <c r="Y217" s="40">
        <f>IF(NOTA[[#This Row],[JUMLAH]]="","",(NOTA[[#This Row],[JUMLAH]]-NOTA[[#This Row],[DISC 1-]])*NOTA[[#This Row],[DISC 2]])</f>
        <v>0</v>
      </c>
      <c r="Z217" s="40">
        <f>IF(NOTA[[#This Row],[JUMLAH]]="","",NOTA[[#This Row],[DISC 1-]]+NOTA[[#This Row],[DISC 2-]])</f>
        <v>0</v>
      </c>
      <c r="AA217" s="40">
        <f>IF(NOTA[[#This Row],[JUMLAH]]="","",NOTA[[#This Row],[JUMLAH]]-NOTA[[#This Row],[DISC]])</f>
        <v>15750000</v>
      </c>
      <c r="AB217" s="40"/>
      <c r="AC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7" s="40">
        <f>IF(OR(NOTA[[#This Row],[QTY]]="",NOTA[[#This Row],[HARGA SATUAN]]="",),"",NOTA[[#This Row],[QTY]]*NOTA[[#This Row],[HARGA SATUAN]])</f>
        <v>15750000</v>
      </c>
      <c r="AG217" s="37">
        <f ca="1">IF(NOTA[ID_H]="","",INDEX(NOTA[TANGGAL],MATCH(,INDIRECT(ADDRESS(ROW(NOTA[TANGGAL]),COLUMN(NOTA[TANGGAL]))&amp;":"&amp;ADDRESS(ROW(),COLUMN(NOTA[TANGGAL]))),-1)))</f>
        <v>45055</v>
      </c>
      <c r="AH217" s="35" t="str">
        <f ca="1">IF(NOTA[[#This Row],[NAMA BARANG]]="","",INDEX(NOTA[SUPPLIER],MATCH(,INDIRECT(ADDRESS(ROW(NOTA[ID]),COLUMN(NOTA[ID]))&amp;":"&amp;ADDRESS(ROW(),COLUMN(NOTA[ID]))),-1)))</f>
        <v>GRAFINDO</v>
      </c>
      <c r="AI217" s="35" t="str">
        <f ca="1">IF(NOTA[[#This Row],[ID_H]]="","",IF(NOTA[[#This Row],[FAKTUR]]="",INDIRECT(ADDRESS(ROW()-1,COLUMN())),NOTA[[#This Row],[FAKTUR]]))</f>
        <v>UNTANA</v>
      </c>
      <c r="AJ217" s="27" t="str">
        <f ca="1">IF(NOTA[[#This Row],[ID]]="","",COUNTIF(NOTA[ID_H],NOTA[[#This Row],[ID_H]]))</f>
        <v/>
      </c>
      <c r="AK217" s="27">
        <f ca="1">IF(NOTA[[#This Row],[TGL.NOTA]]="",IF(NOTA[[#This Row],[SUPPLIER_H]]="","",AK216),MONTH(NOTA[[#This Row],[TGL.NOTA]]))</f>
        <v>5</v>
      </c>
      <c r="AL217" s="27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M2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N2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O2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27" t="str">
        <f>IF(NOTA[[#This Row],[CONCAT4]]="","",_xlfn.IFNA(MATCH(NOTA[[#This Row],[CONCAT4]],[2]!RAW[CONCAT_H],0),FALSE))</f>
        <v/>
      </c>
      <c r="AQ217" s="145">
        <f>IF(NOTA[[#This Row],[CONCAT1]]="","",MATCH(NOTA[[#This Row],[CONCAT1]],[3]!db[NB NOTA_C],0)+1)</f>
        <v>416</v>
      </c>
    </row>
    <row r="218" spans="1:43" ht="20.100000000000001" customHeight="1" x14ac:dyDescent="0.25">
      <c r="A2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6" t="str">
        <f>IF(NOTA[[#This Row],[ID_P]]="","",MATCH(NOTA[[#This Row],[ID_P]],[1]!B_MSK[N_ID],0))</f>
        <v/>
      </c>
      <c r="D218" s="36">
        <f ca="1">IF(NOTA[[#This Row],[NAMA BARANG]]="","",INDEX(NOTA[ID],MATCH(,INDIRECT(ADDRESS(ROW(NOTA[ID]),COLUMN(NOTA[ID]))&amp;":"&amp;ADDRESS(ROW(),COLUMN(NOTA[ID]))),-1)))</f>
        <v>39</v>
      </c>
      <c r="E218" s="14"/>
      <c r="F218" s="16"/>
      <c r="G218" s="16"/>
      <c r="H218" s="20"/>
      <c r="I218" s="16"/>
      <c r="J218" s="37"/>
      <c r="K218" s="16"/>
      <c r="L218" s="16" t="s">
        <v>394</v>
      </c>
      <c r="M218" s="28">
        <v>3</v>
      </c>
      <c r="N218" s="16">
        <v>150</v>
      </c>
      <c r="O218" s="16" t="s">
        <v>125</v>
      </c>
      <c r="P218" s="35">
        <v>15000</v>
      </c>
      <c r="Q218" s="38"/>
      <c r="R218" s="28"/>
      <c r="S218" s="39"/>
      <c r="T218" s="39"/>
      <c r="U218" s="40"/>
      <c r="V218" s="26"/>
      <c r="W218" s="40">
        <f>IF(NOTA[[#This Row],[HARGA/ CTN]]="",NOTA[[#This Row],[JUMLAH_H]],NOTA[[#This Row],[HARGA/ CTN]]*IF(NOTA[[#This Row],[C]]="",0,NOTA[[#This Row],[C]]))</f>
        <v>2250000</v>
      </c>
      <c r="X218" s="40">
        <f>IF(NOTA[[#This Row],[JUMLAH]]="","",NOTA[[#This Row],[JUMLAH]]*NOTA[[#This Row],[DISC 1]])</f>
        <v>0</v>
      </c>
      <c r="Y218" s="40">
        <f>IF(NOTA[[#This Row],[JUMLAH]]="","",(NOTA[[#This Row],[JUMLAH]]-NOTA[[#This Row],[DISC 1-]])*NOTA[[#This Row],[DISC 2]])</f>
        <v>0</v>
      </c>
      <c r="Z218" s="40">
        <f>IF(NOTA[[#This Row],[JUMLAH]]="","",NOTA[[#This Row],[DISC 1-]]+NOTA[[#This Row],[DISC 2-]])</f>
        <v>0</v>
      </c>
      <c r="AA218" s="40">
        <f>IF(NOTA[[#This Row],[JUMLAH]]="","",NOTA[[#This Row],[JUMLAH]]-NOTA[[#This Row],[DISC]])</f>
        <v>2250000</v>
      </c>
      <c r="AB218" s="40"/>
      <c r="AC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19500000</v>
      </c>
      <c r="AE218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18" s="40">
        <f>IF(OR(NOTA[[#This Row],[QTY]]="",NOTA[[#This Row],[HARGA SATUAN]]="",),"",NOTA[[#This Row],[QTY]]*NOTA[[#This Row],[HARGA SATUAN]])</f>
        <v>2250000</v>
      </c>
      <c r="AG218" s="37">
        <f ca="1">IF(NOTA[ID_H]="","",INDEX(NOTA[TANGGAL],MATCH(,INDIRECT(ADDRESS(ROW(NOTA[TANGGAL]),COLUMN(NOTA[TANGGAL]))&amp;":"&amp;ADDRESS(ROW(),COLUMN(NOTA[TANGGAL]))),-1)))</f>
        <v>45055</v>
      </c>
      <c r="AH218" s="35" t="str">
        <f ca="1">IF(NOTA[[#This Row],[NAMA BARANG]]="","",INDEX(NOTA[SUPPLIER],MATCH(,INDIRECT(ADDRESS(ROW(NOTA[ID]),COLUMN(NOTA[ID]))&amp;":"&amp;ADDRESS(ROW(),COLUMN(NOTA[ID]))),-1)))</f>
        <v>GRAFINDO</v>
      </c>
      <c r="AI218" s="35" t="str">
        <f ca="1">IF(NOTA[[#This Row],[ID_H]]="","",IF(NOTA[[#This Row],[FAKTUR]]="",INDIRECT(ADDRESS(ROW()-1,COLUMN())),NOTA[[#This Row],[FAKTUR]]))</f>
        <v>UNTANA</v>
      </c>
      <c r="AJ218" s="27" t="str">
        <f ca="1">IF(NOTA[[#This Row],[ID]]="","",COUNTIF(NOTA[ID_H],NOTA[[#This Row],[ID_H]]))</f>
        <v/>
      </c>
      <c r="AK218" s="27">
        <f ca="1">IF(NOTA[[#This Row],[TGL.NOTA]]="",IF(NOTA[[#This Row],[SUPPLIER_H]]="","",AK217),MONTH(NOTA[[#This Row],[TGL.NOTA]]))</f>
        <v>5</v>
      </c>
      <c r="AL218" s="27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M2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N2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O2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27" t="str">
        <f>IF(NOTA[[#This Row],[CONCAT4]]="","",_xlfn.IFNA(MATCH(NOTA[[#This Row],[CONCAT4]],[2]!RAW[CONCAT_H],0),FALSE))</f>
        <v/>
      </c>
      <c r="AQ218" s="145" t="e">
        <f>IF(NOTA[[#This Row],[CONCAT1]]="","",MATCH(NOTA[[#This Row],[CONCAT1]],[3]!db[NB NOTA_C],0)+1)</f>
        <v>#N/A</v>
      </c>
    </row>
    <row r="219" spans="1:43" ht="20.100000000000001" customHeight="1" x14ac:dyDescent="0.25">
      <c r="A2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6" t="str">
        <f>IF(NOTA[[#This Row],[ID_P]]="","",MATCH(NOTA[[#This Row],[ID_P]],[1]!B_MSK[N_ID],0))</f>
        <v/>
      </c>
      <c r="D219" s="36" t="str">
        <f ca="1">IF(NOTA[[#This Row],[NAMA BARANG]]="","",INDEX(NOTA[ID],MATCH(,INDIRECT(ADDRESS(ROW(NOTA[ID]),COLUMN(NOTA[ID]))&amp;":"&amp;ADDRESS(ROW(),COLUMN(NOTA[ID]))),-1)))</f>
        <v/>
      </c>
      <c r="E219" s="14"/>
      <c r="F219" s="16"/>
      <c r="G219" s="16"/>
      <c r="H219" s="20"/>
      <c r="I219" s="16"/>
      <c r="J219" s="37"/>
      <c r="K219" s="16"/>
      <c r="L219" s="16"/>
      <c r="M219" s="28"/>
      <c r="N219" s="16"/>
      <c r="O219" s="16"/>
      <c r="P219" s="35"/>
      <c r="Q219" s="38"/>
      <c r="R219" s="28"/>
      <c r="S219" s="39"/>
      <c r="T219" s="39"/>
      <c r="U219" s="40"/>
      <c r="V219" s="26"/>
      <c r="W219" s="40" t="str">
        <f>IF(NOTA[[#This Row],[HARGA/ CTN]]="",NOTA[[#This Row],[JUMLAH_H]],NOTA[[#This Row],[HARGA/ CTN]]*IF(NOTA[[#This Row],[C]]="",0,NOTA[[#This Row],[C]]))</f>
        <v/>
      </c>
      <c r="X219" s="40" t="str">
        <f>IF(NOTA[[#This Row],[JUMLAH]]="","",NOTA[[#This Row],[JUMLAH]]*NOTA[[#This Row],[DISC 1]])</f>
        <v/>
      </c>
      <c r="Y219" s="40" t="str">
        <f>IF(NOTA[[#This Row],[JUMLAH]]="","",(NOTA[[#This Row],[JUMLAH]]-NOTA[[#This Row],[DISC 1-]])*NOTA[[#This Row],[DISC 2]])</f>
        <v/>
      </c>
      <c r="Z219" s="40" t="str">
        <f>IF(NOTA[[#This Row],[JUMLAH]]="","",NOTA[[#This Row],[DISC 1-]]+NOTA[[#This Row],[DISC 2-]])</f>
        <v/>
      </c>
      <c r="AA219" s="40" t="str">
        <f>IF(NOTA[[#This Row],[JUMLAH]]="","",NOTA[[#This Row],[JUMLAH]]-NOTA[[#This Row],[DISC]])</f>
        <v/>
      </c>
      <c r="AB219" s="40"/>
      <c r="AC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40" t="str">
        <f>IF(OR(NOTA[[#This Row],[QTY]]="",NOTA[[#This Row],[HARGA SATUAN]]="",),"",NOTA[[#This Row],[QTY]]*NOTA[[#This Row],[HARGA SATUAN]])</f>
        <v/>
      </c>
      <c r="AG219" s="37" t="str">
        <f ca="1">IF(NOTA[ID_H]="","",INDEX(NOTA[TANGGAL],MATCH(,INDIRECT(ADDRESS(ROW(NOTA[TANGGAL]),COLUMN(NOTA[TANGGAL]))&amp;":"&amp;ADDRESS(ROW(),COLUMN(NOTA[TANGGAL]))),-1)))</f>
        <v/>
      </c>
      <c r="AH219" s="35" t="str">
        <f ca="1">IF(NOTA[[#This Row],[NAMA BARANG]]="","",INDEX(NOTA[SUPPLIER],MATCH(,INDIRECT(ADDRESS(ROW(NOTA[ID]),COLUMN(NOTA[ID]))&amp;":"&amp;ADDRESS(ROW(),COLUMN(NOTA[ID]))),-1)))</f>
        <v/>
      </c>
      <c r="AI219" s="35" t="str">
        <f ca="1">IF(NOTA[[#This Row],[ID_H]]="","",IF(NOTA[[#This Row],[FAKTUR]]="",INDIRECT(ADDRESS(ROW()-1,COLUMN())),NOTA[[#This Row],[FAKTUR]]))</f>
        <v/>
      </c>
      <c r="AJ219" s="27" t="str">
        <f ca="1">IF(NOTA[[#This Row],[ID]]="","",COUNTIF(NOTA[ID_H],NOTA[[#This Row],[ID_H]]))</f>
        <v/>
      </c>
      <c r="AK219" s="27" t="str">
        <f ca="1">IF(NOTA[[#This Row],[TGL.NOTA]]="",IF(NOTA[[#This Row],[SUPPLIER_H]]="","",AK218),MONTH(NOTA[[#This Row],[TGL.NOTA]]))</f>
        <v/>
      </c>
      <c r="AL219" s="27" t="str">
        <f>LOWER(SUBSTITUTE(SUBSTITUTE(SUBSTITUTE(SUBSTITUTE(SUBSTITUTE(SUBSTITUTE(SUBSTITUTE(SUBSTITUTE(SUBSTITUTE(NOTA[NAMA BARANG]," ",),".",""),"-",""),"(",""),")",""),",",""),"/",""),"""",""),"+",""))</f>
        <v/>
      </c>
      <c r="AM2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27" t="str">
        <f>IF(NOTA[[#This Row],[CONCAT4]]="","",_xlfn.IFNA(MATCH(NOTA[[#This Row],[CONCAT4]],[2]!RAW[CONCAT_H],0),FALSE))</f>
        <v/>
      </c>
      <c r="AQ219" s="145" t="str">
        <f>IF(NOTA[[#This Row],[CONCAT1]]="","",MATCH(NOTA[[#This Row],[CONCAT1]],[3]!db[NB NOTA_C],0)+1)</f>
        <v/>
      </c>
    </row>
    <row r="220" spans="1:43" ht="20.100000000000001" customHeight="1" x14ac:dyDescent="0.25">
      <c r="A220" s="35">
        <f ca="1">IF(INDIRECT(ADDRESS(ROW()-1,COLUMN(NOTA[[#Headers],[ID]])))="ID",1,IF(NOTA[[#This Row],[FAKTUR]]="","",COUNT(INDIRECT(ADDRESS(ROW(NOTA[ID]),COLUMN(NOTA[ID]))&amp;":"&amp;ADDRESS(ROW()-1,COLUMN(NOTA[ID]))))+1))</f>
        <v>40</v>
      </c>
      <c r="B2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GRA_0905_131-3</v>
      </c>
      <c r="C220" s="36" t="e">
        <f ca="1">IF(NOTA[[#This Row],[ID_P]]="","",MATCH(NOTA[[#This Row],[ID_P]],[1]!B_MSK[N_ID],0))</f>
        <v>#REF!</v>
      </c>
      <c r="D220" s="36">
        <f ca="1">IF(NOTA[[#This Row],[NAMA BARANG]]="","",INDEX(NOTA[ID],MATCH(,INDIRECT(ADDRESS(ROW(NOTA[ID]),COLUMN(NOTA[ID]))&amp;":"&amp;ADDRESS(ROW(),COLUMN(NOTA[ID]))),-1)))</f>
        <v>40</v>
      </c>
      <c r="E220" s="14"/>
      <c r="F220" s="16" t="s">
        <v>124</v>
      </c>
      <c r="G220" s="16" t="s">
        <v>112</v>
      </c>
      <c r="H220" s="20" t="s">
        <v>395</v>
      </c>
      <c r="I220" s="16"/>
      <c r="J220" s="37">
        <v>45050</v>
      </c>
      <c r="K220" s="16"/>
      <c r="L220" s="16" t="s">
        <v>397</v>
      </c>
      <c r="M220" s="28">
        <v>23</v>
      </c>
      <c r="N220" s="16">
        <v>1380</v>
      </c>
      <c r="O220" s="16" t="s">
        <v>125</v>
      </c>
      <c r="P220" s="35">
        <v>9100</v>
      </c>
      <c r="Q220" s="38"/>
      <c r="R220" s="28"/>
      <c r="S220" s="39"/>
      <c r="T220" s="39"/>
      <c r="U220" s="40"/>
      <c r="V220" s="26"/>
      <c r="W220" s="40">
        <f>IF(NOTA[[#This Row],[HARGA/ CTN]]="",NOTA[[#This Row],[JUMLAH_H]],NOTA[[#This Row],[HARGA/ CTN]]*IF(NOTA[[#This Row],[C]]="",0,NOTA[[#This Row],[C]]))</f>
        <v>12558000</v>
      </c>
      <c r="X220" s="40">
        <f>IF(NOTA[[#This Row],[JUMLAH]]="","",NOTA[[#This Row],[JUMLAH]]*NOTA[[#This Row],[DISC 1]])</f>
        <v>0</v>
      </c>
      <c r="Y220" s="40">
        <f>IF(NOTA[[#This Row],[JUMLAH]]="","",(NOTA[[#This Row],[JUMLAH]]-NOTA[[#This Row],[DISC 1-]])*NOTA[[#This Row],[DISC 2]])</f>
        <v>0</v>
      </c>
      <c r="Z220" s="40">
        <f>IF(NOTA[[#This Row],[JUMLAH]]="","",NOTA[[#This Row],[DISC 1-]]+NOTA[[#This Row],[DISC 2-]])</f>
        <v>0</v>
      </c>
      <c r="AA220" s="40">
        <f>IF(NOTA[[#This Row],[JUMLAH]]="","",NOTA[[#This Row],[JUMLAH]]-NOTA[[#This Row],[DISC]])</f>
        <v>12558000</v>
      </c>
      <c r="AB220" s="40"/>
      <c r="AC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0" s="40">
        <f>IF(OR(NOTA[[#This Row],[QTY]]="",NOTA[[#This Row],[HARGA SATUAN]]="",),"",NOTA[[#This Row],[QTY]]*NOTA[[#This Row],[HARGA SATUAN]])</f>
        <v>12558000</v>
      </c>
      <c r="AG220" s="37">
        <f ca="1">IF(NOTA[ID_H]="","",INDEX(NOTA[TANGGAL],MATCH(,INDIRECT(ADDRESS(ROW(NOTA[TANGGAL]),COLUMN(NOTA[TANGGAL]))&amp;":"&amp;ADDRESS(ROW(),COLUMN(NOTA[TANGGAL]))),-1)))</f>
        <v>45055</v>
      </c>
      <c r="AH220" s="35" t="str">
        <f ca="1">IF(NOTA[[#This Row],[NAMA BARANG]]="","",INDEX(NOTA[SUPPLIER],MATCH(,INDIRECT(ADDRESS(ROW(NOTA[ID]),COLUMN(NOTA[ID]))&amp;":"&amp;ADDRESS(ROW(),COLUMN(NOTA[ID]))),-1)))</f>
        <v>GRAFINDO</v>
      </c>
      <c r="AI220" s="35" t="str">
        <f ca="1">IF(NOTA[[#This Row],[ID_H]]="","",IF(NOTA[[#This Row],[FAKTUR]]="",INDIRECT(ADDRESS(ROW()-1,COLUMN())),NOTA[[#This Row],[FAKTUR]]))</f>
        <v>UNTANA</v>
      </c>
      <c r="AJ220" s="27">
        <f ca="1">IF(NOTA[[#This Row],[ID]]="","",COUNTIF(NOTA[ID_H],NOTA[[#This Row],[ID_H]]))</f>
        <v>3</v>
      </c>
      <c r="AK220" s="27">
        <f>IF(NOTA[[#This Row],[TGL.NOTA]]="",IF(NOTA[[#This Row],[SUPPLIER_H]]="","",AK219),MONTH(NOTA[[#This Row],[TGL.NOTA]]))</f>
        <v>5</v>
      </c>
      <c r="AL220" s="27" t="str">
        <f>LOWER(SUBSTITUTE(SUBSTITUTE(SUBSTITUTE(SUBSTITUTE(SUBSTITUTE(SUBSTITUTE(SUBSTITUTE(SUBSTITUTE(SUBSTITUTE(NOTA[NAMA BARANG]," ",),".",""),"-",""),"(",""),")",""),",",""),"/",""),"""",""),"+",""))</f>
        <v>maplclearhsikaac105putih</v>
      </c>
      <c r="AM2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maplclearhsikaac105putih546000</v>
      </c>
      <c r="AN2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maplclearhsikaac105putih546000</v>
      </c>
      <c r="AO220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GRAFINDOUNTANAGA-23/05-013145050maplclearhsikaac105putih</v>
      </c>
      <c r="AP220" s="27" t="e">
        <f>IF(NOTA[[#This Row],[CONCAT4]]="","",_xlfn.IFNA(MATCH(NOTA[[#This Row],[CONCAT4]],[2]!RAW[CONCAT_H],0),FALSE))</f>
        <v>#REF!</v>
      </c>
      <c r="AQ220" s="145" t="e">
        <f>IF(NOTA[[#This Row],[CONCAT1]]="","",MATCH(NOTA[[#This Row],[CONCAT1]],[3]!db[NB NOTA_C],0)+1)</f>
        <v>#N/A</v>
      </c>
    </row>
    <row r="221" spans="1:43" ht="20.100000000000001" customHeight="1" x14ac:dyDescent="0.25">
      <c r="A2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6" t="str">
        <f>IF(NOTA[[#This Row],[ID_P]]="","",MATCH(NOTA[[#This Row],[ID_P]],[1]!B_MSK[N_ID],0))</f>
        <v/>
      </c>
      <c r="D221" s="36">
        <f ca="1">IF(NOTA[[#This Row],[NAMA BARANG]]="","",INDEX(NOTA[ID],MATCH(,INDIRECT(ADDRESS(ROW(NOTA[ID]),COLUMN(NOTA[ID]))&amp;":"&amp;ADDRESS(ROW(),COLUMN(NOTA[ID]))),-1)))</f>
        <v>40</v>
      </c>
      <c r="E221" s="14"/>
      <c r="F221" s="16"/>
      <c r="G221" s="16"/>
      <c r="H221" s="20"/>
      <c r="I221" s="16"/>
      <c r="J221" s="37"/>
      <c r="K221" s="16"/>
      <c r="L221" s="16" t="s">
        <v>396</v>
      </c>
      <c r="M221" s="28">
        <v>5</v>
      </c>
      <c r="N221" s="16">
        <v>300</v>
      </c>
      <c r="O221" s="16" t="s">
        <v>125</v>
      </c>
      <c r="P221" s="35">
        <v>9100</v>
      </c>
      <c r="Q221" s="38"/>
      <c r="R221" s="28"/>
      <c r="S221" s="39"/>
      <c r="T221" s="39"/>
      <c r="U221" s="40"/>
      <c r="V221" s="26"/>
      <c r="W221" s="40">
        <f>IF(NOTA[[#This Row],[HARGA/ CTN]]="",NOTA[[#This Row],[JUMLAH_H]],NOTA[[#This Row],[HARGA/ CTN]]*IF(NOTA[[#This Row],[C]]="",0,NOTA[[#This Row],[C]]))</f>
        <v>2730000</v>
      </c>
      <c r="X221" s="40">
        <f>IF(NOTA[[#This Row],[JUMLAH]]="","",NOTA[[#This Row],[JUMLAH]]*NOTA[[#This Row],[DISC 1]])</f>
        <v>0</v>
      </c>
      <c r="Y221" s="40">
        <f>IF(NOTA[[#This Row],[JUMLAH]]="","",(NOTA[[#This Row],[JUMLAH]]-NOTA[[#This Row],[DISC 1-]])*NOTA[[#This Row],[DISC 2]])</f>
        <v>0</v>
      </c>
      <c r="Z221" s="40">
        <f>IF(NOTA[[#This Row],[JUMLAH]]="","",NOTA[[#This Row],[DISC 1-]]+NOTA[[#This Row],[DISC 2-]])</f>
        <v>0</v>
      </c>
      <c r="AA221" s="40">
        <f>IF(NOTA[[#This Row],[JUMLAH]]="","",NOTA[[#This Row],[JUMLAH]]-NOTA[[#This Row],[DISC]])</f>
        <v>2730000</v>
      </c>
      <c r="AB221" s="40"/>
      <c r="AC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21" s="40">
        <f>IF(OR(NOTA[[#This Row],[QTY]]="",NOTA[[#This Row],[HARGA SATUAN]]="",),"",NOTA[[#This Row],[QTY]]*NOTA[[#This Row],[HARGA SATUAN]])</f>
        <v>2730000</v>
      </c>
      <c r="AG221" s="37">
        <f ca="1">IF(NOTA[ID_H]="","",INDEX(NOTA[TANGGAL],MATCH(,INDIRECT(ADDRESS(ROW(NOTA[TANGGAL]),COLUMN(NOTA[TANGGAL]))&amp;":"&amp;ADDRESS(ROW(),COLUMN(NOTA[TANGGAL]))),-1)))</f>
        <v>45055</v>
      </c>
      <c r="AH221" s="35" t="str">
        <f ca="1">IF(NOTA[[#This Row],[NAMA BARANG]]="","",INDEX(NOTA[SUPPLIER],MATCH(,INDIRECT(ADDRESS(ROW(NOTA[ID]),COLUMN(NOTA[ID]))&amp;":"&amp;ADDRESS(ROW(),COLUMN(NOTA[ID]))),-1)))</f>
        <v>GRAFINDO</v>
      </c>
      <c r="AI221" s="35" t="str">
        <f ca="1">IF(NOTA[[#This Row],[ID_H]]="","",IF(NOTA[[#This Row],[FAKTUR]]="",INDIRECT(ADDRESS(ROW()-1,COLUMN())),NOTA[[#This Row],[FAKTUR]]))</f>
        <v>UNTANA</v>
      </c>
      <c r="AJ221" s="27" t="str">
        <f ca="1">IF(NOTA[[#This Row],[ID]]="","",COUNTIF(NOTA[ID_H],NOTA[[#This Row],[ID_H]]))</f>
        <v/>
      </c>
      <c r="AK221" s="27">
        <f ca="1">IF(NOTA[[#This Row],[TGL.NOTA]]="",IF(NOTA[[#This Row],[SUPPLIER_H]]="","",AK220),MONTH(NOTA[[#This Row],[TGL.NOTA]]))</f>
        <v>5</v>
      </c>
      <c r="AL221" s="27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M2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N2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O2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27" t="str">
        <f>IF(NOTA[[#This Row],[CONCAT4]]="","",_xlfn.IFNA(MATCH(NOTA[[#This Row],[CONCAT4]],[2]!RAW[CONCAT_H],0),FALSE))</f>
        <v/>
      </c>
      <c r="AQ221" s="145" t="e">
        <f>IF(NOTA[[#This Row],[CONCAT1]]="","",MATCH(NOTA[[#This Row],[CONCAT1]],[3]!db[NB NOTA_C],0)+1)</f>
        <v>#N/A</v>
      </c>
    </row>
    <row r="222" spans="1:43" ht="20.100000000000001" customHeight="1" x14ac:dyDescent="0.25">
      <c r="A2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6" t="str">
        <f>IF(NOTA[[#This Row],[ID_P]]="","",MATCH(NOTA[[#This Row],[ID_P]],[1]!B_MSK[N_ID],0))</f>
        <v/>
      </c>
      <c r="D222" s="36">
        <f ca="1">IF(NOTA[[#This Row],[NAMA BARANG]]="","",INDEX(NOTA[ID],MATCH(,INDIRECT(ADDRESS(ROW(NOTA[ID]),COLUMN(NOTA[ID]))&amp;":"&amp;ADDRESS(ROW(),COLUMN(NOTA[ID]))),-1)))</f>
        <v>40</v>
      </c>
      <c r="E222" s="14"/>
      <c r="F222" s="16"/>
      <c r="G222" s="16"/>
      <c r="H222" s="20"/>
      <c r="I222" s="16"/>
      <c r="J222" s="37"/>
      <c r="K222" s="16"/>
      <c r="L222" s="16" t="s">
        <v>398</v>
      </c>
      <c r="M222" s="28">
        <v>2</v>
      </c>
      <c r="N222" s="16">
        <v>120</v>
      </c>
      <c r="O222" s="16" t="s">
        <v>125</v>
      </c>
      <c r="P222" s="35"/>
      <c r="Q222" s="38"/>
      <c r="R222" s="28"/>
      <c r="S222" s="39"/>
      <c r="T222" s="39"/>
      <c r="U222" s="40"/>
      <c r="V222" s="26"/>
      <c r="W222" s="40" t="str">
        <f>IF(NOTA[[#This Row],[HARGA/ CTN]]="",NOTA[[#This Row],[JUMLAH_H]],NOTA[[#This Row],[HARGA/ CTN]]*IF(NOTA[[#This Row],[C]]="",0,NOTA[[#This Row],[C]]))</f>
        <v/>
      </c>
      <c r="X222" s="40" t="str">
        <f>IF(NOTA[[#This Row],[JUMLAH]]="","",NOTA[[#This Row],[JUMLAH]]*NOTA[[#This Row],[DISC 1]])</f>
        <v/>
      </c>
      <c r="Y222" s="40" t="str">
        <f>IF(NOTA[[#This Row],[JUMLAH]]="","",(NOTA[[#This Row],[JUMLAH]]-NOTA[[#This Row],[DISC 1-]])*NOTA[[#This Row],[DISC 2]])</f>
        <v/>
      </c>
      <c r="Z222" s="40" t="str">
        <f>IF(NOTA[[#This Row],[JUMLAH]]="","",NOTA[[#This Row],[DISC 1-]]+NOTA[[#This Row],[DISC 2-]])</f>
        <v/>
      </c>
      <c r="AA222" s="40" t="str">
        <f>IF(NOTA[[#This Row],[JUMLAH]]="","",NOTA[[#This Row],[JUMLAH]]-NOTA[[#This Row],[DISC]])</f>
        <v/>
      </c>
      <c r="AB222" s="40"/>
      <c r="AC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2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15288000</v>
      </c>
      <c r="AE222" s="3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22" s="40" t="str">
        <f>IF(OR(NOTA[[#This Row],[QTY]]="",NOTA[[#This Row],[HARGA SATUAN]]="",),"",NOTA[[#This Row],[QTY]]*NOTA[[#This Row],[HARGA SATUAN]])</f>
        <v/>
      </c>
      <c r="AG222" s="37">
        <f ca="1">IF(NOTA[ID_H]="","",INDEX(NOTA[TANGGAL],MATCH(,INDIRECT(ADDRESS(ROW(NOTA[TANGGAL]),COLUMN(NOTA[TANGGAL]))&amp;":"&amp;ADDRESS(ROW(),COLUMN(NOTA[TANGGAL]))),-1)))</f>
        <v>45055</v>
      </c>
      <c r="AH222" s="35" t="str">
        <f ca="1">IF(NOTA[[#This Row],[NAMA BARANG]]="","",INDEX(NOTA[SUPPLIER],MATCH(,INDIRECT(ADDRESS(ROW(NOTA[ID]),COLUMN(NOTA[ID]))&amp;":"&amp;ADDRESS(ROW(),COLUMN(NOTA[ID]))),-1)))</f>
        <v>GRAFINDO</v>
      </c>
      <c r="AI222" s="35" t="str">
        <f ca="1">IF(NOTA[[#This Row],[ID_H]]="","",IF(NOTA[[#This Row],[FAKTUR]]="",INDIRECT(ADDRESS(ROW()-1,COLUMN())),NOTA[[#This Row],[FAKTUR]]))</f>
        <v>UNTANA</v>
      </c>
      <c r="AJ222" s="27" t="str">
        <f ca="1">IF(NOTA[[#This Row],[ID]]="","",COUNTIF(NOTA[ID_H],NOTA[[#This Row],[ID_H]]))</f>
        <v/>
      </c>
      <c r="AK222" s="27">
        <f ca="1">IF(NOTA[[#This Row],[TGL.NOTA]]="",IF(NOTA[[#This Row],[SUPPLIER_H]]="","",AK221),MONTH(NOTA[[#This Row],[TGL.NOTA]]))</f>
        <v>5</v>
      </c>
      <c r="AL222" s="27" t="str">
        <f>LOWER(SUBSTITUTE(SUBSTITUTE(SUBSTITUTE(SUBSTITUTE(SUBSTITUTE(SUBSTITUTE(SUBSTITUTE(SUBSTITUTE(SUBSTITUTE(NOTA[NAMA BARANG]," ",),".",""),"-",""),"(",""),")",""),",",""),"/",""),"""",""),"+",""))</f>
        <v>maplclearhsikaac105biru</v>
      </c>
      <c r="AM2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maplclearhsikaac105biru0</v>
      </c>
      <c r="AN2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maplclearhsikaac105biru0</v>
      </c>
      <c r="AO2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27" t="str">
        <f>IF(NOTA[[#This Row],[CONCAT4]]="","",_xlfn.IFNA(MATCH(NOTA[[#This Row],[CONCAT4]],[2]!RAW[CONCAT_H],0),FALSE))</f>
        <v/>
      </c>
      <c r="AQ222" s="145" t="e">
        <f>IF(NOTA[[#This Row],[CONCAT1]]="","",MATCH(NOTA[[#This Row],[CONCAT1]],[3]!db[NB NOTA_C],0)+1)</f>
        <v>#N/A</v>
      </c>
    </row>
    <row r="223" spans="1:43" ht="20.100000000000001" customHeight="1" x14ac:dyDescent="0.25">
      <c r="A2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6" t="str">
        <f>IF(NOTA[[#This Row],[ID_P]]="","",MATCH(NOTA[[#This Row],[ID_P]],[1]!B_MSK[N_ID],0))</f>
        <v/>
      </c>
      <c r="D223" s="36" t="str">
        <f ca="1">IF(NOTA[[#This Row],[NAMA BARANG]]="","",INDEX(NOTA[ID],MATCH(,INDIRECT(ADDRESS(ROW(NOTA[ID]),COLUMN(NOTA[ID]))&amp;":"&amp;ADDRESS(ROW(),COLUMN(NOTA[ID]))),-1)))</f>
        <v/>
      </c>
      <c r="E223" s="14"/>
      <c r="F223" s="16"/>
      <c r="G223" s="16"/>
      <c r="H223" s="20"/>
      <c r="I223" s="16"/>
      <c r="J223" s="37"/>
      <c r="K223" s="16"/>
      <c r="L223" s="16"/>
      <c r="M223" s="28"/>
      <c r="N223" s="16"/>
      <c r="O223" s="16"/>
      <c r="P223" s="35"/>
      <c r="Q223" s="38"/>
      <c r="R223" s="28"/>
      <c r="S223" s="39"/>
      <c r="T223" s="39"/>
      <c r="U223" s="40"/>
      <c r="V223" s="26"/>
      <c r="W223" s="40" t="str">
        <f>IF(NOTA[[#This Row],[HARGA/ CTN]]="",NOTA[[#This Row],[JUMLAH_H]],NOTA[[#This Row],[HARGA/ CTN]]*IF(NOTA[[#This Row],[C]]="",0,NOTA[[#This Row],[C]]))</f>
        <v/>
      </c>
      <c r="X223" s="40" t="str">
        <f>IF(NOTA[[#This Row],[JUMLAH]]="","",NOTA[[#This Row],[JUMLAH]]*NOTA[[#This Row],[DISC 1]])</f>
        <v/>
      </c>
      <c r="Y223" s="40" t="str">
        <f>IF(NOTA[[#This Row],[JUMLAH]]="","",(NOTA[[#This Row],[JUMLAH]]-NOTA[[#This Row],[DISC 1-]])*NOTA[[#This Row],[DISC 2]])</f>
        <v/>
      </c>
      <c r="Z223" s="40" t="str">
        <f>IF(NOTA[[#This Row],[JUMLAH]]="","",NOTA[[#This Row],[DISC 1-]]+NOTA[[#This Row],[DISC 2-]])</f>
        <v/>
      </c>
      <c r="AA223" s="40" t="str">
        <f>IF(NOTA[[#This Row],[JUMLAH]]="","",NOTA[[#This Row],[JUMLAH]]-NOTA[[#This Row],[DISC]])</f>
        <v/>
      </c>
      <c r="AB223" s="40"/>
      <c r="AC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40" t="str">
        <f>IF(OR(NOTA[[#This Row],[QTY]]="",NOTA[[#This Row],[HARGA SATUAN]]="",),"",NOTA[[#This Row],[QTY]]*NOTA[[#This Row],[HARGA SATUAN]])</f>
        <v/>
      </c>
      <c r="AG223" s="37" t="str">
        <f ca="1">IF(NOTA[ID_H]="","",INDEX(NOTA[TANGGAL],MATCH(,INDIRECT(ADDRESS(ROW(NOTA[TANGGAL]),COLUMN(NOTA[TANGGAL]))&amp;":"&amp;ADDRESS(ROW(),COLUMN(NOTA[TANGGAL]))),-1)))</f>
        <v/>
      </c>
      <c r="AH223" s="35" t="str">
        <f ca="1">IF(NOTA[[#This Row],[NAMA BARANG]]="","",INDEX(NOTA[SUPPLIER],MATCH(,INDIRECT(ADDRESS(ROW(NOTA[ID]),COLUMN(NOTA[ID]))&amp;":"&amp;ADDRESS(ROW(),COLUMN(NOTA[ID]))),-1)))</f>
        <v/>
      </c>
      <c r="AI223" s="35" t="str">
        <f ca="1">IF(NOTA[[#This Row],[ID_H]]="","",IF(NOTA[[#This Row],[FAKTUR]]="",INDIRECT(ADDRESS(ROW()-1,COLUMN())),NOTA[[#This Row],[FAKTUR]]))</f>
        <v/>
      </c>
      <c r="AJ223" s="27" t="str">
        <f ca="1">IF(NOTA[[#This Row],[ID]]="","",COUNTIF(NOTA[ID_H],NOTA[[#This Row],[ID_H]]))</f>
        <v/>
      </c>
      <c r="AK223" s="27" t="str">
        <f ca="1">IF(NOTA[[#This Row],[TGL.NOTA]]="",IF(NOTA[[#This Row],[SUPPLIER_H]]="","",AK222),MONTH(NOTA[[#This Row],[TGL.NOTA]]))</f>
        <v/>
      </c>
      <c r="AL223" s="27" t="str">
        <f>LOWER(SUBSTITUTE(SUBSTITUTE(SUBSTITUTE(SUBSTITUTE(SUBSTITUTE(SUBSTITUTE(SUBSTITUTE(SUBSTITUTE(SUBSTITUTE(NOTA[NAMA BARANG]," ",),".",""),"-",""),"(",""),")",""),",",""),"/",""),"""",""),"+",""))</f>
        <v/>
      </c>
      <c r="AM2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27" t="str">
        <f>IF(NOTA[[#This Row],[CONCAT4]]="","",_xlfn.IFNA(MATCH(NOTA[[#This Row],[CONCAT4]],[2]!RAW[CONCAT_H],0),FALSE))</f>
        <v/>
      </c>
      <c r="AQ223" s="145" t="str">
        <f>IF(NOTA[[#This Row],[CONCAT1]]="","",MATCH(NOTA[[#This Row],[CONCAT1]],[3]!db[NB NOTA_C],0)+1)</f>
        <v/>
      </c>
    </row>
    <row r="224" spans="1:43" ht="20.100000000000001" customHeight="1" x14ac:dyDescent="0.25">
      <c r="A224" s="17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DBS_1005_423-11</v>
      </c>
      <c r="C224" s="18" t="e">
        <f ca="1">IF(NOTA[[#This Row],[ID_P]]="","",MATCH(NOTA[[#This Row],[ID_P]],[1]!B_MSK[N_ID],0))</f>
        <v>#REF!</v>
      </c>
      <c r="D224" s="18">
        <f ca="1">IF(NOTA[[#This Row],[NAMA BARANG]]="","",INDEX(NOTA[ID],MATCH(,INDIRECT(ADDRESS(ROW(NOTA[ID]),COLUMN(NOTA[ID]))&amp;":"&amp;ADDRESS(ROW(),COLUMN(NOTA[ID]))),-1)))</f>
        <v>41</v>
      </c>
      <c r="E224" s="19">
        <v>45056</v>
      </c>
      <c r="F224" s="16" t="s">
        <v>168</v>
      </c>
      <c r="G224" s="16" t="s">
        <v>112</v>
      </c>
      <c r="H224" s="20" t="s">
        <v>399</v>
      </c>
      <c r="I224" s="21"/>
      <c r="J224" s="22">
        <v>45054</v>
      </c>
      <c r="K224" s="21"/>
      <c r="L224" s="16" t="s">
        <v>400</v>
      </c>
      <c r="M224" s="23">
        <v>10</v>
      </c>
      <c r="N224" s="21">
        <v>960</v>
      </c>
      <c r="O224" s="16" t="s">
        <v>125</v>
      </c>
      <c r="P224" s="17">
        <v>31500</v>
      </c>
      <c r="Q224" s="34"/>
      <c r="R224" s="28" t="s">
        <v>175</v>
      </c>
      <c r="S224" s="24"/>
      <c r="T224" s="24"/>
      <c r="U224" s="25"/>
      <c r="V224" s="26"/>
      <c r="W224" s="25">
        <f>IF(NOTA[[#This Row],[HARGA/ CTN]]="",NOTA[[#This Row],[JUMLAH_H]],NOTA[[#This Row],[HARGA/ CTN]]*IF(NOTA[[#This Row],[C]]="",0,NOTA[[#This Row],[C]]))</f>
        <v>30240000</v>
      </c>
      <c r="X224" s="25">
        <f>IF(NOTA[[#This Row],[JUMLAH]]="","",NOTA[[#This Row],[JUMLAH]]*NOTA[[#This Row],[DISC 1]])</f>
        <v>0</v>
      </c>
      <c r="Y224" s="25">
        <f>IF(NOTA[[#This Row],[JUMLAH]]="","",(NOTA[[#This Row],[JUMLAH]]-NOTA[[#This Row],[DISC 1-]])*NOTA[[#This Row],[DISC 2]])</f>
        <v>0</v>
      </c>
      <c r="Z224" s="25">
        <f>IF(NOTA[[#This Row],[JUMLAH]]="","",NOTA[[#This Row],[DISC 1-]]+NOTA[[#This Row],[DISC 2-]])</f>
        <v>0</v>
      </c>
      <c r="AA224" s="25">
        <f>IF(NOTA[[#This Row],[JUMLAH]]="","",NOTA[[#This Row],[JUMLAH]]-NOTA[[#This Row],[DISC]])</f>
        <v>30240000</v>
      </c>
      <c r="AB224" s="25"/>
      <c r="AC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4" s="25">
        <f>IF(OR(NOTA[[#This Row],[QTY]]="",NOTA[[#This Row],[HARGA SATUAN]]="",),"",NOTA[[#This Row],[QTY]]*NOTA[[#This Row],[HARGA SATUAN]])</f>
        <v>30240000</v>
      </c>
      <c r="AG224" s="22">
        <f ca="1">IF(NOTA[ID_H]="","",INDEX(NOTA[TANGGAL],MATCH(,INDIRECT(ADDRESS(ROW(NOTA[TANGGAL]),COLUMN(NOTA[TANGGAL]))&amp;":"&amp;ADDRESS(ROW(),COLUMN(NOTA[TANGGAL]))),-1)))</f>
        <v>45056</v>
      </c>
      <c r="AH224" s="17" t="str">
        <f ca="1">IF(NOTA[[#This Row],[NAMA BARANG]]="","",INDEX(NOTA[SUPPLIER],MATCH(,INDIRECT(ADDRESS(ROW(NOTA[ID]),COLUMN(NOTA[ID]))&amp;":"&amp;ADDRESS(ROW(),COLUMN(NOTA[ID]))),-1)))</f>
        <v>DB STATIONERY</v>
      </c>
      <c r="AI224" s="17" t="str">
        <f ca="1">IF(NOTA[[#This Row],[ID_H]]="","",IF(NOTA[[#This Row],[FAKTUR]]="",INDIRECT(ADDRESS(ROW()-1,COLUMN())),NOTA[[#This Row],[FAKTUR]]))</f>
        <v>UNTANA</v>
      </c>
      <c r="AJ224" s="27">
        <f ca="1">IF(NOTA[[#This Row],[ID]]="","",COUNTIF(NOTA[ID_H],NOTA[[#This Row],[ID_H]]))</f>
        <v>11</v>
      </c>
      <c r="AK224" s="27">
        <f>IF(NOTA[[#This Row],[TGL.NOTA]]="",IF(NOTA[[#This Row],[SUPPLIER_H]]="","",AK223),MONTH(NOTA[[#This Row],[TGL.NOTA]]))</f>
        <v>5</v>
      </c>
      <c r="AL224" s="27" t="str">
        <f>LOWER(SUBSTITUTE(SUBSTITUTE(SUBSTITUTE(SUBSTITUTE(SUBSTITUTE(SUBSTITUTE(SUBSTITUTE(SUBSTITUTE(SUBSTITUTE(NOTA[NAMA BARANG]," ",),".",""),"-",""),"(",""),")",""),",",""),"/",""),"""",""),"+",""))</f>
        <v>gelpentizo10tg340</v>
      </c>
      <c r="AM2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2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224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STATIONERYUNTANAJUE174/2345054gelpentizo10tg340</v>
      </c>
      <c r="AP224" s="27" t="e">
        <f>IF(NOTA[[#This Row],[CONCAT4]]="","",_xlfn.IFNA(MATCH(NOTA[[#This Row],[CONCAT4]],[2]!RAW[CONCAT_H],0),FALSE))</f>
        <v>#REF!</v>
      </c>
      <c r="AQ224" s="145">
        <f>IF(NOTA[[#This Row],[CONCAT1]]="","",MATCH(NOTA[[#This Row],[CONCAT1]],[3]!db[NB NOTA_C],0)+1)</f>
        <v>829</v>
      </c>
    </row>
    <row r="225" spans="1:43" ht="20.100000000000001" customHeight="1" x14ac:dyDescent="0.25">
      <c r="A22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18" t="str">
        <f>IF(NOTA[[#This Row],[ID_P]]="","",MATCH(NOTA[[#This Row],[ID_P]],[1]!B_MSK[N_ID],0))</f>
        <v/>
      </c>
      <c r="D225" s="18">
        <f ca="1">IF(NOTA[[#This Row],[NAMA BARANG]]="","",INDEX(NOTA[ID],MATCH(,INDIRECT(ADDRESS(ROW(NOTA[ID]),COLUMN(NOTA[ID]))&amp;":"&amp;ADDRESS(ROW(),COLUMN(NOTA[ID]))),-1)))</f>
        <v>41</v>
      </c>
      <c r="E225" s="19"/>
      <c r="F225" s="16"/>
      <c r="G225" s="16"/>
      <c r="H225" s="20"/>
      <c r="I225" s="21"/>
      <c r="J225" s="22"/>
      <c r="K225" s="21"/>
      <c r="L225" s="16" t="s">
        <v>401</v>
      </c>
      <c r="M225" s="23">
        <v>3</v>
      </c>
      <c r="N225" s="21">
        <v>432</v>
      </c>
      <c r="O225" s="16" t="s">
        <v>125</v>
      </c>
      <c r="P225" s="17">
        <v>21000</v>
      </c>
      <c r="Q225" s="34"/>
      <c r="R225" s="28" t="s">
        <v>171</v>
      </c>
      <c r="S225" s="24"/>
      <c r="T225" s="24"/>
      <c r="U225" s="25"/>
      <c r="V225" s="26"/>
      <c r="W225" s="25">
        <f>IF(NOTA[[#This Row],[HARGA/ CTN]]="",NOTA[[#This Row],[JUMLAH_H]],NOTA[[#This Row],[HARGA/ CTN]]*IF(NOTA[[#This Row],[C]]="",0,NOTA[[#This Row],[C]]))</f>
        <v>9072000</v>
      </c>
      <c r="X225" s="25">
        <f>IF(NOTA[[#This Row],[JUMLAH]]="","",NOTA[[#This Row],[JUMLAH]]*NOTA[[#This Row],[DISC 1]])</f>
        <v>0</v>
      </c>
      <c r="Y225" s="25">
        <f>IF(NOTA[[#This Row],[JUMLAH]]="","",(NOTA[[#This Row],[JUMLAH]]-NOTA[[#This Row],[DISC 1-]])*NOTA[[#This Row],[DISC 2]])</f>
        <v>0</v>
      </c>
      <c r="Z225" s="25">
        <f>IF(NOTA[[#This Row],[JUMLAH]]="","",NOTA[[#This Row],[DISC 1-]]+NOTA[[#This Row],[DISC 2-]])</f>
        <v>0</v>
      </c>
      <c r="AA225" s="25">
        <f>IF(NOTA[[#This Row],[JUMLAH]]="","",NOTA[[#This Row],[JUMLAH]]-NOTA[[#This Row],[DISC]])</f>
        <v>9072000</v>
      </c>
      <c r="AB225" s="25"/>
      <c r="AC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1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25" s="25">
        <f>IF(OR(NOTA[[#This Row],[QTY]]="",NOTA[[#This Row],[HARGA SATUAN]]="",),"",NOTA[[#This Row],[QTY]]*NOTA[[#This Row],[HARGA SATUAN]])</f>
        <v>9072000</v>
      </c>
      <c r="AG225" s="22">
        <f ca="1">IF(NOTA[ID_H]="","",INDEX(NOTA[TANGGAL],MATCH(,INDIRECT(ADDRESS(ROW(NOTA[TANGGAL]),COLUMN(NOTA[TANGGAL]))&amp;":"&amp;ADDRESS(ROW(),COLUMN(NOTA[TANGGAL]))),-1)))</f>
        <v>45056</v>
      </c>
      <c r="AH225" s="17" t="str">
        <f ca="1">IF(NOTA[[#This Row],[NAMA BARANG]]="","",INDEX(NOTA[SUPPLIER],MATCH(,INDIRECT(ADDRESS(ROW(NOTA[ID]),COLUMN(NOTA[ID]))&amp;":"&amp;ADDRESS(ROW(),COLUMN(NOTA[ID]))),-1)))</f>
        <v>DB STATIONERY</v>
      </c>
      <c r="AI225" s="17" t="str">
        <f ca="1">IF(NOTA[[#This Row],[ID_H]]="","",IF(NOTA[[#This Row],[FAKTUR]]="",INDIRECT(ADDRESS(ROW()-1,COLUMN())),NOTA[[#This Row],[FAKTUR]]))</f>
        <v>UNTANA</v>
      </c>
      <c r="AJ225" s="27" t="str">
        <f ca="1">IF(NOTA[[#This Row],[ID]]="","",COUNTIF(NOTA[ID_H],NOTA[[#This Row],[ID_H]]))</f>
        <v/>
      </c>
      <c r="AK225" s="27">
        <f ca="1">IF(NOTA[[#This Row],[TGL.NOTA]]="",IF(NOTA[[#This Row],[SUPPLIER_H]]="","",AK224),MONTH(NOTA[[#This Row],[TGL.NOTA]]))</f>
        <v>5</v>
      </c>
      <c r="AL225" s="27" t="str">
        <f>LOWER(SUBSTITUTE(SUBSTITUTE(SUBSTITUTE(SUBSTITUTE(SUBSTITUTE(SUBSTITUTE(SUBSTITUTE(SUBSTITUTE(SUBSTITUTE(NOTA[NAMA BARANG]," ",),".",""),"-",""),"(",""),")",""),",",""),"/",""),"""",""),"+",""))</f>
        <v>geltizotg31220</v>
      </c>
      <c r="AM2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2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2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27" t="str">
        <f>IF(NOTA[[#This Row],[CONCAT4]]="","",_xlfn.IFNA(MATCH(NOTA[[#This Row],[CONCAT4]],[2]!RAW[CONCAT_H],0),FALSE))</f>
        <v/>
      </c>
      <c r="AQ225" s="145">
        <f>IF(NOTA[[#This Row],[CONCAT1]]="","",MATCH(NOTA[[#This Row],[CONCAT1]],[3]!db[NB NOTA_C],0)+1)</f>
        <v>920</v>
      </c>
    </row>
    <row r="226" spans="1:43" ht="20.100000000000001" customHeight="1" x14ac:dyDescent="0.25">
      <c r="A22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18" t="str">
        <f>IF(NOTA[[#This Row],[ID_P]]="","",MATCH(NOTA[[#This Row],[ID_P]],[1]!B_MSK[N_ID],0))</f>
        <v/>
      </c>
      <c r="D226" s="18">
        <f ca="1">IF(NOTA[[#This Row],[NAMA BARANG]]="","",INDEX(NOTA[ID],MATCH(,INDIRECT(ADDRESS(ROW(NOTA[ID]),COLUMN(NOTA[ID]))&amp;":"&amp;ADDRESS(ROW(),COLUMN(NOTA[ID]))),-1)))</f>
        <v>41</v>
      </c>
      <c r="E226" s="19"/>
      <c r="F226" s="16"/>
      <c r="G226" s="16"/>
      <c r="H226" s="20"/>
      <c r="I226" s="21"/>
      <c r="J226" s="22"/>
      <c r="K226" s="21"/>
      <c r="L226" s="16" t="s">
        <v>402</v>
      </c>
      <c r="M226" s="23">
        <v>2</v>
      </c>
      <c r="N226" s="21">
        <v>192</v>
      </c>
      <c r="O226" s="16" t="s">
        <v>125</v>
      </c>
      <c r="P226" s="17">
        <v>37500</v>
      </c>
      <c r="Q226" s="34"/>
      <c r="R226" s="28" t="s">
        <v>175</v>
      </c>
      <c r="S226" s="24"/>
      <c r="T226" s="24"/>
      <c r="U226" s="25"/>
      <c r="V226" s="26"/>
      <c r="W226" s="25">
        <f>IF(NOTA[[#This Row],[HARGA/ CTN]]="",NOTA[[#This Row],[JUMLAH_H]],NOTA[[#This Row],[HARGA/ CTN]]*IF(NOTA[[#This Row],[C]]="",0,NOTA[[#This Row],[C]]))</f>
        <v>7200000</v>
      </c>
      <c r="X226" s="25">
        <f>IF(NOTA[[#This Row],[JUMLAH]]="","",NOTA[[#This Row],[JUMLAH]]*NOTA[[#This Row],[DISC 1]])</f>
        <v>0</v>
      </c>
      <c r="Y226" s="25">
        <f>IF(NOTA[[#This Row],[JUMLAH]]="","",(NOTA[[#This Row],[JUMLAH]]-NOTA[[#This Row],[DISC 1-]])*NOTA[[#This Row],[DISC 2]])</f>
        <v>0</v>
      </c>
      <c r="Z226" s="25">
        <f>IF(NOTA[[#This Row],[JUMLAH]]="","",NOTA[[#This Row],[DISC 1-]]+NOTA[[#This Row],[DISC 2-]])</f>
        <v>0</v>
      </c>
      <c r="AA226" s="25">
        <f>IF(NOTA[[#This Row],[JUMLAH]]="","",NOTA[[#This Row],[JUMLAH]]-NOTA[[#This Row],[DISC]])</f>
        <v>7200000</v>
      </c>
      <c r="AB226" s="25"/>
      <c r="AC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26" s="25">
        <f>IF(OR(NOTA[[#This Row],[QTY]]="",NOTA[[#This Row],[HARGA SATUAN]]="",),"",NOTA[[#This Row],[QTY]]*NOTA[[#This Row],[HARGA SATUAN]])</f>
        <v>7200000</v>
      </c>
      <c r="AG226" s="22">
        <f ca="1">IF(NOTA[ID_H]="","",INDEX(NOTA[TANGGAL],MATCH(,INDIRECT(ADDRESS(ROW(NOTA[TANGGAL]),COLUMN(NOTA[TANGGAL]))&amp;":"&amp;ADDRESS(ROW(),COLUMN(NOTA[TANGGAL]))),-1)))</f>
        <v>45056</v>
      </c>
      <c r="AH226" s="17" t="str">
        <f ca="1">IF(NOTA[[#This Row],[NAMA BARANG]]="","",INDEX(NOTA[SUPPLIER],MATCH(,INDIRECT(ADDRESS(ROW(NOTA[ID]),COLUMN(NOTA[ID]))&amp;":"&amp;ADDRESS(ROW(),COLUMN(NOTA[ID]))),-1)))</f>
        <v>DB STATIONERY</v>
      </c>
      <c r="AI226" s="17" t="str">
        <f ca="1">IF(NOTA[[#This Row],[ID_H]]="","",IF(NOTA[[#This Row],[FAKTUR]]="",INDIRECT(ADDRESS(ROW()-1,COLUMN())),NOTA[[#This Row],[FAKTUR]]))</f>
        <v>UNTANA</v>
      </c>
      <c r="AJ226" s="27" t="str">
        <f ca="1">IF(NOTA[[#This Row],[ID]]="","",COUNTIF(NOTA[ID_H],NOTA[[#This Row],[ID_H]]))</f>
        <v/>
      </c>
      <c r="AK226" s="27">
        <f ca="1">IF(NOTA[[#This Row],[TGL.NOTA]]="",IF(NOTA[[#This Row],[SUPPLIER_H]]="","",AK225),MONTH(NOTA[[#This Row],[TGL.NOTA]]))</f>
        <v>5</v>
      </c>
      <c r="AL226" s="27" t="str">
        <f>LOWER(SUBSTITUTE(SUBSTITUTE(SUBSTITUTE(SUBSTITUTE(SUBSTITUTE(SUBSTITUTE(SUBSTITUTE(SUBSTITUTE(SUBSTITUTE(NOTA[NAMA BARANG]," ",),".",""),"-",""),"(",""),")",""),",",""),"/",""),"""",""),"+",""))</f>
        <v>gelpenweiyadae681</v>
      </c>
      <c r="AM2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2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2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27" t="str">
        <f>IF(NOTA[[#This Row],[CONCAT4]]="","",_xlfn.IFNA(MATCH(NOTA[[#This Row],[CONCAT4]],[2]!RAW[CONCAT_H],0),FALSE))</f>
        <v/>
      </c>
      <c r="AQ226" s="145">
        <f>IF(NOTA[[#This Row],[CONCAT1]]="","",MATCH(NOTA[[#This Row],[CONCAT1]],[3]!db[NB NOTA_C],0)+1)</f>
        <v>834</v>
      </c>
    </row>
    <row r="227" spans="1:43" ht="20.100000000000001" customHeight="1" x14ac:dyDescent="0.25">
      <c r="A22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18" t="str">
        <f>IF(NOTA[[#This Row],[ID_P]]="","",MATCH(NOTA[[#This Row],[ID_P]],[1]!B_MSK[N_ID],0))</f>
        <v/>
      </c>
      <c r="D227" s="18">
        <f ca="1">IF(NOTA[[#This Row],[NAMA BARANG]]="","",INDEX(NOTA[ID],MATCH(,INDIRECT(ADDRESS(ROW(NOTA[ID]),COLUMN(NOTA[ID]))&amp;":"&amp;ADDRESS(ROW(),COLUMN(NOTA[ID]))),-1)))</f>
        <v>41</v>
      </c>
      <c r="E227" s="19"/>
      <c r="F227" s="16"/>
      <c r="G227" s="16"/>
      <c r="H227" s="20"/>
      <c r="I227" s="21"/>
      <c r="J227" s="22"/>
      <c r="K227" s="21"/>
      <c r="L227" s="16" t="s">
        <v>403</v>
      </c>
      <c r="M227" s="23">
        <v>5</v>
      </c>
      <c r="N227" s="21">
        <v>1800</v>
      </c>
      <c r="O227" s="16" t="s">
        <v>125</v>
      </c>
      <c r="P227" s="17">
        <v>8100</v>
      </c>
      <c r="Q227" s="34"/>
      <c r="R227" s="28" t="s">
        <v>404</v>
      </c>
      <c r="S227" s="24"/>
      <c r="T227" s="24"/>
      <c r="U227" s="25"/>
      <c r="V227" s="26"/>
      <c r="W227" s="25">
        <f>IF(NOTA[[#This Row],[HARGA/ CTN]]="",NOTA[[#This Row],[JUMLAH_H]],NOTA[[#This Row],[HARGA/ CTN]]*IF(NOTA[[#This Row],[C]]="",0,NOTA[[#This Row],[C]]))</f>
        <v>14580000</v>
      </c>
      <c r="X227" s="25">
        <f>IF(NOTA[[#This Row],[JUMLAH]]="","",NOTA[[#This Row],[JUMLAH]]*NOTA[[#This Row],[DISC 1]])</f>
        <v>0</v>
      </c>
      <c r="Y227" s="25">
        <f>IF(NOTA[[#This Row],[JUMLAH]]="","",(NOTA[[#This Row],[JUMLAH]]-NOTA[[#This Row],[DISC 1-]])*NOTA[[#This Row],[DISC 2]])</f>
        <v>0</v>
      </c>
      <c r="Z227" s="25">
        <f>IF(NOTA[[#This Row],[JUMLAH]]="","",NOTA[[#This Row],[DISC 1-]]+NOTA[[#This Row],[DISC 2-]])</f>
        <v>0</v>
      </c>
      <c r="AA227" s="25">
        <f>IF(NOTA[[#This Row],[JUMLAH]]="","",NOTA[[#This Row],[JUMLAH]]-NOTA[[#This Row],[DISC]])</f>
        <v>14580000</v>
      </c>
      <c r="AB227" s="25"/>
      <c r="AC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17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227" s="25">
        <f>IF(OR(NOTA[[#This Row],[QTY]]="",NOTA[[#This Row],[HARGA SATUAN]]="",),"",NOTA[[#This Row],[QTY]]*NOTA[[#This Row],[HARGA SATUAN]])</f>
        <v>14580000</v>
      </c>
      <c r="AG227" s="22">
        <f ca="1">IF(NOTA[ID_H]="","",INDEX(NOTA[TANGGAL],MATCH(,INDIRECT(ADDRESS(ROW(NOTA[TANGGAL]),COLUMN(NOTA[TANGGAL]))&amp;":"&amp;ADDRESS(ROW(),COLUMN(NOTA[TANGGAL]))),-1)))</f>
        <v>45056</v>
      </c>
      <c r="AH227" s="17" t="str">
        <f ca="1">IF(NOTA[[#This Row],[NAMA BARANG]]="","",INDEX(NOTA[SUPPLIER],MATCH(,INDIRECT(ADDRESS(ROW(NOTA[ID]),COLUMN(NOTA[ID]))&amp;":"&amp;ADDRESS(ROW(),COLUMN(NOTA[ID]))),-1)))</f>
        <v>DB STATIONERY</v>
      </c>
      <c r="AI227" s="17" t="str">
        <f ca="1">IF(NOTA[[#This Row],[ID_H]]="","",IF(NOTA[[#This Row],[FAKTUR]]="",INDIRECT(ADDRESS(ROW()-1,COLUMN())),NOTA[[#This Row],[FAKTUR]]))</f>
        <v>UNTANA</v>
      </c>
      <c r="AJ227" s="27" t="str">
        <f ca="1">IF(NOTA[[#This Row],[ID]]="","",COUNTIF(NOTA[ID_H],NOTA[[#This Row],[ID_H]]))</f>
        <v/>
      </c>
      <c r="AK227" s="27">
        <f ca="1">IF(NOTA[[#This Row],[TGL.NOTA]]="",IF(NOTA[[#This Row],[SUPPLIER_H]]="","",AK226),MONTH(NOTA[[#This Row],[TGL.NOTA]]))</f>
        <v>5</v>
      </c>
      <c r="AL227" s="27" t="str">
        <f>LOWER(SUBSTITUTE(SUBSTITUTE(SUBSTITUTE(SUBSTITUTE(SUBSTITUTE(SUBSTITUTE(SUBSTITUTE(SUBSTITUTE(SUBSTITUTE(NOTA[NAMA BARANG]," ",),".",""),"-",""),"(",""),")",""),",",""),"/",""),"""",""),"+",""))</f>
        <v>pensilkayagi2bcoklatkyqf122b2</v>
      </c>
      <c r="AM2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pensilkayagi2bcoklatkyqf122b22916000</v>
      </c>
      <c r="AN2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pensilkayagi2bcoklatkyqf122b22916000</v>
      </c>
      <c r="AO2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27" t="str">
        <f>IF(NOTA[[#This Row],[CONCAT4]]="","",_xlfn.IFNA(MATCH(NOTA[[#This Row],[CONCAT4]],[2]!RAW[CONCAT_H],0),FALSE))</f>
        <v/>
      </c>
      <c r="AQ227" s="145" t="e">
        <f>IF(NOTA[[#This Row],[CONCAT1]]="","",MATCH(NOTA[[#This Row],[CONCAT1]],[3]!db[NB NOTA_C],0)+1)</f>
        <v>#N/A</v>
      </c>
    </row>
    <row r="228" spans="1:43" ht="20.100000000000001" customHeight="1" x14ac:dyDescent="0.25">
      <c r="A22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18" t="str">
        <f>IF(NOTA[[#This Row],[ID_P]]="","",MATCH(NOTA[[#This Row],[ID_P]],[1]!B_MSK[N_ID],0))</f>
        <v/>
      </c>
      <c r="D228" s="18">
        <f ca="1">IF(NOTA[[#This Row],[NAMA BARANG]]="","",INDEX(NOTA[ID],MATCH(,INDIRECT(ADDRESS(ROW(NOTA[ID]),COLUMN(NOTA[ID]))&amp;":"&amp;ADDRESS(ROW(),COLUMN(NOTA[ID]))),-1)))</f>
        <v>41</v>
      </c>
      <c r="E228" s="19"/>
      <c r="F228" s="16"/>
      <c r="G228" s="16"/>
      <c r="H228" s="20"/>
      <c r="I228" s="21"/>
      <c r="J228" s="22"/>
      <c r="K228" s="21"/>
      <c r="L228" s="16" t="s">
        <v>405</v>
      </c>
      <c r="M228" s="23">
        <v>1</v>
      </c>
      <c r="N228" s="21">
        <v>360</v>
      </c>
      <c r="O228" s="16" t="s">
        <v>125</v>
      </c>
      <c r="P228" s="17">
        <v>7700</v>
      </c>
      <c r="Q228" s="34"/>
      <c r="R228" s="28" t="s">
        <v>404</v>
      </c>
      <c r="S228" s="24"/>
      <c r="T228" s="24"/>
      <c r="U228" s="25"/>
      <c r="V228" s="26"/>
      <c r="W228" s="25">
        <f>IF(NOTA[[#This Row],[HARGA/ CTN]]="",NOTA[[#This Row],[JUMLAH_H]],NOTA[[#This Row],[HARGA/ CTN]]*IF(NOTA[[#This Row],[C]]="",0,NOTA[[#This Row],[C]]))</f>
        <v>2772000</v>
      </c>
      <c r="X228" s="25">
        <f>IF(NOTA[[#This Row],[JUMLAH]]="","",NOTA[[#This Row],[JUMLAH]]*NOTA[[#This Row],[DISC 1]])</f>
        <v>0</v>
      </c>
      <c r="Y228" s="25">
        <f>IF(NOTA[[#This Row],[JUMLAH]]="","",(NOTA[[#This Row],[JUMLAH]]-NOTA[[#This Row],[DISC 1-]])*NOTA[[#This Row],[DISC 2]])</f>
        <v>0</v>
      </c>
      <c r="Z228" s="25">
        <f>IF(NOTA[[#This Row],[JUMLAH]]="","",NOTA[[#This Row],[DISC 1-]]+NOTA[[#This Row],[DISC 2-]])</f>
        <v>0</v>
      </c>
      <c r="AA228" s="25">
        <f>IF(NOTA[[#This Row],[JUMLAH]]="","",NOTA[[#This Row],[JUMLAH]]-NOTA[[#This Row],[DISC]])</f>
        <v>2772000</v>
      </c>
      <c r="AB228" s="25"/>
      <c r="AC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8" s="25">
        <f>IF(OR(NOTA[[#This Row],[QTY]]="",NOTA[[#This Row],[HARGA SATUAN]]="",),"",NOTA[[#This Row],[QTY]]*NOTA[[#This Row],[HARGA SATUAN]])</f>
        <v>2772000</v>
      </c>
      <c r="AG228" s="22">
        <f ca="1">IF(NOTA[ID_H]="","",INDEX(NOTA[TANGGAL],MATCH(,INDIRECT(ADDRESS(ROW(NOTA[TANGGAL]),COLUMN(NOTA[TANGGAL]))&amp;":"&amp;ADDRESS(ROW(),COLUMN(NOTA[TANGGAL]))),-1)))</f>
        <v>45056</v>
      </c>
      <c r="AH228" s="17" t="str">
        <f ca="1">IF(NOTA[[#This Row],[NAMA BARANG]]="","",INDEX(NOTA[SUPPLIER],MATCH(,INDIRECT(ADDRESS(ROW(NOTA[ID]),COLUMN(NOTA[ID]))&amp;":"&amp;ADDRESS(ROW(),COLUMN(NOTA[ID]))),-1)))</f>
        <v>DB STATIONERY</v>
      </c>
      <c r="AI228" s="17" t="str">
        <f ca="1">IF(NOTA[[#This Row],[ID_H]]="","",IF(NOTA[[#This Row],[FAKTUR]]="",INDIRECT(ADDRESS(ROW()-1,COLUMN())),NOTA[[#This Row],[FAKTUR]]))</f>
        <v>UNTANA</v>
      </c>
      <c r="AJ228" s="27" t="str">
        <f ca="1">IF(NOTA[[#This Row],[ID]]="","",COUNTIF(NOTA[ID_H],NOTA[[#This Row],[ID_H]]))</f>
        <v/>
      </c>
      <c r="AK228" s="27">
        <f ca="1">IF(NOTA[[#This Row],[TGL.NOTA]]="",IF(NOTA[[#This Row],[SUPPLIER_H]]="","",AK227),MONTH(NOTA[[#This Row],[TGL.NOTA]]))</f>
        <v>5</v>
      </c>
      <c r="AL228" s="27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2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2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2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27" t="str">
        <f>IF(NOTA[[#This Row],[CONCAT4]]="","",_xlfn.IFNA(MATCH(NOTA[[#This Row],[CONCAT4]],[2]!RAW[CONCAT_H],0),FALSE))</f>
        <v/>
      </c>
      <c r="AQ228" s="145">
        <f>IF(NOTA[[#This Row],[CONCAT1]]="","",MATCH(NOTA[[#This Row],[CONCAT1]],[3]!db[NB NOTA_C],0)+1)</f>
        <v>1983</v>
      </c>
    </row>
    <row r="229" spans="1:43" ht="20.100000000000001" customHeight="1" x14ac:dyDescent="0.25">
      <c r="A22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18" t="str">
        <f>IF(NOTA[[#This Row],[ID_P]]="","",MATCH(NOTA[[#This Row],[ID_P]],[1]!B_MSK[N_ID],0))</f>
        <v/>
      </c>
      <c r="D229" s="18">
        <f ca="1">IF(NOTA[[#This Row],[NAMA BARANG]]="","",INDEX(NOTA[ID],MATCH(,INDIRECT(ADDRESS(ROW(NOTA[ID]),COLUMN(NOTA[ID]))&amp;":"&amp;ADDRESS(ROW(),COLUMN(NOTA[ID]))),-1)))</f>
        <v>41</v>
      </c>
      <c r="E229" s="19"/>
      <c r="F229" s="16"/>
      <c r="G229" s="16"/>
      <c r="H229" s="20"/>
      <c r="I229" s="21"/>
      <c r="J229" s="22"/>
      <c r="K229" s="21"/>
      <c r="L229" s="16" t="s">
        <v>406</v>
      </c>
      <c r="M229" s="23">
        <v>1</v>
      </c>
      <c r="N229" s="21">
        <v>360</v>
      </c>
      <c r="O229" s="16" t="s">
        <v>125</v>
      </c>
      <c r="P229" s="17">
        <v>7700</v>
      </c>
      <c r="Q229" s="34"/>
      <c r="R229" s="28" t="s">
        <v>404</v>
      </c>
      <c r="S229" s="24"/>
      <c r="T229" s="24"/>
      <c r="U229" s="25"/>
      <c r="V229" s="26"/>
      <c r="W229" s="25">
        <f>IF(NOTA[[#This Row],[HARGA/ CTN]]="",NOTA[[#This Row],[JUMLAH_H]],NOTA[[#This Row],[HARGA/ CTN]]*IF(NOTA[[#This Row],[C]]="",0,NOTA[[#This Row],[C]]))</f>
        <v>2772000</v>
      </c>
      <c r="X229" s="25">
        <f>IF(NOTA[[#This Row],[JUMLAH]]="","",NOTA[[#This Row],[JUMLAH]]*NOTA[[#This Row],[DISC 1]])</f>
        <v>0</v>
      </c>
      <c r="Y229" s="25">
        <f>IF(NOTA[[#This Row],[JUMLAH]]="","",(NOTA[[#This Row],[JUMLAH]]-NOTA[[#This Row],[DISC 1-]])*NOTA[[#This Row],[DISC 2]])</f>
        <v>0</v>
      </c>
      <c r="Z229" s="25">
        <f>IF(NOTA[[#This Row],[JUMLAH]]="","",NOTA[[#This Row],[DISC 1-]]+NOTA[[#This Row],[DISC 2-]])</f>
        <v>0</v>
      </c>
      <c r="AA229" s="25">
        <f>IF(NOTA[[#This Row],[JUMLAH]]="","",NOTA[[#This Row],[JUMLAH]]-NOTA[[#This Row],[DISC]])</f>
        <v>2772000</v>
      </c>
      <c r="AB229" s="25"/>
      <c r="AC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29" s="25">
        <f>IF(OR(NOTA[[#This Row],[QTY]]="",NOTA[[#This Row],[HARGA SATUAN]]="",),"",NOTA[[#This Row],[QTY]]*NOTA[[#This Row],[HARGA SATUAN]])</f>
        <v>2772000</v>
      </c>
      <c r="AG229" s="22">
        <f ca="1">IF(NOTA[ID_H]="","",INDEX(NOTA[TANGGAL],MATCH(,INDIRECT(ADDRESS(ROW(NOTA[TANGGAL]),COLUMN(NOTA[TANGGAL]))&amp;":"&amp;ADDRESS(ROW(),COLUMN(NOTA[TANGGAL]))),-1)))</f>
        <v>45056</v>
      </c>
      <c r="AH229" s="17" t="str">
        <f ca="1">IF(NOTA[[#This Row],[NAMA BARANG]]="","",INDEX(NOTA[SUPPLIER],MATCH(,INDIRECT(ADDRESS(ROW(NOTA[ID]),COLUMN(NOTA[ID]))&amp;":"&amp;ADDRESS(ROW(),COLUMN(NOTA[ID]))),-1)))</f>
        <v>DB STATIONERY</v>
      </c>
      <c r="AI229" s="17" t="str">
        <f ca="1">IF(NOTA[[#This Row],[ID_H]]="","",IF(NOTA[[#This Row],[FAKTUR]]="",INDIRECT(ADDRESS(ROW()-1,COLUMN())),NOTA[[#This Row],[FAKTUR]]))</f>
        <v>UNTANA</v>
      </c>
      <c r="AJ229" s="27" t="str">
        <f ca="1">IF(NOTA[[#This Row],[ID]]="","",COUNTIF(NOTA[ID_H],NOTA[[#This Row],[ID_H]]))</f>
        <v/>
      </c>
      <c r="AK229" s="27">
        <f ca="1">IF(NOTA[[#This Row],[TGL.NOTA]]="",IF(NOTA[[#This Row],[SUPPLIER_H]]="","",AK228),MONTH(NOTA[[#This Row],[TGL.NOTA]]))</f>
        <v>5</v>
      </c>
      <c r="AL229" s="27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2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2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2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27" t="str">
        <f>IF(NOTA[[#This Row],[CONCAT4]]="","",_xlfn.IFNA(MATCH(NOTA[[#This Row],[CONCAT4]],[2]!RAW[CONCAT_H],0),FALSE))</f>
        <v/>
      </c>
      <c r="AQ229" s="145">
        <f>IF(NOTA[[#This Row],[CONCAT1]]="","",MATCH(NOTA[[#This Row],[CONCAT1]],[3]!db[NB NOTA_C],0)+1)</f>
        <v>1986</v>
      </c>
    </row>
    <row r="230" spans="1:43" ht="20.100000000000001" customHeight="1" x14ac:dyDescent="0.25">
      <c r="A2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18" t="str">
        <f>IF(NOTA[[#This Row],[ID_P]]="","",MATCH(NOTA[[#This Row],[ID_P]],[1]!B_MSK[N_ID],0))</f>
        <v/>
      </c>
      <c r="D230" s="18">
        <f ca="1">IF(NOTA[[#This Row],[NAMA BARANG]]="","",INDEX(NOTA[ID],MATCH(,INDIRECT(ADDRESS(ROW(NOTA[ID]),COLUMN(NOTA[ID]))&amp;":"&amp;ADDRESS(ROW(),COLUMN(NOTA[ID]))),-1)))</f>
        <v>41</v>
      </c>
      <c r="E230" s="19"/>
      <c r="F230" s="16"/>
      <c r="G230" s="16"/>
      <c r="H230" s="20"/>
      <c r="I230" s="21"/>
      <c r="J230" s="22"/>
      <c r="K230" s="21"/>
      <c r="L230" s="16" t="s">
        <v>407</v>
      </c>
      <c r="M230" s="23">
        <v>1</v>
      </c>
      <c r="N230" s="21">
        <v>360</v>
      </c>
      <c r="O230" s="16" t="s">
        <v>125</v>
      </c>
      <c r="P230" s="17">
        <v>7700</v>
      </c>
      <c r="Q230" s="34"/>
      <c r="R230" s="28" t="s">
        <v>404</v>
      </c>
      <c r="S230" s="24"/>
      <c r="T230" s="24"/>
      <c r="U230" s="25"/>
      <c r="V230" s="26"/>
      <c r="W230" s="25">
        <f>IF(NOTA[[#This Row],[HARGA/ CTN]]="",NOTA[[#This Row],[JUMLAH_H]],NOTA[[#This Row],[HARGA/ CTN]]*IF(NOTA[[#This Row],[C]]="",0,NOTA[[#This Row],[C]]))</f>
        <v>2772000</v>
      </c>
      <c r="X230" s="25">
        <f>IF(NOTA[[#This Row],[JUMLAH]]="","",NOTA[[#This Row],[JUMLAH]]*NOTA[[#This Row],[DISC 1]])</f>
        <v>0</v>
      </c>
      <c r="Y230" s="25">
        <f>IF(NOTA[[#This Row],[JUMLAH]]="","",(NOTA[[#This Row],[JUMLAH]]-NOTA[[#This Row],[DISC 1-]])*NOTA[[#This Row],[DISC 2]])</f>
        <v>0</v>
      </c>
      <c r="Z230" s="25">
        <f>IF(NOTA[[#This Row],[JUMLAH]]="","",NOTA[[#This Row],[DISC 1-]]+NOTA[[#This Row],[DISC 2-]])</f>
        <v>0</v>
      </c>
      <c r="AA230" s="25">
        <f>IF(NOTA[[#This Row],[JUMLAH]]="","",NOTA[[#This Row],[JUMLAH]]-NOTA[[#This Row],[DISC]])</f>
        <v>2772000</v>
      </c>
      <c r="AB230" s="25"/>
      <c r="AC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0" s="25">
        <f>IF(OR(NOTA[[#This Row],[QTY]]="",NOTA[[#This Row],[HARGA SATUAN]]="",),"",NOTA[[#This Row],[QTY]]*NOTA[[#This Row],[HARGA SATUAN]])</f>
        <v>2772000</v>
      </c>
      <c r="AG230" s="22">
        <f ca="1">IF(NOTA[ID_H]="","",INDEX(NOTA[TANGGAL],MATCH(,INDIRECT(ADDRESS(ROW(NOTA[TANGGAL]),COLUMN(NOTA[TANGGAL]))&amp;":"&amp;ADDRESS(ROW(),COLUMN(NOTA[TANGGAL]))),-1)))</f>
        <v>45056</v>
      </c>
      <c r="AH230" s="17" t="str">
        <f ca="1">IF(NOTA[[#This Row],[NAMA BARANG]]="","",INDEX(NOTA[SUPPLIER],MATCH(,INDIRECT(ADDRESS(ROW(NOTA[ID]),COLUMN(NOTA[ID]))&amp;":"&amp;ADDRESS(ROW(),COLUMN(NOTA[ID]))),-1)))</f>
        <v>DB STATIONERY</v>
      </c>
      <c r="AI230" s="17" t="str">
        <f ca="1">IF(NOTA[[#This Row],[ID_H]]="","",IF(NOTA[[#This Row],[FAKTUR]]="",INDIRECT(ADDRESS(ROW()-1,COLUMN())),NOTA[[#This Row],[FAKTUR]]))</f>
        <v>UNTANA</v>
      </c>
      <c r="AJ230" s="27" t="str">
        <f ca="1">IF(NOTA[[#This Row],[ID]]="","",COUNTIF(NOTA[ID_H],NOTA[[#This Row],[ID_H]]))</f>
        <v/>
      </c>
      <c r="AK230" s="27">
        <f ca="1">IF(NOTA[[#This Row],[TGL.NOTA]]="",IF(NOTA[[#This Row],[SUPPLIER_H]]="","",AK229),MONTH(NOTA[[#This Row],[TGL.NOTA]]))</f>
        <v>5</v>
      </c>
      <c r="AL230" s="27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M2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N2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O2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27" t="str">
        <f>IF(NOTA[[#This Row],[CONCAT4]]="","",_xlfn.IFNA(MATCH(NOTA[[#This Row],[CONCAT4]],[2]!RAW[CONCAT_H],0),FALSE))</f>
        <v/>
      </c>
      <c r="AQ230" s="145">
        <f>IF(NOTA[[#This Row],[CONCAT1]]="","",MATCH(NOTA[[#This Row],[CONCAT1]],[3]!db[NB NOTA_C],0)+1)</f>
        <v>1985</v>
      </c>
    </row>
    <row r="231" spans="1:43" ht="20.100000000000001" customHeight="1" x14ac:dyDescent="0.25">
      <c r="A23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18" t="str">
        <f>IF(NOTA[[#This Row],[ID_P]]="","",MATCH(NOTA[[#This Row],[ID_P]],[1]!B_MSK[N_ID],0))</f>
        <v/>
      </c>
      <c r="D231" s="18">
        <f ca="1">IF(NOTA[[#This Row],[NAMA BARANG]]="","",INDEX(NOTA[ID],MATCH(,INDIRECT(ADDRESS(ROW(NOTA[ID]),COLUMN(NOTA[ID]))&amp;":"&amp;ADDRESS(ROW(),COLUMN(NOTA[ID]))),-1)))</f>
        <v>41</v>
      </c>
      <c r="E231" s="19"/>
      <c r="F231" s="21"/>
      <c r="G231" s="21"/>
      <c r="H231" s="41"/>
      <c r="I231" s="21"/>
      <c r="J231" s="22"/>
      <c r="K231" s="21"/>
      <c r="L231" s="16" t="s">
        <v>408</v>
      </c>
      <c r="M231" s="23">
        <v>1</v>
      </c>
      <c r="N231" s="21">
        <v>360</v>
      </c>
      <c r="O231" s="16" t="s">
        <v>125</v>
      </c>
      <c r="P231" s="17">
        <v>7700</v>
      </c>
      <c r="Q231" s="34"/>
      <c r="R231" s="28" t="s">
        <v>404</v>
      </c>
      <c r="S231" s="24"/>
      <c r="T231" s="24"/>
      <c r="U231" s="25"/>
      <c r="V231" s="26"/>
      <c r="W231" s="25">
        <f>IF(NOTA[[#This Row],[HARGA/ CTN]]="",NOTA[[#This Row],[JUMLAH_H]],NOTA[[#This Row],[HARGA/ CTN]]*IF(NOTA[[#This Row],[C]]="",0,NOTA[[#This Row],[C]]))</f>
        <v>2772000</v>
      </c>
      <c r="X231" s="25">
        <f>IF(NOTA[[#This Row],[JUMLAH]]="","",NOTA[[#This Row],[JUMLAH]]*NOTA[[#This Row],[DISC 1]])</f>
        <v>0</v>
      </c>
      <c r="Y231" s="25">
        <f>IF(NOTA[[#This Row],[JUMLAH]]="","",(NOTA[[#This Row],[JUMLAH]]-NOTA[[#This Row],[DISC 1-]])*NOTA[[#This Row],[DISC 2]])</f>
        <v>0</v>
      </c>
      <c r="Z231" s="25">
        <f>IF(NOTA[[#This Row],[JUMLAH]]="","",NOTA[[#This Row],[DISC 1-]]+NOTA[[#This Row],[DISC 2-]])</f>
        <v>0</v>
      </c>
      <c r="AA231" s="25">
        <f>IF(NOTA[[#This Row],[JUMLAH]]="","",NOTA[[#This Row],[JUMLAH]]-NOTA[[#This Row],[DISC]])</f>
        <v>2772000</v>
      </c>
      <c r="AB231" s="25"/>
      <c r="AC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1" s="25">
        <f>IF(OR(NOTA[[#This Row],[QTY]]="",NOTA[[#This Row],[HARGA SATUAN]]="",),"",NOTA[[#This Row],[QTY]]*NOTA[[#This Row],[HARGA SATUAN]])</f>
        <v>2772000</v>
      </c>
      <c r="AG231" s="22">
        <f ca="1">IF(NOTA[ID_H]="","",INDEX(NOTA[TANGGAL],MATCH(,INDIRECT(ADDRESS(ROW(NOTA[TANGGAL]),COLUMN(NOTA[TANGGAL]))&amp;":"&amp;ADDRESS(ROW(),COLUMN(NOTA[TANGGAL]))),-1)))</f>
        <v>45056</v>
      </c>
      <c r="AH231" s="17" t="str">
        <f ca="1">IF(NOTA[[#This Row],[NAMA BARANG]]="","",INDEX(NOTA[SUPPLIER],MATCH(,INDIRECT(ADDRESS(ROW(NOTA[ID]),COLUMN(NOTA[ID]))&amp;":"&amp;ADDRESS(ROW(),COLUMN(NOTA[ID]))),-1)))</f>
        <v>DB STATIONERY</v>
      </c>
      <c r="AI231" s="17" t="str">
        <f ca="1">IF(NOTA[[#This Row],[ID_H]]="","",IF(NOTA[[#This Row],[FAKTUR]]="",INDIRECT(ADDRESS(ROW()-1,COLUMN())),NOTA[[#This Row],[FAKTUR]]))</f>
        <v>UNTANA</v>
      </c>
      <c r="AJ231" s="27" t="str">
        <f ca="1">IF(NOTA[[#This Row],[ID]]="","",COUNTIF(NOTA[ID_H],NOTA[[#This Row],[ID_H]]))</f>
        <v/>
      </c>
      <c r="AK231" s="27">
        <f ca="1">IF(NOTA[[#This Row],[TGL.NOTA]]="",IF(NOTA[[#This Row],[SUPPLIER_H]]="","",AK230),MONTH(NOTA[[#This Row],[TGL.NOTA]]))</f>
        <v>5</v>
      </c>
      <c r="AL231" s="27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M2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N2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O2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27" t="str">
        <f>IF(NOTA[[#This Row],[CONCAT4]]="","",_xlfn.IFNA(MATCH(NOTA[[#This Row],[CONCAT4]],[2]!RAW[CONCAT_H],0),FALSE))</f>
        <v/>
      </c>
      <c r="AQ231" s="145">
        <f>IF(NOTA[[#This Row],[CONCAT1]]="","",MATCH(NOTA[[#This Row],[CONCAT1]],[3]!db[NB NOTA_C],0)+1)</f>
        <v>2002</v>
      </c>
    </row>
    <row r="232" spans="1:43" ht="20.100000000000001" customHeight="1" x14ac:dyDescent="0.25">
      <c r="A23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18" t="str">
        <f>IF(NOTA[[#This Row],[ID_P]]="","",MATCH(NOTA[[#This Row],[ID_P]],[1]!B_MSK[N_ID],0))</f>
        <v/>
      </c>
      <c r="D232" s="18">
        <f ca="1">IF(NOTA[[#This Row],[NAMA BARANG]]="","",INDEX(NOTA[ID],MATCH(,INDIRECT(ADDRESS(ROW(NOTA[ID]),COLUMN(NOTA[ID]))&amp;":"&amp;ADDRESS(ROW(),COLUMN(NOTA[ID]))),-1)))</f>
        <v>41</v>
      </c>
      <c r="E232" s="19"/>
      <c r="F232" s="16"/>
      <c r="G232" s="16"/>
      <c r="H232" s="20"/>
      <c r="I232" s="21"/>
      <c r="J232" s="22"/>
      <c r="K232" s="21"/>
      <c r="L232" s="16" t="s">
        <v>409</v>
      </c>
      <c r="M232" s="23">
        <v>1</v>
      </c>
      <c r="N232" s="21">
        <v>360</v>
      </c>
      <c r="O232" s="16" t="s">
        <v>125</v>
      </c>
      <c r="P232" s="17">
        <v>7700</v>
      </c>
      <c r="Q232" s="34"/>
      <c r="R232" s="28" t="s">
        <v>404</v>
      </c>
      <c r="S232" s="24"/>
      <c r="T232" s="24"/>
      <c r="U232" s="25"/>
      <c r="V232" s="26"/>
      <c r="W232" s="25">
        <f>IF(NOTA[[#This Row],[HARGA/ CTN]]="",NOTA[[#This Row],[JUMLAH_H]],NOTA[[#This Row],[HARGA/ CTN]]*IF(NOTA[[#This Row],[C]]="",0,NOTA[[#This Row],[C]]))</f>
        <v>2772000</v>
      </c>
      <c r="X232" s="25">
        <f>IF(NOTA[[#This Row],[JUMLAH]]="","",NOTA[[#This Row],[JUMLAH]]*NOTA[[#This Row],[DISC 1]])</f>
        <v>0</v>
      </c>
      <c r="Y232" s="25">
        <f>IF(NOTA[[#This Row],[JUMLAH]]="","",(NOTA[[#This Row],[JUMLAH]]-NOTA[[#This Row],[DISC 1-]])*NOTA[[#This Row],[DISC 2]])</f>
        <v>0</v>
      </c>
      <c r="Z232" s="25">
        <f>IF(NOTA[[#This Row],[JUMLAH]]="","",NOTA[[#This Row],[DISC 1-]]+NOTA[[#This Row],[DISC 2-]])</f>
        <v>0</v>
      </c>
      <c r="AA232" s="25">
        <f>IF(NOTA[[#This Row],[JUMLAH]]="","",NOTA[[#This Row],[JUMLAH]]-NOTA[[#This Row],[DISC]])</f>
        <v>2772000</v>
      </c>
      <c r="AB232" s="25"/>
      <c r="AC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2" s="25">
        <f>IF(OR(NOTA[[#This Row],[QTY]]="",NOTA[[#This Row],[HARGA SATUAN]]="",),"",NOTA[[#This Row],[QTY]]*NOTA[[#This Row],[HARGA SATUAN]])</f>
        <v>2772000</v>
      </c>
      <c r="AG232" s="22">
        <f ca="1">IF(NOTA[ID_H]="","",INDEX(NOTA[TANGGAL],MATCH(,INDIRECT(ADDRESS(ROW(NOTA[TANGGAL]),COLUMN(NOTA[TANGGAL]))&amp;":"&amp;ADDRESS(ROW(),COLUMN(NOTA[TANGGAL]))),-1)))</f>
        <v>45056</v>
      </c>
      <c r="AH232" s="17" t="str">
        <f ca="1">IF(NOTA[[#This Row],[NAMA BARANG]]="","",INDEX(NOTA[SUPPLIER],MATCH(,INDIRECT(ADDRESS(ROW(NOTA[ID]),COLUMN(NOTA[ID]))&amp;":"&amp;ADDRESS(ROW(),COLUMN(NOTA[ID]))),-1)))</f>
        <v>DB STATIONERY</v>
      </c>
      <c r="AI232" s="17" t="str">
        <f ca="1">IF(NOTA[[#This Row],[ID_H]]="","",IF(NOTA[[#This Row],[FAKTUR]]="",INDIRECT(ADDRESS(ROW()-1,COLUMN())),NOTA[[#This Row],[FAKTUR]]))</f>
        <v>UNTANA</v>
      </c>
      <c r="AJ232" s="27" t="str">
        <f ca="1">IF(NOTA[[#This Row],[ID]]="","",COUNTIF(NOTA[ID_H],NOTA[[#This Row],[ID_H]]))</f>
        <v/>
      </c>
      <c r="AK232" s="27">
        <f ca="1">IF(NOTA[[#This Row],[TGL.NOTA]]="",IF(NOTA[[#This Row],[SUPPLIER_H]]="","",AK231),MONTH(NOTA[[#This Row],[TGL.NOTA]]))</f>
        <v>5</v>
      </c>
      <c r="AL232" s="27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M2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N2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O2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27" t="str">
        <f>IF(NOTA[[#This Row],[CONCAT4]]="","",_xlfn.IFNA(MATCH(NOTA[[#This Row],[CONCAT4]],[2]!RAW[CONCAT_H],0),FALSE))</f>
        <v/>
      </c>
      <c r="AQ232" s="145">
        <f>IF(NOTA[[#This Row],[CONCAT1]]="","",MATCH(NOTA[[#This Row],[CONCAT1]],[3]!db[NB NOTA_C],0)+1)</f>
        <v>1999</v>
      </c>
    </row>
    <row r="233" spans="1:43" ht="20.100000000000001" customHeight="1" x14ac:dyDescent="0.25">
      <c r="A23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18" t="str">
        <f>IF(NOTA[[#This Row],[ID_P]]="","",MATCH(NOTA[[#This Row],[ID_P]],[1]!B_MSK[N_ID],0))</f>
        <v/>
      </c>
      <c r="D233" s="18">
        <f ca="1">IF(NOTA[[#This Row],[NAMA BARANG]]="","",INDEX(NOTA[ID],MATCH(,INDIRECT(ADDRESS(ROW(NOTA[ID]),COLUMN(NOTA[ID]))&amp;":"&amp;ADDRESS(ROW(),COLUMN(NOTA[ID]))),-1)))</f>
        <v>41</v>
      </c>
      <c r="E233" s="19"/>
      <c r="F233" s="21"/>
      <c r="G233" s="21"/>
      <c r="H233" s="41"/>
      <c r="I233" s="21"/>
      <c r="J233" s="22"/>
      <c r="K233" s="21"/>
      <c r="L233" s="16" t="s">
        <v>410</v>
      </c>
      <c r="M233" s="23">
        <v>1</v>
      </c>
      <c r="N233" s="21">
        <v>360</v>
      </c>
      <c r="O233" s="16" t="s">
        <v>125</v>
      </c>
      <c r="P233" s="17">
        <v>7700</v>
      </c>
      <c r="Q233" s="34"/>
      <c r="R233" s="28" t="s">
        <v>404</v>
      </c>
      <c r="S233" s="24"/>
      <c r="T233" s="24"/>
      <c r="U233" s="25"/>
      <c r="V233" s="26"/>
      <c r="W233" s="25">
        <f>IF(NOTA[[#This Row],[HARGA/ CTN]]="",NOTA[[#This Row],[JUMLAH_H]],NOTA[[#This Row],[HARGA/ CTN]]*IF(NOTA[[#This Row],[C]]="",0,NOTA[[#This Row],[C]]))</f>
        <v>2772000</v>
      </c>
      <c r="X233" s="25">
        <f>IF(NOTA[[#This Row],[JUMLAH]]="","",NOTA[[#This Row],[JUMLAH]]*NOTA[[#This Row],[DISC 1]])</f>
        <v>0</v>
      </c>
      <c r="Y233" s="25">
        <f>IF(NOTA[[#This Row],[JUMLAH]]="","",(NOTA[[#This Row],[JUMLAH]]-NOTA[[#This Row],[DISC 1-]])*NOTA[[#This Row],[DISC 2]])</f>
        <v>0</v>
      </c>
      <c r="Z233" s="25">
        <f>IF(NOTA[[#This Row],[JUMLAH]]="","",NOTA[[#This Row],[DISC 1-]]+NOTA[[#This Row],[DISC 2-]])</f>
        <v>0</v>
      </c>
      <c r="AA233" s="25">
        <f>IF(NOTA[[#This Row],[JUMLAH]]="","",NOTA[[#This Row],[JUMLAH]]-NOTA[[#This Row],[DISC]])</f>
        <v>2772000</v>
      </c>
      <c r="AB233" s="25"/>
      <c r="AC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3" s="25">
        <f>IF(OR(NOTA[[#This Row],[QTY]]="",NOTA[[#This Row],[HARGA SATUAN]]="",),"",NOTA[[#This Row],[QTY]]*NOTA[[#This Row],[HARGA SATUAN]])</f>
        <v>2772000</v>
      </c>
      <c r="AG233" s="22">
        <f ca="1">IF(NOTA[ID_H]="","",INDEX(NOTA[TANGGAL],MATCH(,INDIRECT(ADDRESS(ROW(NOTA[TANGGAL]),COLUMN(NOTA[TANGGAL]))&amp;":"&amp;ADDRESS(ROW(),COLUMN(NOTA[TANGGAL]))),-1)))</f>
        <v>45056</v>
      </c>
      <c r="AH233" s="17" t="str">
        <f ca="1">IF(NOTA[[#This Row],[NAMA BARANG]]="","",INDEX(NOTA[SUPPLIER],MATCH(,INDIRECT(ADDRESS(ROW(NOTA[ID]),COLUMN(NOTA[ID]))&amp;":"&amp;ADDRESS(ROW(),COLUMN(NOTA[ID]))),-1)))</f>
        <v>DB STATIONERY</v>
      </c>
      <c r="AI233" s="17" t="str">
        <f ca="1">IF(NOTA[[#This Row],[ID_H]]="","",IF(NOTA[[#This Row],[FAKTUR]]="",INDIRECT(ADDRESS(ROW()-1,COLUMN())),NOTA[[#This Row],[FAKTUR]]))</f>
        <v>UNTANA</v>
      </c>
      <c r="AJ233" s="27" t="str">
        <f ca="1">IF(NOTA[[#This Row],[ID]]="","",COUNTIF(NOTA[ID_H],NOTA[[#This Row],[ID_H]]))</f>
        <v/>
      </c>
      <c r="AK233" s="27">
        <f ca="1">IF(NOTA[[#This Row],[TGL.NOTA]]="",IF(NOTA[[#This Row],[SUPPLIER_H]]="","",AK232),MONTH(NOTA[[#This Row],[TGL.NOTA]]))</f>
        <v>5</v>
      </c>
      <c r="AL233" s="27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2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2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2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27" t="str">
        <f>IF(NOTA[[#This Row],[CONCAT4]]="","",_xlfn.IFNA(MATCH(NOTA[[#This Row],[CONCAT4]],[2]!RAW[CONCAT_H],0),FALSE))</f>
        <v/>
      </c>
      <c r="AQ233" s="145">
        <f>IF(NOTA[[#This Row],[CONCAT1]]="","",MATCH(NOTA[[#This Row],[CONCAT1]],[3]!db[NB NOTA_C],0)+1)</f>
        <v>2001</v>
      </c>
    </row>
    <row r="234" spans="1:43" ht="20.100000000000001" customHeight="1" x14ac:dyDescent="0.25">
      <c r="A2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18" t="str">
        <f>IF(NOTA[[#This Row],[ID_P]]="","",MATCH(NOTA[[#This Row],[ID_P]],[1]!B_MSK[N_ID],0))</f>
        <v/>
      </c>
      <c r="D234" s="18">
        <f ca="1">IF(NOTA[[#This Row],[NAMA BARANG]]="","",INDEX(NOTA[ID],MATCH(,INDIRECT(ADDRESS(ROW(NOTA[ID]),COLUMN(NOTA[ID]))&amp;":"&amp;ADDRESS(ROW(),COLUMN(NOTA[ID]))),-1)))</f>
        <v>41</v>
      </c>
      <c r="E234" s="19"/>
      <c r="F234" s="16"/>
      <c r="G234" s="16"/>
      <c r="H234" s="20"/>
      <c r="I234" s="21"/>
      <c r="J234" s="22"/>
      <c r="K234" s="21"/>
      <c r="L234" s="16" t="s">
        <v>411</v>
      </c>
      <c r="M234" s="23">
        <v>1</v>
      </c>
      <c r="N234" s="21">
        <v>360</v>
      </c>
      <c r="O234" s="16" t="s">
        <v>125</v>
      </c>
      <c r="P234" s="17">
        <v>7700</v>
      </c>
      <c r="Q234" s="34"/>
      <c r="R234" s="28" t="s">
        <v>404</v>
      </c>
      <c r="S234" s="24"/>
      <c r="T234" s="24"/>
      <c r="U234" s="25"/>
      <c r="V234" s="26"/>
      <c r="W234" s="25">
        <f>IF(NOTA[[#This Row],[HARGA/ CTN]]="",NOTA[[#This Row],[JUMLAH_H]],NOTA[[#This Row],[HARGA/ CTN]]*IF(NOTA[[#This Row],[C]]="",0,NOTA[[#This Row],[C]]))</f>
        <v>2772000</v>
      </c>
      <c r="X234" s="25">
        <f>IF(NOTA[[#This Row],[JUMLAH]]="","",NOTA[[#This Row],[JUMLAH]]*NOTA[[#This Row],[DISC 1]])</f>
        <v>0</v>
      </c>
      <c r="Y234" s="25">
        <f>IF(NOTA[[#This Row],[JUMLAH]]="","",(NOTA[[#This Row],[JUMLAH]]-NOTA[[#This Row],[DISC 1-]])*NOTA[[#This Row],[DISC 2]])</f>
        <v>0</v>
      </c>
      <c r="Z234" s="25">
        <f>IF(NOTA[[#This Row],[JUMLAH]]="","",NOTA[[#This Row],[DISC 1-]]+NOTA[[#This Row],[DISC 2-]])</f>
        <v>0</v>
      </c>
      <c r="AA234" s="25">
        <f>IF(NOTA[[#This Row],[JUMLAH]]="","",NOTA[[#This Row],[JUMLAH]]-NOTA[[#This Row],[DISC]])</f>
        <v>2772000</v>
      </c>
      <c r="AB234" s="25"/>
      <c r="AC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80496000</v>
      </c>
      <c r="AE234" s="17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34" s="25">
        <f>IF(OR(NOTA[[#This Row],[QTY]]="",NOTA[[#This Row],[HARGA SATUAN]]="",),"",NOTA[[#This Row],[QTY]]*NOTA[[#This Row],[HARGA SATUAN]])</f>
        <v>2772000</v>
      </c>
      <c r="AG234" s="22">
        <f ca="1">IF(NOTA[ID_H]="","",INDEX(NOTA[TANGGAL],MATCH(,INDIRECT(ADDRESS(ROW(NOTA[TANGGAL]),COLUMN(NOTA[TANGGAL]))&amp;":"&amp;ADDRESS(ROW(),COLUMN(NOTA[TANGGAL]))),-1)))</f>
        <v>45056</v>
      </c>
      <c r="AH234" s="17" t="str">
        <f ca="1">IF(NOTA[[#This Row],[NAMA BARANG]]="","",INDEX(NOTA[SUPPLIER],MATCH(,INDIRECT(ADDRESS(ROW(NOTA[ID]),COLUMN(NOTA[ID]))&amp;":"&amp;ADDRESS(ROW(),COLUMN(NOTA[ID]))),-1)))</f>
        <v>DB STATIONERY</v>
      </c>
      <c r="AI234" s="17" t="str">
        <f ca="1">IF(NOTA[[#This Row],[ID_H]]="","",IF(NOTA[[#This Row],[FAKTUR]]="",INDIRECT(ADDRESS(ROW()-1,COLUMN())),NOTA[[#This Row],[FAKTUR]]))</f>
        <v>UNTANA</v>
      </c>
      <c r="AJ234" s="27" t="str">
        <f ca="1">IF(NOTA[[#This Row],[ID]]="","",COUNTIF(NOTA[ID_H],NOTA[[#This Row],[ID_H]]))</f>
        <v/>
      </c>
      <c r="AK234" s="27">
        <f ca="1">IF(NOTA[[#This Row],[TGL.NOTA]]="",IF(NOTA[[#This Row],[SUPPLIER_H]]="","",AK233),MONTH(NOTA[[#This Row],[TGL.NOTA]]))</f>
        <v>5</v>
      </c>
      <c r="AL234" s="27" t="str">
        <f>LOWER(SUBSTITUTE(SUBSTITUTE(SUBSTITUTE(SUBSTITUTE(SUBSTITUTE(SUBSTITUTE(SUBSTITUTE(SUBSTITUTE(SUBSTITUTE(NOTA[NAMA BARANG]," ",),".",""),"-",""),"(",""),")",""),",",""),"/",""),"""",""),"+",""))</f>
        <v>pensil2bkayagikypf2026</v>
      </c>
      <c r="AM2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pensil2bkayagikypf20262772000</v>
      </c>
      <c r="AN2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pensil2bkayagikypf20262772000</v>
      </c>
      <c r="AO2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27" t="str">
        <f>IF(NOTA[[#This Row],[CONCAT4]]="","",_xlfn.IFNA(MATCH(NOTA[[#This Row],[CONCAT4]],[2]!RAW[CONCAT_H],0),FALSE))</f>
        <v/>
      </c>
      <c r="AQ234" s="145">
        <f>IF(NOTA[[#This Row],[CONCAT1]]="","",MATCH(NOTA[[#This Row],[CONCAT1]],[3]!db[NB NOTA_C],0)+1)</f>
        <v>1992</v>
      </c>
    </row>
    <row r="235" spans="1:43" ht="20.100000000000001" customHeight="1" x14ac:dyDescent="0.25">
      <c r="A23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18" t="str">
        <f>IF(NOTA[[#This Row],[ID_P]]="","",MATCH(NOTA[[#This Row],[ID_P]],[1]!B_MSK[N_ID],0))</f>
        <v/>
      </c>
      <c r="D235" s="18" t="str">
        <f ca="1">IF(NOTA[[#This Row],[NAMA BARANG]]="","",INDEX(NOTA[ID],MATCH(,INDIRECT(ADDRESS(ROW(NOTA[ID]),COLUMN(NOTA[ID]))&amp;":"&amp;ADDRESS(ROW(),COLUMN(NOTA[ID]))),-1)))</f>
        <v/>
      </c>
      <c r="E235" s="19"/>
      <c r="F235" s="16"/>
      <c r="G235" s="16"/>
      <c r="H235" s="20"/>
      <c r="I235" s="21"/>
      <c r="J235" s="37"/>
      <c r="K235" s="21"/>
      <c r="L235" s="16"/>
      <c r="M235" s="23"/>
      <c r="N235" s="21"/>
      <c r="O235" s="16"/>
      <c r="P235" s="35"/>
      <c r="Q235" s="34"/>
      <c r="R235" s="28"/>
      <c r="S235" s="24"/>
      <c r="T235" s="24"/>
      <c r="U235" s="25"/>
      <c r="V235" s="26"/>
      <c r="W235" s="25" t="str">
        <f>IF(NOTA[[#This Row],[HARGA/ CTN]]="",NOTA[[#This Row],[JUMLAH_H]],NOTA[[#This Row],[HARGA/ CTN]]*IF(NOTA[[#This Row],[C]]="",0,NOTA[[#This Row],[C]]))</f>
        <v/>
      </c>
      <c r="X235" s="25" t="str">
        <f>IF(NOTA[[#This Row],[JUMLAH]]="","",NOTA[[#This Row],[JUMLAH]]*NOTA[[#This Row],[DISC 1]])</f>
        <v/>
      </c>
      <c r="Y235" s="25" t="str">
        <f>IF(NOTA[[#This Row],[JUMLAH]]="","",(NOTA[[#This Row],[JUMLAH]]-NOTA[[#This Row],[DISC 1-]])*NOTA[[#This Row],[DISC 2]])</f>
        <v/>
      </c>
      <c r="Z235" s="25" t="str">
        <f>IF(NOTA[[#This Row],[JUMLAH]]="","",NOTA[[#This Row],[DISC 1-]]+NOTA[[#This Row],[DISC 2-]])</f>
        <v/>
      </c>
      <c r="AA235" s="25" t="str">
        <f>IF(NOTA[[#This Row],[JUMLAH]]="","",NOTA[[#This Row],[JUMLAH]]-NOTA[[#This Row],[DISC]])</f>
        <v/>
      </c>
      <c r="AB235" s="25"/>
      <c r="AC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25" t="str">
        <f>IF(OR(NOTA[[#This Row],[QTY]]="",NOTA[[#This Row],[HARGA SATUAN]]="",),"",NOTA[[#This Row],[QTY]]*NOTA[[#This Row],[HARGA SATUAN]])</f>
        <v/>
      </c>
      <c r="AG235" s="22" t="str">
        <f ca="1">IF(NOTA[ID_H]="","",INDEX(NOTA[TANGGAL],MATCH(,INDIRECT(ADDRESS(ROW(NOTA[TANGGAL]),COLUMN(NOTA[TANGGAL]))&amp;":"&amp;ADDRESS(ROW(),COLUMN(NOTA[TANGGAL]))),-1)))</f>
        <v/>
      </c>
      <c r="AH235" s="17" t="str">
        <f ca="1">IF(NOTA[[#This Row],[NAMA BARANG]]="","",INDEX(NOTA[SUPPLIER],MATCH(,INDIRECT(ADDRESS(ROW(NOTA[ID]),COLUMN(NOTA[ID]))&amp;":"&amp;ADDRESS(ROW(),COLUMN(NOTA[ID]))),-1)))</f>
        <v/>
      </c>
      <c r="AI235" s="17" t="str">
        <f ca="1">IF(NOTA[[#This Row],[ID_H]]="","",IF(NOTA[[#This Row],[FAKTUR]]="",INDIRECT(ADDRESS(ROW()-1,COLUMN())),NOTA[[#This Row],[FAKTUR]]))</f>
        <v/>
      </c>
      <c r="AJ235" s="27" t="str">
        <f ca="1">IF(NOTA[[#This Row],[ID]]="","",COUNTIF(NOTA[ID_H],NOTA[[#This Row],[ID_H]]))</f>
        <v/>
      </c>
      <c r="AK235" s="27" t="str">
        <f ca="1">IF(NOTA[[#This Row],[TGL.NOTA]]="",IF(NOTA[[#This Row],[SUPPLIER_H]]="","",AK234),MONTH(NOTA[[#This Row],[TGL.NOTA]]))</f>
        <v/>
      </c>
      <c r="AL235" s="27" t="str">
        <f>LOWER(SUBSTITUTE(SUBSTITUTE(SUBSTITUTE(SUBSTITUTE(SUBSTITUTE(SUBSTITUTE(SUBSTITUTE(SUBSTITUTE(SUBSTITUTE(NOTA[NAMA BARANG]," ",),".",""),"-",""),"(",""),")",""),",",""),"/",""),"""",""),"+",""))</f>
        <v/>
      </c>
      <c r="AM2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27" t="str">
        <f>IF(NOTA[[#This Row],[CONCAT4]]="","",_xlfn.IFNA(MATCH(NOTA[[#This Row],[CONCAT4]],[2]!RAW[CONCAT_H],0),FALSE))</f>
        <v/>
      </c>
      <c r="AQ235" s="145" t="str">
        <f>IF(NOTA[[#This Row],[CONCAT1]]="","",MATCH(NOTA[[#This Row],[CONCAT1]],[3]!db[NB NOTA_C],0)+1)</f>
        <v/>
      </c>
    </row>
    <row r="236" spans="1:43" ht="20.100000000000001" customHeight="1" x14ac:dyDescent="0.25">
      <c r="A236" s="17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HAN_1005_112-1</v>
      </c>
      <c r="C236" s="18" t="e">
        <f ca="1">IF(NOTA[[#This Row],[ID_P]]="","",MATCH(NOTA[[#This Row],[ID_P]],[1]!B_MSK[N_ID],0))</f>
        <v>#REF!</v>
      </c>
      <c r="D236" s="18">
        <f ca="1">IF(NOTA[[#This Row],[NAMA BARANG]]="","",INDEX(NOTA[ID],MATCH(,INDIRECT(ADDRESS(ROW(NOTA[ID]),COLUMN(NOTA[ID]))&amp;":"&amp;ADDRESS(ROW(),COLUMN(NOTA[ID]))),-1)))</f>
        <v>42</v>
      </c>
      <c r="E236" s="19"/>
      <c r="F236" s="16" t="s">
        <v>153</v>
      </c>
      <c r="G236" s="16" t="s">
        <v>112</v>
      </c>
      <c r="H236" s="20" t="s">
        <v>412</v>
      </c>
      <c r="I236" s="21"/>
      <c r="J236" s="22">
        <v>45056</v>
      </c>
      <c r="K236" s="21"/>
      <c r="L236" s="16" t="s">
        <v>156</v>
      </c>
      <c r="M236" s="23"/>
      <c r="N236" s="21">
        <v>10</v>
      </c>
      <c r="O236" s="16" t="s">
        <v>125</v>
      </c>
      <c r="P236" s="17">
        <v>41000</v>
      </c>
      <c r="Q236" s="34"/>
      <c r="R236" s="28"/>
      <c r="S236" s="24"/>
      <c r="T236" s="24"/>
      <c r="U236" s="25"/>
      <c r="V236" s="26"/>
      <c r="W236" s="25">
        <f>IF(NOTA[[#This Row],[HARGA/ CTN]]="",NOTA[[#This Row],[JUMLAH_H]],NOTA[[#This Row],[HARGA/ CTN]]*IF(NOTA[[#This Row],[C]]="",0,NOTA[[#This Row],[C]]))</f>
        <v>410000</v>
      </c>
      <c r="X236" s="25">
        <f>IF(NOTA[[#This Row],[JUMLAH]]="","",NOTA[[#This Row],[JUMLAH]]*NOTA[[#This Row],[DISC 1]])</f>
        <v>0</v>
      </c>
      <c r="Y236" s="25">
        <f>IF(NOTA[[#This Row],[JUMLAH]]="","",(NOTA[[#This Row],[JUMLAH]]-NOTA[[#This Row],[DISC 1-]])*NOTA[[#This Row],[DISC 2]])</f>
        <v>0</v>
      </c>
      <c r="Z236" s="25">
        <f>IF(NOTA[[#This Row],[JUMLAH]]="","",NOTA[[#This Row],[DISC 1-]]+NOTA[[#This Row],[DISC 2-]])</f>
        <v>0</v>
      </c>
      <c r="AA236" s="25">
        <f>IF(NOTA[[#This Row],[JUMLAH]]="","",NOTA[[#This Row],[JUMLAH]]-NOTA[[#This Row],[DISC]])</f>
        <v>410000</v>
      </c>
      <c r="AB236" s="25"/>
      <c r="AC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410000</v>
      </c>
      <c r="AE236" s="17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F236" s="25">
        <f>IF(OR(NOTA[[#This Row],[QTY]]="",NOTA[[#This Row],[HARGA SATUAN]]="",),"",NOTA[[#This Row],[QTY]]*NOTA[[#This Row],[HARGA SATUAN]])</f>
        <v>410000</v>
      </c>
      <c r="AG236" s="22">
        <f ca="1">IF(NOTA[ID_H]="","",INDEX(NOTA[TANGGAL],MATCH(,INDIRECT(ADDRESS(ROW(NOTA[TANGGAL]),COLUMN(NOTA[TANGGAL]))&amp;":"&amp;ADDRESS(ROW(),COLUMN(NOTA[TANGGAL]))),-1)))</f>
        <v>45056</v>
      </c>
      <c r="AH236" s="17" t="str">
        <f ca="1">IF(NOTA[[#This Row],[NAMA BARANG]]="","",INDEX(NOTA[SUPPLIER],MATCH(,INDIRECT(ADDRESS(ROW(NOTA[ID]),COLUMN(NOTA[ID]))&amp;":"&amp;ADDRESS(ROW(),COLUMN(NOTA[ID]))),-1)))</f>
        <v>HANSA</v>
      </c>
      <c r="AI236" s="17" t="str">
        <f ca="1">IF(NOTA[[#This Row],[ID_H]]="","",IF(NOTA[[#This Row],[FAKTUR]]="",INDIRECT(ADDRESS(ROW()-1,COLUMN())),NOTA[[#This Row],[FAKTUR]]))</f>
        <v>UNTANA</v>
      </c>
      <c r="AJ236" s="27">
        <f ca="1">IF(NOTA[[#This Row],[ID]]="","",COUNTIF(NOTA[ID_H],NOTA[[#This Row],[ID_H]]))</f>
        <v>1</v>
      </c>
      <c r="AK236" s="27">
        <f>IF(NOTA[[#This Row],[TGL.NOTA]]="",IF(NOTA[[#This Row],[SUPPLIER_H]]="","",AK235),MONTH(NOTA[[#This Row],[TGL.NOTA]]))</f>
        <v>5</v>
      </c>
      <c r="AL236" s="27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M2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lilinshintoeng24btg410000</v>
      </c>
      <c r="AN2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O236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HANSAUNTANAHN05202311245056lilinshintoeng24btg</v>
      </c>
      <c r="AP236" s="27" t="e">
        <f>IF(NOTA[[#This Row],[CONCAT4]]="","",_xlfn.IFNA(MATCH(NOTA[[#This Row],[CONCAT4]],[2]!RAW[CONCAT_H],0),FALSE))</f>
        <v>#REF!</v>
      </c>
      <c r="AQ236" s="145">
        <f>IF(NOTA[[#This Row],[CONCAT1]]="","",MATCH(NOTA[[#This Row],[CONCAT1]],[3]!db[NB NOTA_C],0)+1)</f>
        <v>1515</v>
      </c>
    </row>
    <row r="237" spans="1:43" ht="20.100000000000001" customHeight="1" x14ac:dyDescent="0.25">
      <c r="A23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18" t="str">
        <f>IF(NOTA[[#This Row],[ID_P]]="","",MATCH(NOTA[[#This Row],[ID_P]],[1]!B_MSK[N_ID],0))</f>
        <v/>
      </c>
      <c r="D237" s="18" t="str">
        <f ca="1">IF(NOTA[[#This Row],[NAMA BARANG]]="","",INDEX(NOTA[ID],MATCH(,INDIRECT(ADDRESS(ROW(NOTA[ID]),COLUMN(NOTA[ID]))&amp;":"&amp;ADDRESS(ROW(),COLUMN(NOTA[ID]))),-1)))</f>
        <v/>
      </c>
      <c r="E237" s="19"/>
      <c r="F237" s="21"/>
      <c r="G237" s="21"/>
      <c r="H237" s="41"/>
      <c r="I237" s="21"/>
      <c r="J237" s="22"/>
      <c r="K237" s="21"/>
      <c r="L237" s="16"/>
      <c r="M237" s="23"/>
      <c r="N237" s="21"/>
      <c r="O237" s="16"/>
      <c r="P237" s="17"/>
      <c r="Q237" s="34"/>
      <c r="R237" s="28"/>
      <c r="S237" s="24"/>
      <c r="T237" s="24"/>
      <c r="U237" s="25"/>
      <c r="V237" s="26"/>
      <c r="W237" s="25" t="str">
        <f>IF(NOTA[[#This Row],[HARGA/ CTN]]="",NOTA[[#This Row],[JUMLAH_H]],NOTA[[#This Row],[HARGA/ CTN]]*IF(NOTA[[#This Row],[C]]="",0,NOTA[[#This Row],[C]]))</f>
        <v/>
      </c>
      <c r="X237" s="25" t="str">
        <f>IF(NOTA[[#This Row],[JUMLAH]]="","",NOTA[[#This Row],[JUMLAH]]*NOTA[[#This Row],[DISC 1]])</f>
        <v/>
      </c>
      <c r="Y237" s="25" t="str">
        <f>IF(NOTA[[#This Row],[JUMLAH]]="","",(NOTA[[#This Row],[JUMLAH]]-NOTA[[#This Row],[DISC 1-]])*NOTA[[#This Row],[DISC 2]])</f>
        <v/>
      </c>
      <c r="Z237" s="25" t="str">
        <f>IF(NOTA[[#This Row],[JUMLAH]]="","",NOTA[[#This Row],[DISC 1-]]+NOTA[[#This Row],[DISC 2-]])</f>
        <v/>
      </c>
      <c r="AA237" s="25" t="str">
        <f>IF(NOTA[[#This Row],[JUMLAH]]="","",NOTA[[#This Row],[JUMLAH]]-NOTA[[#This Row],[DISC]])</f>
        <v/>
      </c>
      <c r="AB237" s="25"/>
      <c r="AC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25" t="str">
        <f>IF(OR(NOTA[[#This Row],[QTY]]="",NOTA[[#This Row],[HARGA SATUAN]]="",),"",NOTA[[#This Row],[QTY]]*NOTA[[#This Row],[HARGA SATUAN]])</f>
        <v/>
      </c>
      <c r="AG237" s="22" t="str">
        <f ca="1">IF(NOTA[ID_H]="","",INDEX(NOTA[TANGGAL],MATCH(,INDIRECT(ADDRESS(ROW(NOTA[TANGGAL]),COLUMN(NOTA[TANGGAL]))&amp;":"&amp;ADDRESS(ROW(),COLUMN(NOTA[TANGGAL]))),-1)))</f>
        <v/>
      </c>
      <c r="AH237" s="17" t="str">
        <f ca="1">IF(NOTA[[#This Row],[NAMA BARANG]]="","",INDEX(NOTA[SUPPLIER],MATCH(,INDIRECT(ADDRESS(ROW(NOTA[ID]),COLUMN(NOTA[ID]))&amp;":"&amp;ADDRESS(ROW(),COLUMN(NOTA[ID]))),-1)))</f>
        <v/>
      </c>
      <c r="AI237" s="17" t="str">
        <f ca="1">IF(NOTA[[#This Row],[ID_H]]="","",IF(NOTA[[#This Row],[FAKTUR]]="",INDIRECT(ADDRESS(ROW()-1,COLUMN())),NOTA[[#This Row],[FAKTUR]]))</f>
        <v/>
      </c>
      <c r="AJ237" s="27" t="str">
        <f ca="1">IF(NOTA[[#This Row],[ID]]="","",COUNTIF(NOTA[ID_H],NOTA[[#This Row],[ID_H]]))</f>
        <v/>
      </c>
      <c r="AK237" s="27" t="str">
        <f ca="1">IF(NOTA[[#This Row],[TGL.NOTA]]="",IF(NOTA[[#This Row],[SUPPLIER_H]]="","",AK236),MONTH(NOTA[[#This Row],[TGL.NOTA]]))</f>
        <v/>
      </c>
      <c r="AL237" s="27" t="str">
        <f>LOWER(SUBSTITUTE(SUBSTITUTE(SUBSTITUTE(SUBSTITUTE(SUBSTITUTE(SUBSTITUTE(SUBSTITUTE(SUBSTITUTE(SUBSTITUTE(NOTA[NAMA BARANG]," ",),".",""),"-",""),"(",""),")",""),",",""),"/",""),"""",""),"+",""))</f>
        <v/>
      </c>
      <c r="AM2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27" t="str">
        <f>IF(NOTA[[#This Row],[CONCAT4]]="","",_xlfn.IFNA(MATCH(NOTA[[#This Row],[CONCAT4]],[2]!RAW[CONCAT_H],0),FALSE))</f>
        <v/>
      </c>
      <c r="AQ237" s="145" t="str">
        <f>IF(NOTA[[#This Row],[CONCAT1]]="","",MATCH(NOTA[[#This Row],[CONCAT1]],[3]!db[NB NOTA_C],0)+1)</f>
        <v/>
      </c>
    </row>
    <row r="238" spans="1:43" ht="20.100000000000001" customHeight="1" x14ac:dyDescent="0.25">
      <c r="A238" s="17">
        <f ca="1">IF(INDIRECT(ADDRESS(ROW()-1,COLUMN(NOTA[[#Headers],[ID]])))="ID",1,IF(NOTA[[#This Row],[FAKTUR]]="","",COUNT(INDIRECT(ADDRESS(ROW(NOTA[ID]),COLUMN(NOTA[ID]))&amp;":"&amp;ADDRESS(ROW()-1,COLUMN(NOTA[ID]))))+1))</f>
        <v>43</v>
      </c>
      <c r="B23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SBS_1005_-13</v>
      </c>
      <c r="C238" s="18" t="e">
        <f ca="1">IF(NOTA[[#This Row],[ID_P]]="","",MATCH(NOTA[[#This Row],[ID_P]],[1]!B_MSK[N_ID],0))</f>
        <v>#REF!</v>
      </c>
      <c r="D238" s="18">
        <f ca="1">IF(NOTA[[#This Row],[NAMA BARANG]]="","",INDEX(NOTA[ID],MATCH(,INDIRECT(ADDRESS(ROW(NOTA[ID]),COLUMN(NOTA[ID]))&amp;":"&amp;ADDRESS(ROW(),COLUMN(NOTA[ID]))),-1)))</f>
        <v>43</v>
      </c>
      <c r="E238" s="19"/>
      <c r="F238" s="16" t="s">
        <v>111</v>
      </c>
      <c r="G238" s="16" t="s">
        <v>112</v>
      </c>
      <c r="H238" s="20"/>
      <c r="I238" s="16" t="s">
        <v>413</v>
      </c>
      <c r="J238" s="22">
        <v>45051</v>
      </c>
      <c r="K238" s="22"/>
      <c r="L238" s="16" t="s">
        <v>414</v>
      </c>
      <c r="M238" s="23">
        <v>2</v>
      </c>
      <c r="N238" s="21">
        <v>288</v>
      </c>
      <c r="O238" s="16" t="s">
        <v>160</v>
      </c>
      <c r="P238" s="17"/>
      <c r="Q238" s="34"/>
      <c r="R238" s="28" t="s">
        <v>161</v>
      </c>
      <c r="S238" s="24"/>
      <c r="T238" s="24"/>
      <c r="U238" s="25"/>
      <c r="V238" s="26" t="s">
        <v>123</v>
      </c>
      <c r="W238" s="25" t="str">
        <f>IF(NOTA[[#This Row],[HARGA/ CTN]]="",NOTA[[#This Row],[JUMLAH_H]],NOTA[[#This Row],[HARGA/ CTN]]*IF(NOTA[[#This Row],[C]]="",0,NOTA[[#This Row],[C]]))</f>
        <v/>
      </c>
      <c r="X238" s="25" t="str">
        <f>IF(NOTA[[#This Row],[JUMLAH]]="","",NOTA[[#This Row],[JUMLAH]]*NOTA[[#This Row],[DISC 1]])</f>
        <v/>
      </c>
      <c r="Y238" s="25" t="str">
        <f>IF(NOTA[[#This Row],[JUMLAH]]="","",(NOTA[[#This Row],[JUMLAH]]-NOTA[[#This Row],[DISC 1-]])*NOTA[[#This Row],[DISC 2]])</f>
        <v/>
      </c>
      <c r="Z238" s="25" t="str">
        <f>IF(NOTA[[#This Row],[JUMLAH]]="","",NOTA[[#This Row],[DISC 1-]]+NOTA[[#This Row],[DISC 2-]])</f>
        <v/>
      </c>
      <c r="AA238" s="25" t="str">
        <f>IF(NOTA[[#This Row],[JUMLAH]]="","",NOTA[[#This Row],[JUMLAH]]-NOTA[[#This Row],[DISC]])</f>
        <v/>
      </c>
      <c r="AB238" s="25"/>
      <c r="AC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8" s="25" t="str">
        <f>IF(OR(NOTA[[#This Row],[QTY]]="",NOTA[[#This Row],[HARGA SATUAN]]="",),"",NOTA[[#This Row],[QTY]]*NOTA[[#This Row],[HARGA SATUAN]])</f>
        <v/>
      </c>
      <c r="AG238" s="22">
        <f ca="1">IF(NOTA[ID_H]="","",INDEX(NOTA[TANGGAL],MATCH(,INDIRECT(ADDRESS(ROW(NOTA[TANGGAL]),COLUMN(NOTA[TANGGAL]))&amp;":"&amp;ADDRESS(ROW(),COLUMN(NOTA[TANGGAL]))),-1)))</f>
        <v>45056</v>
      </c>
      <c r="AH238" s="17" t="str">
        <f ca="1">IF(NOTA[[#This Row],[NAMA BARANG]]="","",INDEX(NOTA[SUPPLIER],MATCH(,INDIRECT(ADDRESS(ROW(NOTA[ID]),COLUMN(NOTA[ID]))&amp;":"&amp;ADDRESS(ROW(),COLUMN(NOTA[ID]))),-1)))</f>
        <v>SBS</v>
      </c>
      <c r="AI238" s="17" t="str">
        <f ca="1">IF(NOTA[[#This Row],[ID_H]]="","",IF(NOTA[[#This Row],[FAKTUR]]="",INDIRECT(ADDRESS(ROW()-1,COLUMN())),NOTA[[#This Row],[FAKTUR]]))</f>
        <v>UNTANA</v>
      </c>
      <c r="AJ238" s="27">
        <f ca="1">IF(NOTA[[#This Row],[ID]]="","",COUNTIF(NOTA[ID_H],NOTA[[#This Row],[ID_H]]))</f>
        <v>13</v>
      </c>
      <c r="AK238" s="27">
        <f>IF(NOTA[[#This Row],[TGL.NOTA]]="",IF(NOTA[[#This Row],[SUPPLIER_H]]="","",AK237),MONTH(NOTA[[#This Row],[TGL.NOTA]]))</f>
        <v>5</v>
      </c>
      <c r="AL238" s="27" t="str">
        <f>LOWER(SUBSTITUTE(SUBSTITUTE(SUBSTITUTE(SUBSTITUTE(SUBSTITUTE(SUBSTITUTE(SUBSTITUTE(SUBSTITUTE(SUBSTITUTE(NOTA[NAMA BARANG]," ",),".",""),"-",""),"(",""),")",""),",",""),"/",""),"""",""),"+",""))</f>
        <v>pcmlpy6611</v>
      </c>
      <c r="AM2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pcmlpy66110</v>
      </c>
      <c r="AN2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pcmlpy66110</v>
      </c>
      <c r="AO23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SBSUNTANAVE003/05/202345051pcmlpy6611</v>
      </c>
      <c r="AP238" s="27" t="e">
        <f>IF(NOTA[[#This Row],[CONCAT4]]="","",_xlfn.IFNA(MATCH(NOTA[[#This Row],[CONCAT4]],[2]!RAW[CONCAT_H],0),FALSE))</f>
        <v>#REF!</v>
      </c>
      <c r="AQ238" s="145" t="e">
        <f>IF(NOTA[[#This Row],[CONCAT1]]="","",MATCH(NOTA[[#This Row],[CONCAT1]],[3]!db[NB NOTA_C],0)+1)</f>
        <v>#N/A</v>
      </c>
    </row>
    <row r="239" spans="1:43" ht="20.100000000000001" customHeight="1" x14ac:dyDescent="0.25">
      <c r="A23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18" t="str">
        <f>IF(NOTA[[#This Row],[ID_P]]="","",MATCH(NOTA[[#This Row],[ID_P]],[1]!B_MSK[N_ID],0))</f>
        <v/>
      </c>
      <c r="D239" s="18">
        <f ca="1">IF(NOTA[[#This Row],[NAMA BARANG]]="","",INDEX(NOTA[ID],MATCH(,INDIRECT(ADDRESS(ROW(NOTA[ID]),COLUMN(NOTA[ID]))&amp;":"&amp;ADDRESS(ROW(),COLUMN(NOTA[ID]))),-1)))</f>
        <v>43</v>
      </c>
      <c r="E239" s="19"/>
      <c r="F239" s="21"/>
      <c r="G239" s="21"/>
      <c r="H239" s="41"/>
      <c r="I239" s="21"/>
      <c r="J239" s="22"/>
      <c r="K239" s="21"/>
      <c r="L239" s="16" t="s">
        <v>415</v>
      </c>
      <c r="M239" s="23">
        <v>2</v>
      </c>
      <c r="N239" s="21">
        <v>288</v>
      </c>
      <c r="O239" s="16" t="s">
        <v>160</v>
      </c>
      <c r="P239" s="17"/>
      <c r="Q239" s="34"/>
      <c r="R239" s="28" t="s">
        <v>161</v>
      </c>
      <c r="S239" s="24"/>
      <c r="T239" s="24"/>
      <c r="U239" s="25"/>
      <c r="V239" s="26" t="s">
        <v>123</v>
      </c>
      <c r="W239" s="25" t="str">
        <f>IF(NOTA[[#This Row],[HARGA/ CTN]]="",NOTA[[#This Row],[JUMLAH_H]],NOTA[[#This Row],[HARGA/ CTN]]*IF(NOTA[[#This Row],[C]]="",0,NOTA[[#This Row],[C]]))</f>
        <v/>
      </c>
      <c r="X239" s="25" t="str">
        <f>IF(NOTA[[#This Row],[JUMLAH]]="","",NOTA[[#This Row],[JUMLAH]]*NOTA[[#This Row],[DISC 1]])</f>
        <v/>
      </c>
      <c r="Y239" s="25" t="str">
        <f>IF(NOTA[[#This Row],[JUMLAH]]="","",(NOTA[[#This Row],[JUMLAH]]-NOTA[[#This Row],[DISC 1-]])*NOTA[[#This Row],[DISC 2]])</f>
        <v/>
      </c>
      <c r="Z239" s="25" t="str">
        <f>IF(NOTA[[#This Row],[JUMLAH]]="","",NOTA[[#This Row],[DISC 1-]]+NOTA[[#This Row],[DISC 2-]])</f>
        <v/>
      </c>
      <c r="AA239" s="25" t="str">
        <f>IF(NOTA[[#This Row],[JUMLAH]]="","",NOTA[[#This Row],[JUMLAH]]-NOTA[[#This Row],[DISC]])</f>
        <v/>
      </c>
      <c r="AB239" s="25"/>
      <c r="AC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39" s="25" t="str">
        <f>IF(OR(NOTA[[#This Row],[QTY]]="",NOTA[[#This Row],[HARGA SATUAN]]="",),"",NOTA[[#This Row],[QTY]]*NOTA[[#This Row],[HARGA SATUAN]])</f>
        <v/>
      </c>
      <c r="AG239" s="22">
        <f ca="1">IF(NOTA[ID_H]="","",INDEX(NOTA[TANGGAL],MATCH(,INDIRECT(ADDRESS(ROW(NOTA[TANGGAL]),COLUMN(NOTA[TANGGAL]))&amp;":"&amp;ADDRESS(ROW(),COLUMN(NOTA[TANGGAL]))),-1)))</f>
        <v>45056</v>
      </c>
      <c r="AH239" s="17" t="str">
        <f ca="1">IF(NOTA[[#This Row],[NAMA BARANG]]="","",INDEX(NOTA[SUPPLIER],MATCH(,INDIRECT(ADDRESS(ROW(NOTA[ID]),COLUMN(NOTA[ID]))&amp;":"&amp;ADDRESS(ROW(),COLUMN(NOTA[ID]))),-1)))</f>
        <v>SBS</v>
      </c>
      <c r="AI239" s="17" t="str">
        <f ca="1">IF(NOTA[[#This Row],[ID_H]]="","",IF(NOTA[[#This Row],[FAKTUR]]="",INDIRECT(ADDRESS(ROW()-1,COLUMN())),NOTA[[#This Row],[FAKTUR]]))</f>
        <v>UNTANA</v>
      </c>
      <c r="AJ239" s="27" t="str">
        <f ca="1">IF(NOTA[[#This Row],[ID]]="","",COUNTIF(NOTA[ID_H],NOTA[[#This Row],[ID_H]]))</f>
        <v/>
      </c>
      <c r="AK239" s="27">
        <f ca="1">IF(NOTA[[#This Row],[TGL.NOTA]]="",IF(NOTA[[#This Row],[SUPPLIER_H]]="","",AK238),MONTH(NOTA[[#This Row],[TGL.NOTA]]))</f>
        <v>5</v>
      </c>
      <c r="AL239" s="27" t="str">
        <f>LOWER(SUBSTITUTE(SUBSTITUTE(SUBSTITUTE(SUBSTITUTE(SUBSTITUTE(SUBSTITUTE(SUBSTITUTE(SUBSTITUTE(SUBSTITUTE(NOTA[NAMA BARANG]," ",),".",""),"-",""),"(",""),")",""),",",""),"/",""),"""",""),"+",""))</f>
        <v>pcmlpy6617</v>
      </c>
      <c r="AM2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pcmlpy66170</v>
      </c>
      <c r="AN2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pcmlpy66170</v>
      </c>
      <c r="AO2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27" t="str">
        <f>IF(NOTA[[#This Row],[CONCAT4]]="","",_xlfn.IFNA(MATCH(NOTA[[#This Row],[CONCAT4]],[2]!RAW[CONCAT_H],0),FALSE))</f>
        <v/>
      </c>
      <c r="AQ239" s="145" t="e">
        <f>IF(NOTA[[#This Row],[CONCAT1]]="","",MATCH(NOTA[[#This Row],[CONCAT1]],[3]!db[NB NOTA_C],0)+1)</f>
        <v>#N/A</v>
      </c>
    </row>
    <row r="240" spans="1:43" ht="20.100000000000001" customHeight="1" x14ac:dyDescent="0.25">
      <c r="A24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18" t="str">
        <f>IF(NOTA[[#This Row],[ID_P]]="","",MATCH(NOTA[[#This Row],[ID_P]],[1]!B_MSK[N_ID],0))</f>
        <v/>
      </c>
      <c r="D240" s="18">
        <f ca="1">IF(NOTA[[#This Row],[NAMA BARANG]]="","",INDEX(NOTA[ID],MATCH(,INDIRECT(ADDRESS(ROW(NOTA[ID]),COLUMN(NOTA[ID]))&amp;":"&amp;ADDRESS(ROW(),COLUMN(NOTA[ID]))),-1)))</f>
        <v>43</v>
      </c>
      <c r="E240" s="138"/>
      <c r="F240" s="139"/>
      <c r="G240" s="139"/>
      <c r="H240" s="140"/>
      <c r="I240" s="139"/>
      <c r="J240" s="141"/>
      <c r="K240" s="139"/>
      <c r="L240" s="16" t="s">
        <v>416</v>
      </c>
      <c r="M240" s="23">
        <v>2</v>
      </c>
      <c r="N240" s="21">
        <v>384</v>
      </c>
      <c r="O240" s="16" t="s">
        <v>160</v>
      </c>
      <c r="P240" s="17"/>
      <c r="Q240" s="34"/>
      <c r="R240" s="28" t="s">
        <v>427</v>
      </c>
      <c r="S240" s="24"/>
      <c r="T240" s="24"/>
      <c r="U240" s="142"/>
      <c r="V240" s="26" t="s">
        <v>123</v>
      </c>
      <c r="W240" s="25" t="str">
        <f>IF(NOTA[[#This Row],[HARGA/ CTN]]="",NOTA[[#This Row],[JUMLAH_H]],NOTA[[#This Row],[HARGA/ CTN]]*IF(NOTA[[#This Row],[C]]="",0,NOTA[[#This Row],[C]]))</f>
        <v/>
      </c>
      <c r="X240" s="25" t="str">
        <f>IF(NOTA[[#This Row],[JUMLAH]]="","",NOTA[[#This Row],[JUMLAH]]*NOTA[[#This Row],[DISC 1]])</f>
        <v/>
      </c>
      <c r="Y240" s="25" t="str">
        <f>IF(NOTA[[#This Row],[JUMLAH]]="","",(NOTA[[#This Row],[JUMLAH]]-NOTA[[#This Row],[DISC 1-]])*NOTA[[#This Row],[DISC 2]])</f>
        <v/>
      </c>
      <c r="Z240" s="25" t="str">
        <f>IF(NOTA[[#This Row],[JUMLAH]]="","",NOTA[[#This Row],[DISC 1-]]+NOTA[[#This Row],[DISC 2-]])</f>
        <v/>
      </c>
      <c r="AA240" s="25" t="str">
        <f>IF(NOTA[[#This Row],[JUMLAH]]="","",NOTA[[#This Row],[JUMLAH]]-NOTA[[#This Row],[DISC]])</f>
        <v/>
      </c>
      <c r="AB240" s="25"/>
      <c r="AC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0" s="25" t="str">
        <f>IF(OR(NOTA[[#This Row],[QTY]]="",NOTA[[#This Row],[HARGA SATUAN]]="",),"",NOTA[[#This Row],[QTY]]*NOTA[[#This Row],[HARGA SATUAN]])</f>
        <v/>
      </c>
      <c r="AG240" s="22">
        <f ca="1">IF(NOTA[ID_H]="","",INDEX(NOTA[TANGGAL],MATCH(,INDIRECT(ADDRESS(ROW(NOTA[TANGGAL]),COLUMN(NOTA[TANGGAL]))&amp;":"&amp;ADDRESS(ROW(),COLUMN(NOTA[TANGGAL]))),-1)))</f>
        <v>45056</v>
      </c>
      <c r="AH240" s="17" t="str">
        <f ca="1">IF(NOTA[[#This Row],[NAMA BARANG]]="","",INDEX(NOTA[SUPPLIER],MATCH(,INDIRECT(ADDRESS(ROW(NOTA[ID]),COLUMN(NOTA[ID]))&amp;":"&amp;ADDRESS(ROW(),COLUMN(NOTA[ID]))),-1)))</f>
        <v>SBS</v>
      </c>
      <c r="AI240" s="17" t="str">
        <f ca="1">IF(NOTA[[#This Row],[ID_H]]="","",IF(NOTA[[#This Row],[FAKTUR]]="",INDIRECT(ADDRESS(ROW()-1,COLUMN())),NOTA[[#This Row],[FAKTUR]]))</f>
        <v>UNTANA</v>
      </c>
      <c r="AJ240" s="27" t="str">
        <f ca="1">IF(NOTA[[#This Row],[ID]]="","",COUNTIF(NOTA[ID_H],NOTA[[#This Row],[ID_H]]))</f>
        <v/>
      </c>
      <c r="AK240" s="27">
        <f ca="1">IF(NOTA[[#This Row],[TGL.NOTA]]="",IF(NOTA[[#This Row],[SUPPLIER_H]]="","",AK239),MONTH(NOTA[[#This Row],[TGL.NOTA]]))</f>
        <v>5</v>
      </c>
      <c r="AL240" s="27" t="str">
        <f>LOWER(SUBSTITUTE(SUBSTITUTE(SUBSTITUTE(SUBSTITUTE(SUBSTITUTE(SUBSTITUTE(SUBSTITUTE(SUBSTITUTE(SUBSTITUTE(NOTA[NAMA BARANG]," ",),".",""),"-",""),"(",""),")",""),",",""),"/",""),"""",""),"+",""))</f>
        <v>pcmlpy6631</v>
      </c>
      <c r="AM2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pcmlpy66310</v>
      </c>
      <c r="AN2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pcmlpy66310</v>
      </c>
      <c r="AO2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27" t="str">
        <f>IF(NOTA[[#This Row],[CONCAT4]]="","",_xlfn.IFNA(MATCH(NOTA[[#This Row],[CONCAT4]],[2]!RAW[CONCAT_H],0),FALSE))</f>
        <v/>
      </c>
      <c r="AQ240" s="145" t="e">
        <f>IF(NOTA[[#This Row],[CONCAT1]]="","",MATCH(NOTA[[#This Row],[CONCAT1]],[3]!db[NB NOTA_C],0)+1)</f>
        <v>#N/A</v>
      </c>
    </row>
    <row r="241" spans="1:43" ht="20.100000000000001" customHeight="1" x14ac:dyDescent="0.25">
      <c r="A24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18" t="str">
        <f>IF(NOTA[[#This Row],[ID_P]]="","",MATCH(NOTA[[#This Row],[ID_P]],[1]!B_MSK[N_ID],0))</f>
        <v/>
      </c>
      <c r="D241" s="18">
        <f ca="1">IF(NOTA[[#This Row],[NAMA BARANG]]="","",INDEX(NOTA[ID],MATCH(,INDIRECT(ADDRESS(ROW(NOTA[ID]),COLUMN(NOTA[ID]))&amp;":"&amp;ADDRESS(ROW(),COLUMN(NOTA[ID]))),-1)))</f>
        <v>43</v>
      </c>
      <c r="E241" s="19"/>
      <c r="F241" s="16"/>
      <c r="G241" s="16"/>
      <c r="H241" s="20"/>
      <c r="I241" s="21"/>
      <c r="J241" s="22"/>
      <c r="K241" s="21"/>
      <c r="L241" s="16" t="s">
        <v>417</v>
      </c>
      <c r="M241" s="23">
        <v>2</v>
      </c>
      <c r="N241" s="21">
        <v>384</v>
      </c>
      <c r="O241" s="16" t="s">
        <v>160</v>
      </c>
      <c r="P241" s="17"/>
      <c r="Q241" s="34"/>
      <c r="R241" s="28" t="s">
        <v>427</v>
      </c>
      <c r="S241" s="24"/>
      <c r="T241" s="24"/>
      <c r="U241" s="25"/>
      <c r="V241" s="26" t="s">
        <v>123</v>
      </c>
      <c r="W241" s="25" t="str">
        <f>IF(NOTA[[#This Row],[HARGA/ CTN]]="",NOTA[[#This Row],[JUMLAH_H]],NOTA[[#This Row],[HARGA/ CTN]]*IF(NOTA[[#This Row],[C]]="",0,NOTA[[#This Row],[C]]))</f>
        <v/>
      </c>
      <c r="X241" s="25" t="str">
        <f>IF(NOTA[[#This Row],[JUMLAH]]="","",NOTA[[#This Row],[JUMLAH]]*NOTA[[#This Row],[DISC 1]])</f>
        <v/>
      </c>
      <c r="Y241" s="25" t="str">
        <f>IF(NOTA[[#This Row],[JUMLAH]]="","",(NOTA[[#This Row],[JUMLAH]]-NOTA[[#This Row],[DISC 1-]])*NOTA[[#This Row],[DISC 2]])</f>
        <v/>
      </c>
      <c r="Z241" s="25" t="str">
        <f>IF(NOTA[[#This Row],[JUMLAH]]="","",NOTA[[#This Row],[DISC 1-]]+NOTA[[#This Row],[DISC 2-]])</f>
        <v/>
      </c>
      <c r="AA241" s="25" t="str">
        <f>IF(NOTA[[#This Row],[JUMLAH]]="","",NOTA[[#This Row],[JUMLAH]]-NOTA[[#This Row],[DISC]])</f>
        <v/>
      </c>
      <c r="AB241" s="25"/>
      <c r="AC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1" s="25" t="str">
        <f>IF(OR(NOTA[[#This Row],[QTY]]="",NOTA[[#This Row],[HARGA SATUAN]]="",),"",NOTA[[#This Row],[QTY]]*NOTA[[#This Row],[HARGA SATUAN]])</f>
        <v/>
      </c>
      <c r="AG241" s="22">
        <f ca="1">IF(NOTA[ID_H]="","",INDEX(NOTA[TANGGAL],MATCH(,INDIRECT(ADDRESS(ROW(NOTA[TANGGAL]),COLUMN(NOTA[TANGGAL]))&amp;":"&amp;ADDRESS(ROW(),COLUMN(NOTA[TANGGAL]))),-1)))</f>
        <v>45056</v>
      </c>
      <c r="AH241" s="17" t="str">
        <f ca="1">IF(NOTA[[#This Row],[NAMA BARANG]]="","",INDEX(NOTA[SUPPLIER],MATCH(,INDIRECT(ADDRESS(ROW(NOTA[ID]),COLUMN(NOTA[ID]))&amp;":"&amp;ADDRESS(ROW(),COLUMN(NOTA[ID]))),-1)))</f>
        <v>SBS</v>
      </c>
      <c r="AI241" s="17" t="str">
        <f ca="1">IF(NOTA[[#This Row],[ID_H]]="","",IF(NOTA[[#This Row],[FAKTUR]]="",INDIRECT(ADDRESS(ROW()-1,COLUMN())),NOTA[[#This Row],[FAKTUR]]))</f>
        <v>UNTANA</v>
      </c>
      <c r="AJ241" s="27" t="str">
        <f ca="1">IF(NOTA[[#This Row],[ID]]="","",COUNTIF(NOTA[ID_H],NOTA[[#This Row],[ID_H]]))</f>
        <v/>
      </c>
      <c r="AK241" s="27">
        <f ca="1">IF(NOTA[[#This Row],[TGL.NOTA]]="",IF(NOTA[[#This Row],[SUPPLIER_H]]="","",AK240),MONTH(NOTA[[#This Row],[TGL.NOTA]]))</f>
        <v>5</v>
      </c>
      <c r="AL241" s="27" t="str">
        <f>LOWER(SUBSTITUTE(SUBSTITUTE(SUBSTITUTE(SUBSTITUTE(SUBSTITUTE(SUBSTITUTE(SUBSTITUTE(SUBSTITUTE(SUBSTITUTE(NOTA[NAMA BARANG]," ",),".",""),"-",""),"(",""),")",""),",",""),"/",""),"""",""),"+",""))</f>
        <v>pcmlpy667</v>
      </c>
      <c r="AM2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pcmlpy6670</v>
      </c>
      <c r="AN2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pcmlpy6670</v>
      </c>
      <c r="AO2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27" t="str">
        <f>IF(NOTA[[#This Row],[CONCAT4]]="","",_xlfn.IFNA(MATCH(NOTA[[#This Row],[CONCAT4]],[2]!RAW[CONCAT_H],0),FALSE))</f>
        <v/>
      </c>
      <c r="AQ241" s="145" t="e">
        <f>IF(NOTA[[#This Row],[CONCAT1]]="","",MATCH(NOTA[[#This Row],[CONCAT1]],[3]!db[NB NOTA_C],0)+1)</f>
        <v>#N/A</v>
      </c>
    </row>
    <row r="242" spans="1:43" ht="20.100000000000001" customHeight="1" x14ac:dyDescent="0.25">
      <c r="A24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18" t="str">
        <f>IF(NOTA[[#This Row],[ID_P]]="","",MATCH(NOTA[[#This Row],[ID_P]],[1]!B_MSK[N_ID],0))</f>
        <v/>
      </c>
      <c r="D242" s="18">
        <f ca="1">IF(NOTA[[#This Row],[NAMA BARANG]]="","",INDEX(NOTA[ID],MATCH(,INDIRECT(ADDRESS(ROW(NOTA[ID]),COLUMN(NOTA[ID]))&amp;":"&amp;ADDRESS(ROW(),COLUMN(NOTA[ID]))),-1)))</f>
        <v>43</v>
      </c>
      <c r="E242" s="19"/>
      <c r="F242" s="16"/>
      <c r="G242" s="16"/>
      <c r="H242" s="20"/>
      <c r="I242" s="21"/>
      <c r="J242" s="22"/>
      <c r="K242" s="21"/>
      <c r="L242" s="16" t="s">
        <v>418</v>
      </c>
      <c r="M242" s="23">
        <v>2</v>
      </c>
      <c r="N242" s="21">
        <v>240</v>
      </c>
      <c r="O242" s="16" t="s">
        <v>160</v>
      </c>
      <c r="P242" s="17"/>
      <c r="Q242" s="34"/>
      <c r="R242" s="28" t="s">
        <v>428</v>
      </c>
      <c r="S242" s="24"/>
      <c r="T242" s="24"/>
      <c r="U242" s="25"/>
      <c r="V242" s="26" t="s">
        <v>123</v>
      </c>
      <c r="W242" s="25" t="str">
        <f>IF(NOTA[[#This Row],[HARGA/ CTN]]="",NOTA[[#This Row],[JUMLAH_H]],NOTA[[#This Row],[HARGA/ CTN]]*IF(NOTA[[#This Row],[C]]="",0,NOTA[[#This Row],[C]]))</f>
        <v/>
      </c>
      <c r="X242" s="25" t="str">
        <f>IF(NOTA[[#This Row],[JUMLAH]]="","",NOTA[[#This Row],[JUMLAH]]*NOTA[[#This Row],[DISC 1]])</f>
        <v/>
      </c>
      <c r="Y242" s="25" t="str">
        <f>IF(NOTA[[#This Row],[JUMLAH]]="","",(NOTA[[#This Row],[JUMLAH]]-NOTA[[#This Row],[DISC 1-]])*NOTA[[#This Row],[DISC 2]])</f>
        <v/>
      </c>
      <c r="Z242" s="25" t="str">
        <f>IF(NOTA[[#This Row],[JUMLAH]]="","",NOTA[[#This Row],[DISC 1-]]+NOTA[[#This Row],[DISC 2-]])</f>
        <v/>
      </c>
      <c r="AA242" s="25" t="str">
        <f>IF(NOTA[[#This Row],[JUMLAH]]="","",NOTA[[#This Row],[JUMLAH]]-NOTA[[#This Row],[DISC]])</f>
        <v/>
      </c>
      <c r="AB242" s="25"/>
      <c r="AC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2" s="25" t="str">
        <f>IF(OR(NOTA[[#This Row],[QTY]]="",NOTA[[#This Row],[HARGA SATUAN]]="",),"",NOTA[[#This Row],[QTY]]*NOTA[[#This Row],[HARGA SATUAN]])</f>
        <v/>
      </c>
      <c r="AG242" s="22">
        <f ca="1">IF(NOTA[ID_H]="","",INDEX(NOTA[TANGGAL],MATCH(,INDIRECT(ADDRESS(ROW(NOTA[TANGGAL]),COLUMN(NOTA[TANGGAL]))&amp;":"&amp;ADDRESS(ROW(),COLUMN(NOTA[TANGGAL]))),-1)))</f>
        <v>45056</v>
      </c>
      <c r="AH242" s="17" t="str">
        <f ca="1">IF(NOTA[[#This Row],[NAMA BARANG]]="","",INDEX(NOTA[SUPPLIER],MATCH(,INDIRECT(ADDRESS(ROW(NOTA[ID]),COLUMN(NOTA[ID]))&amp;":"&amp;ADDRESS(ROW(),COLUMN(NOTA[ID]))),-1)))</f>
        <v>SBS</v>
      </c>
      <c r="AI242" s="17" t="str">
        <f ca="1">IF(NOTA[[#This Row],[ID_H]]="","",IF(NOTA[[#This Row],[FAKTUR]]="",INDIRECT(ADDRESS(ROW()-1,COLUMN())),NOTA[[#This Row],[FAKTUR]]))</f>
        <v>UNTANA</v>
      </c>
      <c r="AJ242" s="27" t="str">
        <f ca="1">IF(NOTA[[#This Row],[ID]]="","",COUNTIF(NOTA[ID_H],NOTA[[#This Row],[ID_H]]))</f>
        <v/>
      </c>
      <c r="AK242" s="27">
        <f ca="1">IF(NOTA[[#This Row],[TGL.NOTA]]="",IF(NOTA[[#This Row],[SUPPLIER_H]]="","",AK241),MONTH(NOTA[[#This Row],[TGL.NOTA]]))</f>
        <v>5</v>
      </c>
      <c r="AL242" s="27" t="str">
        <f>LOWER(SUBSTITUTE(SUBSTITUTE(SUBSTITUTE(SUBSTITUTE(SUBSTITUTE(SUBSTITUTE(SUBSTITUTE(SUBSTITUTE(SUBSTITUTE(NOTA[NAMA BARANG]," ",),".",""),"-",""),"(",""),")",""),",",""),"/",""),"""",""),"+",""))</f>
        <v>pcmxu0080</v>
      </c>
      <c r="AM2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pcmxu00800</v>
      </c>
      <c r="AN2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pcmxu00800</v>
      </c>
      <c r="AO2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27" t="str">
        <f>IF(NOTA[[#This Row],[CONCAT4]]="","",_xlfn.IFNA(MATCH(NOTA[[#This Row],[CONCAT4]],[2]!RAW[CONCAT_H],0),FALSE))</f>
        <v/>
      </c>
      <c r="AQ242" s="145" t="e">
        <f>IF(NOTA[[#This Row],[CONCAT1]]="","",MATCH(NOTA[[#This Row],[CONCAT1]],[3]!db[NB NOTA_C],0)+1)</f>
        <v>#N/A</v>
      </c>
    </row>
    <row r="243" spans="1:43" ht="20.100000000000001" customHeight="1" x14ac:dyDescent="0.25">
      <c r="A24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18" t="str">
        <f>IF(NOTA[[#This Row],[ID_P]]="","",MATCH(NOTA[[#This Row],[ID_P]],[1]!B_MSK[N_ID],0))</f>
        <v/>
      </c>
      <c r="D243" s="18">
        <f ca="1">IF(NOTA[[#This Row],[NAMA BARANG]]="","",INDEX(NOTA[ID],MATCH(,INDIRECT(ADDRESS(ROW(NOTA[ID]),COLUMN(NOTA[ID]))&amp;":"&amp;ADDRESS(ROW(),COLUMN(NOTA[ID]))),-1)))</f>
        <v>43</v>
      </c>
      <c r="E243" s="19"/>
      <c r="F243" s="21"/>
      <c r="G243" s="21"/>
      <c r="H243" s="41"/>
      <c r="I243" s="21"/>
      <c r="J243" s="22"/>
      <c r="K243" s="21"/>
      <c r="L243" s="16" t="s">
        <v>419</v>
      </c>
      <c r="M243" s="23">
        <v>2</v>
      </c>
      <c r="N243" s="21">
        <v>336</v>
      </c>
      <c r="O243" s="16" t="s">
        <v>160</v>
      </c>
      <c r="P243" s="17"/>
      <c r="Q243" s="34"/>
      <c r="R243" s="28" t="s">
        <v>429</v>
      </c>
      <c r="S243" s="24"/>
      <c r="T243" s="24"/>
      <c r="U243" s="25"/>
      <c r="V243" s="26" t="s">
        <v>123</v>
      </c>
      <c r="W243" s="25" t="str">
        <f>IF(NOTA[[#This Row],[HARGA/ CTN]]="",NOTA[[#This Row],[JUMLAH_H]],NOTA[[#This Row],[HARGA/ CTN]]*IF(NOTA[[#This Row],[C]]="",0,NOTA[[#This Row],[C]]))</f>
        <v/>
      </c>
      <c r="X243" s="25" t="str">
        <f>IF(NOTA[[#This Row],[JUMLAH]]="","",NOTA[[#This Row],[JUMLAH]]*NOTA[[#This Row],[DISC 1]])</f>
        <v/>
      </c>
      <c r="Y243" s="25" t="str">
        <f>IF(NOTA[[#This Row],[JUMLAH]]="","",(NOTA[[#This Row],[JUMLAH]]-NOTA[[#This Row],[DISC 1-]])*NOTA[[#This Row],[DISC 2]])</f>
        <v/>
      </c>
      <c r="Z243" s="25" t="str">
        <f>IF(NOTA[[#This Row],[JUMLAH]]="","",NOTA[[#This Row],[DISC 1-]]+NOTA[[#This Row],[DISC 2-]])</f>
        <v/>
      </c>
      <c r="AA243" s="25" t="str">
        <f>IF(NOTA[[#This Row],[JUMLAH]]="","",NOTA[[#This Row],[JUMLAH]]-NOTA[[#This Row],[DISC]])</f>
        <v/>
      </c>
      <c r="AB243" s="25"/>
      <c r="AC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3" s="25" t="str">
        <f>IF(OR(NOTA[[#This Row],[QTY]]="",NOTA[[#This Row],[HARGA SATUAN]]="",),"",NOTA[[#This Row],[QTY]]*NOTA[[#This Row],[HARGA SATUAN]])</f>
        <v/>
      </c>
      <c r="AG243" s="22">
        <f ca="1">IF(NOTA[ID_H]="","",INDEX(NOTA[TANGGAL],MATCH(,INDIRECT(ADDRESS(ROW(NOTA[TANGGAL]),COLUMN(NOTA[TANGGAL]))&amp;":"&amp;ADDRESS(ROW(),COLUMN(NOTA[TANGGAL]))),-1)))</f>
        <v>45056</v>
      </c>
      <c r="AH243" s="17" t="str">
        <f ca="1">IF(NOTA[[#This Row],[NAMA BARANG]]="","",INDEX(NOTA[SUPPLIER],MATCH(,INDIRECT(ADDRESS(ROW(NOTA[ID]),COLUMN(NOTA[ID]))&amp;":"&amp;ADDRESS(ROW(),COLUMN(NOTA[ID]))),-1)))</f>
        <v>SBS</v>
      </c>
      <c r="AI243" s="17" t="str">
        <f ca="1">IF(NOTA[[#This Row],[ID_H]]="","",IF(NOTA[[#This Row],[FAKTUR]]="",INDIRECT(ADDRESS(ROW()-1,COLUMN())),NOTA[[#This Row],[FAKTUR]]))</f>
        <v>UNTANA</v>
      </c>
      <c r="AJ243" s="27" t="str">
        <f ca="1">IF(NOTA[[#This Row],[ID]]="","",COUNTIF(NOTA[ID_H],NOTA[[#This Row],[ID_H]]))</f>
        <v/>
      </c>
      <c r="AK243" s="27">
        <f ca="1">IF(NOTA[[#This Row],[TGL.NOTA]]="",IF(NOTA[[#This Row],[SUPPLIER_H]]="","",AK242),MONTH(NOTA[[#This Row],[TGL.NOTA]]))</f>
        <v>5</v>
      </c>
      <c r="AL243" s="27" t="str">
        <f>LOWER(SUBSTITUTE(SUBSTITUTE(SUBSTITUTE(SUBSTITUTE(SUBSTITUTE(SUBSTITUTE(SUBSTITUTE(SUBSTITUTE(SUBSTITUTE(NOTA[NAMA BARANG]," ",),".",""),"-",""),"(",""),")",""),",",""),"/",""),"""",""),"+",""))</f>
        <v>pcmep92422</v>
      </c>
      <c r="AM2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pcmep924220</v>
      </c>
      <c r="AN2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pcmep924220</v>
      </c>
      <c r="AO2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27" t="str">
        <f>IF(NOTA[[#This Row],[CONCAT4]]="","",_xlfn.IFNA(MATCH(NOTA[[#This Row],[CONCAT4]],[2]!RAW[CONCAT_H],0),FALSE))</f>
        <v/>
      </c>
      <c r="AQ243" s="145" t="e">
        <f>IF(NOTA[[#This Row],[CONCAT1]]="","",MATCH(NOTA[[#This Row],[CONCAT1]],[3]!db[NB NOTA_C],0)+1)</f>
        <v>#N/A</v>
      </c>
    </row>
    <row r="244" spans="1:43" ht="20.100000000000001" customHeight="1" x14ac:dyDescent="0.25">
      <c r="A24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18" t="str">
        <f>IF(NOTA[[#This Row],[ID_P]]="","",MATCH(NOTA[[#This Row],[ID_P]],[1]!B_MSK[N_ID],0))</f>
        <v/>
      </c>
      <c r="D244" s="18">
        <f ca="1">IF(NOTA[[#This Row],[NAMA BARANG]]="","",INDEX(NOTA[ID],MATCH(,INDIRECT(ADDRESS(ROW(NOTA[ID]),COLUMN(NOTA[ID]))&amp;":"&amp;ADDRESS(ROW(),COLUMN(NOTA[ID]))),-1)))</f>
        <v>43</v>
      </c>
      <c r="E244" s="19"/>
      <c r="F244" s="16"/>
      <c r="G244" s="16"/>
      <c r="H244" s="20"/>
      <c r="I244" s="21"/>
      <c r="J244" s="22"/>
      <c r="K244" s="21"/>
      <c r="L244" s="16" t="s">
        <v>420</v>
      </c>
      <c r="M244" s="23">
        <v>2</v>
      </c>
      <c r="N244" s="21">
        <v>288</v>
      </c>
      <c r="O244" s="16" t="s">
        <v>160</v>
      </c>
      <c r="P244" s="17"/>
      <c r="Q244" s="34"/>
      <c r="R244" s="28" t="s">
        <v>161</v>
      </c>
      <c r="S244" s="24"/>
      <c r="T244" s="24"/>
      <c r="U244" s="25"/>
      <c r="V244" s="26" t="s">
        <v>123</v>
      </c>
      <c r="W244" s="25" t="str">
        <f>IF(NOTA[[#This Row],[HARGA/ CTN]]="",NOTA[[#This Row],[JUMLAH_H]],NOTA[[#This Row],[HARGA/ CTN]]*IF(NOTA[[#This Row],[C]]="",0,NOTA[[#This Row],[C]]))</f>
        <v/>
      </c>
      <c r="X244" s="25" t="str">
        <f>IF(NOTA[[#This Row],[JUMLAH]]="","",NOTA[[#This Row],[JUMLAH]]*NOTA[[#This Row],[DISC 1]])</f>
        <v/>
      </c>
      <c r="Y244" s="25" t="str">
        <f>IF(NOTA[[#This Row],[JUMLAH]]="","",(NOTA[[#This Row],[JUMLAH]]-NOTA[[#This Row],[DISC 1-]])*NOTA[[#This Row],[DISC 2]])</f>
        <v/>
      </c>
      <c r="Z244" s="25" t="str">
        <f>IF(NOTA[[#This Row],[JUMLAH]]="","",NOTA[[#This Row],[DISC 1-]]+NOTA[[#This Row],[DISC 2-]])</f>
        <v/>
      </c>
      <c r="AA244" s="25" t="str">
        <f>IF(NOTA[[#This Row],[JUMLAH]]="","",NOTA[[#This Row],[JUMLAH]]-NOTA[[#This Row],[DISC]])</f>
        <v/>
      </c>
      <c r="AB244" s="25"/>
      <c r="AC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4" s="25" t="str">
        <f>IF(OR(NOTA[[#This Row],[QTY]]="",NOTA[[#This Row],[HARGA SATUAN]]="",),"",NOTA[[#This Row],[QTY]]*NOTA[[#This Row],[HARGA SATUAN]])</f>
        <v/>
      </c>
      <c r="AG244" s="22">
        <f ca="1">IF(NOTA[ID_H]="","",INDEX(NOTA[TANGGAL],MATCH(,INDIRECT(ADDRESS(ROW(NOTA[TANGGAL]),COLUMN(NOTA[TANGGAL]))&amp;":"&amp;ADDRESS(ROW(),COLUMN(NOTA[TANGGAL]))),-1)))</f>
        <v>45056</v>
      </c>
      <c r="AH244" s="17" t="str">
        <f ca="1">IF(NOTA[[#This Row],[NAMA BARANG]]="","",INDEX(NOTA[SUPPLIER],MATCH(,INDIRECT(ADDRESS(ROW(NOTA[ID]),COLUMN(NOTA[ID]))&amp;":"&amp;ADDRESS(ROW(),COLUMN(NOTA[ID]))),-1)))</f>
        <v>SBS</v>
      </c>
      <c r="AI244" s="17" t="str">
        <f ca="1">IF(NOTA[[#This Row],[ID_H]]="","",IF(NOTA[[#This Row],[FAKTUR]]="",INDIRECT(ADDRESS(ROW()-1,COLUMN())),NOTA[[#This Row],[FAKTUR]]))</f>
        <v>UNTANA</v>
      </c>
      <c r="AJ244" s="27" t="str">
        <f ca="1">IF(NOTA[[#This Row],[ID]]="","",COUNTIF(NOTA[ID_H],NOTA[[#This Row],[ID_H]]))</f>
        <v/>
      </c>
      <c r="AK244" s="27">
        <f ca="1">IF(NOTA[[#This Row],[TGL.NOTA]]="",IF(NOTA[[#This Row],[SUPPLIER_H]]="","",AK243),MONTH(NOTA[[#This Row],[TGL.NOTA]]))</f>
        <v>5</v>
      </c>
      <c r="AL244" s="27" t="str">
        <f>LOWER(SUBSTITUTE(SUBSTITUTE(SUBSTITUTE(SUBSTITUTE(SUBSTITUTE(SUBSTITUTE(SUBSTITUTE(SUBSTITUTE(SUBSTITUTE(NOTA[NAMA BARANG]," ",),".",""),"-",""),"(",""),")",""),",",""),"/",""),"""",""),"+",""))</f>
        <v>pcmkt2220</v>
      </c>
      <c r="AM2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pcmkt22200</v>
      </c>
      <c r="AN2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pcmkt22200</v>
      </c>
      <c r="AO2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27" t="str">
        <f>IF(NOTA[[#This Row],[CONCAT4]]="","",_xlfn.IFNA(MATCH(NOTA[[#This Row],[CONCAT4]],[2]!RAW[CONCAT_H],0),FALSE))</f>
        <v/>
      </c>
      <c r="AQ244" s="145" t="e">
        <f>IF(NOTA[[#This Row],[CONCAT1]]="","",MATCH(NOTA[[#This Row],[CONCAT1]],[3]!db[NB NOTA_C],0)+1)</f>
        <v>#N/A</v>
      </c>
    </row>
    <row r="245" spans="1:43" ht="20.100000000000001" customHeight="1" x14ac:dyDescent="0.25">
      <c r="A24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18" t="str">
        <f>IF(NOTA[[#This Row],[ID_P]]="","",MATCH(NOTA[[#This Row],[ID_P]],[1]!B_MSK[N_ID],0))</f>
        <v/>
      </c>
      <c r="D245" s="18">
        <f ca="1">IF(NOTA[[#This Row],[NAMA BARANG]]="","",INDEX(NOTA[ID],MATCH(,INDIRECT(ADDRESS(ROW(NOTA[ID]),COLUMN(NOTA[ID]))&amp;":"&amp;ADDRESS(ROW(),COLUMN(NOTA[ID]))),-1)))</f>
        <v>43</v>
      </c>
      <c r="E245" s="19"/>
      <c r="F245" s="16"/>
      <c r="G245" s="16"/>
      <c r="H245" s="20"/>
      <c r="I245" s="16"/>
      <c r="J245" s="22"/>
      <c r="K245" s="21"/>
      <c r="L245" s="16" t="s">
        <v>421</v>
      </c>
      <c r="M245" s="23">
        <v>2</v>
      </c>
      <c r="N245" s="21">
        <v>288</v>
      </c>
      <c r="O245" s="16" t="s">
        <v>160</v>
      </c>
      <c r="P245" s="17"/>
      <c r="Q245" s="34"/>
      <c r="R245" s="28" t="s">
        <v>161</v>
      </c>
      <c r="S245" s="24"/>
      <c r="T245" s="24"/>
      <c r="U245" s="25"/>
      <c r="V245" s="26" t="s">
        <v>123</v>
      </c>
      <c r="W245" s="25" t="str">
        <f>IF(NOTA[[#This Row],[HARGA/ CTN]]="",NOTA[[#This Row],[JUMLAH_H]],NOTA[[#This Row],[HARGA/ CTN]]*IF(NOTA[[#This Row],[C]]="",0,NOTA[[#This Row],[C]]))</f>
        <v/>
      </c>
      <c r="X245" s="25" t="str">
        <f>IF(NOTA[[#This Row],[JUMLAH]]="","",NOTA[[#This Row],[JUMLAH]]*NOTA[[#This Row],[DISC 1]])</f>
        <v/>
      </c>
      <c r="Y245" s="25" t="str">
        <f>IF(NOTA[[#This Row],[JUMLAH]]="","",(NOTA[[#This Row],[JUMLAH]]-NOTA[[#This Row],[DISC 1-]])*NOTA[[#This Row],[DISC 2]])</f>
        <v/>
      </c>
      <c r="Z245" s="25" t="str">
        <f>IF(NOTA[[#This Row],[JUMLAH]]="","",NOTA[[#This Row],[DISC 1-]]+NOTA[[#This Row],[DISC 2-]])</f>
        <v/>
      </c>
      <c r="AA245" s="25" t="str">
        <f>IF(NOTA[[#This Row],[JUMLAH]]="","",NOTA[[#This Row],[JUMLAH]]-NOTA[[#This Row],[DISC]])</f>
        <v/>
      </c>
      <c r="AB245" s="25"/>
      <c r="AC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5" s="25" t="str">
        <f>IF(OR(NOTA[[#This Row],[QTY]]="",NOTA[[#This Row],[HARGA SATUAN]]="",),"",NOTA[[#This Row],[QTY]]*NOTA[[#This Row],[HARGA SATUAN]])</f>
        <v/>
      </c>
      <c r="AG245" s="22">
        <f ca="1">IF(NOTA[ID_H]="","",INDEX(NOTA[TANGGAL],MATCH(,INDIRECT(ADDRESS(ROW(NOTA[TANGGAL]),COLUMN(NOTA[TANGGAL]))&amp;":"&amp;ADDRESS(ROW(),COLUMN(NOTA[TANGGAL]))),-1)))</f>
        <v>45056</v>
      </c>
      <c r="AH245" s="17" t="str">
        <f ca="1">IF(NOTA[[#This Row],[NAMA BARANG]]="","",INDEX(NOTA[SUPPLIER],MATCH(,INDIRECT(ADDRESS(ROW(NOTA[ID]),COLUMN(NOTA[ID]))&amp;":"&amp;ADDRESS(ROW(),COLUMN(NOTA[ID]))),-1)))</f>
        <v>SBS</v>
      </c>
      <c r="AI245" s="17" t="str">
        <f ca="1">IF(NOTA[[#This Row],[ID_H]]="","",IF(NOTA[[#This Row],[FAKTUR]]="",INDIRECT(ADDRESS(ROW()-1,COLUMN())),NOTA[[#This Row],[FAKTUR]]))</f>
        <v>UNTANA</v>
      </c>
      <c r="AJ245" s="27" t="str">
        <f ca="1">IF(NOTA[[#This Row],[ID]]="","",COUNTIF(NOTA[ID_H],NOTA[[#This Row],[ID_H]]))</f>
        <v/>
      </c>
      <c r="AK245" s="27">
        <f ca="1">IF(NOTA[[#This Row],[TGL.NOTA]]="",IF(NOTA[[#This Row],[SUPPLIER_H]]="","",AK244),MONTH(NOTA[[#This Row],[TGL.NOTA]]))</f>
        <v>5</v>
      </c>
      <c r="AL245" s="27" t="str">
        <f>LOWER(SUBSTITUTE(SUBSTITUTE(SUBSTITUTE(SUBSTITUTE(SUBSTITUTE(SUBSTITUTE(SUBSTITUTE(SUBSTITUTE(SUBSTITUTE(NOTA[NAMA BARANG]," ",),".",""),"-",""),"(",""),")",""),",",""),"/",""),"""",""),"+",""))</f>
        <v>pcmep9372</v>
      </c>
      <c r="AM2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pcmep93720</v>
      </c>
      <c r="AN2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pcmep93720</v>
      </c>
      <c r="AO2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27" t="str">
        <f>IF(NOTA[[#This Row],[CONCAT4]]="","",_xlfn.IFNA(MATCH(NOTA[[#This Row],[CONCAT4]],[2]!RAW[CONCAT_H],0),FALSE))</f>
        <v/>
      </c>
      <c r="AQ245" s="145" t="e">
        <f>IF(NOTA[[#This Row],[CONCAT1]]="","",MATCH(NOTA[[#This Row],[CONCAT1]],[3]!db[NB NOTA_C],0)+1)</f>
        <v>#N/A</v>
      </c>
    </row>
    <row r="246" spans="1:43" ht="20.100000000000001" customHeight="1" x14ac:dyDescent="0.25">
      <c r="A24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18" t="str">
        <f>IF(NOTA[[#This Row],[ID_P]]="","",MATCH(NOTA[[#This Row],[ID_P]],[1]!B_MSK[N_ID],0))</f>
        <v/>
      </c>
      <c r="D246" s="18">
        <f ca="1">IF(NOTA[[#This Row],[NAMA BARANG]]="","",INDEX(NOTA[ID],MATCH(,INDIRECT(ADDRESS(ROW(NOTA[ID]),COLUMN(NOTA[ID]))&amp;":"&amp;ADDRESS(ROW(),COLUMN(NOTA[ID]))),-1)))</f>
        <v>43</v>
      </c>
      <c r="E246" s="19"/>
      <c r="F246" s="16"/>
      <c r="G246" s="16"/>
      <c r="H246" s="20"/>
      <c r="J246" s="22"/>
      <c r="K246" s="21"/>
      <c r="L246" s="16" t="s">
        <v>422</v>
      </c>
      <c r="M246" s="23">
        <v>2</v>
      </c>
      <c r="N246" s="21">
        <v>288</v>
      </c>
      <c r="O246" s="16" t="s">
        <v>160</v>
      </c>
      <c r="P246" s="17"/>
      <c r="Q246" s="34"/>
      <c r="R246" s="28" t="s">
        <v>161</v>
      </c>
      <c r="S246" s="24"/>
      <c r="T246" s="24"/>
      <c r="U246" s="25"/>
      <c r="V246" s="26" t="s">
        <v>123</v>
      </c>
      <c r="W246" s="25" t="str">
        <f>IF(NOTA[[#This Row],[HARGA/ CTN]]="",NOTA[[#This Row],[JUMLAH_H]],NOTA[[#This Row],[HARGA/ CTN]]*IF(NOTA[[#This Row],[C]]="",0,NOTA[[#This Row],[C]]))</f>
        <v/>
      </c>
      <c r="X246" s="25" t="str">
        <f>IF(NOTA[[#This Row],[JUMLAH]]="","",NOTA[[#This Row],[JUMLAH]]*NOTA[[#This Row],[DISC 1]])</f>
        <v/>
      </c>
      <c r="Y246" s="25" t="str">
        <f>IF(NOTA[[#This Row],[JUMLAH]]="","",(NOTA[[#This Row],[JUMLAH]]-NOTA[[#This Row],[DISC 1-]])*NOTA[[#This Row],[DISC 2]])</f>
        <v/>
      </c>
      <c r="Z246" s="25" t="str">
        <f>IF(NOTA[[#This Row],[JUMLAH]]="","",NOTA[[#This Row],[DISC 1-]]+NOTA[[#This Row],[DISC 2-]])</f>
        <v/>
      </c>
      <c r="AA246" s="25" t="str">
        <f>IF(NOTA[[#This Row],[JUMLAH]]="","",NOTA[[#This Row],[JUMLAH]]-NOTA[[#This Row],[DISC]])</f>
        <v/>
      </c>
      <c r="AB246" s="25"/>
      <c r="AC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6" s="25" t="str">
        <f>IF(OR(NOTA[[#This Row],[QTY]]="",NOTA[[#This Row],[HARGA SATUAN]]="",),"",NOTA[[#This Row],[QTY]]*NOTA[[#This Row],[HARGA SATUAN]])</f>
        <v/>
      </c>
      <c r="AG246" s="22">
        <f ca="1">IF(NOTA[ID_H]="","",INDEX(NOTA[TANGGAL],MATCH(,INDIRECT(ADDRESS(ROW(NOTA[TANGGAL]),COLUMN(NOTA[TANGGAL]))&amp;":"&amp;ADDRESS(ROW(),COLUMN(NOTA[TANGGAL]))),-1)))</f>
        <v>45056</v>
      </c>
      <c r="AH246" s="17" t="str">
        <f ca="1">IF(NOTA[[#This Row],[NAMA BARANG]]="","",INDEX(NOTA[SUPPLIER],MATCH(,INDIRECT(ADDRESS(ROW(NOTA[ID]),COLUMN(NOTA[ID]))&amp;":"&amp;ADDRESS(ROW(),COLUMN(NOTA[ID]))),-1)))</f>
        <v>SBS</v>
      </c>
      <c r="AI246" s="17" t="str">
        <f ca="1">IF(NOTA[[#This Row],[ID_H]]="","",IF(NOTA[[#This Row],[FAKTUR]]="",INDIRECT(ADDRESS(ROW()-1,COLUMN())),NOTA[[#This Row],[FAKTUR]]))</f>
        <v>UNTANA</v>
      </c>
      <c r="AJ246" s="27" t="str">
        <f ca="1">IF(NOTA[[#This Row],[ID]]="","",COUNTIF(NOTA[ID_H],NOTA[[#This Row],[ID_H]]))</f>
        <v/>
      </c>
      <c r="AK246" s="27">
        <f ca="1">IF(NOTA[[#This Row],[TGL.NOTA]]="",IF(NOTA[[#This Row],[SUPPLIER_H]]="","",AK245),MONTH(NOTA[[#This Row],[TGL.NOTA]]))</f>
        <v>5</v>
      </c>
      <c r="AL246" s="27" t="str">
        <f>LOWER(SUBSTITUTE(SUBSTITUTE(SUBSTITUTE(SUBSTITUTE(SUBSTITUTE(SUBSTITUTE(SUBSTITUTE(SUBSTITUTE(SUBSTITUTE(NOTA[NAMA BARANG]," ",),".",""),"-",""),"(",""),")",""),",",""),"/",""),"""",""),"+",""))</f>
        <v>pcmep9373</v>
      </c>
      <c r="AM2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pcmep93730</v>
      </c>
      <c r="AN2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pcmep93730</v>
      </c>
      <c r="AO2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27" t="str">
        <f>IF(NOTA[[#This Row],[CONCAT4]]="","",_xlfn.IFNA(MATCH(NOTA[[#This Row],[CONCAT4]],[2]!RAW[CONCAT_H],0),FALSE))</f>
        <v/>
      </c>
      <c r="AQ246" s="145" t="e">
        <f>IF(NOTA[[#This Row],[CONCAT1]]="","",MATCH(NOTA[[#This Row],[CONCAT1]],[3]!db[NB NOTA_C],0)+1)</f>
        <v>#N/A</v>
      </c>
    </row>
    <row r="247" spans="1:43" ht="20.100000000000001" customHeight="1" x14ac:dyDescent="0.25">
      <c r="A24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18" t="str">
        <f>IF(NOTA[[#This Row],[ID_P]]="","",MATCH(NOTA[[#This Row],[ID_P]],[1]!B_MSK[N_ID],0))</f>
        <v/>
      </c>
      <c r="D247" s="18">
        <f ca="1">IF(NOTA[[#This Row],[NAMA BARANG]]="","",INDEX(NOTA[ID],MATCH(,INDIRECT(ADDRESS(ROW(NOTA[ID]),COLUMN(NOTA[ID]))&amp;":"&amp;ADDRESS(ROW(),COLUMN(NOTA[ID]))),-1)))</f>
        <v>43</v>
      </c>
      <c r="E247" s="14"/>
      <c r="F247" s="16"/>
      <c r="G247" s="16"/>
      <c r="H247" s="20"/>
      <c r="I247" s="16"/>
      <c r="J247" s="22"/>
      <c r="K247" s="21"/>
      <c r="L247" s="16" t="s">
        <v>423</v>
      </c>
      <c r="M247" s="23">
        <v>2</v>
      </c>
      <c r="N247" s="21">
        <v>288</v>
      </c>
      <c r="O247" s="16" t="s">
        <v>160</v>
      </c>
      <c r="P247" s="17"/>
      <c r="Q247" s="34"/>
      <c r="R247" s="28" t="s">
        <v>161</v>
      </c>
      <c r="S247" s="24"/>
      <c r="T247" s="24"/>
      <c r="U247" s="25"/>
      <c r="V247" s="26" t="s">
        <v>123</v>
      </c>
      <c r="W247" s="25" t="str">
        <f>IF(NOTA[[#This Row],[HARGA/ CTN]]="",NOTA[[#This Row],[JUMLAH_H]],NOTA[[#This Row],[HARGA/ CTN]]*IF(NOTA[[#This Row],[C]]="",0,NOTA[[#This Row],[C]]))</f>
        <v/>
      </c>
      <c r="X247" s="25" t="str">
        <f>IF(NOTA[[#This Row],[JUMLAH]]="","",NOTA[[#This Row],[JUMLAH]]*NOTA[[#This Row],[DISC 1]])</f>
        <v/>
      </c>
      <c r="Y247" s="25" t="str">
        <f>IF(NOTA[[#This Row],[JUMLAH]]="","",(NOTA[[#This Row],[JUMLAH]]-NOTA[[#This Row],[DISC 1-]])*NOTA[[#This Row],[DISC 2]])</f>
        <v/>
      </c>
      <c r="Z247" s="25" t="str">
        <f>IF(NOTA[[#This Row],[JUMLAH]]="","",NOTA[[#This Row],[DISC 1-]]+NOTA[[#This Row],[DISC 2-]])</f>
        <v/>
      </c>
      <c r="AA247" s="25" t="str">
        <f>IF(NOTA[[#This Row],[JUMLAH]]="","",NOTA[[#This Row],[JUMLAH]]-NOTA[[#This Row],[DISC]])</f>
        <v/>
      </c>
      <c r="AB247" s="25"/>
      <c r="AC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7" s="25" t="str">
        <f>IF(OR(NOTA[[#This Row],[QTY]]="",NOTA[[#This Row],[HARGA SATUAN]]="",),"",NOTA[[#This Row],[QTY]]*NOTA[[#This Row],[HARGA SATUAN]])</f>
        <v/>
      </c>
      <c r="AG247" s="22">
        <f ca="1">IF(NOTA[ID_H]="","",INDEX(NOTA[TANGGAL],MATCH(,INDIRECT(ADDRESS(ROW(NOTA[TANGGAL]),COLUMN(NOTA[TANGGAL]))&amp;":"&amp;ADDRESS(ROW(),COLUMN(NOTA[TANGGAL]))),-1)))</f>
        <v>45056</v>
      </c>
      <c r="AH247" s="17" t="str">
        <f ca="1">IF(NOTA[[#This Row],[NAMA BARANG]]="","",INDEX(NOTA[SUPPLIER],MATCH(,INDIRECT(ADDRESS(ROW(NOTA[ID]),COLUMN(NOTA[ID]))&amp;":"&amp;ADDRESS(ROW(),COLUMN(NOTA[ID]))),-1)))</f>
        <v>SBS</v>
      </c>
      <c r="AI247" s="17" t="str">
        <f ca="1">IF(NOTA[[#This Row],[ID_H]]="","",IF(NOTA[[#This Row],[FAKTUR]]="",INDIRECT(ADDRESS(ROW()-1,COLUMN())),NOTA[[#This Row],[FAKTUR]]))</f>
        <v>UNTANA</v>
      </c>
      <c r="AJ247" s="27" t="str">
        <f ca="1">IF(NOTA[[#This Row],[ID]]="","",COUNTIF(NOTA[ID_H],NOTA[[#This Row],[ID_H]]))</f>
        <v/>
      </c>
      <c r="AK247" s="27">
        <f ca="1">IF(NOTA[[#This Row],[TGL.NOTA]]="",IF(NOTA[[#This Row],[SUPPLIER_H]]="","",AK246),MONTH(NOTA[[#This Row],[TGL.NOTA]]))</f>
        <v>5</v>
      </c>
      <c r="AL247" s="27" t="str">
        <f>LOWER(SUBSTITUTE(SUBSTITUTE(SUBSTITUTE(SUBSTITUTE(SUBSTITUTE(SUBSTITUTE(SUBSTITUTE(SUBSTITUTE(SUBSTITUTE(NOTA[NAMA BARANG]," ",),".",""),"-",""),"(",""),")",""),",",""),"/",""),"""",""),"+",""))</f>
        <v>pcmep9374</v>
      </c>
      <c r="AM2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pcmep93740</v>
      </c>
      <c r="AN2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pcmep93740</v>
      </c>
      <c r="AO2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27" t="str">
        <f>IF(NOTA[[#This Row],[CONCAT4]]="","",_xlfn.IFNA(MATCH(NOTA[[#This Row],[CONCAT4]],[2]!RAW[CONCAT_H],0),FALSE))</f>
        <v/>
      </c>
      <c r="AQ247" s="145" t="e">
        <f>IF(NOTA[[#This Row],[CONCAT1]]="","",MATCH(NOTA[[#This Row],[CONCAT1]],[3]!db[NB NOTA_C],0)+1)</f>
        <v>#N/A</v>
      </c>
    </row>
    <row r="248" spans="1:43" ht="20.100000000000001" customHeight="1" x14ac:dyDescent="0.25">
      <c r="A24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18" t="str">
        <f>IF(NOTA[[#This Row],[ID_P]]="","",MATCH(NOTA[[#This Row],[ID_P]],[1]!B_MSK[N_ID],0))</f>
        <v/>
      </c>
      <c r="D248" s="18">
        <f ca="1">IF(NOTA[[#This Row],[NAMA BARANG]]="","",INDEX(NOTA[ID],MATCH(,INDIRECT(ADDRESS(ROW(NOTA[ID]),COLUMN(NOTA[ID]))&amp;":"&amp;ADDRESS(ROW(),COLUMN(NOTA[ID]))),-1)))</f>
        <v>43</v>
      </c>
      <c r="E248" s="19"/>
      <c r="F248" s="21"/>
      <c r="G248" s="21"/>
      <c r="H248" s="41"/>
      <c r="I248" s="21"/>
      <c r="J248" s="22"/>
      <c r="K248" s="21"/>
      <c r="L248" s="16" t="s">
        <v>424</v>
      </c>
      <c r="M248" s="23">
        <v>2</v>
      </c>
      <c r="N248" s="16">
        <v>384</v>
      </c>
      <c r="O248" s="16" t="s">
        <v>160</v>
      </c>
      <c r="P248" s="17"/>
      <c r="Q248" s="34"/>
      <c r="R248" s="28" t="s">
        <v>427</v>
      </c>
      <c r="S248" s="24"/>
      <c r="T248" s="24"/>
      <c r="U248" s="25"/>
      <c r="V248" s="26" t="s">
        <v>123</v>
      </c>
      <c r="W248" s="25" t="str">
        <f>IF(NOTA[[#This Row],[HARGA/ CTN]]="",NOTA[[#This Row],[JUMLAH_H]],NOTA[[#This Row],[HARGA/ CTN]]*IF(NOTA[[#This Row],[C]]="",0,NOTA[[#This Row],[C]]))</f>
        <v/>
      </c>
      <c r="X248" s="25" t="str">
        <f>IF(NOTA[[#This Row],[JUMLAH]]="","",NOTA[[#This Row],[JUMLAH]]*NOTA[[#This Row],[DISC 1]])</f>
        <v/>
      </c>
      <c r="Y248" s="25" t="str">
        <f>IF(NOTA[[#This Row],[JUMLAH]]="","",(NOTA[[#This Row],[JUMLAH]]-NOTA[[#This Row],[DISC 1-]])*NOTA[[#This Row],[DISC 2]])</f>
        <v/>
      </c>
      <c r="Z248" s="25" t="str">
        <f>IF(NOTA[[#This Row],[JUMLAH]]="","",NOTA[[#This Row],[DISC 1-]]+NOTA[[#This Row],[DISC 2-]])</f>
        <v/>
      </c>
      <c r="AA248" s="25" t="str">
        <f>IF(NOTA[[#This Row],[JUMLAH]]="","",NOTA[[#This Row],[JUMLAH]]-NOTA[[#This Row],[DISC]])</f>
        <v/>
      </c>
      <c r="AB248" s="25"/>
      <c r="AC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8" s="25" t="str">
        <f>IF(OR(NOTA[[#This Row],[QTY]]="",NOTA[[#This Row],[HARGA SATUAN]]="",),"",NOTA[[#This Row],[QTY]]*NOTA[[#This Row],[HARGA SATUAN]])</f>
        <v/>
      </c>
      <c r="AG248" s="22">
        <f ca="1">IF(NOTA[ID_H]="","",INDEX(NOTA[TANGGAL],MATCH(,INDIRECT(ADDRESS(ROW(NOTA[TANGGAL]),COLUMN(NOTA[TANGGAL]))&amp;":"&amp;ADDRESS(ROW(),COLUMN(NOTA[TANGGAL]))),-1)))</f>
        <v>45056</v>
      </c>
      <c r="AH248" s="17" t="str">
        <f ca="1">IF(NOTA[[#This Row],[NAMA BARANG]]="","",INDEX(NOTA[SUPPLIER],MATCH(,INDIRECT(ADDRESS(ROW(NOTA[ID]),COLUMN(NOTA[ID]))&amp;":"&amp;ADDRESS(ROW(),COLUMN(NOTA[ID]))),-1)))</f>
        <v>SBS</v>
      </c>
      <c r="AI248" s="17" t="str">
        <f ca="1">IF(NOTA[[#This Row],[ID_H]]="","",IF(NOTA[[#This Row],[FAKTUR]]="",INDIRECT(ADDRESS(ROW()-1,COLUMN())),NOTA[[#This Row],[FAKTUR]]))</f>
        <v>UNTANA</v>
      </c>
      <c r="AJ248" s="27" t="str">
        <f ca="1">IF(NOTA[[#This Row],[ID]]="","",COUNTIF(NOTA[ID_H],NOTA[[#This Row],[ID_H]]))</f>
        <v/>
      </c>
      <c r="AK248" s="27">
        <f ca="1">IF(NOTA[[#This Row],[TGL.NOTA]]="",IF(NOTA[[#This Row],[SUPPLIER_H]]="","",AK247),MONTH(NOTA[[#This Row],[TGL.NOTA]]))</f>
        <v>5</v>
      </c>
      <c r="AL248" s="27" t="str">
        <f>LOWER(SUBSTITUTE(SUBSTITUTE(SUBSTITUTE(SUBSTITUTE(SUBSTITUTE(SUBSTITUTE(SUBSTITUTE(SUBSTITUTE(SUBSTITUTE(NOTA[NAMA BARANG]," ",),".",""),"-",""),"(",""),")",""),",",""),"/",""),"""",""),"+",""))</f>
        <v>pcmep65089</v>
      </c>
      <c r="AM2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pcmep650890</v>
      </c>
      <c r="AN2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pcmep650890</v>
      </c>
      <c r="AO2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27" t="str">
        <f>IF(NOTA[[#This Row],[CONCAT4]]="","",_xlfn.IFNA(MATCH(NOTA[[#This Row],[CONCAT4]],[2]!RAW[CONCAT_H],0),FALSE))</f>
        <v/>
      </c>
      <c r="AQ248" s="145" t="e">
        <f>IF(NOTA[[#This Row],[CONCAT1]]="","",MATCH(NOTA[[#This Row],[CONCAT1]],[3]!db[NB NOTA_C],0)+1)</f>
        <v>#N/A</v>
      </c>
    </row>
    <row r="249" spans="1:43" ht="20.100000000000001" customHeight="1" x14ac:dyDescent="0.25">
      <c r="A24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18" t="str">
        <f>IF(NOTA[[#This Row],[ID_P]]="","",MATCH(NOTA[[#This Row],[ID_P]],[1]!B_MSK[N_ID],0))</f>
        <v/>
      </c>
      <c r="D249" s="18">
        <f ca="1">IF(NOTA[[#This Row],[NAMA BARANG]]="","",INDEX(NOTA[ID],MATCH(,INDIRECT(ADDRESS(ROW(NOTA[ID]),COLUMN(NOTA[ID]))&amp;":"&amp;ADDRESS(ROW(),COLUMN(NOTA[ID]))),-1)))</f>
        <v>43</v>
      </c>
      <c r="E249" s="19"/>
      <c r="F249" s="16"/>
      <c r="G249" s="16"/>
      <c r="H249" s="20"/>
      <c r="I249" s="21"/>
      <c r="J249" s="22"/>
      <c r="K249" s="21"/>
      <c r="L249" s="16" t="s">
        <v>425</v>
      </c>
      <c r="M249" s="23">
        <v>2</v>
      </c>
      <c r="N249" s="21">
        <v>240</v>
      </c>
      <c r="O249" s="16" t="s">
        <v>160</v>
      </c>
      <c r="P249" s="17"/>
      <c r="Q249" s="34"/>
      <c r="R249" s="28" t="s">
        <v>428</v>
      </c>
      <c r="S249" s="24"/>
      <c r="T249" s="24"/>
      <c r="U249" s="25"/>
      <c r="V249" s="26" t="s">
        <v>123</v>
      </c>
      <c r="W249" s="25" t="str">
        <f>IF(NOTA[[#This Row],[HARGA/ CTN]]="",NOTA[[#This Row],[JUMLAH_H]],NOTA[[#This Row],[HARGA/ CTN]]*IF(NOTA[[#This Row],[C]]="",0,NOTA[[#This Row],[C]]))</f>
        <v/>
      </c>
      <c r="X249" s="25" t="str">
        <f>IF(NOTA[[#This Row],[JUMLAH]]="","",NOTA[[#This Row],[JUMLAH]]*NOTA[[#This Row],[DISC 1]])</f>
        <v/>
      </c>
      <c r="Y249" s="25" t="str">
        <f>IF(NOTA[[#This Row],[JUMLAH]]="","",(NOTA[[#This Row],[JUMLAH]]-NOTA[[#This Row],[DISC 1-]])*NOTA[[#This Row],[DISC 2]])</f>
        <v/>
      </c>
      <c r="Z249" s="25" t="str">
        <f>IF(NOTA[[#This Row],[JUMLAH]]="","",NOTA[[#This Row],[DISC 1-]]+NOTA[[#This Row],[DISC 2-]])</f>
        <v/>
      </c>
      <c r="AA249" s="25" t="str">
        <f>IF(NOTA[[#This Row],[JUMLAH]]="","",NOTA[[#This Row],[JUMLAH]]-NOTA[[#This Row],[DISC]])</f>
        <v/>
      </c>
      <c r="AB249" s="25"/>
      <c r="AC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49" s="25" t="str">
        <f>IF(OR(NOTA[[#This Row],[QTY]]="",NOTA[[#This Row],[HARGA SATUAN]]="",),"",NOTA[[#This Row],[QTY]]*NOTA[[#This Row],[HARGA SATUAN]])</f>
        <v/>
      </c>
      <c r="AG249" s="22">
        <f ca="1">IF(NOTA[ID_H]="","",INDEX(NOTA[TANGGAL],MATCH(,INDIRECT(ADDRESS(ROW(NOTA[TANGGAL]),COLUMN(NOTA[TANGGAL]))&amp;":"&amp;ADDRESS(ROW(),COLUMN(NOTA[TANGGAL]))),-1)))</f>
        <v>45056</v>
      </c>
      <c r="AH249" s="17" t="str">
        <f ca="1">IF(NOTA[[#This Row],[NAMA BARANG]]="","",INDEX(NOTA[SUPPLIER],MATCH(,INDIRECT(ADDRESS(ROW(NOTA[ID]),COLUMN(NOTA[ID]))&amp;":"&amp;ADDRESS(ROW(),COLUMN(NOTA[ID]))),-1)))</f>
        <v>SBS</v>
      </c>
      <c r="AI249" s="17" t="str">
        <f ca="1">IF(NOTA[[#This Row],[ID_H]]="","",IF(NOTA[[#This Row],[FAKTUR]]="",INDIRECT(ADDRESS(ROW()-1,COLUMN())),NOTA[[#This Row],[FAKTUR]]))</f>
        <v>UNTANA</v>
      </c>
      <c r="AJ249" s="27" t="str">
        <f ca="1">IF(NOTA[[#This Row],[ID]]="","",COUNTIF(NOTA[ID_H],NOTA[[#This Row],[ID_H]]))</f>
        <v/>
      </c>
      <c r="AK249" s="27">
        <f ca="1">IF(NOTA[[#This Row],[TGL.NOTA]]="",IF(NOTA[[#This Row],[SUPPLIER_H]]="","",AK248),MONTH(NOTA[[#This Row],[TGL.NOTA]]))</f>
        <v>5</v>
      </c>
      <c r="AL249" s="27" t="str">
        <f>LOWER(SUBSTITUTE(SUBSTITUTE(SUBSTITUTE(SUBSTITUTE(SUBSTITUTE(SUBSTITUTE(SUBSTITUTE(SUBSTITUTE(SUBSTITUTE(NOTA[NAMA BARANG]," ",),".",""),"-",""),"(",""),")",""),",",""),"/",""),"""",""),"+",""))</f>
        <v>pcmep65084</v>
      </c>
      <c r="AM2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pcmep650840</v>
      </c>
      <c r="AN2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pcmep650840</v>
      </c>
      <c r="AO2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27" t="str">
        <f>IF(NOTA[[#This Row],[CONCAT4]]="","",_xlfn.IFNA(MATCH(NOTA[[#This Row],[CONCAT4]],[2]!RAW[CONCAT_H],0),FALSE))</f>
        <v/>
      </c>
      <c r="AQ249" s="145" t="e">
        <f>IF(NOTA[[#This Row],[CONCAT1]]="","",MATCH(NOTA[[#This Row],[CONCAT1]],[3]!db[NB NOTA_C],0)+1)</f>
        <v>#N/A</v>
      </c>
    </row>
    <row r="250" spans="1:43" ht="20.100000000000001" customHeight="1" x14ac:dyDescent="0.25">
      <c r="A25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18" t="str">
        <f>IF(NOTA[[#This Row],[ID_P]]="","",MATCH(NOTA[[#This Row],[ID_P]],[1]!B_MSK[N_ID],0))</f>
        <v/>
      </c>
      <c r="D250" s="18">
        <f ca="1">IF(NOTA[[#This Row],[NAMA BARANG]]="","",INDEX(NOTA[ID],MATCH(,INDIRECT(ADDRESS(ROW(NOTA[ID]),COLUMN(NOTA[ID]))&amp;":"&amp;ADDRESS(ROW(),COLUMN(NOTA[ID]))),-1)))</f>
        <v>43</v>
      </c>
      <c r="E250" s="14"/>
      <c r="F250" s="16"/>
      <c r="G250" s="16"/>
      <c r="H250" s="20"/>
      <c r="I250" s="16"/>
      <c r="J250" s="22"/>
      <c r="K250" s="21"/>
      <c r="L250" s="16" t="s">
        <v>426</v>
      </c>
      <c r="M250" s="23">
        <v>2</v>
      </c>
      <c r="N250" s="21">
        <v>288</v>
      </c>
      <c r="O250" s="16" t="s">
        <v>160</v>
      </c>
      <c r="P250" s="17"/>
      <c r="Q250" s="151"/>
      <c r="R250" s="28" t="s">
        <v>161</v>
      </c>
      <c r="S250" s="24"/>
      <c r="T250" s="24"/>
      <c r="U250" s="25"/>
      <c r="V250" s="26" t="s">
        <v>123</v>
      </c>
      <c r="W250" s="25" t="str">
        <f>IF(NOTA[[#This Row],[HARGA/ CTN]]="",NOTA[[#This Row],[JUMLAH_H]],NOTA[[#This Row],[HARGA/ CTN]]*IF(NOTA[[#This Row],[C]]="",0,NOTA[[#This Row],[C]]))</f>
        <v/>
      </c>
      <c r="X250" s="25" t="str">
        <f>IF(NOTA[[#This Row],[JUMLAH]]="","",NOTA[[#This Row],[JUMLAH]]*NOTA[[#This Row],[DISC 1]])</f>
        <v/>
      </c>
      <c r="Y250" s="25" t="str">
        <f>IF(NOTA[[#This Row],[JUMLAH]]="","",(NOTA[[#This Row],[JUMLAH]]-NOTA[[#This Row],[DISC 1-]])*NOTA[[#This Row],[DISC 2]])</f>
        <v/>
      </c>
      <c r="Z250" s="25" t="str">
        <f>IF(NOTA[[#This Row],[JUMLAH]]="","",NOTA[[#This Row],[DISC 1-]]+NOTA[[#This Row],[DISC 2-]])</f>
        <v/>
      </c>
      <c r="AA250" s="25" t="str">
        <f>IF(NOTA[[#This Row],[JUMLAH]]="","",NOTA[[#This Row],[JUMLAH]]-NOTA[[#This Row],[DISC]])</f>
        <v/>
      </c>
      <c r="AB250" s="25"/>
      <c r="AC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250" s="1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50" s="25" t="str">
        <f>IF(OR(NOTA[[#This Row],[QTY]]="",NOTA[[#This Row],[HARGA SATUAN]]="",),"",NOTA[[#This Row],[QTY]]*NOTA[[#This Row],[HARGA SATUAN]])</f>
        <v/>
      </c>
      <c r="AG250" s="22">
        <f ca="1">IF(NOTA[ID_H]="","",INDEX(NOTA[TANGGAL],MATCH(,INDIRECT(ADDRESS(ROW(NOTA[TANGGAL]),COLUMN(NOTA[TANGGAL]))&amp;":"&amp;ADDRESS(ROW(),COLUMN(NOTA[TANGGAL]))),-1)))</f>
        <v>45056</v>
      </c>
      <c r="AH250" s="17" t="str">
        <f ca="1">IF(NOTA[[#This Row],[NAMA BARANG]]="","",INDEX(NOTA[SUPPLIER],MATCH(,INDIRECT(ADDRESS(ROW(NOTA[ID]),COLUMN(NOTA[ID]))&amp;":"&amp;ADDRESS(ROW(),COLUMN(NOTA[ID]))),-1)))</f>
        <v>SBS</v>
      </c>
      <c r="AI250" s="17" t="str">
        <f ca="1">IF(NOTA[[#This Row],[ID_H]]="","",IF(NOTA[[#This Row],[FAKTUR]]="",INDIRECT(ADDRESS(ROW()-1,COLUMN())),NOTA[[#This Row],[FAKTUR]]))</f>
        <v>UNTANA</v>
      </c>
      <c r="AJ250" s="27" t="str">
        <f ca="1">IF(NOTA[[#This Row],[ID]]="","",COUNTIF(NOTA[ID_H],NOTA[[#This Row],[ID_H]]))</f>
        <v/>
      </c>
      <c r="AK250" s="27">
        <f ca="1">IF(NOTA[[#This Row],[TGL.NOTA]]="",IF(NOTA[[#This Row],[SUPPLIER_H]]="","",AK249),MONTH(NOTA[[#This Row],[TGL.NOTA]]))</f>
        <v>5</v>
      </c>
      <c r="AL250" s="27" t="str">
        <f>LOWER(SUBSTITUTE(SUBSTITUTE(SUBSTITUTE(SUBSTITUTE(SUBSTITUTE(SUBSTITUTE(SUBSTITUTE(SUBSTITUTE(SUBSTITUTE(NOTA[NAMA BARANG]," ",),".",""),"-",""),"(",""),")",""),",",""),"/",""),"""",""),"+",""))</f>
        <v>pcmep92941</v>
      </c>
      <c r="AM2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pcmep929410</v>
      </c>
      <c r="AN2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pcmep929410</v>
      </c>
      <c r="AO2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27" t="str">
        <f>IF(NOTA[[#This Row],[CONCAT4]]="","",_xlfn.IFNA(MATCH(NOTA[[#This Row],[CONCAT4]],[2]!RAW[CONCAT_H],0),FALSE))</f>
        <v/>
      </c>
      <c r="AQ250" s="145" t="e">
        <f>IF(NOTA[[#This Row],[CONCAT1]]="","",MATCH(NOTA[[#This Row],[CONCAT1]],[3]!db[NB NOTA_C],0)+1)</f>
        <v>#N/A</v>
      </c>
    </row>
    <row r="251" spans="1:43" ht="20.100000000000001" customHeight="1" x14ac:dyDescent="0.25">
      <c r="A25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18" t="str">
        <f>IF(NOTA[[#This Row],[ID_P]]="","",MATCH(NOTA[[#This Row],[ID_P]],[1]!B_MSK[N_ID],0))</f>
        <v/>
      </c>
      <c r="D251" s="18" t="str">
        <f ca="1">IF(NOTA[[#This Row],[NAMA BARANG]]="","",INDEX(NOTA[ID],MATCH(,INDIRECT(ADDRESS(ROW(NOTA[ID]),COLUMN(NOTA[ID]))&amp;":"&amp;ADDRESS(ROW(),COLUMN(NOTA[ID]))),-1)))</f>
        <v/>
      </c>
      <c r="E251" s="19"/>
      <c r="F251" s="21"/>
      <c r="G251" s="21"/>
      <c r="H251" s="41"/>
      <c r="I251" s="21"/>
      <c r="J251" s="22"/>
      <c r="K251" s="21"/>
      <c r="L251" s="16"/>
      <c r="M251" s="23"/>
      <c r="N251" s="21"/>
      <c r="O251" s="16"/>
      <c r="P251" s="17"/>
      <c r="Q251" s="34"/>
      <c r="R251" s="28"/>
      <c r="S251" s="24"/>
      <c r="T251" s="24"/>
      <c r="U251" s="25"/>
      <c r="V251" s="26"/>
      <c r="W251" s="25" t="str">
        <f>IF(NOTA[[#This Row],[HARGA/ CTN]]="",NOTA[[#This Row],[JUMLAH_H]],NOTA[[#This Row],[HARGA/ CTN]]*IF(NOTA[[#This Row],[C]]="",0,NOTA[[#This Row],[C]]))</f>
        <v/>
      </c>
      <c r="X251" s="25" t="str">
        <f>IF(NOTA[[#This Row],[JUMLAH]]="","",NOTA[[#This Row],[JUMLAH]]*NOTA[[#This Row],[DISC 1]])</f>
        <v/>
      </c>
      <c r="Y251" s="25" t="str">
        <f>IF(NOTA[[#This Row],[JUMLAH]]="","",(NOTA[[#This Row],[JUMLAH]]-NOTA[[#This Row],[DISC 1-]])*NOTA[[#This Row],[DISC 2]])</f>
        <v/>
      </c>
      <c r="Z251" s="25" t="str">
        <f>IF(NOTA[[#This Row],[JUMLAH]]="","",NOTA[[#This Row],[DISC 1-]]+NOTA[[#This Row],[DISC 2-]])</f>
        <v/>
      </c>
      <c r="AA251" s="25" t="str">
        <f>IF(NOTA[[#This Row],[JUMLAH]]="","",NOTA[[#This Row],[JUMLAH]]-NOTA[[#This Row],[DISC]])</f>
        <v/>
      </c>
      <c r="AB251" s="25"/>
      <c r="AC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25" t="str">
        <f>IF(OR(NOTA[[#This Row],[QTY]]="",NOTA[[#This Row],[HARGA SATUAN]]="",),"",NOTA[[#This Row],[QTY]]*NOTA[[#This Row],[HARGA SATUAN]])</f>
        <v/>
      </c>
      <c r="AG251" s="22" t="str">
        <f ca="1">IF(NOTA[ID_H]="","",INDEX(NOTA[TANGGAL],MATCH(,INDIRECT(ADDRESS(ROW(NOTA[TANGGAL]),COLUMN(NOTA[TANGGAL]))&amp;":"&amp;ADDRESS(ROW(),COLUMN(NOTA[TANGGAL]))),-1)))</f>
        <v/>
      </c>
      <c r="AH251" s="17" t="str">
        <f ca="1">IF(NOTA[[#This Row],[NAMA BARANG]]="","",INDEX(NOTA[SUPPLIER],MATCH(,INDIRECT(ADDRESS(ROW(NOTA[ID]),COLUMN(NOTA[ID]))&amp;":"&amp;ADDRESS(ROW(),COLUMN(NOTA[ID]))),-1)))</f>
        <v/>
      </c>
      <c r="AI251" s="17" t="str">
        <f ca="1">IF(NOTA[[#This Row],[ID_H]]="","",IF(NOTA[[#This Row],[FAKTUR]]="",INDIRECT(ADDRESS(ROW()-1,COLUMN())),NOTA[[#This Row],[FAKTUR]]))</f>
        <v/>
      </c>
      <c r="AJ251" s="27" t="str">
        <f ca="1">IF(NOTA[[#This Row],[ID]]="","",COUNTIF(NOTA[ID_H],NOTA[[#This Row],[ID_H]]))</f>
        <v/>
      </c>
      <c r="AK251" s="27" t="str">
        <f ca="1">IF(NOTA[[#This Row],[TGL.NOTA]]="",IF(NOTA[[#This Row],[SUPPLIER_H]]="","",AK250),MONTH(NOTA[[#This Row],[TGL.NOTA]]))</f>
        <v/>
      </c>
      <c r="AL251" s="27" t="str">
        <f>LOWER(SUBSTITUTE(SUBSTITUTE(SUBSTITUTE(SUBSTITUTE(SUBSTITUTE(SUBSTITUTE(SUBSTITUTE(SUBSTITUTE(SUBSTITUTE(NOTA[NAMA BARANG]," ",),".",""),"-",""),"(",""),")",""),",",""),"/",""),"""",""),"+",""))</f>
        <v/>
      </c>
      <c r="AM2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27" t="str">
        <f>IF(NOTA[[#This Row],[CONCAT4]]="","",_xlfn.IFNA(MATCH(NOTA[[#This Row],[CONCAT4]],[2]!RAW[CONCAT_H],0),FALSE))</f>
        <v/>
      </c>
      <c r="AQ251" s="145" t="str">
        <f>IF(NOTA[[#This Row],[CONCAT1]]="","",MATCH(NOTA[[#This Row],[CONCAT1]],[3]!db[NB NOTA_C],0)+1)</f>
        <v/>
      </c>
    </row>
    <row r="252" spans="1:43" ht="20.100000000000001" customHeight="1" x14ac:dyDescent="0.25">
      <c r="A252" s="17">
        <f ca="1">IF(INDIRECT(ADDRESS(ROW()-1,COLUMN(NOTA[[#Headers],[ID]])))="ID",1,IF(NOTA[[#This Row],[FAKTUR]]="","",COUNT(INDIRECT(ADDRESS(ROW(NOTA[ID]),COLUMN(NOTA[ID]))&amp;":"&amp;ADDRESS(ROW()-1,COLUMN(NOTA[ID]))))+1))</f>
        <v>44</v>
      </c>
      <c r="B25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ATA_1205_030-1</v>
      </c>
      <c r="C252" s="18" t="e">
        <f ca="1">IF(NOTA[[#This Row],[ID_P]]="","",MATCH(NOTA[[#This Row],[ID_P]],[1]!B_MSK[N_ID],0))</f>
        <v>#REF!</v>
      </c>
      <c r="D252" s="18">
        <f ca="1">IF(NOTA[[#This Row],[NAMA BARANG]]="","",INDEX(NOTA[ID],MATCH(,INDIRECT(ADDRESS(ROW(NOTA[ID]),COLUMN(NOTA[ID]))&amp;":"&amp;ADDRESS(ROW(),COLUMN(NOTA[ID]))),-1)))</f>
        <v>44</v>
      </c>
      <c r="E252" s="19">
        <v>45058</v>
      </c>
      <c r="F252" s="16" t="s">
        <v>25</v>
      </c>
      <c r="G252" s="16" t="s">
        <v>24</v>
      </c>
      <c r="H252" s="20" t="s">
        <v>430</v>
      </c>
      <c r="I252" s="21"/>
      <c r="J252" s="22">
        <v>45052</v>
      </c>
      <c r="K252" s="21"/>
      <c r="L252" s="16" t="s">
        <v>431</v>
      </c>
      <c r="M252" s="23">
        <v>2</v>
      </c>
      <c r="N252" s="21">
        <v>288</v>
      </c>
      <c r="O252" s="16" t="s">
        <v>146</v>
      </c>
      <c r="P252" s="17">
        <v>43200</v>
      </c>
      <c r="Q252" s="34"/>
      <c r="R252" s="28" t="s">
        <v>293</v>
      </c>
      <c r="S252" s="24">
        <v>0.125</v>
      </c>
      <c r="T252" s="24">
        <v>0.05</v>
      </c>
      <c r="U252" s="25"/>
      <c r="V252" s="26"/>
      <c r="W252" s="25">
        <f>IF(NOTA[[#This Row],[HARGA/ CTN]]="",NOTA[[#This Row],[JUMLAH_H]],NOTA[[#This Row],[HARGA/ CTN]]*IF(NOTA[[#This Row],[C]]="",0,NOTA[[#This Row],[C]]))</f>
        <v>12441600</v>
      </c>
      <c r="X252" s="25">
        <f>IF(NOTA[[#This Row],[JUMLAH]]="","",NOTA[[#This Row],[JUMLAH]]*NOTA[[#This Row],[DISC 1]])</f>
        <v>1555200</v>
      </c>
      <c r="Y252" s="25">
        <f>IF(NOTA[[#This Row],[JUMLAH]]="","",(NOTA[[#This Row],[JUMLAH]]-NOTA[[#This Row],[DISC 1-]])*NOTA[[#This Row],[DISC 2]])</f>
        <v>544320</v>
      </c>
      <c r="Z252" s="25">
        <f>IF(NOTA[[#This Row],[JUMLAH]]="","",NOTA[[#This Row],[DISC 1-]]+NOTA[[#This Row],[DISC 2-]])</f>
        <v>2099520</v>
      </c>
      <c r="AA252" s="25">
        <f>IF(NOTA[[#This Row],[JUMLAH]]="","",NOTA[[#This Row],[JUMLAH]]-NOTA[[#This Row],[DISC]])</f>
        <v>10342080</v>
      </c>
      <c r="AB252" s="25"/>
      <c r="AC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2099520</v>
      </c>
      <c r="AD25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10342080</v>
      </c>
      <c r="AE252" s="17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52" s="25">
        <f>IF(OR(NOTA[[#This Row],[QTY]]="",NOTA[[#This Row],[HARGA SATUAN]]="",),"",NOTA[[#This Row],[QTY]]*NOTA[[#This Row],[HARGA SATUAN]])</f>
        <v>12441600</v>
      </c>
      <c r="AG252" s="22">
        <f ca="1">IF(NOTA[ID_H]="","",INDEX(NOTA[TANGGAL],MATCH(,INDIRECT(ADDRESS(ROW(NOTA[TANGGAL]),COLUMN(NOTA[TANGGAL]))&amp;":"&amp;ADDRESS(ROW(),COLUMN(NOTA[TANGGAL]))),-1)))</f>
        <v>45058</v>
      </c>
      <c r="AH252" s="17" t="str">
        <f ca="1">IF(NOTA[[#This Row],[NAMA BARANG]]="","",INDEX(NOTA[SUPPLIER],MATCH(,INDIRECT(ADDRESS(ROW(NOTA[ID]),COLUMN(NOTA[ID]))&amp;":"&amp;ADDRESS(ROW(),COLUMN(NOTA[ID]))),-1)))</f>
        <v>ATALI MAKMUR</v>
      </c>
      <c r="AI252" s="17" t="str">
        <f ca="1">IF(NOTA[[#This Row],[ID_H]]="","",IF(NOTA[[#This Row],[FAKTUR]]="",INDIRECT(ADDRESS(ROW()-1,COLUMN())),NOTA[[#This Row],[FAKTUR]]))</f>
        <v>ARTO MORO</v>
      </c>
      <c r="AJ252" s="27">
        <f ca="1">IF(NOTA[[#This Row],[ID]]="","",COUNTIF(NOTA[ID_H],NOTA[[#This Row],[ID_H]]))</f>
        <v>1</v>
      </c>
      <c r="AK252" s="27">
        <f>IF(NOTA[[#This Row],[TGL.NOTA]]="",IF(NOTA[[#This Row],[SUPPLIER_H]]="","",AK251),MONTH(NOTA[[#This Row],[TGL.NOTA]]))</f>
        <v>5</v>
      </c>
      <c r="AL252" s="27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52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MOROSA23050703045052gelpengp237xtechblackjk</v>
      </c>
      <c r="AP252" s="27" t="e">
        <f>IF(NOTA[[#This Row],[CONCAT4]]="","",_xlfn.IFNA(MATCH(NOTA[[#This Row],[CONCAT4]],[2]!RAW[CONCAT_H],0),FALSE))</f>
        <v>#REF!</v>
      </c>
      <c r="AQ252" s="145">
        <f>IF(NOTA[[#This Row],[CONCAT1]]="","",MATCH(NOTA[[#This Row],[CONCAT1]],[3]!db[NB NOTA_C],0)+1)</f>
        <v>799</v>
      </c>
    </row>
    <row r="253" spans="1:43" ht="20.100000000000001" customHeight="1" x14ac:dyDescent="0.25">
      <c r="A25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18" t="str">
        <f>IF(NOTA[[#This Row],[ID_P]]="","",MATCH(NOTA[[#This Row],[ID_P]],[1]!B_MSK[N_ID],0))</f>
        <v/>
      </c>
      <c r="D253" s="18" t="str">
        <f ca="1">IF(NOTA[[#This Row],[NAMA BARANG]]="","",INDEX(NOTA[ID],MATCH(,INDIRECT(ADDRESS(ROW(NOTA[ID]),COLUMN(NOTA[ID]))&amp;":"&amp;ADDRESS(ROW(),COLUMN(NOTA[ID]))),-1)))</f>
        <v/>
      </c>
      <c r="E253" s="19"/>
      <c r="F253" s="21"/>
      <c r="G253" s="21"/>
      <c r="H253" s="41"/>
      <c r="I253" s="21"/>
      <c r="J253" s="22"/>
      <c r="K253" s="21"/>
      <c r="L253" s="16"/>
      <c r="M253" s="23"/>
      <c r="N253" s="21"/>
      <c r="O253" s="16"/>
      <c r="P253" s="17"/>
      <c r="Q253" s="34"/>
      <c r="R253" s="28"/>
      <c r="S253" s="24"/>
      <c r="T253" s="24"/>
      <c r="U253" s="25"/>
      <c r="V253" s="26"/>
      <c r="W253" s="25" t="str">
        <f>IF(NOTA[[#This Row],[HARGA/ CTN]]="",NOTA[[#This Row],[JUMLAH_H]],NOTA[[#This Row],[HARGA/ CTN]]*IF(NOTA[[#This Row],[C]]="",0,NOTA[[#This Row],[C]]))</f>
        <v/>
      </c>
      <c r="X253" s="25" t="str">
        <f>IF(NOTA[[#This Row],[JUMLAH]]="","",NOTA[[#This Row],[JUMLAH]]*NOTA[[#This Row],[DISC 1]])</f>
        <v/>
      </c>
      <c r="Y253" s="25" t="str">
        <f>IF(NOTA[[#This Row],[JUMLAH]]="","",(NOTA[[#This Row],[JUMLAH]]-NOTA[[#This Row],[DISC 1-]])*NOTA[[#This Row],[DISC 2]])</f>
        <v/>
      </c>
      <c r="Z253" s="25" t="str">
        <f>IF(NOTA[[#This Row],[JUMLAH]]="","",NOTA[[#This Row],[DISC 1-]]+NOTA[[#This Row],[DISC 2-]])</f>
        <v/>
      </c>
      <c r="AA253" s="25" t="str">
        <f>IF(NOTA[[#This Row],[JUMLAH]]="","",NOTA[[#This Row],[JUMLAH]]-NOTA[[#This Row],[DISC]])</f>
        <v/>
      </c>
      <c r="AB253" s="25"/>
      <c r="AC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3" s="25" t="str">
        <f>IF(OR(NOTA[[#This Row],[QTY]]="",NOTA[[#This Row],[HARGA SATUAN]]="",),"",NOTA[[#This Row],[QTY]]*NOTA[[#This Row],[HARGA SATUAN]])</f>
        <v/>
      </c>
      <c r="AG253" s="22" t="str">
        <f ca="1">IF(NOTA[ID_H]="","",INDEX(NOTA[TANGGAL],MATCH(,INDIRECT(ADDRESS(ROW(NOTA[TANGGAL]),COLUMN(NOTA[TANGGAL]))&amp;":"&amp;ADDRESS(ROW(),COLUMN(NOTA[TANGGAL]))),-1)))</f>
        <v/>
      </c>
      <c r="AH253" s="17" t="str">
        <f ca="1">IF(NOTA[[#This Row],[NAMA BARANG]]="","",INDEX(NOTA[SUPPLIER],MATCH(,INDIRECT(ADDRESS(ROW(NOTA[ID]),COLUMN(NOTA[ID]))&amp;":"&amp;ADDRESS(ROW(),COLUMN(NOTA[ID]))),-1)))</f>
        <v/>
      </c>
      <c r="AI253" s="17" t="str">
        <f ca="1">IF(NOTA[[#This Row],[ID_H]]="","",IF(NOTA[[#This Row],[FAKTUR]]="",INDIRECT(ADDRESS(ROW()-1,COLUMN())),NOTA[[#This Row],[FAKTUR]]))</f>
        <v/>
      </c>
      <c r="AJ253" s="27" t="str">
        <f ca="1">IF(NOTA[[#This Row],[ID]]="","",COUNTIF(NOTA[ID_H],NOTA[[#This Row],[ID_H]]))</f>
        <v/>
      </c>
      <c r="AK253" s="27" t="str">
        <f ca="1">IF(NOTA[[#This Row],[TGL.NOTA]]="",IF(NOTA[[#This Row],[SUPPLIER_H]]="","",AK252),MONTH(NOTA[[#This Row],[TGL.NOTA]]))</f>
        <v/>
      </c>
      <c r="AL253" s="27" t="str">
        <f>LOWER(SUBSTITUTE(SUBSTITUTE(SUBSTITUTE(SUBSTITUTE(SUBSTITUTE(SUBSTITUTE(SUBSTITUTE(SUBSTITUTE(SUBSTITUTE(NOTA[NAMA BARANG]," ",),".",""),"-",""),"(",""),")",""),",",""),"/",""),"""",""),"+",""))</f>
        <v/>
      </c>
      <c r="AM2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27" t="str">
        <f>IF(NOTA[[#This Row],[CONCAT4]]="","",_xlfn.IFNA(MATCH(NOTA[[#This Row],[CONCAT4]],[2]!RAW[CONCAT_H],0),FALSE))</f>
        <v/>
      </c>
      <c r="AQ253" s="145" t="str">
        <f>IF(NOTA[[#This Row],[CONCAT1]]="","",MATCH(NOTA[[#This Row],[CONCAT1]],[3]!db[NB NOTA_C],0)+1)</f>
        <v/>
      </c>
    </row>
    <row r="254" spans="1:43" ht="20.100000000000001" customHeight="1" x14ac:dyDescent="0.25">
      <c r="A254" s="17">
        <f ca="1">IF(INDIRECT(ADDRESS(ROW()-1,COLUMN(NOTA[[#Headers],[ID]])))="ID",1,IF(NOTA[[#This Row],[FAKTUR]]="","",COUNT(INDIRECT(ADDRESS(ROW(NOTA[ID]),COLUMN(NOTA[ID]))&amp;":"&amp;ADDRESS(ROW()-1,COLUMN(NOTA[ID]))))+1))</f>
        <v>45</v>
      </c>
      <c r="B25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KAL_1205_002-4</v>
      </c>
      <c r="C254" s="18" t="e">
        <f ca="1">IF(NOTA[[#This Row],[ID_P]]="","",MATCH(NOTA[[#This Row],[ID_P]],[1]!B_MSK[N_ID],0))</f>
        <v>#REF!</v>
      </c>
      <c r="D254" s="18">
        <f ca="1">IF(NOTA[[#This Row],[NAMA BARANG]]="","",INDEX(NOTA[ID],MATCH(,INDIRECT(ADDRESS(ROW(NOTA[ID]),COLUMN(NOTA[ID]))&amp;":"&amp;ADDRESS(ROW(),COLUMN(NOTA[ID]))),-1)))</f>
        <v>45</v>
      </c>
      <c r="E254" s="19"/>
      <c r="F254" s="16" t="s">
        <v>52</v>
      </c>
      <c r="G254" s="16" t="s">
        <v>24</v>
      </c>
      <c r="H254" s="20" t="s">
        <v>432</v>
      </c>
      <c r="I254" s="16"/>
      <c r="J254" s="22">
        <v>45054</v>
      </c>
      <c r="K254" s="16"/>
      <c r="L254" s="16" t="s">
        <v>433</v>
      </c>
      <c r="M254" s="23">
        <v>1</v>
      </c>
      <c r="N254" s="21">
        <v>160</v>
      </c>
      <c r="O254" s="16" t="s">
        <v>160</v>
      </c>
      <c r="P254" s="17">
        <v>27500</v>
      </c>
      <c r="Q254" s="34"/>
      <c r="R254" s="28" t="s">
        <v>434</v>
      </c>
      <c r="S254" s="24">
        <v>0.125</v>
      </c>
      <c r="T254" s="24">
        <v>0.05</v>
      </c>
      <c r="U254" s="25"/>
      <c r="V254" s="26"/>
      <c r="W254" s="25">
        <f>IF(NOTA[[#This Row],[HARGA/ CTN]]="",NOTA[[#This Row],[JUMLAH_H]],NOTA[[#This Row],[HARGA/ CTN]]*IF(NOTA[[#This Row],[C]]="",0,NOTA[[#This Row],[C]]))</f>
        <v>4400000</v>
      </c>
      <c r="X254" s="25">
        <f>IF(NOTA[[#This Row],[JUMLAH]]="","",NOTA[[#This Row],[JUMLAH]]*NOTA[[#This Row],[DISC 1]])</f>
        <v>550000</v>
      </c>
      <c r="Y254" s="25">
        <f>IF(NOTA[[#This Row],[JUMLAH]]="","",(NOTA[[#This Row],[JUMLAH]]-NOTA[[#This Row],[DISC 1-]])*NOTA[[#This Row],[DISC 2]])</f>
        <v>192500</v>
      </c>
      <c r="Z254" s="25">
        <f>IF(NOTA[[#This Row],[JUMLAH]]="","",NOTA[[#This Row],[DISC 1-]]+NOTA[[#This Row],[DISC 2-]])</f>
        <v>742500</v>
      </c>
      <c r="AA254" s="25">
        <f>IF(NOTA[[#This Row],[JUMLAH]]="","",NOTA[[#This Row],[JUMLAH]]-NOTA[[#This Row],[DISC]])</f>
        <v>3657500</v>
      </c>
      <c r="AB254" s="25"/>
      <c r="AC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17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54" s="25">
        <f>IF(OR(NOTA[[#This Row],[QTY]]="",NOTA[[#This Row],[HARGA SATUAN]]="",),"",NOTA[[#This Row],[QTY]]*NOTA[[#This Row],[HARGA SATUAN]])</f>
        <v>4400000</v>
      </c>
      <c r="AG254" s="22">
        <f ca="1">IF(NOTA[ID_H]="","",INDEX(NOTA[TANGGAL],MATCH(,INDIRECT(ADDRESS(ROW(NOTA[TANGGAL]),COLUMN(NOTA[TANGGAL]))&amp;":"&amp;ADDRESS(ROW(),COLUMN(NOTA[TANGGAL]))),-1)))</f>
        <v>45058</v>
      </c>
      <c r="AH254" s="17" t="str">
        <f ca="1">IF(NOTA[[#This Row],[NAMA BARANG]]="","",INDEX(NOTA[SUPPLIER],MATCH(,INDIRECT(ADDRESS(ROW(NOTA[ID]),COLUMN(NOTA[ID]))&amp;":"&amp;ADDRESS(ROW(),COLUMN(NOTA[ID]))),-1)))</f>
        <v>KALINDO SUKSES</v>
      </c>
      <c r="AI254" s="17" t="str">
        <f ca="1">IF(NOTA[[#This Row],[ID_H]]="","",IF(NOTA[[#This Row],[FAKTUR]]="",INDIRECT(ADDRESS(ROW()-1,COLUMN())),NOTA[[#This Row],[FAKTUR]]))</f>
        <v>ARTO MORO</v>
      </c>
      <c r="AJ254" s="27">
        <f ca="1">IF(NOTA[[#This Row],[ID]]="","",COUNTIF(NOTA[ID_H],NOTA[[#This Row],[ID_H]]))</f>
        <v>4</v>
      </c>
      <c r="AK254" s="27">
        <f>IF(NOTA[[#This Row],[TGL.NOTA]]="",IF(NOTA[[#This Row],[SUPPLIER_H]]="","",AK253),MONTH(NOTA[[#This Row],[TGL.NOTA]]))</f>
        <v>5</v>
      </c>
      <c r="AL254" s="27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54" s="27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MOROSN2305100245054calculatorjoykocc38</v>
      </c>
      <c r="AP254" s="27" t="e">
        <f>IF(NOTA[[#This Row],[CONCAT4]]="","",_xlfn.IFNA(MATCH(NOTA[[#This Row],[CONCAT4]],[2]!RAW[CONCAT_H],0),FALSE))</f>
        <v>#REF!</v>
      </c>
      <c r="AQ254" s="145">
        <f>IF(NOTA[[#This Row],[CONCAT1]]="","",MATCH(NOTA[[#This Row],[CONCAT1]],[3]!db[NB NOTA_C],0)+1)</f>
        <v>446</v>
      </c>
    </row>
    <row r="255" spans="1:43" ht="20.100000000000001" customHeight="1" x14ac:dyDescent="0.25">
      <c r="A25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18" t="str">
        <f>IF(NOTA[[#This Row],[ID_P]]="","",MATCH(NOTA[[#This Row],[ID_P]],[1]!B_MSK[N_ID],0))</f>
        <v/>
      </c>
      <c r="D255" s="18">
        <f ca="1">IF(NOTA[[#This Row],[NAMA BARANG]]="","",INDEX(NOTA[ID],MATCH(,INDIRECT(ADDRESS(ROW(NOTA[ID]),COLUMN(NOTA[ID]))&amp;":"&amp;ADDRESS(ROW(),COLUMN(NOTA[ID]))),-1)))</f>
        <v>45</v>
      </c>
      <c r="E255" s="19"/>
      <c r="F255" s="21"/>
      <c r="G255" s="21"/>
      <c r="H255" s="41"/>
      <c r="I255" s="21"/>
      <c r="J255" s="22"/>
      <c r="K255" s="21"/>
      <c r="L255" s="16" t="s">
        <v>321</v>
      </c>
      <c r="M255" s="23"/>
      <c r="N255" s="21">
        <v>1</v>
      </c>
      <c r="O255" s="16" t="s">
        <v>160</v>
      </c>
      <c r="P255" s="17">
        <v>42900</v>
      </c>
      <c r="Q255" s="34"/>
      <c r="R255" s="28" t="s">
        <v>435</v>
      </c>
      <c r="S255" s="24">
        <v>0.1</v>
      </c>
      <c r="T255" s="24">
        <v>0.05</v>
      </c>
      <c r="U255" s="25"/>
      <c r="V255" s="26" t="s">
        <v>436</v>
      </c>
      <c r="W255" s="25">
        <f>IF(NOTA[[#This Row],[HARGA/ CTN]]="",NOTA[[#This Row],[JUMLAH_H]],NOTA[[#This Row],[HARGA/ CTN]]*IF(NOTA[[#This Row],[C]]="",0,NOTA[[#This Row],[C]]))</f>
        <v>42900</v>
      </c>
      <c r="X255" s="25">
        <f>IF(NOTA[[#This Row],[JUMLAH]]="","",NOTA[[#This Row],[JUMLAH]]*NOTA[[#This Row],[DISC 1]])</f>
        <v>4290</v>
      </c>
      <c r="Y255" s="25">
        <f>IF(NOTA[[#This Row],[JUMLAH]]="","",(NOTA[[#This Row],[JUMLAH]]-NOTA[[#This Row],[DISC 1-]])*NOTA[[#This Row],[DISC 2]])</f>
        <v>1930.5</v>
      </c>
      <c r="Z255" s="25">
        <f>IF(NOTA[[#This Row],[JUMLAH]]="","",NOTA[[#This Row],[DISC 1-]]+NOTA[[#This Row],[DISC 2-]])</f>
        <v>6220.5</v>
      </c>
      <c r="AA255" s="25">
        <f>IF(NOTA[[#This Row],[JUMLAH]]="","",NOTA[[#This Row],[JUMLAH]]-NOTA[[#This Row],[DISC]])</f>
        <v>36679.5</v>
      </c>
      <c r="AB255" s="25"/>
      <c r="AC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17">
        <f>IF(NOTA[[#This Row],[NAMA BARANG]]="","",IF(NOTA[[#This Row],[JUMLAH_H]]="",NOTA[[#This Row],[HARGA/ CTN]],NOTA[[#This Row],[QTY]]*NOTA[[#This Row],[HARGA SATUAN]]/IF(ISNUMBER(NOTA[[#This Row],[C]]),NOTA[[#This Row],[C]],1)))</f>
        <v>42900</v>
      </c>
      <c r="AF255" s="25">
        <f>IF(OR(NOTA[[#This Row],[QTY]]="",NOTA[[#This Row],[HARGA SATUAN]]="",),"",NOTA[[#This Row],[QTY]]*NOTA[[#This Row],[HARGA SATUAN]])</f>
        <v>42900</v>
      </c>
      <c r="AG255" s="22">
        <f ca="1">IF(NOTA[ID_H]="","",INDEX(NOTA[TANGGAL],MATCH(,INDIRECT(ADDRESS(ROW(NOTA[TANGGAL]),COLUMN(NOTA[TANGGAL]))&amp;":"&amp;ADDRESS(ROW(),COLUMN(NOTA[TANGGAL]))),-1)))</f>
        <v>45058</v>
      </c>
      <c r="AH255" s="17" t="str">
        <f ca="1">IF(NOTA[[#This Row],[NAMA BARANG]]="","",INDEX(NOTA[SUPPLIER],MATCH(,INDIRECT(ADDRESS(ROW(NOTA[ID]),COLUMN(NOTA[ID]))&amp;":"&amp;ADDRESS(ROW(),COLUMN(NOTA[ID]))),-1)))</f>
        <v>KALINDO SUKSES</v>
      </c>
      <c r="AI255" s="17" t="str">
        <f ca="1">IF(NOTA[[#This Row],[ID_H]]="","",IF(NOTA[[#This Row],[FAKTUR]]="",INDIRECT(ADDRESS(ROW()-1,COLUMN())),NOTA[[#This Row],[FAKTUR]]))</f>
        <v>ARTO MORO</v>
      </c>
      <c r="AJ255" s="27" t="str">
        <f ca="1">IF(NOTA[[#This Row],[ID]]="","",COUNTIF(NOTA[ID_H],NOTA[[#This Row],[ID_H]]))</f>
        <v/>
      </c>
      <c r="AK255" s="27">
        <f ca="1">IF(NOTA[[#This Row],[TGL.NOTA]]="",IF(NOTA[[#This Row],[SUPPLIER_H]]="","",AK254),MONTH(NOTA[[#This Row],[TGL.NOTA]]))</f>
        <v>5</v>
      </c>
      <c r="AL255" s="27" t="str">
        <f>LOWER(SUBSTITUTE(SUBSTITUTE(SUBSTITUTE(SUBSTITUTE(SUBSTITUTE(SUBSTITUTE(SUBSTITUTE(SUBSTITUTE(SUBSTITUTE(NOTA[NAMA BARANG]," ",),".",""),"-",""),"(",""),")",""),",",""),"/",""),"""",""),"+",""))</f>
        <v>flashlightfl91jk</v>
      </c>
      <c r="AM2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flashlightfl91jk429000.10.05</v>
      </c>
      <c r="AN2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flashlightfl91jk429000.10.05</v>
      </c>
      <c r="AO2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27" t="str">
        <f>IF(NOTA[[#This Row],[CONCAT4]]="","",_xlfn.IFNA(MATCH(NOTA[[#This Row],[CONCAT4]],[2]!RAW[CONCAT_H],0),FALSE))</f>
        <v/>
      </c>
      <c r="AQ255" s="145">
        <f>IF(NOTA[[#This Row],[CONCAT1]]="","",MATCH(NOTA[[#This Row],[CONCAT1]],[3]!db[NB NOTA_C],0)+1)</f>
        <v>757</v>
      </c>
    </row>
    <row r="256" spans="1:43" ht="20.100000000000001" customHeight="1" x14ac:dyDescent="0.25">
      <c r="A25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18" t="str">
        <f>IF(NOTA[[#This Row],[ID_P]]="","",MATCH(NOTA[[#This Row],[ID_P]],[1]!B_MSK[N_ID],0))</f>
        <v/>
      </c>
      <c r="D256" s="18">
        <f ca="1">IF(NOTA[[#This Row],[NAMA BARANG]]="","",INDEX(NOTA[ID],MATCH(,INDIRECT(ADDRESS(ROW(NOTA[ID]),COLUMN(NOTA[ID]))&amp;":"&amp;ADDRESS(ROW(),COLUMN(NOTA[ID]))),-1)))</f>
        <v>45</v>
      </c>
      <c r="E256" s="19"/>
      <c r="F256" s="16"/>
      <c r="G256" s="16"/>
      <c r="H256" s="20"/>
      <c r="I256" s="16"/>
      <c r="J256" s="22"/>
      <c r="K256" s="21"/>
      <c r="L256" s="16" t="s">
        <v>437</v>
      </c>
      <c r="M256" s="23">
        <v>1</v>
      </c>
      <c r="N256" s="21">
        <v>120</v>
      </c>
      <c r="O256" s="16" t="s">
        <v>160</v>
      </c>
      <c r="P256" s="17">
        <v>40000</v>
      </c>
      <c r="Q256" s="34"/>
      <c r="R256" s="28" t="s">
        <v>438</v>
      </c>
      <c r="S256" s="24">
        <v>0.125</v>
      </c>
      <c r="T256" s="24">
        <v>0.05</v>
      </c>
      <c r="U256" s="25"/>
      <c r="V256" s="26"/>
      <c r="W256" s="25">
        <f>IF(NOTA[[#This Row],[HARGA/ CTN]]="",NOTA[[#This Row],[JUMLAH_H]],NOTA[[#This Row],[HARGA/ CTN]]*IF(NOTA[[#This Row],[C]]="",0,NOTA[[#This Row],[C]]))</f>
        <v>4800000</v>
      </c>
      <c r="X256" s="25">
        <f>IF(NOTA[[#This Row],[JUMLAH]]="","",NOTA[[#This Row],[JUMLAH]]*NOTA[[#This Row],[DISC 1]])</f>
        <v>600000</v>
      </c>
      <c r="Y256" s="25">
        <f>IF(NOTA[[#This Row],[JUMLAH]]="","",(NOTA[[#This Row],[JUMLAH]]-NOTA[[#This Row],[DISC 1-]])*NOTA[[#This Row],[DISC 2]])</f>
        <v>210000</v>
      </c>
      <c r="Z256" s="25">
        <f>IF(NOTA[[#This Row],[JUMLAH]]="","",NOTA[[#This Row],[DISC 1-]]+NOTA[[#This Row],[DISC 2-]])</f>
        <v>810000</v>
      </c>
      <c r="AA256" s="25">
        <f>IF(NOTA[[#This Row],[JUMLAH]]="","",NOTA[[#This Row],[JUMLAH]]-NOTA[[#This Row],[DISC]])</f>
        <v>3990000</v>
      </c>
      <c r="AB256" s="25"/>
      <c r="AC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1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56" s="25">
        <f>IF(OR(NOTA[[#This Row],[QTY]]="",NOTA[[#This Row],[HARGA SATUAN]]="",),"",NOTA[[#This Row],[QTY]]*NOTA[[#This Row],[HARGA SATUAN]])</f>
        <v>4800000</v>
      </c>
      <c r="AG256" s="22">
        <f ca="1">IF(NOTA[ID_H]="","",INDEX(NOTA[TANGGAL],MATCH(,INDIRECT(ADDRESS(ROW(NOTA[TANGGAL]),COLUMN(NOTA[TANGGAL]))&amp;":"&amp;ADDRESS(ROW(),COLUMN(NOTA[TANGGAL]))),-1)))</f>
        <v>45058</v>
      </c>
      <c r="AH256" s="17" t="str">
        <f ca="1">IF(NOTA[[#This Row],[NAMA BARANG]]="","",INDEX(NOTA[SUPPLIER],MATCH(,INDIRECT(ADDRESS(ROW(NOTA[ID]),COLUMN(NOTA[ID]))&amp;":"&amp;ADDRESS(ROW(),COLUMN(NOTA[ID]))),-1)))</f>
        <v>KALINDO SUKSES</v>
      </c>
      <c r="AI256" s="17" t="str">
        <f ca="1">IF(NOTA[[#This Row],[ID_H]]="","",IF(NOTA[[#This Row],[FAKTUR]]="",INDIRECT(ADDRESS(ROW()-1,COLUMN())),NOTA[[#This Row],[FAKTUR]]))</f>
        <v>ARTO MORO</v>
      </c>
      <c r="AJ256" s="27" t="str">
        <f ca="1">IF(NOTA[[#This Row],[ID]]="","",COUNTIF(NOTA[ID_H],NOTA[[#This Row],[ID_H]]))</f>
        <v/>
      </c>
      <c r="AK256" s="27">
        <f ca="1">IF(NOTA[[#This Row],[TGL.NOTA]]="",IF(NOTA[[#This Row],[SUPPLIER_H]]="","",AK255),MONTH(NOTA[[#This Row],[TGL.NOTA]]))</f>
        <v>5</v>
      </c>
      <c r="AL256" s="27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M2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N2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27" t="str">
        <f>IF(NOTA[[#This Row],[CONCAT4]]="","",_xlfn.IFNA(MATCH(NOTA[[#This Row],[CONCAT4]],[2]!RAW[CONCAT_H],0),FALSE))</f>
        <v/>
      </c>
      <c r="AQ256" s="145">
        <f>IF(NOTA[[#This Row],[CONCAT1]]="","",MATCH(NOTA[[#This Row],[CONCAT1]],[3]!db[NB NOTA_C],0)+1)</f>
        <v>468</v>
      </c>
    </row>
    <row r="257" spans="1:43" ht="20.100000000000001" customHeight="1" x14ac:dyDescent="0.25">
      <c r="A25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18" t="str">
        <f>IF(NOTA[[#This Row],[ID_P]]="","",MATCH(NOTA[[#This Row],[ID_P]],[1]!B_MSK[N_ID],0))</f>
        <v/>
      </c>
      <c r="D257" s="18">
        <f ca="1">IF(NOTA[[#This Row],[NAMA BARANG]]="","",INDEX(NOTA[ID],MATCH(,INDIRECT(ADDRESS(ROW(NOTA[ID]),COLUMN(NOTA[ID]))&amp;":"&amp;ADDRESS(ROW(),COLUMN(NOTA[ID]))),-1)))</f>
        <v>45</v>
      </c>
      <c r="E257" s="19"/>
      <c r="F257" s="21"/>
      <c r="G257" s="21"/>
      <c r="H257" s="41"/>
      <c r="I257" s="21"/>
      <c r="J257" s="22"/>
      <c r="K257" s="21"/>
      <c r="L257" s="16" t="s">
        <v>439</v>
      </c>
      <c r="M257" s="23">
        <v>1</v>
      </c>
      <c r="N257" s="21">
        <v>60</v>
      </c>
      <c r="O257" s="16" t="s">
        <v>160</v>
      </c>
      <c r="P257" s="17">
        <v>74000</v>
      </c>
      <c r="Q257" s="34"/>
      <c r="R257" s="28" t="s">
        <v>314</v>
      </c>
      <c r="S257" s="24">
        <v>0.125</v>
      </c>
      <c r="T257" s="24">
        <v>0.05</v>
      </c>
      <c r="U257" s="25">
        <v>36679.5</v>
      </c>
      <c r="V257" s="26"/>
      <c r="W257" s="25">
        <f>IF(NOTA[[#This Row],[HARGA/ CTN]]="",NOTA[[#This Row],[JUMLAH_H]],NOTA[[#This Row],[HARGA/ CTN]]*IF(NOTA[[#This Row],[C]]="",0,NOTA[[#This Row],[C]]))</f>
        <v>4440000</v>
      </c>
      <c r="X257" s="25">
        <f>IF(NOTA[[#This Row],[JUMLAH]]="","",NOTA[[#This Row],[JUMLAH]]*NOTA[[#This Row],[DISC 1]])</f>
        <v>555000</v>
      </c>
      <c r="Y257" s="25">
        <f>IF(NOTA[[#This Row],[JUMLAH]]="","",(NOTA[[#This Row],[JUMLAH]]-NOTA[[#This Row],[DISC 1-]])*NOTA[[#This Row],[DISC 2]])</f>
        <v>194250</v>
      </c>
      <c r="Z257" s="25">
        <f>IF(NOTA[[#This Row],[JUMLAH]]="","",NOTA[[#This Row],[DISC 1-]]+NOTA[[#This Row],[DISC 2-]])</f>
        <v>749250</v>
      </c>
      <c r="AA257" s="25">
        <f>IF(NOTA[[#This Row],[JUMLAH]]="","",NOTA[[#This Row],[JUMLAH]]-NOTA[[#This Row],[DISC]])</f>
        <v>3690750</v>
      </c>
      <c r="AB257" s="25"/>
      <c r="AC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2344650</v>
      </c>
      <c r="AD25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11338250</v>
      </c>
      <c r="AE257" s="17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F257" s="25">
        <f>IF(OR(NOTA[[#This Row],[QTY]]="",NOTA[[#This Row],[HARGA SATUAN]]="",),"",NOTA[[#This Row],[QTY]]*NOTA[[#This Row],[HARGA SATUAN]])</f>
        <v>4440000</v>
      </c>
      <c r="AG257" s="22">
        <f ca="1">IF(NOTA[ID_H]="","",INDEX(NOTA[TANGGAL],MATCH(,INDIRECT(ADDRESS(ROW(NOTA[TANGGAL]),COLUMN(NOTA[TANGGAL]))&amp;":"&amp;ADDRESS(ROW(),COLUMN(NOTA[TANGGAL]))),-1)))</f>
        <v>45058</v>
      </c>
      <c r="AH257" s="17" t="str">
        <f ca="1">IF(NOTA[[#This Row],[NAMA BARANG]]="","",INDEX(NOTA[SUPPLIER],MATCH(,INDIRECT(ADDRESS(ROW(NOTA[ID]),COLUMN(NOTA[ID]))&amp;":"&amp;ADDRESS(ROW(),COLUMN(NOTA[ID]))),-1)))</f>
        <v>KALINDO SUKSES</v>
      </c>
      <c r="AI257" s="17" t="str">
        <f ca="1">IF(NOTA[[#This Row],[ID_H]]="","",IF(NOTA[[#This Row],[FAKTUR]]="",INDIRECT(ADDRESS(ROW()-1,COLUMN())),NOTA[[#This Row],[FAKTUR]]))</f>
        <v>ARTO MORO</v>
      </c>
      <c r="AJ257" s="27" t="str">
        <f ca="1">IF(NOTA[[#This Row],[ID]]="","",COUNTIF(NOTA[ID_H],NOTA[[#This Row],[ID_H]]))</f>
        <v/>
      </c>
      <c r="AK257" s="27">
        <f ca="1">IF(NOTA[[#This Row],[TGL.NOTA]]="",IF(NOTA[[#This Row],[SUPPLIER_H]]="","",AK256),MONTH(NOTA[[#This Row],[TGL.NOTA]]))</f>
        <v>5</v>
      </c>
      <c r="AL257" s="27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M2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N2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O2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27" t="str">
        <f>IF(NOTA[[#This Row],[CONCAT4]]="","",_xlfn.IFNA(MATCH(NOTA[[#This Row],[CONCAT4]],[2]!RAW[CONCAT_H],0),FALSE))</f>
        <v/>
      </c>
      <c r="AQ257" s="145">
        <f>IF(NOTA[[#This Row],[CONCAT1]]="","",MATCH(NOTA[[#This Row],[CONCAT1]],[3]!db[NB NOTA_C],0)+1)</f>
        <v>448</v>
      </c>
    </row>
    <row r="258" spans="1:43" ht="20.100000000000001" customHeight="1" x14ac:dyDescent="0.25">
      <c r="A25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18" t="str">
        <f>IF(NOTA[[#This Row],[ID_P]]="","",MATCH(NOTA[[#This Row],[ID_P]],[1]!B_MSK[N_ID],0))</f>
        <v/>
      </c>
      <c r="D258" s="18" t="str">
        <f ca="1">IF(NOTA[[#This Row],[NAMA BARANG]]="","",INDEX(NOTA[ID],MATCH(,INDIRECT(ADDRESS(ROW(NOTA[ID]),COLUMN(NOTA[ID]))&amp;":"&amp;ADDRESS(ROW(),COLUMN(NOTA[ID]))),-1)))</f>
        <v/>
      </c>
      <c r="E258" s="19"/>
      <c r="F258" s="168"/>
      <c r="G258" s="168"/>
      <c r="H258" s="169"/>
      <c r="I258" s="168"/>
      <c r="J258" s="170"/>
      <c r="K258" s="168"/>
      <c r="L258" s="168"/>
      <c r="M258" s="171"/>
      <c r="N258" s="172"/>
      <c r="O258" s="168"/>
      <c r="P258" s="173"/>
      <c r="Q258" s="174"/>
      <c r="R258" s="171"/>
      <c r="S258" s="175"/>
      <c r="T258" s="175"/>
      <c r="U258" s="176"/>
      <c r="V258" s="177"/>
      <c r="W258" s="25" t="str">
        <f>IF(NOTA[[#This Row],[HARGA/ CTN]]="",NOTA[[#This Row],[JUMLAH_H]],NOTA[[#This Row],[HARGA/ CTN]]*IF(NOTA[[#This Row],[C]]="",0,NOTA[[#This Row],[C]]))</f>
        <v/>
      </c>
      <c r="X258" s="25" t="str">
        <f>IF(NOTA[[#This Row],[JUMLAH]]="","",NOTA[[#This Row],[JUMLAH]]*NOTA[[#This Row],[DISC 1]])</f>
        <v/>
      </c>
      <c r="Y258" s="25" t="str">
        <f>IF(NOTA[[#This Row],[JUMLAH]]="","",(NOTA[[#This Row],[JUMLAH]]-NOTA[[#This Row],[DISC 1-]])*NOTA[[#This Row],[DISC 2]])</f>
        <v/>
      </c>
      <c r="Z258" s="25" t="str">
        <f>IF(NOTA[[#This Row],[JUMLAH]]="","",NOTA[[#This Row],[DISC 1-]]+NOTA[[#This Row],[DISC 2-]])</f>
        <v/>
      </c>
      <c r="AA258" s="25" t="str">
        <f>IF(NOTA[[#This Row],[JUMLAH]]="","",NOTA[[#This Row],[JUMLAH]]-NOTA[[#This Row],[DISC]])</f>
        <v/>
      </c>
      <c r="AB258" s="25"/>
      <c r="AC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8" s="25" t="str">
        <f>IF(OR(NOTA[[#This Row],[QTY]]="",NOTA[[#This Row],[HARGA SATUAN]]="",),"",NOTA[[#This Row],[QTY]]*NOTA[[#This Row],[HARGA SATUAN]])</f>
        <v/>
      </c>
      <c r="AG258" s="22" t="str">
        <f ca="1">IF(NOTA[ID_H]="","",INDEX(NOTA[TANGGAL],MATCH(,INDIRECT(ADDRESS(ROW(NOTA[TANGGAL]),COLUMN(NOTA[TANGGAL]))&amp;":"&amp;ADDRESS(ROW(),COLUMN(NOTA[TANGGAL]))),-1)))</f>
        <v/>
      </c>
      <c r="AH258" s="17" t="str">
        <f ca="1">IF(NOTA[[#This Row],[NAMA BARANG]]="","",INDEX(NOTA[SUPPLIER],MATCH(,INDIRECT(ADDRESS(ROW(NOTA[ID]),COLUMN(NOTA[ID]))&amp;":"&amp;ADDRESS(ROW(),COLUMN(NOTA[ID]))),-1)))</f>
        <v/>
      </c>
      <c r="AI258" s="17" t="str">
        <f ca="1">IF(NOTA[[#This Row],[ID_H]]="","",IF(NOTA[[#This Row],[FAKTUR]]="",INDIRECT(ADDRESS(ROW()-1,COLUMN())),NOTA[[#This Row],[FAKTUR]]))</f>
        <v/>
      </c>
      <c r="AJ258" s="27" t="str">
        <f ca="1">IF(NOTA[[#This Row],[ID]]="","",COUNTIF(NOTA[ID_H],NOTA[[#This Row],[ID_H]]))</f>
        <v/>
      </c>
      <c r="AK258" s="27" t="str">
        <f ca="1">IF(NOTA[[#This Row],[TGL.NOTA]]="",IF(NOTA[[#This Row],[SUPPLIER_H]]="","",AK257),MONTH(NOTA[[#This Row],[TGL.NOTA]]))</f>
        <v/>
      </c>
      <c r="AL258" s="27" t="str">
        <f>LOWER(SUBSTITUTE(SUBSTITUTE(SUBSTITUTE(SUBSTITUTE(SUBSTITUTE(SUBSTITUTE(SUBSTITUTE(SUBSTITUTE(SUBSTITUTE(NOTA[NAMA BARANG]," ",),".",""),"-",""),"(",""),")",""),",",""),"/",""),"""",""),"+",""))</f>
        <v/>
      </c>
      <c r="AM2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27" t="str">
        <f>IF(NOTA[[#This Row],[CONCAT4]]="","",_xlfn.IFNA(MATCH(NOTA[[#This Row],[CONCAT4]],[2]!RAW[CONCAT_H],0),FALSE))</f>
        <v/>
      </c>
      <c r="AQ258" s="145" t="str">
        <f>IF(NOTA[[#This Row],[CONCAT1]]="","",MATCH(NOTA[[#This Row],[CONCAT1]],[3]!db[NB NOTA_C],0)+1)</f>
        <v/>
      </c>
    </row>
    <row r="259" spans="1:43" ht="20.100000000000001" customHeight="1" x14ac:dyDescent="0.25">
      <c r="A259" s="17">
        <f ca="1">IF(INDIRECT(ADDRESS(ROW()-1,COLUMN(NOTA[[#Headers],[ID]])))="ID",1,IF(NOTA[[#This Row],[FAKTUR]]="","",COUNT(INDIRECT(ADDRESS(ROW(NOTA[ID]),COLUMN(NOTA[ID]))&amp;":"&amp;ADDRESS(ROW()-1,COLUMN(NOTA[ID]))))+1))</f>
        <v>46</v>
      </c>
      <c r="B25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KEN_1105_594-2</v>
      </c>
      <c r="C259" s="18" t="e">
        <f ca="1">IF(NOTA[[#This Row],[ID_P]]="","",MATCH(NOTA[[#This Row],[ID_P]],[1]!B_MSK[N_ID],0))</f>
        <v>#REF!</v>
      </c>
      <c r="D259" s="18">
        <f ca="1">IF(NOTA[[#This Row],[NAMA BARANG]]="","",INDEX(NOTA[ID],MATCH(,INDIRECT(ADDRESS(ROW(NOTA[ID]),COLUMN(NOTA[ID]))&amp;":"&amp;ADDRESS(ROW(),COLUMN(NOTA[ID]))),-1)))</f>
        <v>46</v>
      </c>
      <c r="E259" s="19">
        <v>45057</v>
      </c>
      <c r="F259" s="16" t="s">
        <v>23</v>
      </c>
      <c r="G259" s="16" t="s">
        <v>24</v>
      </c>
      <c r="H259" s="20" t="s">
        <v>440</v>
      </c>
      <c r="I259" s="16" t="s">
        <v>441</v>
      </c>
      <c r="J259" s="22">
        <v>45052</v>
      </c>
      <c r="K259" s="21"/>
      <c r="L259" s="16" t="s">
        <v>443</v>
      </c>
      <c r="M259" s="23">
        <v>10</v>
      </c>
      <c r="N259" s="21"/>
      <c r="O259" s="16"/>
      <c r="P259" s="17"/>
      <c r="Q259" s="34">
        <v>3600000</v>
      </c>
      <c r="R259" s="28" t="s">
        <v>450</v>
      </c>
      <c r="S259" s="24">
        <v>0.05</v>
      </c>
      <c r="T259" s="24">
        <v>0.17</v>
      </c>
      <c r="U259" s="25"/>
      <c r="V259" s="26"/>
      <c r="W259" s="25">
        <f>IF(NOTA[[#This Row],[HARGA/ CTN]]="",NOTA[[#This Row],[JUMLAH_H]],NOTA[[#This Row],[HARGA/ CTN]]*IF(NOTA[[#This Row],[C]]="",0,NOTA[[#This Row],[C]]))</f>
        <v>36000000</v>
      </c>
      <c r="X259" s="25">
        <f>IF(NOTA[[#This Row],[JUMLAH]]="","",NOTA[[#This Row],[JUMLAH]]*NOTA[[#This Row],[DISC 1]])</f>
        <v>1800000</v>
      </c>
      <c r="Y259" s="25">
        <f>IF(NOTA[[#This Row],[JUMLAH]]="","",(NOTA[[#This Row],[JUMLAH]]-NOTA[[#This Row],[DISC 1-]])*NOTA[[#This Row],[DISC 2]])</f>
        <v>5814000</v>
      </c>
      <c r="Z259" s="25">
        <f>IF(NOTA[[#This Row],[JUMLAH]]="","",NOTA[[#This Row],[DISC 1-]]+NOTA[[#This Row],[DISC 2-]])</f>
        <v>7614000</v>
      </c>
      <c r="AA259" s="25">
        <f>IF(NOTA[[#This Row],[JUMLAH]]="","",NOTA[[#This Row],[JUMLAH]]-NOTA[[#This Row],[DISC]])</f>
        <v>28386000</v>
      </c>
      <c r="AB259" s="25"/>
      <c r="AC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17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259" s="25" t="str">
        <f>IF(OR(NOTA[[#This Row],[QTY]]="",NOTA[[#This Row],[HARGA SATUAN]]="",),"",NOTA[[#This Row],[QTY]]*NOTA[[#This Row],[HARGA SATUAN]])</f>
        <v/>
      </c>
      <c r="AG259" s="22">
        <f ca="1">IF(NOTA[ID_H]="","",INDEX(NOTA[TANGGAL],MATCH(,INDIRECT(ADDRESS(ROW(NOTA[TANGGAL]),COLUMN(NOTA[TANGGAL]))&amp;":"&amp;ADDRESS(ROW(),COLUMN(NOTA[TANGGAL]))),-1)))</f>
        <v>45057</v>
      </c>
      <c r="AH259" s="17" t="str">
        <f ca="1">IF(NOTA[[#This Row],[NAMA BARANG]]="","",INDEX(NOTA[SUPPLIER],MATCH(,INDIRECT(ADDRESS(ROW(NOTA[ID]),COLUMN(NOTA[ID]))&amp;":"&amp;ADDRESS(ROW(),COLUMN(NOTA[ID]))),-1)))</f>
        <v>KENKO SINAR INDONESIA</v>
      </c>
      <c r="AI259" s="17" t="str">
        <f ca="1">IF(NOTA[[#This Row],[ID_H]]="","",IF(NOTA[[#This Row],[FAKTUR]]="",INDIRECT(ADDRESS(ROW()-1,COLUMN())),NOTA[[#This Row],[FAKTUR]]))</f>
        <v>ARTO MORO</v>
      </c>
      <c r="AJ259" s="27">
        <f ca="1">IF(NOTA[[#This Row],[ID]]="","",COUNTIF(NOTA[ID_H],NOTA[[#This Row],[ID_H]]))</f>
        <v>2</v>
      </c>
      <c r="AK259" s="27">
        <f>IF(NOTA[[#This Row],[TGL.NOTA]]="",IF(NOTA[[#This Row],[SUPPLIER_H]]="","",AK258),MONTH(NOTA[[#This Row],[TGL.NOTA]]))</f>
        <v>5</v>
      </c>
      <c r="AL259" s="27" t="str">
        <f>LOWER(SUBSTITUTE(SUBSTITUTE(SUBSTITUTE(SUBSTITUTE(SUBSTITUTE(SUBSTITUTE(SUBSTITUTE(SUBSTITUTE(SUBSTITUTE(NOTA[NAMA BARANG]," ",),".",""),"-",""),"(",""),")",""),",",""),"/",""),"""",""),"+",""))</f>
        <v>kenkodualtip12colorbrushpendbp12</v>
      </c>
      <c r="AM2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N2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kenkodualtip12colorbrushpendbp1236000000.050.17</v>
      </c>
      <c r="AO25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MORO23050594SA 4136945052kenkodualtip12colorbrushpendbp12</v>
      </c>
      <c r="AP259" s="27" t="e">
        <f>IF(NOTA[[#This Row],[CONCAT4]]="","",_xlfn.IFNA(MATCH(NOTA[[#This Row],[CONCAT4]],[2]!RAW[CONCAT_H],0),FALSE))</f>
        <v>#REF!</v>
      </c>
      <c r="AQ259" s="145">
        <f>IF(NOTA[[#This Row],[CONCAT1]]="","",MATCH(NOTA[[#This Row],[CONCAT1]],[3]!db[NB NOTA_C],0)+1)</f>
        <v>1247</v>
      </c>
    </row>
    <row r="260" spans="1:43" ht="20.100000000000001" customHeight="1" x14ac:dyDescent="0.25">
      <c r="A26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18" t="str">
        <f>IF(NOTA[[#This Row],[ID_P]]="","",MATCH(NOTA[[#This Row],[ID_P]],[1]!B_MSK[N_ID],0))</f>
        <v/>
      </c>
      <c r="D260" s="18">
        <f ca="1">IF(NOTA[[#This Row],[NAMA BARANG]]="","",INDEX(NOTA[ID],MATCH(,INDIRECT(ADDRESS(ROW(NOTA[ID]),COLUMN(NOTA[ID]))&amp;":"&amp;ADDRESS(ROW(),COLUMN(NOTA[ID]))),-1)))</f>
        <v>46</v>
      </c>
      <c r="E260" s="19"/>
      <c r="F260" s="16"/>
      <c r="G260" s="16"/>
      <c r="H260" s="20"/>
      <c r="I260" s="21"/>
      <c r="J260" s="22"/>
      <c r="K260" s="21"/>
      <c r="L260" s="16" t="s">
        <v>442</v>
      </c>
      <c r="M260" s="23">
        <v>3</v>
      </c>
      <c r="N260" s="21"/>
      <c r="O260" s="16"/>
      <c r="P260" s="17"/>
      <c r="Q260" s="34">
        <v>3528000</v>
      </c>
      <c r="R260" s="28" t="s">
        <v>451</v>
      </c>
      <c r="S260" s="24">
        <v>0.05</v>
      </c>
      <c r="T260" s="24">
        <v>0.17</v>
      </c>
      <c r="U260" s="25"/>
      <c r="V260" s="26"/>
      <c r="W260" s="25">
        <f>IF(NOTA[[#This Row],[HARGA/ CTN]]="",NOTA[[#This Row],[JUMLAH_H]],NOTA[[#This Row],[HARGA/ CTN]]*IF(NOTA[[#This Row],[C]]="",0,NOTA[[#This Row],[C]]))</f>
        <v>10584000</v>
      </c>
      <c r="X260" s="25">
        <f>IF(NOTA[[#This Row],[JUMLAH]]="","",NOTA[[#This Row],[JUMLAH]]*NOTA[[#This Row],[DISC 1]])</f>
        <v>529200</v>
      </c>
      <c r="Y260" s="25">
        <f>IF(NOTA[[#This Row],[JUMLAH]]="","",(NOTA[[#This Row],[JUMLAH]]-NOTA[[#This Row],[DISC 1-]])*NOTA[[#This Row],[DISC 2]])</f>
        <v>1709316.0000000002</v>
      </c>
      <c r="Z260" s="25">
        <f>IF(NOTA[[#This Row],[JUMLAH]]="","",NOTA[[#This Row],[DISC 1-]]+NOTA[[#This Row],[DISC 2-]])</f>
        <v>2238516</v>
      </c>
      <c r="AA260" s="25">
        <f>IF(NOTA[[#This Row],[JUMLAH]]="","",NOTA[[#This Row],[JUMLAH]]-NOTA[[#This Row],[DISC]])</f>
        <v>8345484</v>
      </c>
      <c r="AB260" s="25"/>
      <c r="AC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9852516</v>
      </c>
      <c r="AD260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36731484</v>
      </c>
      <c r="AE260" s="17">
        <f>IF(NOTA[[#This Row],[NAMA BARANG]]="","",IF(NOTA[[#This Row],[JUMLAH_H]]="",NOTA[[#This Row],[HARGA/ CTN]],NOTA[[#This Row],[QTY]]*NOTA[[#This Row],[HARGA SATUAN]]/IF(ISNUMBER(NOTA[[#This Row],[C]]),NOTA[[#This Row],[C]],1)))</f>
        <v>3528000</v>
      </c>
      <c r="AF260" s="25" t="str">
        <f>IF(OR(NOTA[[#This Row],[QTY]]="",NOTA[[#This Row],[HARGA SATUAN]]="",),"",NOTA[[#This Row],[QTY]]*NOTA[[#This Row],[HARGA SATUAN]])</f>
        <v/>
      </c>
      <c r="AG260" s="22">
        <f ca="1">IF(NOTA[ID_H]="","",INDEX(NOTA[TANGGAL],MATCH(,INDIRECT(ADDRESS(ROW(NOTA[TANGGAL]),COLUMN(NOTA[TANGGAL]))&amp;":"&amp;ADDRESS(ROW(),COLUMN(NOTA[TANGGAL]))),-1)))</f>
        <v>45057</v>
      </c>
      <c r="AH260" s="17" t="str">
        <f ca="1">IF(NOTA[[#This Row],[NAMA BARANG]]="","",INDEX(NOTA[SUPPLIER],MATCH(,INDIRECT(ADDRESS(ROW(NOTA[ID]),COLUMN(NOTA[ID]))&amp;":"&amp;ADDRESS(ROW(),COLUMN(NOTA[ID]))),-1)))</f>
        <v>KENKO SINAR INDONESIA</v>
      </c>
      <c r="AI260" s="17" t="str">
        <f ca="1">IF(NOTA[[#This Row],[ID_H]]="","",IF(NOTA[[#This Row],[FAKTUR]]="",INDIRECT(ADDRESS(ROW()-1,COLUMN())),NOTA[[#This Row],[FAKTUR]]))</f>
        <v>ARTO MORO</v>
      </c>
      <c r="AJ260" s="27" t="str">
        <f ca="1">IF(NOTA[[#This Row],[ID]]="","",COUNTIF(NOTA[ID_H],NOTA[[#This Row],[ID_H]]))</f>
        <v/>
      </c>
      <c r="AK260" s="27">
        <f ca="1">IF(NOTA[[#This Row],[TGL.NOTA]]="",IF(NOTA[[#This Row],[SUPPLIER_H]]="","",AK259),MONTH(NOTA[[#This Row],[TGL.NOTA]]))</f>
        <v>5</v>
      </c>
      <c r="AL260" s="27" t="str">
        <f>LOWER(SUBSTITUTE(SUBSTITUTE(SUBSTITUTE(SUBSTITUTE(SUBSTITUTE(SUBSTITUTE(SUBSTITUTE(SUBSTITUTE(SUBSTITUTE(NOTA[NAMA BARANG]," ",),".",""),"-",""),"(",""),")",""),",",""),"/",""),"""",""),"+",""))</f>
        <v>kenkodualtip24colorbrushpendbp24</v>
      </c>
      <c r="AM2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N2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kenkodualtip24colorbrushpendbp2435280000.050.17</v>
      </c>
      <c r="AO2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27" t="str">
        <f>IF(NOTA[[#This Row],[CONCAT4]]="","",_xlfn.IFNA(MATCH(NOTA[[#This Row],[CONCAT4]],[2]!RAW[CONCAT_H],0),FALSE))</f>
        <v/>
      </c>
      <c r="AQ260" s="145">
        <f>IF(NOTA[[#This Row],[CONCAT1]]="","",MATCH(NOTA[[#This Row],[CONCAT1]],[3]!db[NB NOTA_C],0)+1)</f>
        <v>1248</v>
      </c>
    </row>
    <row r="261" spans="1:43" ht="20.100000000000001" customHeight="1" x14ac:dyDescent="0.25">
      <c r="A26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18" t="str">
        <f>IF(NOTA[[#This Row],[ID_P]]="","",MATCH(NOTA[[#This Row],[ID_P]],[1]!B_MSK[N_ID],0))</f>
        <v/>
      </c>
      <c r="D261" s="18" t="str">
        <f ca="1">IF(NOTA[[#This Row],[NAMA BARANG]]="","",INDEX(NOTA[ID],MATCH(,INDIRECT(ADDRESS(ROW(NOTA[ID]),COLUMN(NOTA[ID]))&amp;":"&amp;ADDRESS(ROW(),COLUMN(NOTA[ID]))),-1)))</f>
        <v/>
      </c>
      <c r="E261" s="19"/>
      <c r="F261" s="16"/>
      <c r="G261" s="16"/>
      <c r="H261" s="20"/>
      <c r="I261" s="21"/>
      <c r="J261" s="22"/>
      <c r="K261" s="21"/>
      <c r="L261" s="16"/>
      <c r="M261" s="23"/>
      <c r="N261" s="21"/>
      <c r="O261" s="16"/>
      <c r="P261" s="17"/>
      <c r="Q261" s="34"/>
      <c r="R261" s="28"/>
      <c r="S261" s="24"/>
      <c r="T261" s="24"/>
      <c r="U261" s="25"/>
      <c r="V261" s="26"/>
      <c r="W261" s="25" t="str">
        <f>IF(NOTA[[#This Row],[HARGA/ CTN]]="",NOTA[[#This Row],[JUMLAH_H]],NOTA[[#This Row],[HARGA/ CTN]]*IF(NOTA[[#This Row],[C]]="",0,NOTA[[#This Row],[C]]))</f>
        <v/>
      </c>
      <c r="X261" s="25" t="str">
        <f>IF(NOTA[[#This Row],[JUMLAH]]="","",NOTA[[#This Row],[JUMLAH]]*NOTA[[#This Row],[DISC 1]])</f>
        <v/>
      </c>
      <c r="Y261" s="25" t="str">
        <f>IF(NOTA[[#This Row],[JUMLAH]]="","",(NOTA[[#This Row],[JUMLAH]]-NOTA[[#This Row],[DISC 1-]])*NOTA[[#This Row],[DISC 2]])</f>
        <v/>
      </c>
      <c r="Z261" s="25" t="str">
        <f>IF(NOTA[[#This Row],[JUMLAH]]="","",NOTA[[#This Row],[DISC 1-]]+NOTA[[#This Row],[DISC 2-]])</f>
        <v/>
      </c>
      <c r="AA261" s="25" t="str">
        <f>IF(NOTA[[#This Row],[JUMLAH]]="","",NOTA[[#This Row],[JUMLAH]]-NOTA[[#This Row],[DISC]])</f>
        <v/>
      </c>
      <c r="AB261" s="25"/>
      <c r="AC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1" s="25" t="str">
        <f>IF(OR(NOTA[[#This Row],[QTY]]="",NOTA[[#This Row],[HARGA SATUAN]]="",),"",NOTA[[#This Row],[QTY]]*NOTA[[#This Row],[HARGA SATUAN]])</f>
        <v/>
      </c>
      <c r="AG261" s="22" t="str">
        <f ca="1">IF(NOTA[ID_H]="","",INDEX(NOTA[TANGGAL],MATCH(,INDIRECT(ADDRESS(ROW(NOTA[TANGGAL]),COLUMN(NOTA[TANGGAL]))&amp;":"&amp;ADDRESS(ROW(),COLUMN(NOTA[TANGGAL]))),-1)))</f>
        <v/>
      </c>
      <c r="AH261" s="17" t="str">
        <f ca="1">IF(NOTA[[#This Row],[NAMA BARANG]]="","",INDEX(NOTA[SUPPLIER],MATCH(,INDIRECT(ADDRESS(ROW(NOTA[ID]),COLUMN(NOTA[ID]))&amp;":"&amp;ADDRESS(ROW(),COLUMN(NOTA[ID]))),-1)))</f>
        <v/>
      </c>
      <c r="AI261" s="17" t="str">
        <f ca="1">IF(NOTA[[#This Row],[ID_H]]="","",IF(NOTA[[#This Row],[FAKTUR]]="",INDIRECT(ADDRESS(ROW()-1,COLUMN())),NOTA[[#This Row],[FAKTUR]]))</f>
        <v/>
      </c>
      <c r="AJ261" s="27" t="str">
        <f ca="1">IF(NOTA[[#This Row],[ID]]="","",COUNTIF(NOTA[ID_H],NOTA[[#This Row],[ID_H]]))</f>
        <v/>
      </c>
      <c r="AK261" s="27" t="str">
        <f ca="1">IF(NOTA[[#This Row],[TGL.NOTA]]="",IF(NOTA[[#This Row],[SUPPLIER_H]]="","",AK260),MONTH(NOTA[[#This Row],[TGL.NOTA]]))</f>
        <v/>
      </c>
      <c r="AL261" s="27" t="str">
        <f>LOWER(SUBSTITUTE(SUBSTITUTE(SUBSTITUTE(SUBSTITUTE(SUBSTITUTE(SUBSTITUTE(SUBSTITUTE(SUBSTITUTE(SUBSTITUTE(NOTA[NAMA BARANG]," ",),".",""),"-",""),"(",""),")",""),",",""),"/",""),"""",""),"+",""))</f>
        <v/>
      </c>
      <c r="AM2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27" t="str">
        <f>IF(NOTA[[#This Row],[CONCAT4]]="","",_xlfn.IFNA(MATCH(NOTA[[#This Row],[CONCAT4]],[2]!RAW[CONCAT_H],0),FALSE))</f>
        <v/>
      </c>
      <c r="AQ261" s="145" t="str">
        <f>IF(NOTA[[#This Row],[CONCAT1]]="","",MATCH(NOTA[[#This Row],[CONCAT1]],[3]!db[NB NOTA_C],0)+1)</f>
        <v/>
      </c>
    </row>
    <row r="262" spans="1:43" ht="20.100000000000001" customHeight="1" x14ac:dyDescent="0.25">
      <c r="A262" s="17">
        <f ca="1">IF(INDIRECT(ADDRESS(ROW()-1,COLUMN(NOTA[[#Headers],[ID]])))="ID",1,IF(NOTA[[#This Row],[FAKTUR]]="","",COUNT(INDIRECT(ADDRESS(ROW(NOTA[ID]),COLUMN(NOTA[ID]))&amp;":"&amp;ADDRESS(ROW()-1,COLUMN(NOTA[ID]))))+1))</f>
        <v>47</v>
      </c>
      <c r="B262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KEN_1105_588-4</v>
      </c>
      <c r="C262" s="18" t="e">
        <f ca="1">IF(NOTA[[#This Row],[ID_P]]="","",MATCH(NOTA[[#This Row],[ID_P]],[1]!B_MSK[N_ID],0))</f>
        <v>#REF!</v>
      </c>
      <c r="D262" s="18">
        <f ca="1">IF(NOTA[[#This Row],[NAMA BARANG]]="","",INDEX(NOTA[ID],MATCH(,INDIRECT(ADDRESS(ROW(NOTA[ID]),COLUMN(NOTA[ID]))&amp;":"&amp;ADDRESS(ROW(),COLUMN(NOTA[ID]))),-1)))</f>
        <v>47</v>
      </c>
      <c r="E262" s="14"/>
      <c r="F262" s="16" t="s">
        <v>23</v>
      </c>
      <c r="G262" s="16" t="s">
        <v>24</v>
      </c>
      <c r="H262" s="20" t="s">
        <v>444</v>
      </c>
      <c r="I262" s="16" t="s">
        <v>445</v>
      </c>
      <c r="J262" s="22">
        <v>45052</v>
      </c>
      <c r="K262" s="21"/>
      <c r="L262" s="16" t="s">
        <v>446</v>
      </c>
      <c r="M262" s="23">
        <v>1</v>
      </c>
      <c r="N262" s="21"/>
      <c r="O262" s="16"/>
      <c r="P262" s="17"/>
      <c r="Q262" s="34">
        <v>2592000</v>
      </c>
      <c r="R262" s="28" t="s">
        <v>151</v>
      </c>
      <c r="S262" s="24">
        <v>0.17</v>
      </c>
      <c r="T262" s="24"/>
      <c r="U262" s="25"/>
      <c r="V262" s="26"/>
      <c r="W262" s="25">
        <f>IF(NOTA[[#This Row],[HARGA/ CTN]]="",NOTA[[#This Row],[JUMLAH_H]],NOTA[[#This Row],[HARGA/ CTN]]*IF(NOTA[[#This Row],[C]]="",0,NOTA[[#This Row],[C]]))</f>
        <v>2592000</v>
      </c>
      <c r="X262" s="25">
        <f>IF(NOTA[[#This Row],[JUMLAH]]="","",NOTA[[#This Row],[JUMLAH]]*NOTA[[#This Row],[DISC 1]])</f>
        <v>440640.00000000006</v>
      </c>
      <c r="Y262" s="25">
        <f>IF(NOTA[[#This Row],[JUMLAH]]="","",(NOTA[[#This Row],[JUMLAH]]-NOTA[[#This Row],[DISC 1-]])*NOTA[[#This Row],[DISC 2]])</f>
        <v>0</v>
      </c>
      <c r="Z262" s="25">
        <f>IF(NOTA[[#This Row],[JUMLAH]]="","",NOTA[[#This Row],[DISC 1-]]+NOTA[[#This Row],[DISC 2-]])</f>
        <v>440640.00000000006</v>
      </c>
      <c r="AA262" s="25">
        <f>IF(NOTA[[#This Row],[JUMLAH]]="","",NOTA[[#This Row],[JUMLAH]]-NOTA[[#This Row],[DISC]])</f>
        <v>2151360</v>
      </c>
      <c r="AB262" s="25"/>
      <c r="AC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1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62" s="25" t="str">
        <f>IF(OR(NOTA[[#This Row],[QTY]]="",NOTA[[#This Row],[HARGA SATUAN]]="",),"",NOTA[[#This Row],[QTY]]*NOTA[[#This Row],[HARGA SATUAN]])</f>
        <v/>
      </c>
      <c r="AG262" s="22">
        <f ca="1">IF(NOTA[ID_H]="","",INDEX(NOTA[TANGGAL],MATCH(,INDIRECT(ADDRESS(ROW(NOTA[TANGGAL]),COLUMN(NOTA[TANGGAL]))&amp;":"&amp;ADDRESS(ROW(),COLUMN(NOTA[TANGGAL]))),-1)))</f>
        <v>45057</v>
      </c>
      <c r="AH262" s="17" t="str">
        <f ca="1">IF(NOTA[[#This Row],[NAMA BARANG]]="","",INDEX(NOTA[SUPPLIER],MATCH(,INDIRECT(ADDRESS(ROW(NOTA[ID]),COLUMN(NOTA[ID]))&amp;":"&amp;ADDRESS(ROW(),COLUMN(NOTA[ID]))),-1)))</f>
        <v>KENKO SINAR INDONESIA</v>
      </c>
      <c r="AI262" s="17" t="str">
        <f ca="1">IF(NOTA[[#This Row],[ID_H]]="","",IF(NOTA[[#This Row],[FAKTUR]]="",INDIRECT(ADDRESS(ROW()-1,COLUMN())),NOTA[[#This Row],[FAKTUR]]))</f>
        <v>ARTO MORO</v>
      </c>
      <c r="AJ262" s="27">
        <f ca="1">IF(NOTA[[#This Row],[ID]]="","",COUNTIF(NOTA[ID_H],NOTA[[#This Row],[ID_H]]))</f>
        <v>4</v>
      </c>
      <c r="AK262" s="27">
        <f>IF(NOTA[[#This Row],[TGL.NOTA]]="",IF(NOTA[[#This Row],[SUPPLIER_H]]="","",AK261),MONTH(NOTA[[#This Row],[TGL.NOTA]]))</f>
        <v>5</v>
      </c>
      <c r="AL262" s="27" t="str">
        <f>LOWER(SUBSTITUTE(SUBSTITUTE(SUBSTITUTE(SUBSTITUTE(SUBSTITUTE(SUBSTITUTE(SUBSTITUTE(SUBSTITUTE(SUBSTITUTE(NOTA[NAMA BARANG]," ",),".",""),"-",""),"(",""),")",""),",",""),"/",""),"""",""),"+",""))</f>
        <v>kenkocorrectiontapect6348mx5mm</v>
      </c>
      <c r="AM2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kenkocorrectiontapect6348mx5mm25920000.17</v>
      </c>
      <c r="AN2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kenkocorrectiontapect6348mx5mm25920000.17</v>
      </c>
      <c r="AO262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MORO23050588SA 4136045052kenkocorrectiontapect6348mx5mm</v>
      </c>
      <c r="AP262" s="27" t="e">
        <f>IF(NOTA[[#This Row],[CONCAT4]]="","",_xlfn.IFNA(MATCH(NOTA[[#This Row],[CONCAT4]],[2]!RAW[CONCAT_H],0),FALSE))</f>
        <v>#REF!</v>
      </c>
      <c r="AQ262" s="145">
        <f>IF(NOTA[[#This Row],[CONCAT1]]="","",MATCH(NOTA[[#This Row],[CONCAT1]],[3]!db[NB NOTA_C],0)+1)</f>
        <v>1216</v>
      </c>
    </row>
    <row r="263" spans="1:43" ht="20.100000000000001" customHeight="1" x14ac:dyDescent="0.25">
      <c r="A26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18" t="str">
        <f>IF(NOTA[[#This Row],[ID_P]]="","",MATCH(NOTA[[#This Row],[ID_P]],[1]!B_MSK[N_ID],0))</f>
        <v/>
      </c>
      <c r="D263" s="18">
        <f ca="1">IF(NOTA[[#This Row],[NAMA BARANG]]="","",INDEX(NOTA[ID],MATCH(,INDIRECT(ADDRESS(ROW(NOTA[ID]),COLUMN(NOTA[ID]))&amp;":"&amp;ADDRESS(ROW(),COLUMN(NOTA[ID]))),-1)))</f>
        <v>47</v>
      </c>
      <c r="E263" s="19"/>
      <c r="F263" s="21"/>
      <c r="G263" s="21"/>
      <c r="H263" s="41"/>
      <c r="I263" s="21"/>
      <c r="J263" s="22"/>
      <c r="K263" s="21"/>
      <c r="L263" s="16" t="s">
        <v>447</v>
      </c>
      <c r="M263" s="23">
        <v>4</v>
      </c>
      <c r="N263" s="21"/>
      <c r="O263" s="16"/>
      <c r="P263" s="17"/>
      <c r="Q263" s="34">
        <v>1695600</v>
      </c>
      <c r="R263" s="28" t="s">
        <v>148</v>
      </c>
      <c r="S263" s="24">
        <v>0.17</v>
      </c>
      <c r="T263" s="24"/>
      <c r="U263" s="25"/>
      <c r="V263" s="26"/>
      <c r="W263" s="25">
        <f>IF(NOTA[[#This Row],[HARGA/ CTN]]="",NOTA[[#This Row],[JUMLAH_H]],NOTA[[#This Row],[HARGA/ CTN]]*IF(NOTA[[#This Row],[C]]="",0,NOTA[[#This Row],[C]]))</f>
        <v>6782400</v>
      </c>
      <c r="X263" s="25">
        <f>IF(NOTA[[#This Row],[JUMLAH]]="","",NOTA[[#This Row],[JUMLAH]]*NOTA[[#This Row],[DISC 1]])</f>
        <v>1153008</v>
      </c>
      <c r="Y263" s="25">
        <f>IF(NOTA[[#This Row],[JUMLAH]]="","",(NOTA[[#This Row],[JUMLAH]]-NOTA[[#This Row],[DISC 1-]])*NOTA[[#This Row],[DISC 2]])</f>
        <v>0</v>
      </c>
      <c r="Z263" s="25">
        <f>IF(NOTA[[#This Row],[JUMLAH]]="","",NOTA[[#This Row],[DISC 1-]]+NOTA[[#This Row],[DISC 2-]])</f>
        <v>1153008</v>
      </c>
      <c r="AA263" s="25">
        <f>IF(NOTA[[#This Row],[JUMLAH]]="","",NOTA[[#This Row],[JUMLAH]]-NOTA[[#This Row],[DISC]])</f>
        <v>5629392</v>
      </c>
      <c r="AB263" s="25"/>
      <c r="AC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17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63" s="25" t="str">
        <f>IF(OR(NOTA[[#This Row],[QTY]]="",NOTA[[#This Row],[HARGA SATUAN]]="",),"",NOTA[[#This Row],[QTY]]*NOTA[[#This Row],[HARGA SATUAN]])</f>
        <v/>
      </c>
      <c r="AG263" s="22">
        <f ca="1">IF(NOTA[ID_H]="","",INDEX(NOTA[TANGGAL],MATCH(,INDIRECT(ADDRESS(ROW(NOTA[TANGGAL]),COLUMN(NOTA[TANGGAL]))&amp;":"&amp;ADDRESS(ROW(),COLUMN(NOTA[TANGGAL]))),-1)))</f>
        <v>45057</v>
      </c>
      <c r="AH263" s="17" t="str">
        <f ca="1">IF(NOTA[[#This Row],[NAMA BARANG]]="","",INDEX(NOTA[SUPPLIER],MATCH(,INDIRECT(ADDRESS(ROW(NOTA[ID]),COLUMN(NOTA[ID]))&amp;":"&amp;ADDRESS(ROW(),COLUMN(NOTA[ID]))),-1)))</f>
        <v>KENKO SINAR INDONESIA</v>
      </c>
      <c r="AI263" s="17" t="str">
        <f ca="1">IF(NOTA[[#This Row],[ID_H]]="","",IF(NOTA[[#This Row],[FAKTUR]]="",INDIRECT(ADDRESS(ROW()-1,COLUMN())),NOTA[[#This Row],[FAKTUR]]))</f>
        <v>ARTO MORO</v>
      </c>
      <c r="AJ263" s="27" t="str">
        <f ca="1">IF(NOTA[[#This Row],[ID]]="","",COUNTIF(NOTA[ID_H],NOTA[[#This Row],[ID_H]]))</f>
        <v/>
      </c>
      <c r="AK263" s="27">
        <f ca="1">IF(NOTA[[#This Row],[TGL.NOTA]]="",IF(NOTA[[#This Row],[SUPPLIER_H]]="","",AK262),MONTH(NOTA[[#This Row],[TGL.NOTA]]))</f>
        <v>5</v>
      </c>
      <c r="AL263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2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2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2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27" t="str">
        <f>IF(NOTA[[#This Row],[CONCAT4]]="","",_xlfn.IFNA(MATCH(NOTA[[#This Row],[CONCAT4]],[2]!RAW[CONCAT_H],0),FALSE))</f>
        <v/>
      </c>
      <c r="AQ263" s="145">
        <f>IF(NOTA[[#This Row],[CONCAT1]]="","",MATCH(NOTA[[#This Row],[CONCAT1]],[3]!db[NB NOTA_C],0)+1)</f>
        <v>1200</v>
      </c>
    </row>
    <row r="264" spans="1:43" ht="20.100000000000001" customHeight="1" x14ac:dyDescent="0.25">
      <c r="A26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18" t="str">
        <f>IF(NOTA[[#This Row],[ID_P]]="","",MATCH(NOTA[[#This Row],[ID_P]],[1]!B_MSK[N_ID],0))</f>
        <v/>
      </c>
      <c r="D264" s="18">
        <f ca="1">IF(NOTA[[#This Row],[NAMA BARANG]]="","",INDEX(NOTA[ID],MATCH(,INDIRECT(ADDRESS(ROW(NOTA[ID]),COLUMN(NOTA[ID]))&amp;":"&amp;ADDRESS(ROW(),COLUMN(NOTA[ID]))),-1)))</f>
        <v>47</v>
      </c>
      <c r="E264" s="19"/>
      <c r="F264" s="21"/>
      <c r="G264" s="21"/>
      <c r="H264" s="41"/>
      <c r="I264" s="21"/>
      <c r="J264" s="22"/>
      <c r="K264" s="21"/>
      <c r="L264" s="16" t="s">
        <v>448</v>
      </c>
      <c r="M264" s="23">
        <v>2</v>
      </c>
      <c r="N264" s="21"/>
      <c r="O264" s="16"/>
      <c r="P264" s="17"/>
      <c r="Q264" s="34">
        <v>1710000</v>
      </c>
      <c r="R264" s="28" t="s">
        <v>452</v>
      </c>
      <c r="S264" s="24">
        <v>0.17</v>
      </c>
      <c r="T264" s="24"/>
      <c r="U264" s="25"/>
      <c r="V264" s="26"/>
      <c r="W264" s="25">
        <f>IF(NOTA[[#This Row],[HARGA/ CTN]]="",NOTA[[#This Row],[JUMLAH_H]],NOTA[[#This Row],[HARGA/ CTN]]*IF(NOTA[[#This Row],[C]]="",0,NOTA[[#This Row],[C]]))</f>
        <v>3420000</v>
      </c>
      <c r="X264" s="25">
        <f>IF(NOTA[[#This Row],[JUMLAH]]="","",NOTA[[#This Row],[JUMLAH]]*NOTA[[#This Row],[DISC 1]])</f>
        <v>581400</v>
      </c>
      <c r="Y264" s="25">
        <f>IF(NOTA[[#This Row],[JUMLAH]]="","",(NOTA[[#This Row],[JUMLAH]]-NOTA[[#This Row],[DISC 1-]])*NOTA[[#This Row],[DISC 2]])</f>
        <v>0</v>
      </c>
      <c r="Z264" s="25">
        <f>IF(NOTA[[#This Row],[JUMLAH]]="","",NOTA[[#This Row],[DISC 1-]]+NOTA[[#This Row],[DISC 2-]])</f>
        <v>581400</v>
      </c>
      <c r="AA264" s="25">
        <f>IF(NOTA[[#This Row],[JUMLAH]]="","",NOTA[[#This Row],[JUMLAH]]-NOTA[[#This Row],[DISC]])</f>
        <v>2838600</v>
      </c>
      <c r="AB264" s="25"/>
      <c r="AC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1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4" s="25" t="str">
        <f>IF(OR(NOTA[[#This Row],[QTY]]="",NOTA[[#This Row],[HARGA SATUAN]]="",),"",NOTA[[#This Row],[QTY]]*NOTA[[#This Row],[HARGA SATUAN]])</f>
        <v/>
      </c>
      <c r="AG264" s="22">
        <f ca="1">IF(NOTA[ID_H]="","",INDEX(NOTA[TANGGAL],MATCH(,INDIRECT(ADDRESS(ROW(NOTA[TANGGAL]),COLUMN(NOTA[TANGGAL]))&amp;":"&amp;ADDRESS(ROW(),COLUMN(NOTA[TANGGAL]))),-1)))</f>
        <v>45057</v>
      </c>
      <c r="AH264" s="17" t="str">
        <f ca="1">IF(NOTA[[#This Row],[NAMA BARANG]]="","",INDEX(NOTA[SUPPLIER],MATCH(,INDIRECT(ADDRESS(ROW(NOTA[ID]),COLUMN(NOTA[ID]))&amp;":"&amp;ADDRESS(ROW(),COLUMN(NOTA[ID]))),-1)))</f>
        <v>KENKO SINAR INDONESIA</v>
      </c>
      <c r="AI264" s="17" t="str">
        <f ca="1">IF(NOTA[[#This Row],[ID_H]]="","",IF(NOTA[[#This Row],[FAKTUR]]="",INDIRECT(ADDRESS(ROW()-1,COLUMN())),NOTA[[#This Row],[FAKTUR]]))</f>
        <v>ARTO MORO</v>
      </c>
      <c r="AJ264" s="27" t="str">
        <f ca="1">IF(NOTA[[#This Row],[ID]]="","",COUNTIF(NOTA[ID_H],NOTA[[#This Row],[ID_H]]))</f>
        <v/>
      </c>
      <c r="AK264" s="27">
        <f ca="1">IF(NOTA[[#This Row],[TGL.NOTA]]="",IF(NOTA[[#This Row],[SUPPLIER_H]]="","",AK263),MONTH(NOTA[[#This Row],[TGL.NOTA]]))</f>
        <v>5</v>
      </c>
      <c r="AL264" s="27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2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2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2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27" t="str">
        <f>IF(NOTA[[#This Row],[CONCAT4]]="","",_xlfn.IFNA(MATCH(NOTA[[#This Row],[CONCAT4]],[2]!RAW[CONCAT_H],0),FALSE))</f>
        <v/>
      </c>
      <c r="AQ264" s="145">
        <f>IF(NOTA[[#This Row],[CONCAT1]]="","",MATCH(NOTA[[#This Row],[CONCAT1]],[3]!db[NB NOTA_C],0)+1)</f>
        <v>1234</v>
      </c>
    </row>
    <row r="265" spans="1:43" ht="20.100000000000001" customHeight="1" x14ac:dyDescent="0.25">
      <c r="A26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18" t="str">
        <f>IF(NOTA[[#This Row],[ID_P]]="","",MATCH(NOTA[[#This Row],[ID_P]],[1]!B_MSK[N_ID],0))</f>
        <v/>
      </c>
      <c r="D265" s="18">
        <f ca="1">IF(NOTA[[#This Row],[NAMA BARANG]]="","",INDEX(NOTA[ID],MATCH(,INDIRECT(ADDRESS(ROW(NOTA[ID]),COLUMN(NOTA[ID]))&amp;":"&amp;ADDRESS(ROW(),COLUMN(NOTA[ID]))),-1)))</f>
        <v>47</v>
      </c>
      <c r="E265" s="19"/>
      <c r="F265" s="16"/>
      <c r="G265" s="16"/>
      <c r="H265" s="20"/>
      <c r="I265" s="21"/>
      <c r="J265" s="22"/>
      <c r="K265" s="21"/>
      <c r="L265" s="16" t="s">
        <v>449</v>
      </c>
      <c r="M265" s="23">
        <v>5</v>
      </c>
      <c r="N265" s="21"/>
      <c r="O265" s="16"/>
      <c r="P265" s="17"/>
      <c r="Q265" s="34">
        <v>2952000</v>
      </c>
      <c r="R265" s="28" t="s">
        <v>232</v>
      </c>
      <c r="S265" s="24">
        <v>0.17</v>
      </c>
      <c r="T265" s="24"/>
      <c r="U265" s="25"/>
      <c r="V265" s="26"/>
      <c r="W265" s="25">
        <f>IF(NOTA[[#This Row],[HARGA/ CTN]]="",NOTA[[#This Row],[JUMLAH_H]],NOTA[[#This Row],[HARGA/ CTN]]*IF(NOTA[[#This Row],[C]]="",0,NOTA[[#This Row],[C]]))</f>
        <v>14760000</v>
      </c>
      <c r="X265" s="25">
        <f>IF(NOTA[[#This Row],[JUMLAH]]="","",NOTA[[#This Row],[JUMLAH]]*NOTA[[#This Row],[DISC 1]])</f>
        <v>2509200</v>
      </c>
      <c r="Y265" s="25">
        <f>IF(NOTA[[#This Row],[JUMLAH]]="","",(NOTA[[#This Row],[JUMLAH]]-NOTA[[#This Row],[DISC 1-]])*NOTA[[#This Row],[DISC 2]])</f>
        <v>0</v>
      </c>
      <c r="Z265" s="25">
        <f>IF(NOTA[[#This Row],[JUMLAH]]="","",NOTA[[#This Row],[DISC 1-]]+NOTA[[#This Row],[DISC 2-]])</f>
        <v>2509200</v>
      </c>
      <c r="AA265" s="25">
        <f>IF(NOTA[[#This Row],[JUMLAH]]="","",NOTA[[#This Row],[JUMLAH]]-NOTA[[#This Row],[DISC]])</f>
        <v>12250800</v>
      </c>
      <c r="AB265" s="25"/>
      <c r="AC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4684248</v>
      </c>
      <c r="AD26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22870152</v>
      </c>
      <c r="AE265" s="1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65" s="25" t="str">
        <f>IF(OR(NOTA[[#This Row],[QTY]]="",NOTA[[#This Row],[HARGA SATUAN]]="",),"",NOTA[[#This Row],[QTY]]*NOTA[[#This Row],[HARGA SATUAN]])</f>
        <v/>
      </c>
      <c r="AG265" s="22">
        <f ca="1">IF(NOTA[ID_H]="","",INDEX(NOTA[TANGGAL],MATCH(,INDIRECT(ADDRESS(ROW(NOTA[TANGGAL]),COLUMN(NOTA[TANGGAL]))&amp;":"&amp;ADDRESS(ROW(),COLUMN(NOTA[TANGGAL]))),-1)))</f>
        <v>45057</v>
      </c>
      <c r="AH265" s="17" t="str">
        <f ca="1">IF(NOTA[[#This Row],[NAMA BARANG]]="","",INDEX(NOTA[SUPPLIER],MATCH(,INDIRECT(ADDRESS(ROW(NOTA[ID]),COLUMN(NOTA[ID]))&amp;":"&amp;ADDRESS(ROW(),COLUMN(NOTA[ID]))),-1)))</f>
        <v>KENKO SINAR INDONESIA</v>
      </c>
      <c r="AI265" s="17" t="str">
        <f ca="1">IF(NOTA[[#This Row],[ID_H]]="","",IF(NOTA[[#This Row],[FAKTUR]]="",INDIRECT(ADDRESS(ROW()-1,COLUMN())),NOTA[[#This Row],[FAKTUR]]))</f>
        <v>ARTO MORO</v>
      </c>
      <c r="AJ265" s="27" t="str">
        <f ca="1">IF(NOTA[[#This Row],[ID]]="","",COUNTIF(NOTA[ID_H],NOTA[[#This Row],[ID_H]]))</f>
        <v/>
      </c>
      <c r="AK265" s="27">
        <f ca="1">IF(NOTA[[#This Row],[TGL.NOTA]]="",IF(NOTA[[#This Row],[SUPPLIER_H]]="","",AK264),MONTH(NOTA[[#This Row],[TGL.NOTA]]))</f>
        <v>5</v>
      </c>
      <c r="AL265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27" t="str">
        <f>IF(NOTA[[#This Row],[CONCAT4]]="","",_xlfn.IFNA(MATCH(NOTA[[#This Row],[CONCAT4]],[2]!RAW[CONCAT_H],0),FALSE))</f>
        <v/>
      </c>
      <c r="AQ265" s="145">
        <f>IF(NOTA[[#This Row],[CONCAT1]]="","",MATCH(NOTA[[#This Row],[CONCAT1]],[3]!db[NB NOTA_C],0)+1)</f>
        <v>1239</v>
      </c>
    </row>
    <row r="266" spans="1:43" ht="20.100000000000001" customHeight="1" x14ac:dyDescent="0.25">
      <c r="A26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18" t="str">
        <f>IF(NOTA[[#This Row],[ID_P]]="","",MATCH(NOTA[[#This Row],[ID_P]],[1]!B_MSK[N_ID],0))</f>
        <v/>
      </c>
      <c r="D266" s="18" t="str">
        <f ca="1">IF(NOTA[[#This Row],[NAMA BARANG]]="","",INDEX(NOTA[ID],MATCH(,INDIRECT(ADDRESS(ROW(NOTA[ID]),COLUMN(NOTA[ID]))&amp;":"&amp;ADDRESS(ROW(),COLUMN(NOTA[ID]))),-1)))</f>
        <v/>
      </c>
      <c r="E266" s="19"/>
      <c r="F266" s="21"/>
      <c r="G266" s="21"/>
      <c r="H266" s="41"/>
      <c r="I266" s="21"/>
      <c r="J266" s="22"/>
      <c r="K266" s="21"/>
      <c r="L266" s="16"/>
      <c r="M266" s="23"/>
      <c r="N266" s="21"/>
      <c r="O266" s="16"/>
      <c r="P266" s="17"/>
      <c r="Q266" s="34"/>
      <c r="R266" s="28"/>
      <c r="S266" s="24"/>
      <c r="T266" s="24"/>
      <c r="U266" s="25"/>
      <c r="V266" s="26"/>
      <c r="W266" s="25" t="str">
        <f>IF(NOTA[[#This Row],[HARGA/ CTN]]="",NOTA[[#This Row],[JUMLAH_H]],NOTA[[#This Row],[HARGA/ CTN]]*IF(NOTA[[#This Row],[C]]="",0,NOTA[[#This Row],[C]]))</f>
        <v/>
      </c>
      <c r="X266" s="25" t="str">
        <f>IF(NOTA[[#This Row],[JUMLAH]]="","",NOTA[[#This Row],[JUMLAH]]*NOTA[[#This Row],[DISC 1]])</f>
        <v/>
      </c>
      <c r="Y266" s="25" t="str">
        <f>IF(NOTA[[#This Row],[JUMLAH]]="","",(NOTA[[#This Row],[JUMLAH]]-NOTA[[#This Row],[DISC 1-]])*NOTA[[#This Row],[DISC 2]])</f>
        <v/>
      </c>
      <c r="Z266" s="25" t="str">
        <f>IF(NOTA[[#This Row],[JUMLAH]]="","",NOTA[[#This Row],[DISC 1-]]+NOTA[[#This Row],[DISC 2-]])</f>
        <v/>
      </c>
      <c r="AA266" s="25" t="str">
        <f>IF(NOTA[[#This Row],[JUMLAH]]="","",NOTA[[#This Row],[JUMLAH]]-NOTA[[#This Row],[DISC]])</f>
        <v/>
      </c>
      <c r="AB266" s="25"/>
      <c r="AC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25" t="str">
        <f>IF(OR(NOTA[[#This Row],[QTY]]="",NOTA[[#This Row],[HARGA SATUAN]]="",),"",NOTA[[#This Row],[QTY]]*NOTA[[#This Row],[HARGA SATUAN]])</f>
        <v/>
      </c>
      <c r="AG266" s="22" t="str">
        <f ca="1">IF(NOTA[ID_H]="","",INDEX(NOTA[TANGGAL],MATCH(,INDIRECT(ADDRESS(ROW(NOTA[TANGGAL]),COLUMN(NOTA[TANGGAL]))&amp;":"&amp;ADDRESS(ROW(),COLUMN(NOTA[TANGGAL]))),-1)))</f>
        <v/>
      </c>
      <c r="AH266" s="17" t="str">
        <f ca="1">IF(NOTA[[#This Row],[NAMA BARANG]]="","",INDEX(NOTA[SUPPLIER],MATCH(,INDIRECT(ADDRESS(ROW(NOTA[ID]),COLUMN(NOTA[ID]))&amp;":"&amp;ADDRESS(ROW(),COLUMN(NOTA[ID]))),-1)))</f>
        <v/>
      </c>
      <c r="AI266" s="17" t="str">
        <f ca="1">IF(NOTA[[#This Row],[ID_H]]="","",IF(NOTA[[#This Row],[FAKTUR]]="",INDIRECT(ADDRESS(ROW()-1,COLUMN())),NOTA[[#This Row],[FAKTUR]]))</f>
        <v/>
      </c>
      <c r="AJ266" s="27" t="str">
        <f ca="1">IF(NOTA[[#This Row],[ID]]="","",COUNTIF(NOTA[ID_H],NOTA[[#This Row],[ID_H]]))</f>
        <v/>
      </c>
      <c r="AK266" s="27" t="str">
        <f ca="1">IF(NOTA[[#This Row],[TGL.NOTA]]="",IF(NOTA[[#This Row],[SUPPLIER_H]]="","",AK265),MONTH(NOTA[[#This Row],[TGL.NOTA]]))</f>
        <v/>
      </c>
      <c r="AL266" s="27" t="str">
        <f>LOWER(SUBSTITUTE(SUBSTITUTE(SUBSTITUTE(SUBSTITUTE(SUBSTITUTE(SUBSTITUTE(SUBSTITUTE(SUBSTITUTE(SUBSTITUTE(NOTA[NAMA BARANG]," ",),".",""),"-",""),"(",""),")",""),",",""),"/",""),"""",""),"+",""))</f>
        <v/>
      </c>
      <c r="AM2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27" t="str">
        <f>IF(NOTA[[#This Row],[CONCAT4]]="","",_xlfn.IFNA(MATCH(NOTA[[#This Row],[CONCAT4]],[2]!RAW[CONCAT_H],0),FALSE))</f>
        <v/>
      </c>
      <c r="AQ266" s="145" t="str">
        <f>IF(NOTA[[#This Row],[CONCAT1]]="","",MATCH(NOTA[[#This Row],[CONCAT1]],[3]!db[NB NOTA_C],0)+1)</f>
        <v/>
      </c>
    </row>
    <row r="267" spans="1:43" ht="20.100000000000001" customHeight="1" x14ac:dyDescent="0.25">
      <c r="A267" s="17">
        <f ca="1">IF(INDIRECT(ADDRESS(ROW()-1,COLUMN(NOTA[[#Headers],[ID]])))="ID",1,IF(NOTA[[#This Row],[FAKTUR]]="","",COUNT(INDIRECT(ADDRESS(ROW(NOTA[ID]),COLUMN(NOTA[ID]))&amp;":"&amp;ADDRESS(ROW()-1,COLUMN(NOTA[ID]))))+1))</f>
        <v>48</v>
      </c>
      <c r="B26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GRA_1205_145-1</v>
      </c>
      <c r="C267" s="18" t="e">
        <f ca="1">IF(NOTA[[#This Row],[ID_P]]="","",MATCH(NOTA[[#This Row],[ID_P]],[1]!B_MSK[N_ID],0))</f>
        <v>#REF!</v>
      </c>
      <c r="D267" s="18">
        <f ca="1">IF(NOTA[[#This Row],[NAMA BARANG]]="","",INDEX(NOTA[ID],MATCH(,INDIRECT(ADDRESS(ROW(NOTA[ID]),COLUMN(NOTA[ID]))&amp;":"&amp;ADDRESS(ROW(),COLUMN(NOTA[ID]))),-1)))</f>
        <v>48</v>
      </c>
      <c r="E267" s="19">
        <v>45058</v>
      </c>
      <c r="F267" s="16" t="s">
        <v>124</v>
      </c>
      <c r="G267" s="16" t="s">
        <v>112</v>
      </c>
      <c r="H267" s="20" t="s">
        <v>453</v>
      </c>
      <c r="I267" s="21"/>
      <c r="J267" s="37">
        <v>45055</v>
      </c>
      <c r="K267" s="21"/>
      <c r="L267" s="16" t="s">
        <v>454</v>
      </c>
      <c r="M267" s="23">
        <v>6</v>
      </c>
      <c r="N267" s="21">
        <v>300</v>
      </c>
      <c r="O267" s="16" t="s">
        <v>125</v>
      </c>
      <c r="P267" s="17">
        <v>16000</v>
      </c>
      <c r="Q267" s="38"/>
      <c r="R267" s="28"/>
      <c r="S267" s="24"/>
      <c r="T267" s="24"/>
      <c r="U267" s="25"/>
      <c r="V267" s="26"/>
      <c r="W267" s="25">
        <f>IF(NOTA[[#This Row],[HARGA/ CTN]]="",NOTA[[#This Row],[JUMLAH_H]],NOTA[[#This Row],[HARGA/ CTN]]*IF(NOTA[[#This Row],[C]]="",0,NOTA[[#This Row],[C]]))</f>
        <v>4800000</v>
      </c>
      <c r="X267" s="25">
        <f>IF(NOTA[[#This Row],[JUMLAH]]="","",NOTA[[#This Row],[JUMLAH]]*NOTA[[#This Row],[DISC 1]])</f>
        <v>0</v>
      </c>
      <c r="Y267" s="25">
        <f>IF(NOTA[[#This Row],[JUMLAH]]="","",(NOTA[[#This Row],[JUMLAH]]-NOTA[[#This Row],[DISC 1-]])*NOTA[[#This Row],[DISC 2]])</f>
        <v>0</v>
      </c>
      <c r="Z267" s="25">
        <f>IF(NOTA[[#This Row],[JUMLAH]]="","",NOTA[[#This Row],[DISC 1-]]+NOTA[[#This Row],[DISC 2-]])</f>
        <v>0</v>
      </c>
      <c r="AA267" s="25">
        <f>IF(NOTA[[#This Row],[JUMLAH]]="","",NOTA[[#This Row],[JUMLAH]]-NOTA[[#This Row],[DISC]])</f>
        <v>4800000</v>
      </c>
      <c r="AB267" s="25"/>
      <c r="AC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7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E267" s="17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67" s="25">
        <f>IF(OR(NOTA[[#This Row],[QTY]]="",NOTA[[#This Row],[HARGA SATUAN]]="",),"",NOTA[[#This Row],[QTY]]*NOTA[[#This Row],[HARGA SATUAN]])</f>
        <v>4800000</v>
      </c>
      <c r="AG267" s="22">
        <f ca="1">IF(NOTA[ID_H]="","",INDEX(NOTA[TANGGAL],MATCH(,INDIRECT(ADDRESS(ROW(NOTA[TANGGAL]),COLUMN(NOTA[TANGGAL]))&amp;":"&amp;ADDRESS(ROW(),COLUMN(NOTA[TANGGAL]))),-1)))</f>
        <v>45058</v>
      </c>
      <c r="AH267" s="17" t="str">
        <f ca="1">IF(NOTA[[#This Row],[NAMA BARANG]]="","",INDEX(NOTA[SUPPLIER],MATCH(,INDIRECT(ADDRESS(ROW(NOTA[ID]),COLUMN(NOTA[ID]))&amp;":"&amp;ADDRESS(ROW(),COLUMN(NOTA[ID]))),-1)))</f>
        <v>GRAFINDO</v>
      </c>
      <c r="AI267" s="17" t="str">
        <f ca="1">IF(NOTA[[#This Row],[ID_H]]="","",IF(NOTA[[#This Row],[FAKTUR]]="",INDIRECT(ADDRESS(ROW()-1,COLUMN())),NOTA[[#This Row],[FAKTUR]]))</f>
        <v>UNTANA</v>
      </c>
      <c r="AJ267" s="27">
        <f ca="1">IF(NOTA[[#This Row],[ID]]="","",COUNTIF(NOTA[ID_H],NOTA[[#This Row],[ID_H]]))</f>
        <v>1</v>
      </c>
      <c r="AK267" s="27">
        <f>IF(NOTA[[#This Row],[TGL.NOTA]]="",IF(NOTA[[#This Row],[SUPPLIER_H]]="","",AK266),MONTH(NOTA[[#This Row],[TGL.NOTA]]))</f>
        <v>5</v>
      </c>
      <c r="AL267" s="27" t="str">
        <f>LOWER(SUBSTITUTE(SUBSTITUTE(SUBSTITUTE(SUBSTITUTE(SUBSTITUTE(SUBSTITUTE(SUBSTITUTE(SUBSTITUTE(SUBSTITUTE(NOTA[NAMA BARANG]," ",),".",""),"-",""),"(",""),")",""),",",""),"/",""),"""",""),"+",""))</f>
        <v>mapkancingsikaac065hijau</v>
      </c>
      <c r="AM2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mapkancingsikaac065hijau800000</v>
      </c>
      <c r="AN2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mapkancingsikaac065hijau800000</v>
      </c>
      <c r="AO267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GRAFINDOUNTANAGA-23-05-014545055mapkancingsikaac065hijau</v>
      </c>
      <c r="AP267" s="27" t="e">
        <f>IF(NOTA[[#This Row],[CONCAT4]]="","",_xlfn.IFNA(MATCH(NOTA[[#This Row],[CONCAT4]],[2]!RAW[CONCAT_H],0),FALSE))</f>
        <v>#REF!</v>
      </c>
      <c r="AQ267" s="145" t="e">
        <f>IF(NOTA[[#This Row],[CONCAT1]]="","",MATCH(NOTA[[#This Row],[CONCAT1]],[3]!db[NB NOTA_C],0)+1)</f>
        <v>#N/A</v>
      </c>
    </row>
    <row r="268" spans="1:43" ht="20.100000000000001" customHeight="1" x14ac:dyDescent="0.25">
      <c r="A26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18" t="str">
        <f>IF(NOTA[[#This Row],[ID_P]]="","",MATCH(NOTA[[#This Row],[ID_P]],[1]!B_MSK[N_ID],0))</f>
        <v/>
      </c>
      <c r="D268" s="18" t="str">
        <f ca="1">IF(NOTA[[#This Row],[NAMA BARANG]]="","",INDEX(NOTA[ID],MATCH(,INDIRECT(ADDRESS(ROW(NOTA[ID]),COLUMN(NOTA[ID]))&amp;":"&amp;ADDRESS(ROW(),COLUMN(NOTA[ID]))),-1)))</f>
        <v/>
      </c>
      <c r="E268" s="19"/>
      <c r="F268" s="16"/>
      <c r="G268" s="16"/>
      <c r="H268" s="20"/>
      <c r="I268" s="16"/>
      <c r="J268" s="22"/>
      <c r="K268" s="16"/>
      <c r="L268" s="16"/>
      <c r="M268" s="23"/>
      <c r="N268" s="21"/>
      <c r="O268" s="16"/>
      <c r="P268" s="17"/>
      <c r="Q268" s="34"/>
      <c r="R268" s="28"/>
      <c r="S268" s="24"/>
      <c r="T268" s="24"/>
      <c r="U268" s="25"/>
      <c r="V268" s="26"/>
      <c r="W268" s="25" t="str">
        <f>IF(NOTA[[#This Row],[HARGA/ CTN]]="",NOTA[[#This Row],[JUMLAH_H]],NOTA[[#This Row],[HARGA/ CTN]]*IF(NOTA[[#This Row],[C]]="",0,NOTA[[#This Row],[C]]))</f>
        <v/>
      </c>
      <c r="X268" s="25" t="str">
        <f>IF(NOTA[[#This Row],[JUMLAH]]="","",NOTA[[#This Row],[JUMLAH]]*NOTA[[#This Row],[DISC 1]])</f>
        <v/>
      </c>
      <c r="Y268" s="25" t="str">
        <f>IF(NOTA[[#This Row],[JUMLAH]]="","",(NOTA[[#This Row],[JUMLAH]]-NOTA[[#This Row],[DISC 1-]])*NOTA[[#This Row],[DISC 2]])</f>
        <v/>
      </c>
      <c r="Z268" s="25" t="str">
        <f>IF(NOTA[[#This Row],[JUMLAH]]="","",NOTA[[#This Row],[DISC 1-]]+NOTA[[#This Row],[DISC 2-]])</f>
        <v/>
      </c>
      <c r="AA268" s="25" t="str">
        <f>IF(NOTA[[#This Row],[JUMLAH]]="","",NOTA[[#This Row],[JUMLAH]]-NOTA[[#This Row],[DISC]])</f>
        <v/>
      </c>
      <c r="AB268" s="25"/>
      <c r="AC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8" s="25" t="str">
        <f>IF(OR(NOTA[[#This Row],[QTY]]="",NOTA[[#This Row],[HARGA SATUAN]]="",),"",NOTA[[#This Row],[QTY]]*NOTA[[#This Row],[HARGA SATUAN]])</f>
        <v/>
      </c>
      <c r="AG268" s="22" t="str">
        <f ca="1">IF(NOTA[ID_H]="","",INDEX(NOTA[TANGGAL],MATCH(,INDIRECT(ADDRESS(ROW(NOTA[TANGGAL]),COLUMN(NOTA[TANGGAL]))&amp;":"&amp;ADDRESS(ROW(),COLUMN(NOTA[TANGGAL]))),-1)))</f>
        <v/>
      </c>
      <c r="AH268" s="17" t="str">
        <f ca="1">IF(NOTA[[#This Row],[NAMA BARANG]]="","",INDEX(NOTA[SUPPLIER],MATCH(,INDIRECT(ADDRESS(ROW(NOTA[ID]),COLUMN(NOTA[ID]))&amp;":"&amp;ADDRESS(ROW(),COLUMN(NOTA[ID]))),-1)))</f>
        <v/>
      </c>
      <c r="AI268" s="17" t="str">
        <f ca="1">IF(NOTA[[#This Row],[ID_H]]="","",IF(NOTA[[#This Row],[FAKTUR]]="",INDIRECT(ADDRESS(ROW()-1,COLUMN())),NOTA[[#This Row],[FAKTUR]]))</f>
        <v/>
      </c>
      <c r="AJ268" s="27" t="str">
        <f ca="1">IF(NOTA[[#This Row],[ID]]="","",COUNTIF(NOTA[ID_H],NOTA[[#This Row],[ID_H]]))</f>
        <v/>
      </c>
      <c r="AK268" s="27" t="str">
        <f ca="1">IF(NOTA[[#This Row],[TGL.NOTA]]="",IF(NOTA[[#This Row],[SUPPLIER_H]]="","",AK267),MONTH(NOTA[[#This Row],[TGL.NOTA]]))</f>
        <v/>
      </c>
      <c r="AL268" s="27" t="str">
        <f>LOWER(SUBSTITUTE(SUBSTITUTE(SUBSTITUTE(SUBSTITUTE(SUBSTITUTE(SUBSTITUTE(SUBSTITUTE(SUBSTITUTE(SUBSTITUTE(NOTA[NAMA BARANG]," ",),".",""),"-",""),"(",""),")",""),",",""),"/",""),"""",""),"+",""))</f>
        <v/>
      </c>
      <c r="AM2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27" t="str">
        <f>IF(NOTA[[#This Row],[CONCAT4]]="","",_xlfn.IFNA(MATCH(NOTA[[#This Row],[CONCAT4]],[2]!RAW[CONCAT_H],0),FALSE))</f>
        <v/>
      </c>
      <c r="AQ268" s="145" t="str">
        <f>IF(NOTA[[#This Row],[CONCAT1]]="","",MATCH(NOTA[[#This Row],[CONCAT1]],[3]!db[NB NOTA_C],0)+1)</f>
        <v/>
      </c>
    </row>
    <row r="269" spans="1:43" ht="20.100000000000001" customHeight="1" x14ac:dyDescent="0.25">
      <c r="A269" s="17">
        <f ca="1">IF(INDIRECT(ADDRESS(ROW()-1,COLUMN(NOTA[[#Headers],[ID]])))="ID",1,IF(NOTA[[#This Row],[FAKTUR]]="","",COUNT(INDIRECT(ADDRESS(ROW(NOTA[ID]),COLUMN(NOTA[ID]))&amp;":"&amp;ADDRESS(ROW()-1,COLUMN(NOTA[ID]))))+1))</f>
        <v>49</v>
      </c>
      <c r="B269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ETJ_1205_123-5</v>
      </c>
      <c r="C269" s="18" t="e">
        <f ca="1">IF(NOTA[[#This Row],[ID_P]]="","",MATCH(NOTA[[#This Row],[ID_P]],[1]!B_MSK[N_ID],0))</f>
        <v>#REF!</v>
      </c>
      <c r="D269" s="18">
        <f ca="1">IF(NOTA[[#This Row],[NAMA BARANG]]="","",INDEX(NOTA[ID],MATCH(,INDIRECT(ADDRESS(ROW(NOTA[ID]),COLUMN(NOTA[ID]))&amp;":"&amp;ADDRESS(ROW(),COLUMN(NOTA[ID]))),-1)))</f>
        <v>49</v>
      </c>
      <c r="E269" s="19">
        <v>45058</v>
      </c>
      <c r="F269" s="16" t="s">
        <v>331</v>
      </c>
      <c r="G269" s="16" t="s">
        <v>112</v>
      </c>
      <c r="H269" s="20" t="s">
        <v>455</v>
      </c>
      <c r="I269" s="21"/>
      <c r="J269" s="22">
        <v>45055</v>
      </c>
      <c r="K269" s="21"/>
      <c r="L269" s="16" t="s">
        <v>456</v>
      </c>
      <c r="M269" s="23">
        <v>36</v>
      </c>
      <c r="N269" s="21">
        <v>10800</v>
      </c>
      <c r="O269" s="16" t="s">
        <v>457</v>
      </c>
      <c r="P269" s="17">
        <v>1250</v>
      </c>
      <c r="Q269" s="34"/>
      <c r="R269" s="28" t="s">
        <v>458</v>
      </c>
      <c r="S269" s="24"/>
      <c r="T269" s="24"/>
      <c r="U269" s="25"/>
      <c r="V269" s="26"/>
      <c r="W269" s="25">
        <f>IF(NOTA[[#This Row],[HARGA/ CTN]]="",NOTA[[#This Row],[JUMLAH_H]],NOTA[[#This Row],[HARGA/ CTN]]*IF(NOTA[[#This Row],[C]]="",0,NOTA[[#This Row],[C]]))</f>
        <v>13500000</v>
      </c>
      <c r="X269" s="25">
        <f>IF(NOTA[[#This Row],[JUMLAH]]="","",NOTA[[#This Row],[JUMLAH]]*NOTA[[#This Row],[DISC 1]])</f>
        <v>0</v>
      </c>
      <c r="Y269" s="25">
        <f>IF(NOTA[[#This Row],[JUMLAH]]="","",(NOTA[[#This Row],[JUMLAH]]-NOTA[[#This Row],[DISC 1-]])*NOTA[[#This Row],[DISC 2]])</f>
        <v>0</v>
      </c>
      <c r="Z269" s="25">
        <f>IF(NOTA[[#This Row],[JUMLAH]]="","",NOTA[[#This Row],[DISC 1-]]+NOTA[[#This Row],[DISC 2-]])</f>
        <v>0</v>
      </c>
      <c r="AA269" s="25">
        <f>IF(NOTA[[#This Row],[JUMLAH]]="","",NOTA[[#This Row],[JUMLAH]]-NOTA[[#This Row],[DISC]])</f>
        <v>13500000</v>
      </c>
      <c r="AB269" s="25"/>
      <c r="AC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69" s="25">
        <f>IF(OR(NOTA[[#This Row],[QTY]]="",NOTA[[#This Row],[HARGA SATUAN]]="",),"",NOTA[[#This Row],[QTY]]*NOTA[[#This Row],[HARGA SATUAN]])</f>
        <v>13500000</v>
      </c>
      <c r="AG269" s="22">
        <f ca="1">IF(NOTA[ID_H]="","",INDEX(NOTA[TANGGAL],MATCH(,INDIRECT(ADDRESS(ROW(NOTA[TANGGAL]),COLUMN(NOTA[TANGGAL]))&amp;":"&amp;ADDRESS(ROW(),COLUMN(NOTA[TANGGAL]))),-1)))</f>
        <v>45058</v>
      </c>
      <c r="AH269" s="17" t="str">
        <f ca="1">IF(NOTA[[#This Row],[NAMA BARANG]]="","",INDEX(NOTA[SUPPLIER],MATCH(,INDIRECT(ADDRESS(ROW(NOTA[ID]),COLUMN(NOTA[ID]))&amp;":"&amp;ADDRESS(ROW(),COLUMN(NOTA[ID]))),-1)))</f>
        <v>ETJ</v>
      </c>
      <c r="AI269" s="17" t="str">
        <f ca="1">IF(NOTA[[#This Row],[ID_H]]="","",IF(NOTA[[#This Row],[FAKTUR]]="",INDIRECT(ADDRESS(ROW()-1,COLUMN())),NOTA[[#This Row],[FAKTUR]]))</f>
        <v>UNTANA</v>
      </c>
      <c r="AJ269" s="27">
        <f ca="1">IF(NOTA[[#This Row],[ID]]="","",COUNTIF(NOTA[ID_H],NOTA[[#This Row],[ID_H]]))</f>
        <v>5</v>
      </c>
      <c r="AK269" s="27">
        <f>IF(NOTA[[#This Row],[TGL.NOTA]]="",IF(NOTA[[#This Row],[SUPPLIER_H]]="","",AK268),MONTH(NOTA[[#This Row],[TGL.NOTA]]))</f>
        <v>5</v>
      </c>
      <c r="AL269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sampulbukukuningtipis375000</v>
      </c>
      <c r="AN2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sampulbukukuningtipis375000</v>
      </c>
      <c r="AO269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ETJUNTANAG61.2345055sampulbukukuningtipis</v>
      </c>
      <c r="AP269" s="27" t="e">
        <f>IF(NOTA[[#This Row],[CONCAT4]]="","",_xlfn.IFNA(MATCH(NOTA[[#This Row],[CONCAT4]],[2]!RAW[CONCAT_H],0),FALSE))</f>
        <v>#REF!</v>
      </c>
      <c r="AQ269" s="145" t="e">
        <f>IF(NOTA[[#This Row],[CONCAT1]]="","",MATCH(NOTA[[#This Row],[CONCAT1]],[3]!db[NB NOTA_C],0)+1)</f>
        <v>#N/A</v>
      </c>
    </row>
    <row r="270" spans="1:43" ht="20.100000000000001" customHeight="1" x14ac:dyDescent="0.25">
      <c r="A27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18" t="str">
        <f>IF(NOTA[[#This Row],[ID_P]]="","",MATCH(NOTA[[#This Row],[ID_P]],[1]!B_MSK[N_ID],0))</f>
        <v/>
      </c>
      <c r="D270" s="18">
        <f ca="1">IF(NOTA[[#This Row],[NAMA BARANG]]="","",INDEX(NOTA[ID],MATCH(,INDIRECT(ADDRESS(ROW(NOTA[ID]),COLUMN(NOTA[ID]))&amp;":"&amp;ADDRESS(ROW(),COLUMN(NOTA[ID]))),-1)))</f>
        <v>49</v>
      </c>
      <c r="E270" s="19"/>
      <c r="F270" s="16"/>
      <c r="G270" s="16"/>
      <c r="H270" s="20"/>
      <c r="I270" s="16"/>
      <c r="J270" s="22"/>
      <c r="K270" s="21"/>
      <c r="L270" s="16" t="s">
        <v>459</v>
      </c>
      <c r="M270" s="23">
        <v>15</v>
      </c>
      <c r="N270" s="21">
        <v>4500</v>
      </c>
      <c r="O270" s="16" t="s">
        <v>457</v>
      </c>
      <c r="P270" s="17">
        <v>1250</v>
      </c>
      <c r="Q270" s="34"/>
      <c r="R270" s="28" t="s">
        <v>458</v>
      </c>
      <c r="S270" s="24"/>
      <c r="T270" s="24"/>
      <c r="U270" s="25"/>
      <c r="V270" s="26"/>
      <c r="W270" s="25">
        <f>IF(NOTA[[#This Row],[HARGA/ CTN]]="",NOTA[[#This Row],[JUMLAH_H]],NOTA[[#This Row],[HARGA/ CTN]]*IF(NOTA[[#This Row],[C]]="",0,NOTA[[#This Row],[C]]))</f>
        <v>5625000</v>
      </c>
      <c r="X270" s="25">
        <f>IF(NOTA[[#This Row],[JUMLAH]]="","",NOTA[[#This Row],[JUMLAH]]*NOTA[[#This Row],[DISC 1]])</f>
        <v>0</v>
      </c>
      <c r="Y270" s="25">
        <f>IF(NOTA[[#This Row],[JUMLAH]]="","",(NOTA[[#This Row],[JUMLAH]]-NOTA[[#This Row],[DISC 1-]])*NOTA[[#This Row],[DISC 2]])</f>
        <v>0</v>
      </c>
      <c r="Z270" s="25">
        <f>IF(NOTA[[#This Row],[JUMLAH]]="","",NOTA[[#This Row],[DISC 1-]]+NOTA[[#This Row],[DISC 2-]])</f>
        <v>0</v>
      </c>
      <c r="AA270" s="25">
        <f>IF(NOTA[[#This Row],[JUMLAH]]="","",NOTA[[#This Row],[JUMLAH]]-NOTA[[#This Row],[DISC]])</f>
        <v>5625000</v>
      </c>
      <c r="AB270" s="25"/>
      <c r="AC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17">
        <f>IF(NOTA[[#This Row],[NAMA BARANG]]="","",IF(NOTA[[#This Row],[JUMLAH_H]]="",NOTA[[#This Row],[HARGA/ CTN]],NOTA[[#This Row],[QTY]]*NOTA[[#This Row],[HARGA SATUAN]]/IF(ISNUMBER(NOTA[[#This Row],[C]]),NOTA[[#This Row],[C]],1)))</f>
        <v>375000</v>
      </c>
      <c r="AF270" s="25">
        <f>IF(OR(NOTA[[#This Row],[QTY]]="",NOTA[[#This Row],[HARGA SATUAN]]="",),"",NOTA[[#This Row],[QTY]]*NOTA[[#This Row],[HARGA SATUAN]])</f>
        <v>5625000</v>
      </c>
      <c r="AG270" s="22">
        <f ca="1">IF(NOTA[ID_H]="","",INDEX(NOTA[TANGGAL],MATCH(,INDIRECT(ADDRESS(ROW(NOTA[TANGGAL]),COLUMN(NOTA[TANGGAL]))&amp;":"&amp;ADDRESS(ROW(),COLUMN(NOTA[TANGGAL]))),-1)))</f>
        <v>45058</v>
      </c>
      <c r="AH270" s="17" t="str">
        <f ca="1">IF(NOTA[[#This Row],[NAMA BARANG]]="","",INDEX(NOTA[SUPPLIER],MATCH(,INDIRECT(ADDRESS(ROW(NOTA[ID]),COLUMN(NOTA[ID]))&amp;":"&amp;ADDRESS(ROW(),COLUMN(NOTA[ID]))),-1)))</f>
        <v>ETJ</v>
      </c>
      <c r="AI270" s="17" t="str">
        <f ca="1">IF(NOTA[[#This Row],[ID_H]]="","",IF(NOTA[[#This Row],[FAKTUR]]="",INDIRECT(ADDRESS(ROW()-1,COLUMN())),NOTA[[#This Row],[FAKTUR]]))</f>
        <v>UNTANA</v>
      </c>
      <c r="AJ270" s="27" t="str">
        <f ca="1">IF(NOTA[[#This Row],[ID]]="","",COUNTIF(NOTA[ID_H],NOTA[[#This Row],[ID_H]]))</f>
        <v/>
      </c>
      <c r="AK270" s="27">
        <f ca="1">IF(NOTA[[#This Row],[TGL.NOTA]]="",IF(NOTA[[#This Row],[SUPPLIER_H]]="","",AK269),MONTH(NOTA[[#This Row],[TGL.NOTA]]))</f>
        <v>5</v>
      </c>
      <c r="AL270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sampulbukucoklattebal375000</v>
      </c>
      <c r="AN2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sampulbukucoklattebal375000</v>
      </c>
      <c r="AO2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27" t="str">
        <f>IF(NOTA[[#This Row],[CONCAT4]]="","",_xlfn.IFNA(MATCH(NOTA[[#This Row],[CONCAT4]],[2]!RAW[CONCAT_H],0),FALSE))</f>
        <v/>
      </c>
      <c r="AQ270" s="145" t="e">
        <f>IF(NOTA[[#This Row],[CONCAT1]]="","",MATCH(NOTA[[#This Row],[CONCAT1]],[3]!db[NB NOTA_C],0)+1)</f>
        <v>#N/A</v>
      </c>
    </row>
    <row r="271" spans="1:43" ht="20.100000000000001" customHeight="1" x14ac:dyDescent="0.25">
      <c r="A27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18" t="str">
        <f>IF(NOTA[[#This Row],[ID_P]]="","",MATCH(NOTA[[#This Row],[ID_P]],[1]!B_MSK[N_ID],0))</f>
        <v/>
      </c>
      <c r="D271" s="18">
        <f ca="1">IF(NOTA[[#This Row],[NAMA BARANG]]="","",INDEX(NOTA[ID],MATCH(,INDIRECT(ADDRESS(ROW(NOTA[ID]),COLUMN(NOTA[ID]))&amp;":"&amp;ADDRESS(ROW(),COLUMN(NOTA[ID]))),-1)))</f>
        <v>49</v>
      </c>
      <c r="E271" s="19"/>
      <c r="F271" s="16"/>
      <c r="G271" s="16"/>
      <c r="H271" s="20"/>
      <c r="I271" s="21"/>
      <c r="J271" s="22"/>
      <c r="K271" s="21"/>
      <c r="L271" s="16" t="s">
        <v>459</v>
      </c>
      <c r="M271" s="23"/>
      <c r="N271" s="21">
        <v>250</v>
      </c>
      <c r="O271" s="16" t="s">
        <v>457</v>
      </c>
      <c r="P271" s="17">
        <v>1250</v>
      </c>
      <c r="Q271" s="34"/>
      <c r="R271" s="28"/>
      <c r="S271" s="24"/>
      <c r="T271" s="24"/>
      <c r="U271" s="25"/>
      <c r="V271" s="26"/>
      <c r="W271" s="25">
        <f>IF(NOTA[[#This Row],[HARGA/ CTN]]="",NOTA[[#This Row],[JUMLAH_H]],NOTA[[#This Row],[HARGA/ CTN]]*IF(NOTA[[#This Row],[C]]="",0,NOTA[[#This Row],[C]]))</f>
        <v>312500</v>
      </c>
      <c r="X271" s="25">
        <f>IF(NOTA[[#This Row],[JUMLAH]]="","",NOTA[[#This Row],[JUMLAH]]*NOTA[[#This Row],[DISC 1]])</f>
        <v>0</v>
      </c>
      <c r="Y271" s="25">
        <f>IF(NOTA[[#This Row],[JUMLAH]]="","",(NOTA[[#This Row],[JUMLAH]]-NOTA[[#This Row],[DISC 1-]])*NOTA[[#This Row],[DISC 2]])</f>
        <v>0</v>
      </c>
      <c r="Z271" s="25">
        <f>IF(NOTA[[#This Row],[JUMLAH]]="","",NOTA[[#This Row],[DISC 1-]]+NOTA[[#This Row],[DISC 2-]])</f>
        <v>0</v>
      </c>
      <c r="AA271" s="25">
        <f>IF(NOTA[[#This Row],[JUMLAH]]="","",NOTA[[#This Row],[JUMLAH]]-NOTA[[#This Row],[DISC]])</f>
        <v>312500</v>
      </c>
      <c r="AB271" s="25"/>
      <c r="AC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17">
        <f>IF(NOTA[[#This Row],[NAMA BARANG]]="","",IF(NOTA[[#This Row],[JUMLAH_H]]="",NOTA[[#This Row],[HARGA/ CTN]],NOTA[[#This Row],[QTY]]*NOTA[[#This Row],[HARGA SATUAN]]/IF(ISNUMBER(NOTA[[#This Row],[C]]),NOTA[[#This Row],[C]],1)))</f>
        <v>312500</v>
      </c>
      <c r="AF271" s="25">
        <f>IF(OR(NOTA[[#This Row],[QTY]]="",NOTA[[#This Row],[HARGA SATUAN]]="",),"",NOTA[[#This Row],[QTY]]*NOTA[[#This Row],[HARGA SATUAN]])</f>
        <v>312500</v>
      </c>
      <c r="AG271" s="22">
        <f ca="1">IF(NOTA[ID_H]="","",INDEX(NOTA[TANGGAL],MATCH(,INDIRECT(ADDRESS(ROW(NOTA[TANGGAL]),COLUMN(NOTA[TANGGAL]))&amp;":"&amp;ADDRESS(ROW(),COLUMN(NOTA[TANGGAL]))),-1)))</f>
        <v>45058</v>
      </c>
      <c r="AH271" s="17" t="str">
        <f ca="1">IF(NOTA[[#This Row],[NAMA BARANG]]="","",INDEX(NOTA[SUPPLIER],MATCH(,INDIRECT(ADDRESS(ROW(NOTA[ID]),COLUMN(NOTA[ID]))&amp;":"&amp;ADDRESS(ROW(),COLUMN(NOTA[ID]))),-1)))</f>
        <v>ETJ</v>
      </c>
      <c r="AI271" s="17" t="str">
        <f ca="1">IF(NOTA[[#This Row],[ID_H]]="","",IF(NOTA[[#This Row],[FAKTUR]]="",INDIRECT(ADDRESS(ROW()-1,COLUMN())),NOTA[[#This Row],[FAKTUR]]))</f>
        <v>UNTANA</v>
      </c>
      <c r="AJ271" s="27" t="str">
        <f ca="1">IF(NOTA[[#This Row],[ID]]="","",COUNTIF(NOTA[ID_H],NOTA[[#This Row],[ID_H]]))</f>
        <v/>
      </c>
      <c r="AK271" s="27">
        <f ca="1">IF(NOTA[[#This Row],[TGL.NOTA]]="",IF(NOTA[[#This Row],[SUPPLIER_H]]="","",AK270),MONTH(NOTA[[#This Row],[TGL.NOTA]]))</f>
        <v>5</v>
      </c>
      <c r="AL271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sampulbukucoklattebal312500</v>
      </c>
      <c r="AN2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27" t="str">
        <f>IF(NOTA[[#This Row],[CONCAT4]]="","",_xlfn.IFNA(MATCH(NOTA[[#This Row],[CONCAT4]],[2]!RAW[CONCAT_H],0),FALSE))</f>
        <v/>
      </c>
      <c r="AQ271" s="145" t="e">
        <f>IF(NOTA[[#This Row],[CONCAT1]]="","",MATCH(NOTA[[#This Row],[CONCAT1]],[3]!db[NB NOTA_C],0)+1)</f>
        <v>#N/A</v>
      </c>
    </row>
    <row r="272" spans="1:43" ht="20.100000000000001" customHeight="1" x14ac:dyDescent="0.25">
      <c r="A27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18" t="str">
        <f>IF(NOTA[[#This Row],[ID_P]]="","",MATCH(NOTA[[#This Row],[ID_P]],[1]!B_MSK[N_ID],0))</f>
        <v/>
      </c>
      <c r="D272" s="18">
        <f ca="1">IF(NOTA[[#This Row],[NAMA BARANG]]="","",INDEX(NOTA[ID],MATCH(,INDIRECT(ADDRESS(ROW(NOTA[ID]),COLUMN(NOTA[ID]))&amp;":"&amp;ADDRESS(ROW(),COLUMN(NOTA[ID]))),-1)))</f>
        <v>49</v>
      </c>
      <c r="E272" s="19"/>
      <c r="F272" s="16"/>
      <c r="G272" s="16"/>
      <c r="H272" s="20"/>
      <c r="I272" s="21"/>
      <c r="J272" s="22"/>
      <c r="K272" s="21"/>
      <c r="L272" s="16" t="s">
        <v>459</v>
      </c>
      <c r="M272" s="23"/>
      <c r="N272" s="21">
        <v>170</v>
      </c>
      <c r="O272" s="16" t="s">
        <v>457</v>
      </c>
      <c r="P272" s="17">
        <v>1250</v>
      </c>
      <c r="Q272" s="38"/>
      <c r="R272" s="28"/>
      <c r="S272" s="24"/>
      <c r="T272" s="24"/>
      <c r="U272" s="25"/>
      <c r="V272" s="26"/>
      <c r="W272" s="25">
        <f>IF(NOTA[[#This Row],[HARGA/ CTN]]="",NOTA[[#This Row],[JUMLAH_H]],NOTA[[#This Row],[HARGA/ CTN]]*IF(NOTA[[#This Row],[C]]="",0,NOTA[[#This Row],[C]]))</f>
        <v>212500</v>
      </c>
      <c r="X272" s="25">
        <f>IF(NOTA[[#This Row],[JUMLAH]]="","",NOTA[[#This Row],[JUMLAH]]*NOTA[[#This Row],[DISC 1]])</f>
        <v>0</v>
      </c>
      <c r="Y272" s="25">
        <f>IF(NOTA[[#This Row],[JUMLAH]]="","",(NOTA[[#This Row],[JUMLAH]]-NOTA[[#This Row],[DISC 1-]])*NOTA[[#This Row],[DISC 2]])</f>
        <v>0</v>
      </c>
      <c r="Z272" s="25">
        <f>IF(NOTA[[#This Row],[JUMLAH]]="","",NOTA[[#This Row],[DISC 1-]]+NOTA[[#This Row],[DISC 2-]])</f>
        <v>0</v>
      </c>
      <c r="AA272" s="25">
        <f>IF(NOTA[[#This Row],[JUMLAH]]="","",NOTA[[#This Row],[JUMLAH]]-NOTA[[#This Row],[DISC]])</f>
        <v>212500</v>
      </c>
      <c r="AB272" s="25"/>
      <c r="AC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17">
        <f>IF(NOTA[[#This Row],[NAMA BARANG]]="","",IF(NOTA[[#This Row],[JUMLAH_H]]="",NOTA[[#This Row],[HARGA/ CTN]],NOTA[[#This Row],[QTY]]*NOTA[[#This Row],[HARGA SATUAN]]/IF(ISNUMBER(NOTA[[#This Row],[C]]),NOTA[[#This Row],[C]],1)))</f>
        <v>212500</v>
      </c>
      <c r="AF272" s="25">
        <f>IF(OR(NOTA[[#This Row],[QTY]]="",NOTA[[#This Row],[HARGA SATUAN]]="",),"",NOTA[[#This Row],[QTY]]*NOTA[[#This Row],[HARGA SATUAN]])</f>
        <v>212500</v>
      </c>
      <c r="AG272" s="22">
        <f ca="1">IF(NOTA[ID_H]="","",INDEX(NOTA[TANGGAL],MATCH(,INDIRECT(ADDRESS(ROW(NOTA[TANGGAL]),COLUMN(NOTA[TANGGAL]))&amp;":"&amp;ADDRESS(ROW(),COLUMN(NOTA[TANGGAL]))),-1)))</f>
        <v>45058</v>
      </c>
      <c r="AH272" s="17" t="str">
        <f ca="1">IF(NOTA[[#This Row],[NAMA BARANG]]="","",INDEX(NOTA[SUPPLIER],MATCH(,INDIRECT(ADDRESS(ROW(NOTA[ID]),COLUMN(NOTA[ID]))&amp;":"&amp;ADDRESS(ROW(),COLUMN(NOTA[ID]))),-1)))</f>
        <v>ETJ</v>
      </c>
      <c r="AI272" s="17" t="str">
        <f ca="1">IF(NOTA[[#This Row],[ID_H]]="","",IF(NOTA[[#This Row],[FAKTUR]]="",INDIRECT(ADDRESS(ROW()-1,COLUMN())),NOTA[[#This Row],[FAKTUR]]))</f>
        <v>UNTANA</v>
      </c>
      <c r="AJ272" s="27" t="str">
        <f ca="1">IF(NOTA[[#This Row],[ID]]="","",COUNTIF(NOTA[ID_H],NOTA[[#This Row],[ID_H]]))</f>
        <v/>
      </c>
      <c r="AK272" s="27">
        <f ca="1">IF(NOTA[[#This Row],[TGL.NOTA]]="",IF(NOTA[[#This Row],[SUPPLIER_H]]="","",AK271),MONTH(NOTA[[#This Row],[TGL.NOTA]]))</f>
        <v>5</v>
      </c>
      <c r="AL272" s="27" t="str">
        <f>LOWER(SUBSTITUTE(SUBSTITUTE(SUBSTITUTE(SUBSTITUTE(SUBSTITUTE(SUBSTITUTE(SUBSTITUTE(SUBSTITUTE(SUBSTITUTE(NOTA[NAMA BARANG]," ",),".",""),"-",""),"(",""),")",""),",",""),"/",""),"""",""),"+",""))</f>
        <v>sampulbukucoklattebal</v>
      </c>
      <c r="AM2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sampulbukucoklattebal212500</v>
      </c>
      <c r="AN2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sampulbukucoklattebal1250</v>
      </c>
      <c r="AO2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27" t="str">
        <f>IF(NOTA[[#This Row],[CONCAT4]]="","",_xlfn.IFNA(MATCH(NOTA[[#This Row],[CONCAT4]],[2]!RAW[CONCAT_H],0),FALSE))</f>
        <v/>
      </c>
      <c r="AQ272" s="145" t="e">
        <f>IF(NOTA[[#This Row],[CONCAT1]]="","",MATCH(NOTA[[#This Row],[CONCAT1]],[3]!db[NB NOTA_C],0)+1)</f>
        <v>#N/A</v>
      </c>
    </row>
    <row r="273" spans="1:43" ht="20.100000000000001" customHeight="1" x14ac:dyDescent="0.25">
      <c r="A27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18" t="str">
        <f>IF(NOTA[[#This Row],[ID_P]]="","",MATCH(NOTA[[#This Row],[ID_P]],[1]!B_MSK[N_ID],0))</f>
        <v/>
      </c>
      <c r="D273" s="18">
        <f ca="1">IF(NOTA[[#This Row],[NAMA BARANG]]="","",INDEX(NOTA[ID],MATCH(,INDIRECT(ADDRESS(ROW(NOTA[ID]),COLUMN(NOTA[ID]))&amp;":"&amp;ADDRESS(ROW(),COLUMN(NOTA[ID]))),-1)))</f>
        <v>49</v>
      </c>
      <c r="E273" s="19"/>
      <c r="F273" s="21"/>
      <c r="G273" s="21"/>
      <c r="H273" s="41"/>
      <c r="I273" s="21"/>
      <c r="J273" s="22"/>
      <c r="K273" s="21"/>
      <c r="L273" s="16" t="s">
        <v>456</v>
      </c>
      <c r="M273" s="23"/>
      <c r="N273" s="21">
        <v>20</v>
      </c>
      <c r="O273" s="16" t="s">
        <v>457</v>
      </c>
      <c r="P273" s="17">
        <v>1250</v>
      </c>
      <c r="Q273" s="34"/>
      <c r="R273" s="28"/>
      <c r="S273" s="24"/>
      <c r="T273" s="24"/>
      <c r="U273" s="25"/>
      <c r="V273" s="26"/>
      <c r="W273" s="25">
        <f>IF(NOTA[[#This Row],[HARGA/ CTN]]="",NOTA[[#This Row],[JUMLAH_H]],NOTA[[#This Row],[HARGA/ CTN]]*IF(NOTA[[#This Row],[C]]="",0,NOTA[[#This Row],[C]]))</f>
        <v>25000</v>
      </c>
      <c r="X273" s="25">
        <f>IF(NOTA[[#This Row],[JUMLAH]]="","",NOTA[[#This Row],[JUMLAH]]*NOTA[[#This Row],[DISC 1]])</f>
        <v>0</v>
      </c>
      <c r="Y273" s="25">
        <f>IF(NOTA[[#This Row],[JUMLAH]]="","",(NOTA[[#This Row],[JUMLAH]]-NOTA[[#This Row],[DISC 1-]])*NOTA[[#This Row],[DISC 2]])</f>
        <v>0</v>
      </c>
      <c r="Z273" s="25">
        <f>IF(NOTA[[#This Row],[JUMLAH]]="","",NOTA[[#This Row],[DISC 1-]]+NOTA[[#This Row],[DISC 2-]])</f>
        <v>0</v>
      </c>
      <c r="AA273" s="25">
        <f>IF(NOTA[[#This Row],[JUMLAH]]="","",NOTA[[#This Row],[JUMLAH]]-NOTA[[#This Row],[DISC]])</f>
        <v>25000</v>
      </c>
      <c r="AB273" s="25"/>
      <c r="AC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3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19675000</v>
      </c>
      <c r="AE273" s="17">
        <f>IF(NOTA[[#This Row],[NAMA BARANG]]="","",IF(NOTA[[#This Row],[JUMLAH_H]]="",NOTA[[#This Row],[HARGA/ CTN]],NOTA[[#This Row],[QTY]]*NOTA[[#This Row],[HARGA SATUAN]]/IF(ISNUMBER(NOTA[[#This Row],[C]]),NOTA[[#This Row],[C]],1)))</f>
        <v>25000</v>
      </c>
      <c r="AF273" s="25">
        <f>IF(OR(NOTA[[#This Row],[QTY]]="",NOTA[[#This Row],[HARGA SATUAN]]="",),"",NOTA[[#This Row],[QTY]]*NOTA[[#This Row],[HARGA SATUAN]])</f>
        <v>25000</v>
      </c>
      <c r="AG273" s="22">
        <f ca="1">IF(NOTA[ID_H]="","",INDEX(NOTA[TANGGAL],MATCH(,INDIRECT(ADDRESS(ROW(NOTA[TANGGAL]),COLUMN(NOTA[TANGGAL]))&amp;":"&amp;ADDRESS(ROW(),COLUMN(NOTA[TANGGAL]))),-1)))</f>
        <v>45058</v>
      </c>
      <c r="AH273" s="17" t="str">
        <f ca="1">IF(NOTA[[#This Row],[NAMA BARANG]]="","",INDEX(NOTA[SUPPLIER],MATCH(,INDIRECT(ADDRESS(ROW(NOTA[ID]),COLUMN(NOTA[ID]))&amp;":"&amp;ADDRESS(ROW(),COLUMN(NOTA[ID]))),-1)))</f>
        <v>ETJ</v>
      </c>
      <c r="AI273" s="17" t="str">
        <f ca="1">IF(NOTA[[#This Row],[ID_H]]="","",IF(NOTA[[#This Row],[FAKTUR]]="",INDIRECT(ADDRESS(ROW()-1,COLUMN())),NOTA[[#This Row],[FAKTUR]]))</f>
        <v>UNTANA</v>
      </c>
      <c r="AJ273" s="27" t="str">
        <f ca="1">IF(NOTA[[#This Row],[ID]]="","",COUNTIF(NOTA[ID_H],NOTA[[#This Row],[ID_H]]))</f>
        <v/>
      </c>
      <c r="AK273" s="27">
        <f ca="1">IF(NOTA[[#This Row],[TGL.NOTA]]="",IF(NOTA[[#This Row],[SUPPLIER_H]]="","",AK272),MONTH(NOTA[[#This Row],[TGL.NOTA]]))</f>
        <v>5</v>
      </c>
      <c r="AL273" s="27" t="str">
        <f>LOWER(SUBSTITUTE(SUBSTITUTE(SUBSTITUTE(SUBSTITUTE(SUBSTITUTE(SUBSTITUTE(SUBSTITUTE(SUBSTITUTE(SUBSTITUTE(NOTA[NAMA BARANG]," ",),".",""),"-",""),"(",""),")",""),",",""),"/",""),"""",""),"+",""))</f>
        <v>sampulbukukuningtipis</v>
      </c>
      <c r="AM2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sampulbukukuningtipis25000</v>
      </c>
      <c r="AN2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sampulbukukuningtipis1250</v>
      </c>
      <c r="AO2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27" t="str">
        <f>IF(NOTA[[#This Row],[CONCAT4]]="","",_xlfn.IFNA(MATCH(NOTA[[#This Row],[CONCAT4]],[2]!RAW[CONCAT_H],0),FALSE))</f>
        <v/>
      </c>
      <c r="AQ273" s="145" t="e">
        <f>IF(NOTA[[#This Row],[CONCAT1]]="","",MATCH(NOTA[[#This Row],[CONCAT1]],[3]!db[NB NOTA_C],0)+1)</f>
        <v>#N/A</v>
      </c>
    </row>
    <row r="274" spans="1:43" ht="20.100000000000001" customHeight="1" x14ac:dyDescent="0.25">
      <c r="A27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18" t="str">
        <f>IF(NOTA[[#This Row],[ID_P]]="","",MATCH(NOTA[[#This Row],[ID_P]],[1]!B_MSK[N_ID],0))</f>
        <v/>
      </c>
      <c r="D274" s="18" t="str">
        <f ca="1">IF(NOTA[[#This Row],[NAMA BARANG]]="","",INDEX(NOTA[ID],MATCH(,INDIRECT(ADDRESS(ROW(NOTA[ID]),COLUMN(NOTA[ID]))&amp;":"&amp;ADDRESS(ROW(),COLUMN(NOTA[ID]))),-1)))</f>
        <v/>
      </c>
      <c r="E274" s="19"/>
      <c r="F274" s="16"/>
      <c r="G274" s="16"/>
      <c r="H274" s="20"/>
      <c r="I274" s="21"/>
      <c r="J274" s="22"/>
      <c r="K274" s="21"/>
      <c r="L274" s="16"/>
      <c r="M274" s="23"/>
      <c r="N274" s="21"/>
      <c r="O274" s="16"/>
      <c r="P274" s="17"/>
      <c r="Q274" s="34"/>
      <c r="R274" s="28"/>
      <c r="S274" s="24"/>
      <c r="T274" s="24"/>
      <c r="U274" s="25"/>
      <c r="V274" s="26"/>
      <c r="W274" s="25" t="str">
        <f>IF(NOTA[[#This Row],[HARGA/ CTN]]="",NOTA[[#This Row],[JUMLAH_H]],NOTA[[#This Row],[HARGA/ CTN]]*IF(NOTA[[#This Row],[C]]="",0,NOTA[[#This Row],[C]]))</f>
        <v/>
      </c>
      <c r="X274" s="25" t="str">
        <f>IF(NOTA[[#This Row],[JUMLAH]]="","",NOTA[[#This Row],[JUMLAH]]*NOTA[[#This Row],[DISC 1]])</f>
        <v/>
      </c>
      <c r="Y274" s="25" t="str">
        <f>IF(NOTA[[#This Row],[JUMLAH]]="","",(NOTA[[#This Row],[JUMLAH]]-NOTA[[#This Row],[DISC 1-]])*NOTA[[#This Row],[DISC 2]])</f>
        <v/>
      </c>
      <c r="Z274" s="25" t="str">
        <f>IF(NOTA[[#This Row],[JUMLAH]]="","",NOTA[[#This Row],[DISC 1-]]+NOTA[[#This Row],[DISC 2-]])</f>
        <v/>
      </c>
      <c r="AA274" s="25" t="str">
        <f>IF(NOTA[[#This Row],[JUMLAH]]="","",NOTA[[#This Row],[JUMLAH]]-NOTA[[#This Row],[DISC]])</f>
        <v/>
      </c>
      <c r="AB274" s="25"/>
      <c r="AC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25" t="str">
        <f>IF(OR(NOTA[[#This Row],[QTY]]="",NOTA[[#This Row],[HARGA SATUAN]]="",),"",NOTA[[#This Row],[QTY]]*NOTA[[#This Row],[HARGA SATUAN]])</f>
        <v/>
      </c>
      <c r="AG274" s="22" t="str">
        <f ca="1">IF(NOTA[ID_H]="","",INDEX(NOTA[TANGGAL],MATCH(,INDIRECT(ADDRESS(ROW(NOTA[TANGGAL]),COLUMN(NOTA[TANGGAL]))&amp;":"&amp;ADDRESS(ROW(),COLUMN(NOTA[TANGGAL]))),-1)))</f>
        <v/>
      </c>
      <c r="AH274" s="17" t="str">
        <f ca="1">IF(NOTA[[#This Row],[NAMA BARANG]]="","",INDEX(NOTA[SUPPLIER],MATCH(,INDIRECT(ADDRESS(ROW(NOTA[ID]),COLUMN(NOTA[ID]))&amp;":"&amp;ADDRESS(ROW(),COLUMN(NOTA[ID]))),-1)))</f>
        <v/>
      </c>
      <c r="AI274" s="17" t="str">
        <f ca="1">IF(NOTA[[#This Row],[ID_H]]="","",IF(NOTA[[#This Row],[FAKTUR]]="",INDIRECT(ADDRESS(ROW()-1,COLUMN())),NOTA[[#This Row],[FAKTUR]]))</f>
        <v/>
      </c>
      <c r="AJ274" s="27" t="str">
        <f ca="1">IF(NOTA[[#This Row],[ID]]="","",COUNTIF(NOTA[ID_H],NOTA[[#This Row],[ID_H]]))</f>
        <v/>
      </c>
      <c r="AK274" s="27" t="str">
        <f ca="1">IF(NOTA[[#This Row],[TGL.NOTA]]="",IF(NOTA[[#This Row],[SUPPLIER_H]]="","",AK273),MONTH(NOTA[[#This Row],[TGL.NOTA]]))</f>
        <v/>
      </c>
      <c r="AL274" s="27" t="str">
        <f>LOWER(SUBSTITUTE(SUBSTITUTE(SUBSTITUTE(SUBSTITUTE(SUBSTITUTE(SUBSTITUTE(SUBSTITUTE(SUBSTITUTE(SUBSTITUTE(NOTA[NAMA BARANG]," ",),".",""),"-",""),"(",""),")",""),",",""),"/",""),"""",""),"+",""))</f>
        <v/>
      </c>
      <c r="AM2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27" t="str">
        <f>IF(NOTA[[#This Row],[CONCAT4]]="","",_xlfn.IFNA(MATCH(NOTA[[#This Row],[CONCAT4]],[2]!RAW[CONCAT_H],0),FALSE))</f>
        <v/>
      </c>
      <c r="AQ274" s="145" t="str">
        <f>IF(NOTA[[#This Row],[CONCAT1]]="","",MATCH(NOTA[[#This Row],[CONCAT1]],[3]!db[NB NOTA_C],0)+1)</f>
        <v/>
      </c>
    </row>
    <row r="275" spans="1:43" ht="20.100000000000001" customHeight="1" x14ac:dyDescent="0.25">
      <c r="A275" s="17">
        <f ca="1">IF(INDIRECT(ADDRESS(ROW()-1,COLUMN(NOTA[[#Headers],[ID]])))="ID",1,IF(NOTA[[#This Row],[FAKTUR]]="","",COUNT(INDIRECT(ADDRESS(ROW(NOTA[ID]),COLUMN(NOTA[ID]))&amp;":"&amp;ADDRESS(ROW()-1,COLUMN(NOTA[ID]))))+1))</f>
        <v>50</v>
      </c>
      <c r="B275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GLO_1105_ 06-2</v>
      </c>
      <c r="C275" s="18" t="e">
        <f ca="1">IF(NOTA[[#This Row],[ID_P]]="","",MATCH(NOTA[[#This Row],[ID_P]],[1]!B_MSK[N_ID],0))</f>
        <v>#REF!</v>
      </c>
      <c r="D275" s="18">
        <f ca="1">IF(NOTA[[#This Row],[NAMA BARANG]]="","",INDEX(NOTA[ID],MATCH(,INDIRECT(ADDRESS(ROW(NOTA[ID]),COLUMN(NOTA[ID]))&amp;":"&amp;ADDRESS(ROW(),COLUMN(NOTA[ID]))),-1)))</f>
        <v>50</v>
      </c>
      <c r="E275" s="19">
        <v>45057</v>
      </c>
      <c r="F275" s="16" t="s">
        <v>460</v>
      </c>
      <c r="G275" s="16" t="s">
        <v>112</v>
      </c>
      <c r="H275" s="20" t="s">
        <v>461</v>
      </c>
      <c r="I275" s="21"/>
      <c r="J275" s="22">
        <v>45057</v>
      </c>
      <c r="K275" s="21"/>
      <c r="L275" s="16" t="s">
        <v>462</v>
      </c>
      <c r="M275" s="23"/>
      <c r="N275" s="21">
        <v>7</v>
      </c>
      <c r="O275" s="16" t="s">
        <v>146</v>
      </c>
      <c r="P275" s="35">
        <v>161000</v>
      </c>
      <c r="Q275" s="38"/>
      <c r="R275" s="28"/>
      <c r="S275" s="24"/>
      <c r="T275" s="24"/>
      <c r="U275" s="25"/>
      <c r="V275" s="26"/>
      <c r="W275" s="25">
        <f>IF(NOTA[[#This Row],[HARGA/ CTN]]="",NOTA[[#This Row],[JUMLAH_H]],NOTA[[#This Row],[HARGA/ CTN]]*IF(NOTA[[#This Row],[C]]="",0,NOTA[[#This Row],[C]]))</f>
        <v>1127000</v>
      </c>
      <c r="X275" s="25">
        <f>IF(NOTA[[#This Row],[JUMLAH]]="","",NOTA[[#This Row],[JUMLAH]]*NOTA[[#This Row],[DISC 1]])</f>
        <v>0</v>
      </c>
      <c r="Y275" s="25">
        <f>IF(NOTA[[#This Row],[JUMLAH]]="","",(NOTA[[#This Row],[JUMLAH]]-NOTA[[#This Row],[DISC 1-]])*NOTA[[#This Row],[DISC 2]])</f>
        <v>0</v>
      </c>
      <c r="Z275" s="25">
        <f>IF(NOTA[[#This Row],[JUMLAH]]="","",NOTA[[#This Row],[DISC 1-]]+NOTA[[#This Row],[DISC 2-]])</f>
        <v>0</v>
      </c>
      <c r="AA275" s="25">
        <f>IF(NOTA[[#This Row],[JUMLAH]]="","",NOTA[[#This Row],[JUMLAH]]-NOTA[[#This Row],[DISC]])</f>
        <v>1127000</v>
      </c>
      <c r="AB275" s="25"/>
      <c r="AC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1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275" s="25">
        <f>IF(OR(NOTA[[#This Row],[QTY]]="",NOTA[[#This Row],[HARGA SATUAN]]="",),"",NOTA[[#This Row],[QTY]]*NOTA[[#This Row],[HARGA SATUAN]])</f>
        <v>1127000</v>
      </c>
      <c r="AG275" s="22">
        <f ca="1">IF(NOTA[ID_H]="","",INDEX(NOTA[TANGGAL],MATCH(,INDIRECT(ADDRESS(ROW(NOTA[TANGGAL]),COLUMN(NOTA[TANGGAL]))&amp;":"&amp;ADDRESS(ROW(),COLUMN(NOTA[TANGGAL]))),-1)))</f>
        <v>45057</v>
      </c>
      <c r="AH275" s="17" t="str">
        <f ca="1">IF(NOTA[[#This Row],[NAMA BARANG]]="","",INDEX(NOTA[SUPPLIER],MATCH(,INDIRECT(ADDRESS(ROW(NOTA[ID]),COLUMN(NOTA[ID]))&amp;":"&amp;ADDRESS(ROW(),COLUMN(NOTA[ID]))),-1)))</f>
        <v>GLORY</v>
      </c>
      <c r="AI275" s="17" t="str">
        <f ca="1">IF(NOTA[[#This Row],[ID_H]]="","",IF(NOTA[[#This Row],[FAKTUR]]="",INDIRECT(ADDRESS(ROW()-1,COLUMN())),NOTA[[#This Row],[FAKTUR]]))</f>
        <v>UNTANA</v>
      </c>
      <c r="AJ275" s="27">
        <f ca="1">IF(NOTA[[#This Row],[ID]]="","",COUNTIF(NOTA[ID_H],NOTA[[#This Row],[ID_H]]))</f>
        <v>2</v>
      </c>
      <c r="AK275" s="27">
        <f>IF(NOTA[[#This Row],[TGL.NOTA]]="",IF(NOTA[[#This Row],[SUPPLIER_H]]="","",AK274),MONTH(NOTA[[#This Row],[TGL.NOTA]]))</f>
        <v>5</v>
      </c>
      <c r="AL275" s="27" t="str">
        <f>LOWER(SUBSTITUTE(SUBSTITUTE(SUBSTITUTE(SUBSTITUTE(SUBSTITUTE(SUBSTITUTE(SUBSTITUTE(SUBSTITUTE(SUBSTITUTE(NOTA[NAMA BARANG]," ",),".",""),"-",""),"(",""),")",""),",",""),"/",""),"""",""),"+",""))</f>
        <v>btbatik</v>
      </c>
      <c r="AM2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2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275" s="27" t="str">
        <f>IF(NOTA[[#This Row],[SUPPLIER]]="","",NOTA[[#This Row],[SUPPLIER]]&amp;NOTA[[#This Row],[FAKTUR]]&amp;NOTA[[#This Row],[NO.NOTA]]&amp;NOTA[[#This Row],[NO.SJ]]&amp;NOTA[[#This Row],[TGL.NOTA]]&amp;NOTA[[#This Row],[CONCAT1]])</f>
        <v>GLORYUNTANAE 0645057btbatik</v>
      </c>
      <c r="AP275" s="27" t="e">
        <f>IF(NOTA[[#This Row],[CONCAT4]]="","",_xlfn.IFNA(MATCH(NOTA[[#This Row],[CONCAT4]],[2]!RAW[CONCAT_H],0),FALSE))</f>
        <v>#REF!</v>
      </c>
      <c r="AQ275" s="145">
        <f>IF(NOTA[[#This Row],[CONCAT1]]="","",MATCH(NOTA[[#This Row],[CONCAT1]],[3]!db[NB NOTA_C],0)+1)</f>
        <v>371</v>
      </c>
    </row>
    <row r="276" spans="1:43" ht="20.100000000000001" customHeight="1" x14ac:dyDescent="0.25">
      <c r="A27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18" t="str">
        <f>IF(NOTA[[#This Row],[ID_P]]="","",MATCH(NOTA[[#This Row],[ID_P]],[1]!B_MSK[N_ID],0))</f>
        <v/>
      </c>
      <c r="D276" s="18">
        <f ca="1">IF(NOTA[[#This Row],[NAMA BARANG]]="","",INDEX(NOTA[ID],MATCH(,INDIRECT(ADDRESS(ROW(NOTA[ID]),COLUMN(NOTA[ID]))&amp;":"&amp;ADDRESS(ROW(),COLUMN(NOTA[ID]))),-1)))</f>
        <v>50</v>
      </c>
      <c r="E276" s="19"/>
      <c r="F276" s="21"/>
      <c r="G276" s="21"/>
      <c r="H276" s="41"/>
      <c r="I276" s="21"/>
      <c r="J276" s="22"/>
      <c r="K276" s="21"/>
      <c r="L276" s="16" t="s">
        <v>463</v>
      </c>
      <c r="M276" s="23"/>
      <c r="N276" s="21">
        <v>100</v>
      </c>
      <c r="O276" s="16" t="s">
        <v>160</v>
      </c>
      <c r="P276" s="17">
        <v>12800</v>
      </c>
      <c r="Q276" s="34"/>
      <c r="R276" s="28"/>
      <c r="S276" s="24"/>
      <c r="T276" s="24"/>
      <c r="U276" s="25"/>
      <c r="V276" s="26" t="s">
        <v>464</v>
      </c>
      <c r="W276" s="25">
        <f>IF(NOTA[[#This Row],[HARGA/ CTN]]="",NOTA[[#This Row],[JUMLAH_H]],NOTA[[#This Row],[HARGA/ CTN]]*IF(NOTA[[#This Row],[C]]="",0,NOTA[[#This Row],[C]]))</f>
        <v>1280000</v>
      </c>
      <c r="X276" s="25">
        <f>IF(NOTA[[#This Row],[JUMLAH]]="","",NOTA[[#This Row],[JUMLAH]]*NOTA[[#This Row],[DISC 1]])</f>
        <v>0</v>
      </c>
      <c r="Y276" s="25">
        <f>IF(NOTA[[#This Row],[JUMLAH]]="","",(NOTA[[#This Row],[JUMLAH]]-NOTA[[#This Row],[DISC 1-]])*NOTA[[#This Row],[DISC 2]])</f>
        <v>0</v>
      </c>
      <c r="Z276" s="25">
        <f>IF(NOTA[[#This Row],[JUMLAH]]="","",NOTA[[#This Row],[DISC 1-]]+NOTA[[#This Row],[DISC 2-]])</f>
        <v>0</v>
      </c>
      <c r="AA276" s="25">
        <f>IF(NOTA[[#This Row],[JUMLAH]]="","",NOTA[[#This Row],[JUMLAH]]-NOTA[[#This Row],[DISC]])</f>
        <v>1280000</v>
      </c>
      <c r="AB276" s="25"/>
      <c r="AC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6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2407000</v>
      </c>
      <c r="AE276" s="1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276" s="25">
        <f>IF(OR(NOTA[[#This Row],[QTY]]="",NOTA[[#This Row],[HARGA SATUAN]]="",),"",NOTA[[#This Row],[QTY]]*NOTA[[#This Row],[HARGA SATUAN]])</f>
        <v>1280000</v>
      </c>
      <c r="AG276" s="22">
        <f ca="1">IF(NOTA[ID_H]="","",INDEX(NOTA[TANGGAL],MATCH(,INDIRECT(ADDRESS(ROW(NOTA[TANGGAL]),COLUMN(NOTA[TANGGAL]))&amp;":"&amp;ADDRESS(ROW(),COLUMN(NOTA[TANGGAL]))),-1)))</f>
        <v>45057</v>
      </c>
      <c r="AH276" s="17" t="str">
        <f ca="1">IF(NOTA[[#This Row],[NAMA BARANG]]="","",INDEX(NOTA[SUPPLIER],MATCH(,INDIRECT(ADDRESS(ROW(NOTA[ID]),COLUMN(NOTA[ID]))&amp;":"&amp;ADDRESS(ROW(),COLUMN(NOTA[ID]))),-1)))</f>
        <v>GLORY</v>
      </c>
      <c r="AI276" s="17" t="str">
        <f ca="1">IF(NOTA[[#This Row],[ID_H]]="","",IF(NOTA[[#This Row],[FAKTUR]]="",INDIRECT(ADDRESS(ROW()-1,COLUMN())),NOTA[[#This Row],[FAKTUR]]))</f>
        <v>UNTANA</v>
      </c>
      <c r="AJ276" s="27" t="str">
        <f ca="1">IF(NOTA[[#This Row],[ID]]="","",COUNTIF(NOTA[ID_H],NOTA[[#This Row],[ID_H]]))</f>
        <v/>
      </c>
      <c r="AK276" s="27">
        <f ca="1">IF(NOTA[[#This Row],[TGL.NOTA]]="",IF(NOTA[[#This Row],[SUPPLIER_H]]="","",AK275),MONTH(NOTA[[#This Row],[TGL.NOTA]]))</f>
        <v>5</v>
      </c>
      <c r="AL276" s="27" t="str">
        <f>LOWER(SUBSTITUTE(SUBSTITUTE(SUBSTITUTE(SUBSTITUTE(SUBSTITUTE(SUBSTITUTE(SUBSTITUTE(SUBSTITUTE(SUBSTITUTE(NOTA[NAMA BARANG]," ",),".",""),"-",""),"(",""),")",""),",",""),"/",""),"""",""),"+",""))</f>
        <v>agbatik</v>
      </c>
      <c r="AM2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2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2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27" t="str">
        <f>IF(NOTA[[#This Row],[CONCAT4]]="","",_xlfn.IFNA(MATCH(NOTA[[#This Row],[CONCAT4]],[2]!RAW[CONCAT_H],0),FALSE))</f>
        <v/>
      </c>
      <c r="AQ276" s="145">
        <f>IF(NOTA[[#This Row],[CONCAT1]]="","",MATCH(NOTA[[#This Row],[CONCAT1]],[3]!db[NB NOTA_C],0)+1)</f>
        <v>44</v>
      </c>
    </row>
    <row r="277" spans="1:43" ht="20.100000000000001" customHeight="1" x14ac:dyDescent="0.25">
      <c r="A277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18" t="str">
        <f>IF(NOTA[[#This Row],[ID_P]]="","",MATCH(NOTA[[#This Row],[ID_P]],[1]!B_MSK[N_ID],0))</f>
        <v/>
      </c>
      <c r="D277" s="18" t="str">
        <f ca="1">IF(NOTA[[#This Row],[NAMA BARANG]]="","",INDEX(NOTA[ID],MATCH(,INDIRECT(ADDRESS(ROW(NOTA[ID]),COLUMN(NOTA[ID]))&amp;":"&amp;ADDRESS(ROW(),COLUMN(NOTA[ID]))),-1)))</f>
        <v/>
      </c>
      <c r="E277" s="19"/>
      <c r="F277" s="21"/>
      <c r="G277" s="21"/>
      <c r="H277" s="41"/>
      <c r="I277" s="21"/>
      <c r="J277" s="22"/>
      <c r="K277" s="21"/>
      <c r="L277" s="16"/>
      <c r="M277" s="23"/>
      <c r="N277" s="21"/>
      <c r="O277" s="16"/>
      <c r="P277" s="17"/>
      <c r="Q277" s="34"/>
      <c r="R277" s="28"/>
      <c r="S277" s="24"/>
      <c r="T277" s="24"/>
      <c r="U277" s="25"/>
      <c r="V277" s="26"/>
      <c r="W277" s="25" t="str">
        <f>IF(NOTA[[#This Row],[HARGA/ CTN]]="",NOTA[[#This Row],[JUMLAH_H]],NOTA[[#This Row],[HARGA/ CTN]]*IF(NOTA[[#This Row],[C]]="",0,NOTA[[#This Row],[C]]))</f>
        <v/>
      </c>
      <c r="X277" s="25" t="str">
        <f>IF(NOTA[[#This Row],[JUMLAH]]="","",NOTA[[#This Row],[JUMLAH]]*NOTA[[#This Row],[DISC 1]])</f>
        <v/>
      </c>
      <c r="Y277" s="25" t="str">
        <f>IF(NOTA[[#This Row],[JUMLAH]]="","",(NOTA[[#This Row],[JUMLAH]]-NOTA[[#This Row],[DISC 1-]])*NOTA[[#This Row],[DISC 2]])</f>
        <v/>
      </c>
      <c r="Z277" s="25" t="str">
        <f>IF(NOTA[[#This Row],[JUMLAH]]="","",NOTA[[#This Row],[DISC 1-]]+NOTA[[#This Row],[DISC 2-]])</f>
        <v/>
      </c>
      <c r="AA277" s="25" t="str">
        <f>IF(NOTA[[#This Row],[JUMLAH]]="","",NOTA[[#This Row],[JUMLAH]]-NOTA[[#This Row],[DISC]])</f>
        <v/>
      </c>
      <c r="AB277" s="25"/>
      <c r="AC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25" t="str">
        <f>IF(OR(NOTA[[#This Row],[QTY]]="",NOTA[[#This Row],[HARGA SATUAN]]="",),"",NOTA[[#This Row],[QTY]]*NOTA[[#This Row],[HARGA SATUAN]])</f>
        <v/>
      </c>
      <c r="AG277" s="22" t="str">
        <f ca="1">IF(NOTA[ID_H]="","",INDEX(NOTA[TANGGAL],MATCH(,INDIRECT(ADDRESS(ROW(NOTA[TANGGAL]),COLUMN(NOTA[TANGGAL]))&amp;":"&amp;ADDRESS(ROW(),COLUMN(NOTA[TANGGAL]))),-1)))</f>
        <v/>
      </c>
      <c r="AH277" s="17" t="str">
        <f ca="1">IF(NOTA[[#This Row],[NAMA BARANG]]="","",INDEX(NOTA[SUPPLIER],MATCH(,INDIRECT(ADDRESS(ROW(NOTA[ID]),COLUMN(NOTA[ID]))&amp;":"&amp;ADDRESS(ROW(),COLUMN(NOTA[ID]))),-1)))</f>
        <v/>
      </c>
      <c r="AI277" s="17" t="str">
        <f ca="1">IF(NOTA[[#This Row],[ID_H]]="","",IF(NOTA[[#This Row],[FAKTUR]]="",INDIRECT(ADDRESS(ROW()-1,COLUMN())),NOTA[[#This Row],[FAKTUR]]))</f>
        <v/>
      </c>
      <c r="AJ277" s="27" t="str">
        <f ca="1">IF(NOTA[[#This Row],[ID]]="","",COUNTIF(NOTA[ID_H],NOTA[[#This Row],[ID_H]]))</f>
        <v/>
      </c>
      <c r="AK277" s="27" t="str">
        <f ca="1">IF(NOTA[[#This Row],[TGL.NOTA]]="",IF(NOTA[[#This Row],[SUPPLIER_H]]="","",AK276),MONTH(NOTA[[#This Row],[TGL.NOTA]]))</f>
        <v/>
      </c>
      <c r="AL277" s="27" t="str">
        <f>LOWER(SUBSTITUTE(SUBSTITUTE(SUBSTITUTE(SUBSTITUTE(SUBSTITUTE(SUBSTITUTE(SUBSTITUTE(SUBSTITUTE(SUBSTITUTE(NOTA[NAMA BARANG]," ",),".",""),"-",""),"(",""),")",""),",",""),"/",""),"""",""),"+",""))</f>
        <v/>
      </c>
      <c r="AM2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27" t="str">
        <f>IF(NOTA[[#This Row],[CONCAT4]]="","",_xlfn.IFNA(MATCH(NOTA[[#This Row],[CONCAT4]],[2]!RAW[CONCAT_H],0),FALSE))</f>
        <v/>
      </c>
      <c r="AQ277" s="145" t="str">
        <f>IF(NOTA[[#This Row],[CONCAT1]]="","",MATCH(NOTA[[#This Row],[CONCAT1]],[3]!db[NB NOTA_C],0)+1)</f>
        <v/>
      </c>
    </row>
    <row r="278" spans="1:43" ht="20.100000000000001" customHeight="1" x14ac:dyDescent="0.25">
      <c r="A278" s="17">
        <f ca="1">IF(INDIRECT(ADDRESS(ROW()-1,COLUMN(NOTA[[#Headers],[ID]])))="ID",1,IF(NOTA[[#This Row],[FAKTUR]]="","",COUNT(INDIRECT(ADDRESS(ROW(NOTA[ID]),COLUMN(NOTA[ID]))&amp;":"&amp;ADDRESS(ROW()-1,COLUMN(NOTA[ID]))))+1))</f>
        <v>51</v>
      </c>
      <c r="B278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SBS_1005_5B1-8</v>
      </c>
      <c r="C278" s="18" t="e">
        <f ca="1">IF(NOTA[[#This Row],[ID_P]]="","",MATCH(NOTA[[#This Row],[ID_P]],[1]!B_MSK[N_ID],0))</f>
        <v>#REF!</v>
      </c>
      <c r="D278" s="18">
        <f ca="1">IF(NOTA[[#This Row],[NAMA BARANG]]="","",INDEX(NOTA[ID],MATCH(,INDIRECT(ADDRESS(ROW(NOTA[ID]),COLUMN(NOTA[ID]))&amp;":"&amp;ADDRESS(ROW(),COLUMN(NOTA[ID]))),-1)))</f>
        <v>51</v>
      </c>
      <c r="E278" s="19">
        <v>45056</v>
      </c>
      <c r="F278" s="16" t="s">
        <v>111</v>
      </c>
      <c r="G278" s="16" t="s">
        <v>112</v>
      </c>
      <c r="H278" s="20" t="s">
        <v>474</v>
      </c>
      <c r="I278" s="16"/>
      <c r="J278" s="22">
        <v>45052</v>
      </c>
      <c r="K278" s="83"/>
      <c r="L278" s="16" t="s">
        <v>465</v>
      </c>
      <c r="M278" s="23">
        <v>2</v>
      </c>
      <c r="N278" s="21">
        <v>240</v>
      </c>
      <c r="O278" s="16" t="s">
        <v>160</v>
      </c>
      <c r="P278" s="17">
        <v>15250</v>
      </c>
      <c r="Q278" s="34"/>
      <c r="R278" s="28" t="s">
        <v>428</v>
      </c>
      <c r="S278" s="24"/>
      <c r="T278" s="24"/>
      <c r="U278" s="25"/>
      <c r="V278" s="26"/>
      <c r="W278" s="25">
        <f>IF(NOTA[[#This Row],[HARGA/ CTN]]="",NOTA[[#This Row],[JUMLAH_H]],NOTA[[#This Row],[HARGA/ CTN]]*IF(NOTA[[#This Row],[C]]="",0,NOTA[[#This Row],[C]]))</f>
        <v>3660000</v>
      </c>
      <c r="X278" s="25">
        <f>IF(NOTA[[#This Row],[JUMLAH]]="","",NOTA[[#This Row],[JUMLAH]]*NOTA[[#This Row],[DISC 1]])</f>
        <v>0</v>
      </c>
      <c r="Y278" s="25">
        <f>IF(NOTA[[#This Row],[JUMLAH]]="","",(NOTA[[#This Row],[JUMLAH]]-NOTA[[#This Row],[DISC 1-]])*NOTA[[#This Row],[DISC 2]])</f>
        <v>0</v>
      </c>
      <c r="Z278" s="25">
        <f>IF(NOTA[[#This Row],[JUMLAH]]="","",NOTA[[#This Row],[DISC 1-]]+NOTA[[#This Row],[DISC 2-]])</f>
        <v>0</v>
      </c>
      <c r="AA278" s="25">
        <f>IF(NOTA[[#This Row],[JUMLAH]]="","",NOTA[[#This Row],[JUMLAH]]-NOTA[[#This Row],[DISC]])</f>
        <v>3660000</v>
      </c>
      <c r="AB278" s="25"/>
      <c r="AC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1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278" s="25">
        <f>IF(OR(NOTA[[#This Row],[QTY]]="",NOTA[[#This Row],[HARGA SATUAN]]="",),"",NOTA[[#This Row],[QTY]]*NOTA[[#This Row],[HARGA SATUAN]])</f>
        <v>3660000</v>
      </c>
      <c r="AG278" s="22">
        <f ca="1">IF(NOTA[ID_H]="","",INDEX(NOTA[TANGGAL],MATCH(,INDIRECT(ADDRESS(ROW(NOTA[TANGGAL]),COLUMN(NOTA[TANGGAL]))&amp;":"&amp;ADDRESS(ROW(),COLUMN(NOTA[TANGGAL]))),-1)))</f>
        <v>45056</v>
      </c>
      <c r="AH278" s="17" t="str">
        <f ca="1">IF(NOTA[[#This Row],[NAMA BARANG]]="","",INDEX(NOTA[SUPPLIER],MATCH(,INDIRECT(ADDRESS(ROW(NOTA[ID]),COLUMN(NOTA[ID]))&amp;":"&amp;ADDRESS(ROW(),COLUMN(NOTA[ID]))),-1)))</f>
        <v>SBS</v>
      </c>
      <c r="AI278" s="17" t="str">
        <f ca="1">IF(NOTA[[#This Row],[ID_H]]="","",IF(NOTA[[#This Row],[FAKTUR]]="",INDIRECT(ADDRESS(ROW()-1,COLUMN())),NOTA[[#This Row],[FAKTUR]]))</f>
        <v>UNTANA</v>
      </c>
      <c r="AJ278" s="27">
        <f ca="1">IF(NOTA[[#This Row],[ID]]="","",COUNTIF(NOTA[ID_H],NOTA[[#This Row],[ID_H]]))</f>
        <v>8</v>
      </c>
      <c r="AK278" s="27">
        <f>IF(NOTA[[#This Row],[TGL.NOTA]]="",IF(NOTA[[#This Row],[SUPPLIER_H]]="","",AK277),MONTH(NOTA[[#This Row],[TGL.NOTA]]))</f>
        <v>5</v>
      </c>
      <c r="AL278" s="27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2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2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278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SBSUNTANAVE0245B145052pcmgp6508410x21setsr</v>
      </c>
      <c r="AP278" s="27" t="e">
        <f>IF(NOTA[[#This Row],[CONCAT4]]="","",_xlfn.IFNA(MATCH(NOTA[[#This Row],[CONCAT4]],[2]!RAW[CONCAT_H],0),FALSE))</f>
        <v>#REF!</v>
      </c>
      <c r="AQ278" s="145" t="e">
        <f>IF(NOTA[[#This Row],[CONCAT1]]="","",MATCH(NOTA[[#This Row],[CONCAT1]],[3]!db[NB NOTA_C],0)+1)</f>
        <v>#N/A</v>
      </c>
    </row>
    <row r="279" spans="1:43" ht="20.100000000000001" customHeight="1" x14ac:dyDescent="0.25">
      <c r="A27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18" t="str">
        <f>IF(NOTA[[#This Row],[ID_P]]="","",MATCH(NOTA[[#This Row],[ID_P]],[1]!B_MSK[N_ID],0))</f>
        <v/>
      </c>
      <c r="D279" s="18">
        <f ca="1">IF(NOTA[[#This Row],[NAMA BARANG]]="","",INDEX(NOTA[ID],MATCH(,INDIRECT(ADDRESS(ROW(NOTA[ID]),COLUMN(NOTA[ID]))&amp;":"&amp;ADDRESS(ROW(),COLUMN(NOTA[ID]))),-1)))</f>
        <v>51</v>
      </c>
      <c r="E279" s="19"/>
      <c r="F279" s="16"/>
      <c r="G279" s="16"/>
      <c r="H279" s="20"/>
      <c r="I279" s="16"/>
      <c r="J279" s="22"/>
      <c r="K279" s="21"/>
      <c r="L279" s="16" t="s">
        <v>466</v>
      </c>
      <c r="M279" s="23">
        <v>2</v>
      </c>
      <c r="N279" s="21">
        <v>384</v>
      </c>
      <c r="O279" s="16" t="s">
        <v>160</v>
      </c>
      <c r="P279" s="17">
        <v>9200</v>
      </c>
      <c r="Q279" s="34"/>
      <c r="R279" s="28" t="s">
        <v>427</v>
      </c>
      <c r="S279" s="24"/>
      <c r="T279" s="24"/>
      <c r="U279" s="25"/>
      <c r="V279" s="26"/>
      <c r="W279" s="25">
        <f>IF(NOTA[[#This Row],[HARGA/ CTN]]="",NOTA[[#This Row],[JUMLAH_H]],NOTA[[#This Row],[HARGA/ CTN]]*IF(NOTA[[#This Row],[C]]="",0,NOTA[[#This Row],[C]]))</f>
        <v>3532800</v>
      </c>
      <c r="X279" s="25">
        <f>IF(NOTA[[#This Row],[JUMLAH]]="","",NOTA[[#This Row],[JUMLAH]]*NOTA[[#This Row],[DISC 1]])</f>
        <v>0</v>
      </c>
      <c r="Y279" s="25">
        <f>IF(NOTA[[#This Row],[JUMLAH]]="","",(NOTA[[#This Row],[JUMLAH]]-NOTA[[#This Row],[DISC 1-]])*NOTA[[#This Row],[DISC 2]])</f>
        <v>0</v>
      </c>
      <c r="Z279" s="25">
        <f>IF(NOTA[[#This Row],[JUMLAH]]="","",NOTA[[#This Row],[DISC 1-]]+NOTA[[#This Row],[DISC 2-]])</f>
        <v>0</v>
      </c>
      <c r="AA279" s="25">
        <f>IF(NOTA[[#This Row],[JUMLAH]]="","",NOTA[[#This Row],[JUMLAH]]-NOTA[[#This Row],[DISC]])</f>
        <v>3532800</v>
      </c>
      <c r="AB279" s="25"/>
      <c r="AC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79" s="25">
        <f>IF(OR(NOTA[[#This Row],[QTY]]="",NOTA[[#This Row],[HARGA SATUAN]]="",),"",NOTA[[#This Row],[QTY]]*NOTA[[#This Row],[HARGA SATUAN]])</f>
        <v>3532800</v>
      </c>
      <c r="AG279" s="22">
        <f ca="1">IF(NOTA[ID_H]="","",INDEX(NOTA[TANGGAL],MATCH(,INDIRECT(ADDRESS(ROW(NOTA[TANGGAL]),COLUMN(NOTA[TANGGAL]))&amp;":"&amp;ADDRESS(ROW(),COLUMN(NOTA[TANGGAL]))),-1)))</f>
        <v>45056</v>
      </c>
      <c r="AH279" s="17" t="str">
        <f ca="1">IF(NOTA[[#This Row],[NAMA BARANG]]="","",INDEX(NOTA[SUPPLIER],MATCH(,INDIRECT(ADDRESS(ROW(NOTA[ID]),COLUMN(NOTA[ID]))&amp;":"&amp;ADDRESS(ROW(),COLUMN(NOTA[ID]))),-1)))</f>
        <v>SBS</v>
      </c>
      <c r="AI279" s="17" t="str">
        <f ca="1">IF(NOTA[[#This Row],[ID_H]]="","",IF(NOTA[[#This Row],[FAKTUR]]="",INDIRECT(ADDRESS(ROW()-1,COLUMN())),NOTA[[#This Row],[FAKTUR]]))</f>
        <v>UNTANA</v>
      </c>
      <c r="AJ279" s="27" t="str">
        <f ca="1">IF(NOTA[[#This Row],[ID]]="","",COUNTIF(NOTA[ID_H],NOTA[[#This Row],[ID_H]]))</f>
        <v/>
      </c>
      <c r="AK279" s="27">
        <f ca="1">IF(NOTA[[#This Row],[TGL.NOTA]]="",IF(NOTA[[#This Row],[SUPPLIER_H]]="","",AK278),MONTH(NOTA[[#This Row],[TGL.NOTA]]))</f>
        <v>5</v>
      </c>
      <c r="AL279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2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2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2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27" t="str">
        <f>IF(NOTA[[#This Row],[CONCAT4]]="","",_xlfn.IFNA(MATCH(NOTA[[#This Row],[CONCAT4]],[2]!RAW[CONCAT_H],0),FALSE))</f>
        <v/>
      </c>
      <c r="AQ279" s="145" t="e">
        <f>IF(NOTA[[#This Row],[CONCAT1]]="","",MATCH(NOTA[[#This Row],[CONCAT1]],[3]!db[NB NOTA_C],0)+1)</f>
        <v>#N/A</v>
      </c>
    </row>
    <row r="280" spans="1:43" ht="20.100000000000001" customHeight="1" x14ac:dyDescent="0.25">
      <c r="A28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18" t="str">
        <f>IF(NOTA[[#This Row],[ID_P]]="","",MATCH(NOTA[[#This Row],[ID_P]],[1]!B_MSK[N_ID],0))</f>
        <v/>
      </c>
      <c r="D280" s="18">
        <f ca="1">IF(NOTA[[#This Row],[NAMA BARANG]]="","",INDEX(NOTA[ID],MATCH(,INDIRECT(ADDRESS(ROW(NOTA[ID]),COLUMN(NOTA[ID]))&amp;":"&amp;ADDRESS(ROW(),COLUMN(NOTA[ID]))),-1)))</f>
        <v>51</v>
      </c>
      <c r="E280" s="19"/>
      <c r="F280" s="16"/>
      <c r="G280" s="16"/>
      <c r="H280" s="41"/>
      <c r="I280" s="16"/>
      <c r="J280" s="22"/>
      <c r="K280" s="21"/>
      <c r="L280" s="16" t="s">
        <v>467</v>
      </c>
      <c r="M280" s="23">
        <v>2</v>
      </c>
      <c r="N280" s="21">
        <v>288</v>
      </c>
      <c r="O280" s="16" t="s">
        <v>160</v>
      </c>
      <c r="P280" s="17">
        <v>11600</v>
      </c>
      <c r="Q280" s="34"/>
      <c r="R280" s="28" t="s">
        <v>161</v>
      </c>
      <c r="S280" s="24"/>
      <c r="T280" s="24"/>
      <c r="U280" s="25"/>
      <c r="V280" s="26"/>
      <c r="W280" s="25">
        <f>IF(NOTA[[#This Row],[HARGA/ CTN]]="",NOTA[[#This Row],[JUMLAH_H]],NOTA[[#This Row],[HARGA/ CTN]]*IF(NOTA[[#This Row],[C]]="",0,NOTA[[#This Row],[C]]))</f>
        <v>3340800</v>
      </c>
      <c r="X280" s="25">
        <f>IF(NOTA[[#This Row],[JUMLAH]]="","",NOTA[[#This Row],[JUMLAH]]*NOTA[[#This Row],[DISC 1]])</f>
        <v>0</v>
      </c>
      <c r="Y280" s="25">
        <f>IF(NOTA[[#This Row],[JUMLAH]]="","",(NOTA[[#This Row],[JUMLAH]]-NOTA[[#This Row],[DISC 1-]])*NOTA[[#This Row],[DISC 2]])</f>
        <v>0</v>
      </c>
      <c r="Z280" s="25">
        <f>IF(NOTA[[#This Row],[JUMLAH]]="","",NOTA[[#This Row],[DISC 1-]]+NOTA[[#This Row],[DISC 2-]])</f>
        <v>0</v>
      </c>
      <c r="AA280" s="25">
        <f>IF(NOTA[[#This Row],[JUMLAH]]="","",NOTA[[#This Row],[JUMLAH]]-NOTA[[#This Row],[DISC]])</f>
        <v>3340800</v>
      </c>
      <c r="AB280" s="25"/>
      <c r="AC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80" s="25">
        <f>IF(OR(NOTA[[#This Row],[QTY]]="",NOTA[[#This Row],[HARGA SATUAN]]="",),"",NOTA[[#This Row],[QTY]]*NOTA[[#This Row],[HARGA SATUAN]])</f>
        <v>3340800</v>
      </c>
      <c r="AG280" s="22">
        <f ca="1">IF(NOTA[ID_H]="","",INDEX(NOTA[TANGGAL],MATCH(,INDIRECT(ADDRESS(ROW(NOTA[TANGGAL]),COLUMN(NOTA[TANGGAL]))&amp;":"&amp;ADDRESS(ROW(),COLUMN(NOTA[TANGGAL]))),-1)))</f>
        <v>45056</v>
      </c>
      <c r="AH280" s="17" t="str">
        <f ca="1">IF(NOTA[[#This Row],[NAMA BARANG]]="","",INDEX(NOTA[SUPPLIER],MATCH(,INDIRECT(ADDRESS(ROW(NOTA[ID]),COLUMN(NOTA[ID]))&amp;":"&amp;ADDRESS(ROW(),COLUMN(NOTA[ID]))),-1)))</f>
        <v>SBS</v>
      </c>
      <c r="AI280" s="17" t="str">
        <f ca="1">IF(NOTA[[#This Row],[ID_H]]="","",IF(NOTA[[#This Row],[FAKTUR]]="",INDIRECT(ADDRESS(ROW()-1,COLUMN())),NOTA[[#This Row],[FAKTUR]]))</f>
        <v>UNTANA</v>
      </c>
      <c r="AJ280" s="27" t="str">
        <f ca="1">IF(NOTA[[#This Row],[ID]]="","",COUNTIF(NOTA[ID_H],NOTA[[#This Row],[ID_H]]))</f>
        <v/>
      </c>
      <c r="AK280" s="27">
        <f ca="1">IF(NOTA[[#This Row],[TGL.NOTA]]="",IF(NOTA[[#This Row],[SUPPLIER_H]]="","",AK279),MONTH(NOTA[[#This Row],[TGL.NOTA]]))</f>
        <v>5</v>
      </c>
      <c r="AL280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2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2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2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27" t="str">
        <f>IF(NOTA[[#This Row],[CONCAT4]]="","",_xlfn.IFNA(MATCH(NOTA[[#This Row],[CONCAT4]],[2]!RAW[CONCAT_H],0),FALSE))</f>
        <v/>
      </c>
      <c r="AQ280" s="145" t="e">
        <f>IF(NOTA[[#This Row],[CONCAT1]]="","",MATCH(NOTA[[#This Row],[CONCAT1]],[3]!db[NB NOTA_C],0)+1)</f>
        <v>#N/A</v>
      </c>
    </row>
    <row r="281" spans="1:43" ht="20.100000000000001" customHeight="1" x14ac:dyDescent="0.25">
      <c r="A28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18" t="str">
        <f>IF(NOTA[[#This Row],[ID_P]]="","",MATCH(NOTA[[#This Row],[ID_P]],[1]!B_MSK[N_ID],0))</f>
        <v/>
      </c>
      <c r="D281" s="18">
        <f ca="1">IF(NOTA[[#This Row],[NAMA BARANG]]="","",INDEX(NOTA[ID],MATCH(,INDIRECT(ADDRESS(ROW(NOTA[ID]),COLUMN(NOTA[ID]))&amp;":"&amp;ADDRESS(ROW(),COLUMN(NOTA[ID]))),-1)))</f>
        <v>51</v>
      </c>
      <c r="E281" s="19"/>
      <c r="F281" s="21"/>
      <c r="G281" s="21"/>
      <c r="H281" s="41"/>
      <c r="I281" s="21"/>
      <c r="J281" s="22"/>
      <c r="K281" s="21"/>
      <c r="L281" s="143" t="s">
        <v>468</v>
      </c>
      <c r="M281" s="23">
        <v>2</v>
      </c>
      <c r="N281" s="21">
        <v>336</v>
      </c>
      <c r="O281" s="16" t="s">
        <v>160</v>
      </c>
      <c r="P281" s="17">
        <v>11850</v>
      </c>
      <c r="Q281" s="34"/>
      <c r="R281" s="28" t="s">
        <v>429</v>
      </c>
      <c r="S281" s="24"/>
      <c r="T281" s="24"/>
      <c r="U281" s="25"/>
      <c r="V281" s="26"/>
      <c r="W281" s="25">
        <f>IF(NOTA[[#This Row],[HARGA/ CTN]]="",NOTA[[#This Row],[JUMLAH_H]],NOTA[[#This Row],[HARGA/ CTN]]*IF(NOTA[[#This Row],[C]]="",0,NOTA[[#This Row],[C]]))</f>
        <v>3981600</v>
      </c>
      <c r="X281" s="25">
        <f>IF(NOTA[[#This Row],[JUMLAH]]="","",NOTA[[#This Row],[JUMLAH]]*NOTA[[#This Row],[DISC 1]])</f>
        <v>0</v>
      </c>
      <c r="Y281" s="25">
        <f>IF(NOTA[[#This Row],[JUMLAH]]="","",(NOTA[[#This Row],[JUMLAH]]-NOTA[[#This Row],[DISC 1-]])*NOTA[[#This Row],[DISC 2]])</f>
        <v>0</v>
      </c>
      <c r="Z281" s="25">
        <f>IF(NOTA[[#This Row],[JUMLAH]]="","",NOTA[[#This Row],[DISC 1-]]+NOTA[[#This Row],[DISC 2-]])</f>
        <v>0</v>
      </c>
      <c r="AA281" s="25">
        <f>IF(NOTA[[#This Row],[JUMLAH]]="","",NOTA[[#This Row],[JUMLAH]]-NOTA[[#This Row],[DISC]])</f>
        <v>3981600</v>
      </c>
      <c r="AB281" s="25"/>
      <c r="AC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17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281" s="25">
        <f>IF(OR(NOTA[[#This Row],[QTY]]="",NOTA[[#This Row],[HARGA SATUAN]]="",),"",NOTA[[#This Row],[QTY]]*NOTA[[#This Row],[HARGA SATUAN]])</f>
        <v>3981600</v>
      </c>
      <c r="AG281" s="22">
        <f ca="1">IF(NOTA[ID_H]="","",INDEX(NOTA[TANGGAL],MATCH(,INDIRECT(ADDRESS(ROW(NOTA[TANGGAL]),COLUMN(NOTA[TANGGAL]))&amp;":"&amp;ADDRESS(ROW(),COLUMN(NOTA[TANGGAL]))),-1)))</f>
        <v>45056</v>
      </c>
      <c r="AH281" s="17" t="str">
        <f ca="1">IF(NOTA[[#This Row],[NAMA BARANG]]="","",INDEX(NOTA[SUPPLIER],MATCH(,INDIRECT(ADDRESS(ROW(NOTA[ID]),COLUMN(NOTA[ID]))&amp;":"&amp;ADDRESS(ROW(),COLUMN(NOTA[ID]))),-1)))</f>
        <v>SBS</v>
      </c>
      <c r="AI281" s="17" t="str">
        <f ca="1">IF(NOTA[[#This Row],[ID_H]]="","",IF(NOTA[[#This Row],[FAKTUR]]="",INDIRECT(ADDRESS(ROW()-1,COLUMN())),NOTA[[#This Row],[FAKTUR]]))</f>
        <v>UNTANA</v>
      </c>
      <c r="AJ281" s="27" t="str">
        <f ca="1">IF(NOTA[[#This Row],[ID]]="","",COUNTIF(NOTA[ID_H],NOTA[[#This Row],[ID_H]]))</f>
        <v/>
      </c>
      <c r="AK281" s="27">
        <f ca="1">IF(NOTA[[#This Row],[TGL.NOTA]]="",IF(NOTA[[#This Row],[SUPPLIER_H]]="","",AK280),MONTH(NOTA[[#This Row],[TGL.NOTA]]))</f>
        <v>5</v>
      </c>
      <c r="AL281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2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2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2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27" t="str">
        <f>IF(NOTA[[#This Row],[CONCAT4]]="","",_xlfn.IFNA(MATCH(NOTA[[#This Row],[CONCAT4]],[2]!RAW[CONCAT_H],0),FALSE))</f>
        <v/>
      </c>
      <c r="AQ281" s="145" t="e">
        <f>IF(NOTA[[#This Row],[CONCAT1]]="","",MATCH(NOTA[[#This Row],[CONCAT1]],[3]!db[NB NOTA_C],0)+1)</f>
        <v>#N/A</v>
      </c>
    </row>
    <row r="282" spans="1:43" ht="20.100000000000001" customHeight="1" x14ac:dyDescent="0.25">
      <c r="A28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18" t="str">
        <f>IF(NOTA[[#This Row],[ID_P]]="","",MATCH(NOTA[[#This Row],[ID_P]],[1]!B_MSK[N_ID],0))</f>
        <v/>
      </c>
      <c r="D282" s="18">
        <f ca="1">IF(NOTA[[#This Row],[NAMA BARANG]]="","",INDEX(NOTA[ID],MATCH(,INDIRECT(ADDRESS(ROW(NOTA[ID]),COLUMN(NOTA[ID]))&amp;":"&amp;ADDRESS(ROW(),COLUMN(NOTA[ID]))),-1)))</f>
        <v>51</v>
      </c>
      <c r="E282" s="19"/>
      <c r="F282" s="16"/>
      <c r="G282" s="16"/>
      <c r="H282" s="20"/>
      <c r="I282" s="21"/>
      <c r="J282" s="22"/>
      <c r="K282" s="21"/>
      <c r="L282" s="16" t="s">
        <v>469</v>
      </c>
      <c r="M282" s="23">
        <v>2</v>
      </c>
      <c r="N282" s="21">
        <v>288</v>
      </c>
      <c r="O282" s="16" t="s">
        <v>160</v>
      </c>
      <c r="P282" s="17">
        <v>11600</v>
      </c>
      <c r="Q282" s="34"/>
      <c r="R282" s="28" t="s">
        <v>161</v>
      </c>
      <c r="S282" s="24"/>
      <c r="T282" s="24"/>
      <c r="U282" s="25"/>
      <c r="V282" s="26"/>
      <c r="W282" s="25">
        <f>IF(NOTA[[#This Row],[HARGA/ CTN]]="",NOTA[[#This Row],[JUMLAH_H]],NOTA[[#This Row],[HARGA/ CTN]]*IF(NOTA[[#This Row],[C]]="",0,NOTA[[#This Row],[C]]))</f>
        <v>3340800</v>
      </c>
      <c r="X282" s="25">
        <f>IF(NOTA[[#This Row],[JUMLAH]]="","",NOTA[[#This Row],[JUMLAH]]*NOTA[[#This Row],[DISC 1]])</f>
        <v>0</v>
      </c>
      <c r="Y282" s="25">
        <f>IF(NOTA[[#This Row],[JUMLAH]]="","",(NOTA[[#This Row],[JUMLAH]]-NOTA[[#This Row],[DISC 1-]])*NOTA[[#This Row],[DISC 2]])</f>
        <v>0</v>
      </c>
      <c r="Z282" s="25">
        <f>IF(NOTA[[#This Row],[JUMLAH]]="","",NOTA[[#This Row],[DISC 1-]]+NOTA[[#This Row],[DISC 2-]])</f>
        <v>0</v>
      </c>
      <c r="AA282" s="25">
        <f>IF(NOTA[[#This Row],[JUMLAH]]="","",NOTA[[#This Row],[JUMLAH]]-NOTA[[#This Row],[DISC]])</f>
        <v>3340800</v>
      </c>
      <c r="AB282" s="25"/>
      <c r="AC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82" s="25">
        <f>IF(OR(NOTA[[#This Row],[QTY]]="",NOTA[[#This Row],[HARGA SATUAN]]="",),"",NOTA[[#This Row],[QTY]]*NOTA[[#This Row],[HARGA SATUAN]])</f>
        <v>3340800</v>
      </c>
      <c r="AG282" s="22">
        <f ca="1">IF(NOTA[ID_H]="","",INDEX(NOTA[TANGGAL],MATCH(,INDIRECT(ADDRESS(ROW(NOTA[TANGGAL]),COLUMN(NOTA[TANGGAL]))&amp;":"&amp;ADDRESS(ROW(),COLUMN(NOTA[TANGGAL]))),-1)))</f>
        <v>45056</v>
      </c>
      <c r="AH282" s="17" t="str">
        <f ca="1">IF(NOTA[[#This Row],[NAMA BARANG]]="","",INDEX(NOTA[SUPPLIER],MATCH(,INDIRECT(ADDRESS(ROW(NOTA[ID]),COLUMN(NOTA[ID]))&amp;":"&amp;ADDRESS(ROW(),COLUMN(NOTA[ID]))),-1)))</f>
        <v>SBS</v>
      </c>
      <c r="AI282" s="17" t="str">
        <f ca="1">IF(NOTA[[#This Row],[ID_H]]="","",IF(NOTA[[#This Row],[FAKTUR]]="",INDIRECT(ADDRESS(ROW()-1,COLUMN())),NOTA[[#This Row],[FAKTUR]]))</f>
        <v>UNTANA</v>
      </c>
      <c r="AJ282" s="27" t="str">
        <f ca="1">IF(NOTA[[#This Row],[ID]]="","",COUNTIF(NOTA[ID_H],NOTA[[#This Row],[ID_H]]))</f>
        <v/>
      </c>
      <c r="AK282" s="27">
        <f ca="1">IF(NOTA[[#This Row],[TGL.NOTA]]="",IF(NOTA[[#This Row],[SUPPLIER_H]]="","",AK281),MONTH(NOTA[[#This Row],[TGL.NOTA]]))</f>
        <v>5</v>
      </c>
      <c r="AL282" s="27" t="str">
        <f>LOWER(SUBSTITUTE(SUBSTITUTE(SUBSTITUTE(SUBSTITUTE(SUBSTITUTE(SUBSTITUTE(SUBSTITUTE(SUBSTITUTE(SUBSTITUTE(NOTA[NAMA BARANG]," ",),".",""),"-",""),"(",""),")",""),",",""),"/",""),"""",""),"+",""))</f>
        <v>pcmgp73738x23puagltsr</v>
      </c>
      <c r="AM2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pcmgp73738x23puagltsr1670400</v>
      </c>
      <c r="AN2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pcmgp73738x23puagltsr1670400</v>
      </c>
      <c r="AO2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27" t="str">
        <f>IF(NOTA[[#This Row],[CONCAT4]]="","",_xlfn.IFNA(MATCH(NOTA[[#This Row],[CONCAT4]],[2]!RAW[CONCAT_H],0),FALSE))</f>
        <v/>
      </c>
      <c r="AQ282" s="145" t="e">
        <f>IF(NOTA[[#This Row],[CONCAT1]]="","",MATCH(NOTA[[#This Row],[CONCAT1]],[3]!db[NB NOTA_C],0)+1)</f>
        <v>#N/A</v>
      </c>
    </row>
    <row r="283" spans="1:43" ht="20.100000000000001" customHeight="1" x14ac:dyDescent="0.25">
      <c r="A28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18" t="str">
        <f>IF(NOTA[[#This Row],[ID_P]]="","",MATCH(NOTA[[#This Row],[ID_P]],[1]!B_MSK[N_ID],0))</f>
        <v/>
      </c>
      <c r="D283" s="18">
        <f ca="1">IF(NOTA[[#This Row],[NAMA BARANG]]="","",INDEX(NOTA[ID],MATCH(,INDIRECT(ADDRESS(ROW(NOTA[ID]),COLUMN(NOTA[ID]))&amp;":"&amp;ADDRESS(ROW(),COLUMN(NOTA[ID]))),-1)))</f>
        <v>51</v>
      </c>
      <c r="E283" s="19"/>
      <c r="F283" s="21"/>
      <c r="G283" s="21"/>
      <c r="H283" s="41"/>
      <c r="I283" s="16"/>
      <c r="J283" s="22"/>
      <c r="K283" s="21"/>
      <c r="L283" s="16" t="s">
        <v>470</v>
      </c>
      <c r="M283" s="23">
        <v>2</v>
      </c>
      <c r="N283" s="21">
        <v>288</v>
      </c>
      <c r="O283" s="16" t="s">
        <v>160</v>
      </c>
      <c r="P283" s="17">
        <v>11600</v>
      </c>
      <c r="Q283" s="34"/>
      <c r="R283" s="28" t="s">
        <v>161</v>
      </c>
      <c r="S283" s="24"/>
      <c r="T283" s="24"/>
      <c r="U283" s="25"/>
      <c r="V283" s="26"/>
      <c r="W283" s="25">
        <f>IF(NOTA[[#This Row],[HARGA/ CTN]]="",NOTA[[#This Row],[JUMLAH_H]],NOTA[[#This Row],[HARGA/ CTN]]*IF(NOTA[[#This Row],[C]]="",0,NOTA[[#This Row],[C]]))</f>
        <v>3340800</v>
      </c>
      <c r="X283" s="25">
        <f>IF(NOTA[[#This Row],[JUMLAH]]="","",NOTA[[#This Row],[JUMLAH]]*NOTA[[#This Row],[DISC 1]])</f>
        <v>0</v>
      </c>
      <c r="Y283" s="25">
        <f>IF(NOTA[[#This Row],[JUMLAH]]="","",(NOTA[[#This Row],[JUMLAH]]-NOTA[[#This Row],[DISC 1-]])*NOTA[[#This Row],[DISC 2]])</f>
        <v>0</v>
      </c>
      <c r="Z283" s="25">
        <f>IF(NOTA[[#This Row],[JUMLAH]]="","",NOTA[[#This Row],[DISC 1-]]+NOTA[[#This Row],[DISC 2-]])</f>
        <v>0</v>
      </c>
      <c r="AA283" s="25">
        <f>IF(NOTA[[#This Row],[JUMLAH]]="","",NOTA[[#This Row],[JUMLAH]]-NOTA[[#This Row],[DISC]])</f>
        <v>3340800</v>
      </c>
      <c r="AB283" s="25"/>
      <c r="AC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83" s="25">
        <f>IF(OR(NOTA[[#This Row],[QTY]]="",NOTA[[#This Row],[HARGA SATUAN]]="",),"",NOTA[[#This Row],[QTY]]*NOTA[[#This Row],[HARGA SATUAN]])</f>
        <v>3340800</v>
      </c>
      <c r="AG283" s="22">
        <f ca="1">IF(NOTA[ID_H]="","",INDEX(NOTA[TANGGAL],MATCH(,INDIRECT(ADDRESS(ROW(NOTA[TANGGAL]),COLUMN(NOTA[TANGGAL]))&amp;":"&amp;ADDRESS(ROW(),COLUMN(NOTA[TANGGAL]))),-1)))</f>
        <v>45056</v>
      </c>
      <c r="AH283" s="17" t="str">
        <f ca="1">IF(NOTA[[#This Row],[NAMA BARANG]]="","",INDEX(NOTA[SUPPLIER],MATCH(,INDIRECT(ADDRESS(ROW(NOTA[ID]),COLUMN(NOTA[ID]))&amp;":"&amp;ADDRESS(ROW(),COLUMN(NOTA[ID]))),-1)))</f>
        <v>SBS</v>
      </c>
      <c r="AI283" s="17" t="str">
        <f ca="1">IF(NOTA[[#This Row],[ID_H]]="","",IF(NOTA[[#This Row],[FAKTUR]]="",INDIRECT(ADDRESS(ROW()-1,COLUMN())),NOTA[[#This Row],[FAKTUR]]))</f>
        <v>UNTANA</v>
      </c>
      <c r="AJ283" s="27" t="str">
        <f ca="1">IF(NOTA[[#This Row],[ID]]="","",COUNTIF(NOTA[ID_H],NOTA[[#This Row],[ID_H]]))</f>
        <v/>
      </c>
      <c r="AK283" s="27">
        <f ca="1">IF(NOTA[[#This Row],[TGL.NOTA]]="",IF(NOTA[[#This Row],[SUPPLIER_H]]="","",AK282),MONTH(NOTA[[#This Row],[TGL.NOTA]]))</f>
        <v>5</v>
      </c>
      <c r="AL283" s="27" t="str">
        <f>LOWER(SUBSTITUTE(SUBSTITUTE(SUBSTITUTE(SUBSTITUTE(SUBSTITUTE(SUBSTITUTE(SUBSTITUTE(SUBSTITUTE(SUBSTITUTE(NOTA[NAMA BARANG]," ",),".",""),"-",""),"(",""),")",""),",",""),"/",""),"""",""),"+",""))</f>
        <v>pcmgp93738x23puagltastro</v>
      </c>
      <c r="AM2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pcmgp93738x23puagltastro1670400</v>
      </c>
      <c r="AN2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pcmgp93738x23puagltastro1670400</v>
      </c>
      <c r="AO2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27" t="str">
        <f>IF(NOTA[[#This Row],[CONCAT4]]="","",_xlfn.IFNA(MATCH(NOTA[[#This Row],[CONCAT4]],[2]!RAW[CONCAT_H],0),FALSE))</f>
        <v/>
      </c>
      <c r="AQ283" s="145" t="e">
        <f>IF(NOTA[[#This Row],[CONCAT1]]="","",MATCH(NOTA[[#This Row],[CONCAT1]],[3]!db[NB NOTA_C],0)+1)</f>
        <v>#N/A</v>
      </c>
    </row>
    <row r="284" spans="1:43" ht="20.100000000000001" customHeight="1" x14ac:dyDescent="0.25">
      <c r="A284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18" t="str">
        <f>IF(NOTA[[#This Row],[ID_P]]="","",MATCH(NOTA[[#This Row],[ID_P]],[1]!B_MSK[N_ID],0))</f>
        <v/>
      </c>
      <c r="D284" s="18">
        <f ca="1">IF(NOTA[[#This Row],[NAMA BARANG]]="","",INDEX(NOTA[ID],MATCH(,INDIRECT(ADDRESS(ROW(NOTA[ID]),COLUMN(NOTA[ID]))&amp;":"&amp;ADDRESS(ROW(),COLUMN(NOTA[ID]))),-1)))</f>
        <v>51</v>
      </c>
      <c r="E284" s="19"/>
      <c r="F284" s="21"/>
      <c r="G284" s="21"/>
      <c r="H284" s="41"/>
      <c r="I284" s="16"/>
      <c r="J284" s="22"/>
      <c r="K284" s="21"/>
      <c r="L284" s="16" t="s">
        <v>471</v>
      </c>
      <c r="M284" s="23">
        <v>2</v>
      </c>
      <c r="N284" s="21">
        <v>288</v>
      </c>
      <c r="O284" s="16" t="s">
        <v>160</v>
      </c>
      <c r="P284" s="17">
        <v>11600</v>
      </c>
      <c r="Q284" s="34"/>
      <c r="R284" s="28" t="s">
        <v>161</v>
      </c>
      <c r="S284" s="24"/>
      <c r="T284" s="24"/>
      <c r="U284" s="25"/>
      <c r="V284" s="26"/>
      <c r="W284" s="25">
        <f>IF(NOTA[[#This Row],[HARGA/ CTN]]="",NOTA[[#This Row],[JUMLAH_H]],NOTA[[#This Row],[HARGA/ CTN]]*IF(NOTA[[#This Row],[C]]="",0,NOTA[[#This Row],[C]]))</f>
        <v>3340800</v>
      </c>
      <c r="X284" s="25">
        <f>IF(NOTA[[#This Row],[JUMLAH]]="","",NOTA[[#This Row],[JUMLAH]]*NOTA[[#This Row],[DISC 1]])</f>
        <v>0</v>
      </c>
      <c r="Y284" s="25">
        <f>IF(NOTA[[#This Row],[JUMLAH]]="","",(NOTA[[#This Row],[JUMLAH]]-NOTA[[#This Row],[DISC 1-]])*NOTA[[#This Row],[DISC 2]])</f>
        <v>0</v>
      </c>
      <c r="Z284" s="25">
        <f>IF(NOTA[[#This Row],[JUMLAH]]="","",NOTA[[#This Row],[DISC 1-]]+NOTA[[#This Row],[DISC 2-]])</f>
        <v>0</v>
      </c>
      <c r="AA284" s="25">
        <f>IF(NOTA[[#This Row],[JUMLAH]]="","",NOTA[[#This Row],[JUMLAH]]-NOTA[[#This Row],[DISC]])</f>
        <v>3340800</v>
      </c>
      <c r="AB284" s="25"/>
      <c r="AC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84" s="25">
        <f>IF(OR(NOTA[[#This Row],[QTY]]="",NOTA[[#This Row],[HARGA SATUAN]]="",),"",NOTA[[#This Row],[QTY]]*NOTA[[#This Row],[HARGA SATUAN]])</f>
        <v>3340800</v>
      </c>
      <c r="AG284" s="22">
        <f ca="1">IF(NOTA[ID_H]="","",INDEX(NOTA[TANGGAL],MATCH(,INDIRECT(ADDRESS(ROW(NOTA[TANGGAL]),COLUMN(NOTA[TANGGAL]))&amp;":"&amp;ADDRESS(ROW(),COLUMN(NOTA[TANGGAL]))),-1)))</f>
        <v>45056</v>
      </c>
      <c r="AH284" s="17" t="str">
        <f ca="1">IF(NOTA[[#This Row],[NAMA BARANG]]="","",INDEX(NOTA[SUPPLIER],MATCH(,INDIRECT(ADDRESS(ROW(NOTA[ID]),COLUMN(NOTA[ID]))&amp;":"&amp;ADDRESS(ROW(),COLUMN(NOTA[ID]))),-1)))</f>
        <v>SBS</v>
      </c>
      <c r="AI284" s="17" t="str">
        <f ca="1">IF(NOTA[[#This Row],[ID_H]]="","",IF(NOTA[[#This Row],[FAKTUR]]="",INDIRECT(ADDRESS(ROW()-1,COLUMN())),NOTA[[#This Row],[FAKTUR]]))</f>
        <v>UNTANA</v>
      </c>
      <c r="AJ284" s="27" t="str">
        <f ca="1">IF(NOTA[[#This Row],[ID]]="","",COUNTIF(NOTA[ID_H],NOTA[[#This Row],[ID_H]]))</f>
        <v/>
      </c>
      <c r="AK284" s="27">
        <f ca="1">IF(NOTA[[#This Row],[TGL.NOTA]]="",IF(NOTA[[#This Row],[SUPPLIER_H]]="","",AK283),MONTH(NOTA[[#This Row],[TGL.NOTA]]))</f>
        <v>5</v>
      </c>
      <c r="AL284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2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2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2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27" t="str">
        <f>IF(NOTA[[#This Row],[CONCAT4]]="","",_xlfn.IFNA(MATCH(NOTA[[#This Row],[CONCAT4]],[2]!RAW[CONCAT_H],0),FALSE))</f>
        <v/>
      </c>
      <c r="AQ284" s="145" t="e">
        <f>IF(NOTA[[#This Row],[CONCAT1]]="","",MATCH(NOTA[[#This Row],[CONCAT1]],[3]!db[NB NOTA_C],0)+1)</f>
        <v>#N/A</v>
      </c>
    </row>
    <row r="285" spans="1:43" ht="20.100000000000001" customHeight="1" x14ac:dyDescent="0.25">
      <c r="A28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18" t="str">
        <f>IF(NOTA[[#This Row],[ID_P]]="","",MATCH(NOTA[[#This Row],[ID_P]],[1]!B_MSK[N_ID],0))</f>
        <v/>
      </c>
      <c r="D285" s="18">
        <f ca="1">IF(NOTA[[#This Row],[NAMA BARANG]]="","",INDEX(NOTA[ID],MATCH(,INDIRECT(ADDRESS(ROW(NOTA[ID]),COLUMN(NOTA[ID]))&amp;":"&amp;ADDRESS(ROW(),COLUMN(NOTA[ID]))),-1)))</f>
        <v>51</v>
      </c>
      <c r="E285" s="19"/>
      <c r="F285" s="16"/>
      <c r="G285" s="16"/>
      <c r="H285" s="20"/>
      <c r="I285" s="21"/>
      <c r="J285" s="37"/>
      <c r="K285" s="21"/>
      <c r="L285" s="16" t="s">
        <v>472</v>
      </c>
      <c r="M285" s="28">
        <v>2</v>
      </c>
      <c r="N285" s="21">
        <v>288</v>
      </c>
      <c r="O285" s="16" t="s">
        <v>160</v>
      </c>
      <c r="P285" s="17">
        <v>11850</v>
      </c>
      <c r="Q285" s="34"/>
      <c r="R285" s="28" t="s">
        <v>161</v>
      </c>
      <c r="S285" s="24"/>
      <c r="T285" s="24"/>
      <c r="U285" s="25"/>
      <c r="V285" s="26"/>
      <c r="W285" s="25">
        <f>IF(NOTA[[#This Row],[HARGA/ CTN]]="",NOTA[[#This Row],[JUMLAH_H]],NOTA[[#This Row],[HARGA/ CTN]]*IF(NOTA[[#This Row],[C]]="",0,NOTA[[#This Row],[C]]))</f>
        <v>3412800</v>
      </c>
      <c r="X285" s="25">
        <f>IF(NOTA[[#This Row],[JUMLAH]]="","",NOTA[[#This Row],[JUMLAH]]*NOTA[[#This Row],[DISC 1]])</f>
        <v>0</v>
      </c>
      <c r="Y285" s="25">
        <f>IF(NOTA[[#This Row],[JUMLAH]]="","",(NOTA[[#This Row],[JUMLAH]]-NOTA[[#This Row],[DISC 1-]])*NOTA[[#This Row],[DISC 2]])</f>
        <v>0</v>
      </c>
      <c r="Z285" s="25">
        <f>IF(NOTA[[#This Row],[JUMLAH]]="","",NOTA[[#This Row],[DISC 1-]]+NOTA[[#This Row],[DISC 2-]])</f>
        <v>0</v>
      </c>
      <c r="AA285" s="25">
        <f>IF(NOTA[[#This Row],[JUMLAH]]="","",NOTA[[#This Row],[JUMLAH]]-NOTA[[#This Row],[DISC]])</f>
        <v>3412800</v>
      </c>
      <c r="AB285" s="25"/>
      <c r="AC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27950400</v>
      </c>
      <c r="AE285" s="17">
        <f>IF(NOTA[[#This Row],[NAMA BARANG]]="","",IF(NOTA[[#This Row],[JUMLAH_H]]="",NOTA[[#This Row],[HARGA/ CTN]],NOTA[[#This Row],[QTY]]*NOTA[[#This Row],[HARGA SATUAN]]/IF(ISNUMBER(NOTA[[#This Row],[C]]),NOTA[[#This Row],[C]],1)))</f>
        <v>1706400</v>
      </c>
      <c r="AF285" s="25">
        <f>IF(OR(NOTA[[#This Row],[QTY]]="",NOTA[[#This Row],[HARGA SATUAN]]="",),"",NOTA[[#This Row],[QTY]]*NOTA[[#This Row],[HARGA SATUAN]])</f>
        <v>3412800</v>
      </c>
      <c r="AG285" s="22">
        <f ca="1">IF(NOTA[ID_H]="","",INDEX(NOTA[TANGGAL],MATCH(,INDIRECT(ADDRESS(ROW(NOTA[TANGGAL]),COLUMN(NOTA[TANGGAL]))&amp;":"&amp;ADDRESS(ROW(),COLUMN(NOTA[TANGGAL]))),-1)))</f>
        <v>45056</v>
      </c>
      <c r="AH285" s="17" t="str">
        <f ca="1">IF(NOTA[[#This Row],[NAMA BARANG]]="","",INDEX(NOTA[SUPPLIER],MATCH(,INDIRECT(ADDRESS(ROW(NOTA[ID]),COLUMN(NOTA[ID]))&amp;":"&amp;ADDRESS(ROW(),COLUMN(NOTA[ID]))),-1)))</f>
        <v>SBS</v>
      </c>
      <c r="AI285" s="17" t="str">
        <f ca="1">IF(NOTA[[#This Row],[ID_H]]="","",IF(NOTA[[#This Row],[FAKTUR]]="",INDIRECT(ADDRESS(ROW()-1,COLUMN())),NOTA[[#This Row],[FAKTUR]]))</f>
        <v>UNTANA</v>
      </c>
      <c r="AJ285" s="27" t="str">
        <f ca="1">IF(NOTA[[#This Row],[ID]]="","",COUNTIF(NOTA[ID_H],NOTA[[#This Row],[ID_H]]))</f>
        <v/>
      </c>
      <c r="AK285" s="27">
        <f ca="1">IF(NOTA[[#This Row],[TGL.NOTA]]="",IF(NOTA[[#This Row],[SUPPLIER_H]]="","",AK284),MONTH(NOTA[[#This Row],[TGL.NOTA]]))</f>
        <v>5</v>
      </c>
      <c r="AL285" s="27" t="str">
        <f>LOWER(SUBSTITUTE(SUBSTITUTE(SUBSTITUTE(SUBSTITUTE(SUBSTITUTE(SUBSTITUTE(SUBSTITUTE(SUBSTITUTE(SUBSTITUTE(NOTA[NAMA BARANG]," ",),".",""),"-",""),"(",""),")",""),",",""),"/",""),"""",""),"+",""))</f>
        <v>pcmkt22208x23puagltd</v>
      </c>
      <c r="AM2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pcmkt22208x23puagltd1706400</v>
      </c>
      <c r="AN2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pcmkt22208x23puagltd1706400</v>
      </c>
      <c r="AO2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27" t="str">
        <f>IF(NOTA[[#This Row],[CONCAT4]]="","",_xlfn.IFNA(MATCH(NOTA[[#This Row],[CONCAT4]],[2]!RAW[CONCAT_H],0),FALSE))</f>
        <v/>
      </c>
      <c r="AQ285" s="145" t="e">
        <f>IF(NOTA[[#This Row],[CONCAT1]]="","",MATCH(NOTA[[#This Row],[CONCAT1]],[3]!db[NB NOTA_C],0)+1)</f>
        <v>#N/A</v>
      </c>
    </row>
    <row r="286" spans="1:43" ht="20.100000000000001" customHeight="1" x14ac:dyDescent="0.25">
      <c r="A28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18" t="str">
        <f>IF(NOTA[[#This Row],[ID_P]]="","",MATCH(NOTA[[#This Row],[ID_P]],[1]!B_MSK[N_ID],0))</f>
        <v/>
      </c>
      <c r="D286" s="18" t="str">
        <f ca="1">IF(NOTA[[#This Row],[NAMA BARANG]]="","",INDEX(NOTA[ID],MATCH(,INDIRECT(ADDRESS(ROW(NOTA[ID]),COLUMN(NOTA[ID]))&amp;":"&amp;ADDRESS(ROW(),COLUMN(NOTA[ID]))),-1)))</f>
        <v/>
      </c>
      <c r="E286" s="19"/>
      <c r="F286" s="16"/>
      <c r="G286" s="16"/>
      <c r="H286" s="20"/>
      <c r="I286" s="21"/>
      <c r="J286" s="22"/>
      <c r="K286" s="21"/>
      <c r="L286" s="16"/>
      <c r="M286" s="23"/>
      <c r="N286" s="21"/>
      <c r="O286" s="16"/>
      <c r="P286" s="17"/>
      <c r="Q286" s="34"/>
      <c r="R286" s="28"/>
      <c r="S286" s="24"/>
      <c r="T286" s="24"/>
      <c r="U286" s="25"/>
      <c r="V286" s="26"/>
      <c r="W286" s="25" t="str">
        <f>IF(NOTA[[#This Row],[HARGA/ CTN]]="",NOTA[[#This Row],[JUMLAH_H]],NOTA[[#This Row],[HARGA/ CTN]]*IF(NOTA[[#This Row],[C]]="",0,NOTA[[#This Row],[C]]))</f>
        <v/>
      </c>
      <c r="X286" s="25" t="str">
        <f>IF(NOTA[[#This Row],[JUMLAH]]="","",NOTA[[#This Row],[JUMLAH]]*NOTA[[#This Row],[DISC 1]])</f>
        <v/>
      </c>
      <c r="Y286" s="25" t="str">
        <f>IF(NOTA[[#This Row],[JUMLAH]]="","",(NOTA[[#This Row],[JUMLAH]]-NOTA[[#This Row],[DISC 1-]])*NOTA[[#This Row],[DISC 2]])</f>
        <v/>
      </c>
      <c r="Z286" s="25" t="str">
        <f>IF(NOTA[[#This Row],[JUMLAH]]="","",NOTA[[#This Row],[DISC 1-]]+NOTA[[#This Row],[DISC 2-]])</f>
        <v/>
      </c>
      <c r="AA286" s="25" t="str">
        <f>IF(NOTA[[#This Row],[JUMLAH]]="","",NOTA[[#This Row],[JUMLAH]]-NOTA[[#This Row],[DISC]])</f>
        <v/>
      </c>
      <c r="AB286" s="25"/>
      <c r="AC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25" t="str">
        <f>IF(OR(NOTA[[#This Row],[QTY]]="",NOTA[[#This Row],[HARGA SATUAN]]="",),"",NOTA[[#This Row],[QTY]]*NOTA[[#This Row],[HARGA SATUAN]])</f>
        <v/>
      </c>
      <c r="AG286" s="22" t="str">
        <f ca="1">IF(NOTA[ID_H]="","",INDEX(NOTA[TANGGAL],MATCH(,INDIRECT(ADDRESS(ROW(NOTA[TANGGAL]),COLUMN(NOTA[TANGGAL]))&amp;":"&amp;ADDRESS(ROW(),COLUMN(NOTA[TANGGAL]))),-1)))</f>
        <v/>
      </c>
      <c r="AH286" s="17" t="str">
        <f ca="1">IF(NOTA[[#This Row],[NAMA BARANG]]="","",INDEX(NOTA[SUPPLIER],MATCH(,INDIRECT(ADDRESS(ROW(NOTA[ID]),COLUMN(NOTA[ID]))&amp;":"&amp;ADDRESS(ROW(),COLUMN(NOTA[ID]))),-1)))</f>
        <v/>
      </c>
      <c r="AI286" s="17" t="str">
        <f ca="1">IF(NOTA[[#This Row],[ID_H]]="","",IF(NOTA[[#This Row],[FAKTUR]]="",INDIRECT(ADDRESS(ROW()-1,COLUMN())),NOTA[[#This Row],[FAKTUR]]))</f>
        <v/>
      </c>
      <c r="AJ286" s="27" t="str">
        <f ca="1">IF(NOTA[[#This Row],[ID]]="","",COUNTIF(NOTA[ID_H],NOTA[[#This Row],[ID_H]]))</f>
        <v/>
      </c>
      <c r="AK286" s="27" t="str">
        <f ca="1">IF(NOTA[[#This Row],[TGL.NOTA]]="",IF(NOTA[[#This Row],[SUPPLIER_H]]="","",AK285),MONTH(NOTA[[#This Row],[TGL.NOTA]]))</f>
        <v/>
      </c>
      <c r="AL286" s="27" t="str">
        <f>LOWER(SUBSTITUTE(SUBSTITUTE(SUBSTITUTE(SUBSTITUTE(SUBSTITUTE(SUBSTITUTE(SUBSTITUTE(SUBSTITUTE(SUBSTITUTE(NOTA[NAMA BARANG]," ",),".",""),"-",""),"(",""),")",""),",",""),"/",""),"""",""),"+",""))</f>
        <v/>
      </c>
      <c r="AM2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27" t="str">
        <f>IF(NOTA[[#This Row],[CONCAT4]]="","",_xlfn.IFNA(MATCH(NOTA[[#This Row],[CONCAT4]],[2]!RAW[CONCAT_H],0),FALSE))</f>
        <v/>
      </c>
      <c r="AQ286" s="145" t="str">
        <f>IF(NOTA[[#This Row],[CONCAT1]]="","",MATCH(NOTA[[#This Row],[CONCAT1]],[3]!db[NB NOTA_C],0)+1)</f>
        <v/>
      </c>
    </row>
    <row r="287" spans="1:43" ht="20.100000000000001" customHeight="1" x14ac:dyDescent="0.25">
      <c r="A287" s="17">
        <f ca="1">IF(INDIRECT(ADDRESS(ROW()-1,COLUMN(NOTA[[#Headers],[ID]])))="ID",1,IF(NOTA[[#This Row],[FAKTUR]]="","",COUNT(INDIRECT(ADDRESS(ROW(NOTA[ID]),COLUMN(NOTA[ID]))&amp;":"&amp;ADDRESS(ROW()-1,COLUMN(NOTA[ID]))))+1))</f>
        <v>52</v>
      </c>
      <c r="B28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SBS_1005_4B1-5</v>
      </c>
      <c r="C287" s="18" t="e">
        <f ca="1">IF(NOTA[[#This Row],[ID_P]]="","",MATCH(NOTA[[#This Row],[ID_P]],[1]!B_MSK[N_ID],0))</f>
        <v>#REF!</v>
      </c>
      <c r="D287" s="18">
        <f ca="1">IF(NOTA[[#This Row],[NAMA BARANG]]="","",INDEX(NOTA[ID],MATCH(,INDIRECT(ADDRESS(ROW(NOTA[ID]),COLUMN(NOTA[ID]))&amp;":"&amp;ADDRESS(ROW(),COLUMN(NOTA[ID]))),-1)))</f>
        <v>52</v>
      </c>
      <c r="E287" s="19"/>
      <c r="F287" s="16" t="s">
        <v>111</v>
      </c>
      <c r="G287" s="16" t="s">
        <v>112</v>
      </c>
      <c r="H287" s="20" t="s">
        <v>473</v>
      </c>
      <c r="I287" s="21"/>
      <c r="J287" s="22">
        <v>45082</v>
      </c>
      <c r="K287" s="21"/>
      <c r="L287" s="16" t="s">
        <v>475</v>
      </c>
      <c r="M287" s="23">
        <v>2</v>
      </c>
      <c r="N287" s="21">
        <v>288</v>
      </c>
      <c r="O287" s="16" t="s">
        <v>160</v>
      </c>
      <c r="P287" s="17">
        <v>10500</v>
      </c>
      <c r="Q287" s="34"/>
      <c r="R287" s="28" t="s">
        <v>161</v>
      </c>
      <c r="S287" s="24"/>
      <c r="T287" s="24"/>
      <c r="U287" s="25"/>
      <c r="V287" s="26"/>
      <c r="W287" s="25">
        <f>IF(NOTA[[#This Row],[HARGA/ CTN]]="",NOTA[[#This Row],[JUMLAH_H]],NOTA[[#This Row],[HARGA/ CTN]]*IF(NOTA[[#This Row],[C]]="",0,NOTA[[#This Row],[C]]))</f>
        <v>3024000</v>
      </c>
      <c r="X287" s="25">
        <f>IF(NOTA[[#This Row],[JUMLAH]]="","",NOTA[[#This Row],[JUMLAH]]*NOTA[[#This Row],[DISC 1]])</f>
        <v>0</v>
      </c>
      <c r="Y287" s="25">
        <f>IF(NOTA[[#This Row],[JUMLAH]]="","",(NOTA[[#This Row],[JUMLAH]]-NOTA[[#This Row],[DISC 1-]])*NOTA[[#This Row],[DISC 2]])</f>
        <v>0</v>
      </c>
      <c r="Z287" s="25">
        <f>IF(NOTA[[#This Row],[JUMLAH]]="","",NOTA[[#This Row],[DISC 1-]]+NOTA[[#This Row],[DISC 2-]])</f>
        <v>0</v>
      </c>
      <c r="AA287" s="25">
        <f>IF(NOTA[[#This Row],[JUMLAH]]="","",NOTA[[#This Row],[JUMLAH]]-NOTA[[#This Row],[DISC]])</f>
        <v>3024000</v>
      </c>
      <c r="AB287" s="25"/>
      <c r="AC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17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287" s="25">
        <f>IF(OR(NOTA[[#This Row],[QTY]]="",NOTA[[#This Row],[HARGA SATUAN]]="",),"",NOTA[[#This Row],[QTY]]*NOTA[[#This Row],[HARGA SATUAN]])</f>
        <v>3024000</v>
      </c>
      <c r="AG287" s="22">
        <f ca="1">IF(NOTA[ID_H]="","",INDEX(NOTA[TANGGAL],MATCH(,INDIRECT(ADDRESS(ROW(NOTA[TANGGAL]),COLUMN(NOTA[TANGGAL]))&amp;":"&amp;ADDRESS(ROW(),COLUMN(NOTA[TANGGAL]))),-1)))</f>
        <v>45056</v>
      </c>
      <c r="AH287" s="17" t="str">
        <f ca="1">IF(NOTA[[#This Row],[NAMA BARANG]]="","",INDEX(NOTA[SUPPLIER],MATCH(,INDIRECT(ADDRESS(ROW(NOTA[ID]),COLUMN(NOTA[ID]))&amp;":"&amp;ADDRESS(ROW(),COLUMN(NOTA[ID]))),-1)))</f>
        <v>SBS</v>
      </c>
      <c r="AI287" s="17" t="str">
        <f ca="1">IF(NOTA[[#This Row],[ID_H]]="","",IF(NOTA[[#This Row],[FAKTUR]]="",INDIRECT(ADDRESS(ROW()-1,COLUMN())),NOTA[[#This Row],[FAKTUR]]))</f>
        <v>UNTANA</v>
      </c>
      <c r="AJ287" s="27">
        <f ca="1">IF(NOTA[[#This Row],[ID]]="","",COUNTIF(NOTA[ID_H],NOTA[[#This Row],[ID_H]]))</f>
        <v>5</v>
      </c>
      <c r="AK287" s="27">
        <f>IF(NOTA[[#This Row],[TGL.NOTA]]="",IF(NOTA[[#This Row],[SUPPLIER_H]]="","",AK286),MONTH(NOTA[[#This Row],[TGL.NOTA]]))</f>
        <v>6</v>
      </c>
      <c r="AL287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2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pcmlpy66118x23puad1512000</v>
      </c>
      <c r="AN2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pcmlpy66118x23puad1512000</v>
      </c>
      <c r="AO287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SBSUNTANAVE0244B145082pcmlpy66118x23puad</v>
      </c>
      <c r="AP287" s="27" t="e">
        <f>IF(NOTA[[#This Row],[CONCAT4]]="","",_xlfn.IFNA(MATCH(NOTA[[#This Row],[CONCAT4]],[2]!RAW[CONCAT_H],0),FALSE))</f>
        <v>#REF!</v>
      </c>
      <c r="AQ287" s="145" t="e">
        <f>IF(NOTA[[#This Row],[CONCAT1]]="","",MATCH(NOTA[[#This Row],[CONCAT1]],[3]!db[NB NOTA_C],0)+1)</f>
        <v>#N/A</v>
      </c>
    </row>
    <row r="288" spans="1:43" ht="20.100000000000001" customHeight="1" x14ac:dyDescent="0.25">
      <c r="A28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18" t="str">
        <f>IF(NOTA[[#This Row],[ID_P]]="","",MATCH(NOTA[[#This Row],[ID_P]],[1]!B_MSK[N_ID],0))</f>
        <v/>
      </c>
      <c r="D288" s="18">
        <f ca="1">IF(NOTA[[#This Row],[NAMA BARANG]]="","",INDEX(NOTA[ID],MATCH(,INDIRECT(ADDRESS(ROW(NOTA[ID]),COLUMN(NOTA[ID]))&amp;":"&amp;ADDRESS(ROW(),COLUMN(NOTA[ID]))),-1)))</f>
        <v>52</v>
      </c>
      <c r="E288" s="19"/>
      <c r="F288" s="21"/>
      <c r="G288" s="21"/>
      <c r="H288" s="41"/>
      <c r="I288" s="21"/>
      <c r="J288" s="22"/>
      <c r="K288" s="21"/>
      <c r="L288" s="16" t="s">
        <v>476</v>
      </c>
      <c r="M288" s="23">
        <v>2</v>
      </c>
      <c r="N288" s="21">
        <v>288</v>
      </c>
      <c r="O288" s="16" t="s">
        <v>160</v>
      </c>
      <c r="P288" s="17">
        <v>11600</v>
      </c>
      <c r="Q288" s="34"/>
      <c r="R288" s="28" t="s">
        <v>161</v>
      </c>
      <c r="S288" s="39"/>
      <c r="T288" s="24"/>
      <c r="U288" s="25"/>
      <c r="V288" s="26"/>
      <c r="W288" s="25">
        <f>IF(NOTA[[#This Row],[HARGA/ CTN]]="",NOTA[[#This Row],[JUMLAH_H]],NOTA[[#This Row],[HARGA/ CTN]]*IF(NOTA[[#This Row],[C]]="",0,NOTA[[#This Row],[C]]))</f>
        <v>3340800</v>
      </c>
      <c r="X288" s="25">
        <f>IF(NOTA[[#This Row],[JUMLAH]]="","",NOTA[[#This Row],[JUMLAH]]*NOTA[[#This Row],[DISC 1]])</f>
        <v>0</v>
      </c>
      <c r="Y288" s="25">
        <f>IF(NOTA[[#This Row],[JUMLAH]]="","",(NOTA[[#This Row],[JUMLAH]]-NOTA[[#This Row],[DISC 1-]])*NOTA[[#This Row],[DISC 2]])</f>
        <v>0</v>
      </c>
      <c r="Z288" s="25">
        <f>IF(NOTA[[#This Row],[JUMLAH]]="","",NOTA[[#This Row],[DISC 1-]]+NOTA[[#This Row],[DISC 2-]])</f>
        <v>0</v>
      </c>
      <c r="AA288" s="25">
        <f>IF(NOTA[[#This Row],[JUMLAH]]="","",NOTA[[#This Row],[JUMLAH]]-NOTA[[#This Row],[DISC]])</f>
        <v>3340800</v>
      </c>
      <c r="AB288" s="25"/>
      <c r="AC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17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288" s="25">
        <f>IF(OR(NOTA[[#This Row],[QTY]]="",NOTA[[#This Row],[HARGA SATUAN]]="",),"",NOTA[[#This Row],[QTY]]*NOTA[[#This Row],[HARGA SATUAN]])</f>
        <v>3340800</v>
      </c>
      <c r="AG288" s="22">
        <f ca="1">IF(NOTA[ID_H]="","",INDEX(NOTA[TANGGAL],MATCH(,INDIRECT(ADDRESS(ROW(NOTA[TANGGAL]),COLUMN(NOTA[TANGGAL]))&amp;":"&amp;ADDRESS(ROW(),COLUMN(NOTA[TANGGAL]))),-1)))</f>
        <v>45056</v>
      </c>
      <c r="AH288" s="17" t="str">
        <f ca="1">IF(NOTA[[#This Row],[NAMA BARANG]]="","",INDEX(NOTA[SUPPLIER],MATCH(,INDIRECT(ADDRESS(ROW(NOTA[ID]),COLUMN(NOTA[ID]))&amp;":"&amp;ADDRESS(ROW(),COLUMN(NOTA[ID]))),-1)))</f>
        <v>SBS</v>
      </c>
      <c r="AI288" s="17" t="str">
        <f ca="1">IF(NOTA[[#This Row],[ID_H]]="","",IF(NOTA[[#This Row],[FAKTUR]]="",INDIRECT(ADDRESS(ROW()-1,COLUMN())),NOTA[[#This Row],[FAKTUR]]))</f>
        <v>UNTANA</v>
      </c>
      <c r="AJ288" s="27" t="str">
        <f ca="1">IF(NOTA[[#This Row],[ID]]="","",COUNTIF(NOTA[ID_H],NOTA[[#This Row],[ID_H]]))</f>
        <v/>
      </c>
      <c r="AK288" s="27">
        <f ca="1">IF(NOTA[[#This Row],[TGL.NOTA]]="",IF(NOTA[[#This Row],[SUPPLIER_H]]="","",AK287),MONTH(NOTA[[#This Row],[TGL.NOTA]]))</f>
        <v>6</v>
      </c>
      <c r="AL288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2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2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2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27" t="str">
        <f>IF(NOTA[[#This Row],[CONCAT4]]="","",_xlfn.IFNA(MATCH(NOTA[[#This Row],[CONCAT4]],[2]!RAW[CONCAT_H],0),FALSE))</f>
        <v/>
      </c>
      <c r="AQ288" s="145" t="e">
        <f>IF(NOTA[[#This Row],[CONCAT1]]="","",MATCH(NOTA[[#This Row],[CONCAT1]],[3]!db[NB NOTA_C],0)+1)</f>
        <v>#N/A</v>
      </c>
    </row>
    <row r="289" spans="1:43" ht="20.100000000000001" customHeight="1" x14ac:dyDescent="0.25">
      <c r="A28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18" t="str">
        <f>IF(NOTA[[#This Row],[ID_P]]="","",MATCH(NOTA[[#This Row],[ID_P]],[1]!B_MSK[N_ID],0))</f>
        <v/>
      </c>
      <c r="D289" s="18">
        <f ca="1">IF(NOTA[[#This Row],[NAMA BARANG]]="","",INDEX(NOTA[ID],MATCH(,INDIRECT(ADDRESS(ROW(NOTA[ID]),COLUMN(NOTA[ID]))&amp;":"&amp;ADDRESS(ROW(),COLUMN(NOTA[ID]))),-1)))</f>
        <v>52</v>
      </c>
      <c r="E289" s="19"/>
      <c r="F289" s="16"/>
      <c r="G289" s="16"/>
      <c r="H289" s="20"/>
      <c r="I289" s="21"/>
      <c r="J289" s="37"/>
      <c r="K289" s="21"/>
      <c r="L289" s="16" t="s">
        <v>477</v>
      </c>
      <c r="M289" s="23">
        <v>2</v>
      </c>
      <c r="N289" s="21">
        <v>384</v>
      </c>
      <c r="O289" s="16" t="s">
        <v>160</v>
      </c>
      <c r="P289" s="17">
        <v>9200</v>
      </c>
      <c r="Q289" s="34"/>
      <c r="R289" s="28" t="s">
        <v>427</v>
      </c>
      <c r="S289" s="24"/>
      <c r="T289" s="24"/>
      <c r="U289" s="25"/>
      <c r="V289" s="26"/>
      <c r="W289" s="25">
        <f>IF(NOTA[[#This Row],[HARGA/ CTN]]="",NOTA[[#This Row],[JUMLAH_H]],NOTA[[#This Row],[HARGA/ CTN]]*IF(NOTA[[#This Row],[C]]="",0,NOTA[[#This Row],[C]]))</f>
        <v>3532800</v>
      </c>
      <c r="X289" s="25">
        <f>IF(NOTA[[#This Row],[JUMLAH]]="","",NOTA[[#This Row],[JUMLAH]]*NOTA[[#This Row],[DISC 1]])</f>
        <v>0</v>
      </c>
      <c r="Y289" s="25">
        <f>IF(NOTA[[#This Row],[JUMLAH]]="","",(NOTA[[#This Row],[JUMLAH]]-NOTA[[#This Row],[DISC 1-]])*NOTA[[#This Row],[DISC 2]])</f>
        <v>0</v>
      </c>
      <c r="Z289" s="25">
        <f>IF(NOTA[[#This Row],[JUMLAH]]="","",NOTA[[#This Row],[DISC 1-]]+NOTA[[#This Row],[DISC 2-]])</f>
        <v>0</v>
      </c>
      <c r="AA289" s="25">
        <f>IF(NOTA[[#This Row],[JUMLAH]]="","",NOTA[[#This Row],[JUMLAH]]-NOTA[[#This Row],[DISC]])</f>
        <v>3532800</v>
      </c>
      <c r="AB289" s="25"/>
      <c r="AC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17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289" s="25">
        <f>IF(OR(NOTA[[#This Row],[QTY]]="",NOTA[[#This Row],[HARGA SATUAN]]="",),"",NOTA[[#This Row],[QTY]]*NOTA[[#This Row],[HARGA SATUAN]])</f>
        <v>3532800</v>
      </c>
      <c r="AG289" s="22">
        <f ca="1">IF(NOTA[ID_H]="","",INDEX(NOTA[TANGGAL],MATCH(,INDIRECT(ADDRESS(ROW(NOTA[TANGGAL]),COLUMN(NOTA[TANGGAL]))&amp;":"&amp;ADDRESS(ROW(),COLUMN(NOTA[TANGGAL]))),-1)))</f>
        <v>45056</v>
      </c>
      <c r="AH289" s="17" t="str">
        <f ca="1">IF(NOTA[[#This Row],[NAMA BARANG]]="","",INDEX(NOTA[SUPPLIER],MATCH(,INDIRECT(ADDRESS(ROW(NOTA[ID]),COLUMN(NOTA[ID]))&amp;":"&amp;ADDRESS(ROW(),COLUMN(NOTA[ID]))),-1)))</f>
        <v>SBS</v>
      </c>
      <c r="AI289" s="17" t="str">
        <f ca="1">IF(NOTA[[#This Row],[ID_H]]="","",IF(NOTA[[#This Row],[FAKTUR]]="",INDIRECT(ADDRESS(ROW()-1,COLUMN())),NOTA[[#This Row],[FAKTUR]]))</f>
        <v>UNTANA</v>
      </c>
      <c r="AJ289" s="27" t="str">
        <f ca="1">IF(NOTA[[#This Row],[ID]]="","",COUNTIF(NOTA[ID_H],NOTA[[#This Row],[ID_H]]))</f>
        <v/>
      </c>
      <c r="AK289" s="27">
        <f ca="1">IF(NOTA[[#This Row],[TGL.NOTA]]="",IF(NOTA[[#This Row],[SUPPLIER_H]]="","",AK288),MONTH(NOTA[[#This Row],[TGL.NOTA]]))</f>
        <v>6</v>
      </c>
      <c r="AL289" s="27" t="str">
        <f>LOWER(SUBSTITUTE(SUBSTITUTE(SUBSTITUTE(SUBSTITUTE(SUBSTITUTE(SUBSTITUTE(SUBSTITUTE(SUBSTITUTE(SUBSTITUTE(NOTA[NAMA BARANG]," ",),".",""),"-",""),"(",""),")",""),",",""),"/",""),"""",""),"+",""))</f>
        <v>pcmlpy663175x215puabt21</v>
      </c>
      <c r="AM2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pcmlpy663175x215puabt211766400</v>
      </c>
      <c r="AN2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pcmlpy663175x215puabt211766400</v>
      </c>
      <c r="AO2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27" t="str">
        <f>IF(NOTA[[#This Row],[CONCAT4]]="","",_xlfn.IFNA(MATCH(NOTA[[#This Row],[CONCAT4]],[2]!RAW[CONCAT_H],0),FALSE))</f>
        <v/>
      </c>
      <c r="AQ289" s="145" t="e">
        <f>IF(NOTA[[#This Row],[CONCAT1]]="","",MATCH(NOTA[[#This Row],[CONCAT1]],[3]!db[NB NOTA_C],0)+1)</f>
        <v>#N/A</v>
      </c>
    </row>
    <row r="290" spans="1:43" ht="20.100000000000001" customHeight="1" x14ac:dyDescent="0.25">
      <c r="A29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18" t="str">
        <f>IF(NOTA[[#This Row],[ID_P]]="","",MATCH(NOTA[[#This Row],[ID_P]],[1]!B_MSK[N_ID],0))</f>
        <v/>
      </c>
      <c r="D290" s="18">
        <f ca="1">IF(NOTA[[#This Row],[NAMA BARANG]]="","",INDEX(NOTA[ID],MATCH(,INDIRECT(ADDRESS(ROW(NOTA[ID]),COLUMN(NOTA[ID]))&amp;":"&amp;ADDRESS(ROW(),COLUMN(NOTA[ID]))),-1)))</f>
        <v>52</v>
      </c>
      <c r="E290" s="19"/>
      <c r="F290" s="16"/>
      <c r="G290" s="16"/>
      <c r="H290" s="20"/>
      <c r="I290" s="21"/>
      <c r="J290" s="22"/>
      <c r="K290" s="21"/>
      <c r="L290" s="16" t="s">
        <v>478</v>
      </c>
      <c r="M290" s="23">
        <v>2</v>
      </c>
      <c r="N290" s="21">
        <v>384</v>
      </c>
      <c r="O290" s="16" t="s">
        <v>160</v>
      </c>
      <c r="P290" s="17">
        <v>10500</v>
      </c>
      <c r="Q290" s="34"/>
      <c r="R290" s="28" t="s">
        <v>427</v>
      </c>
      <c r="S290" s="24"/>
      <c r="T290" s="24"/>
      <c r="U290" s="25"/>
      <c r="V290" s="26"/>
      <c r="W290" s="25">
        <f>IF(NOTA[[#This Row],[HARGA/ CTN]]="",NOTA[[#This Row],[JUMLAH_H]],NOTA[[#This Row],[HARGA/ CTN]]*IF(NOTA[[#This Row],[C]]="",0,NOTA[[#This Row],[C]]))</f>
        <v>4032000</v>
      </c>
      <c r="X290" s="25">
        <f>IF(NOTA[[#This Row],[JUMLAH]]="","",NOTA[[#This Row],[JUMLAH]]*NOTA[[#This Row],[DISC 1]])</f>
        <v>0</v>
      </c>
      <c r="Y290" s="25">
        <f>IF(NOTA[[#This Row],[JUMLAH]]="","",(NOTA[[#This Row],[JUMLAH]]-NOTA[[#This Row],[DISC 1-]])*NOTA[[#This Row],[DISC 2]])</f>
        <v>0</v>
      </c>
      <c r="Z290" s="25">
        <f>IF(NOTA[[#This Row],[JUMLAH]]="","",NOTA[[#This Row],[DISC 1-]]+NOTA[[#This Row],[DISC 2-]])</f>
        <v>0</v>
      </c>
      <c r="AA290" s="25">
        <f>IF(NOTA[[#This Row],[JUMLAH]]="","",NOTA[[#This Row],[JUMLAH]]-NOTA[[#This Row],[DISC]])</f>
        <v>4032000</v>
      </c>
      <c r="AB290" s="25"/>
      <c r="AC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1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290" s="25">
        <f>IF(OR(NOTA[[#This Row],[QTY]]="",NOTA[[#This Row],[HARGA SATUAN]]="",),"",NOTA[[#This Row],[QTY]]*NOTA[[#This Row],[HARGA SATUAN]])</f>
        <v>4032000</v>
      </c>
      <c r="AG290" s="22">
        <f ca="1">IF(NOTA[ID_H]="","",INDEX(NOTA[TANGGAL],MATCH(,INDIRECT(ADDRESS(ROW(NOTA[TANGGAL]),COLUMN(NOTA[TANGGAL]))&amp;":"&amp;ADDRESS(ROW(),COLUMN(NOTA[TANGGAL]))),-1)))</f>
        <v>45056</v>
      </c>
      <c r="AH290" s="17" t="str">
        <f ca="1">IF(NOTA[[#This Row],[NAMA BARANG]]="","",INDEX(NOTA[SUPPLIER],MATCH(,INDIRECT(ADDRESS(ROW(NOTA[ID]),COLUMN(NOTA[ID]))&amp;":"&amp;ADDRESS(ROW(),COLUMN(NOTA[ID]))),-1)))</f>
        <v>SBS</v>
      </c>
      <c r="AI290" s="17" t="str">
        <f ca="1">IF(NOTA[[#This Row],[ID_H]]="","",IF(NOTA[[#This Row],[FAKTUR]]="",INDIRECT(ADDRESS(ROW()-1,COLUMN())),NOTA[[#This Row],[FAKTUR]]))</f>
        <v>UNTANA</v>
      </c>
      <c r="AJ290" s="27" t="str">
        <f ca="1">IF(NOTA[[#This Row],[ID]]="","",COUNTIF(NOTA[ID_H],NOTA[[#This Row],[ID_H]]))</f>
        <v/>
      </c>
      <c r="AK290" s="27">
        <f ca="1">IF(NOTA[[#This Row],[TGL.NOTA]]="",IF(NOTA[[#This Row],[SUPPLIER_H]]="","",AK289),MONTH(NOTA[[#This Row],[TGL.NOTA]]))</f>
        <v>6</v>
      </c>
      <c r="AL290" s="27" t="str">
        <f>LOWER(SUBSTITUTE(SUBSTITUTE(SUBSTITUTE(SUBSTITUTE(SUBSTITUTE(SUBSTITUTE(SUBSTITUTE(SUBSTITUTE(SUBSTITUTE(NOTA[NAMA BARANG]," ",),".",""),"-",""),"(",""),")",""),",",""),"/",""),"""",""),"+",""))</f>
        <v>pcmlpy666775x22puatimbuld</v>
      </c>
      <c r="AM2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pcmlpy666775x22puatimbuld2016000</v>
      </c>
      <c r="AN2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pcmlpy666775x22puatimbuld2016000</v>
      </c>
      <c r="AO2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27" t="str">
        <f>IF(NOTA[[#This Row],[CONCAT4]]="","",_xlfn.IFNA(MATCH(NOTA[[#This Row],[CONCAT4]],[2]!RAW[CONCAT_H],0),FALSE))</f>
        <v/>
      </c>
      <c r="AQ290" s="145" t="e">
        <f>IF(NOTA[[#This Row],[CONCAT1]]="","",MATCH(NOTA[[#This Row],[CONCAT1]],[3]!db[NB NOTA_C],0)+1)</f>
        <v>#N/A</v>
      </c>
    </row>
    <row r="291" spans="1:43" ht="20.100000000000001" customHeight="1" x14ac:dyDescent="0.25">
      <c r="A29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18" t="str">
        <f>IF(NOTA[[#This Row],[ID_P]]="","",MATCH(NOTA[[#This Row],[ID_P]],[1]!B_MSK[N_ID],0))</f>
        <v/>
      </c>
      <c r="D291" s="18">
        <f ca="1">IF(NOTA[[#This Row],[NAMA BARANG]]="","",INDEX(NOTA[ID],MATCH(,INDIRECT(ADDRESS(ROW(NOTA[ID]),COLUMN(NOTA[ID]))&amp;":"&amp;ADDRESS(ROW(),COLUMN(NOTA[ID]))),-1)))</f>
        <v>52</v>
      </c>
      <c r="E291" s="19"/>
      <c r="F291" s="21"/>
      <c r="G291" s="21"/>
      <c r="H291" s="41"/>
      <c r="I291" s="21"/>
      <c r="J291" s="22"/>
      <c r="K291" s="21"/>
      <c r="L291" s="16" t="s">
        <v>479</v>
      </c>
      <c r="M291" s="23">
        <v>2</v>
      </c>
      <c r="N291" s="21">
        <v>240</v>
      </c>
      <c r="O291" s="16" t="s">
        <v>160</v>
      </c>
      <c r="P291" s="17">
        <v>14200</v>
      </c>
      <c r="Q291" s="34"/>
      <c r="R291" s="28" t="s">
        <v>428</v>
      </c>
      <c r="S291" s="24"/>
      <c r="T291" s="24"/>
      <c r="U291" s="25"/>
      <c r="V291" s="26"/>
      <c r="W291" s="25">
        <f>IF(NOTA[[#This Row],[HARGA/ CTN]]="",NOTA[[#This Row],[JUMLAH_H]],NOTA[[#This Row],[HARGA/ CTN]]*IF(NOTA[[#This Row],[C]]="",0,NOTA[[#This Row],[C]]))</f>
        <v>3408000</v>
      </c>
      <c r="X291" s="25">
        <f>IF(NOTA[[#This Row],[JUMLAH]]="","",NOTA[[#This Row],[JUMLAH]]*NOTA[[#This Row],[DISC 1]])</f>
        <v>0</v>
      </c>
      <c r="Y291" s="25">
        <f>IF(NOTA[[#This Row],[JUMLAH]]="","",(NOTA[[#This Row],[JUMLAH]]-NOTA[[#This Row],[DISC 1-]])*NOTA[[#This Row],[DISC 2]])</f>
        <v>0</v>
      </c>
      <c r="Z291" s="25">
        <f>IF(NOTA[[#This Row],[JUMLAH]]="","",NOTA[[#This Row],[DISC 1-]]+NOTA[[#This Row],[DISC 2-]])</f>
        <v>0</v>
      </c>
      <c r="AA291" s="25">
        <f>IF(NOTA[[#This Row],[JUMLAH]]="","",NOTA[[#This Row],[JUMLAH]]-NOTA[[#This Row],[DISC]])</f>
        <v>3408000</v>
      </c>
      <c r="AB291" s="25"/>
      <c r="AC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1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17337600</v>
      </c>
      <c r="AE291" s="1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291" s="25">
        <f>IF(OR(NOTA[[#This Row],[QTY]]="",NOTA[[#This Row],[HARGA SATUAN]]="",),"",NOTA[[#This Row],[QTY]]*NOTA[[#This Row],[HARGA SATUAN]])</f>
        <v>3408000</v>
      </c>
      <c r="AG291" s="22">
        <f ca="1">IF(NOTA[ID_H]="","",INDEX(NOTA[TANGGAL],MATCH(,INDIRECT(ADDRESS(ROW(NOTA[TANGGAL]),COLUMN(NOTA[TANGGAL]))&amp;":"&amp;ADDRESS(ROW(),COLUMN(NOTA[TANGGAL]))),-1)))</f>
        <v>45056</v>
      </c>
      <c r="AH291" s="17" t="str">
        <f ca="1">IF(NOTA[[#This Row],[NAMA BARANG]]="","",INDEX(NOTA[SUPPLIER],MATCH(,INDIRECT(ADDRESS(ROW(NOTA[ID]),COLUMN(NOTA[ID]))&amp;":"&amp;ADDRESS(ROW(),COLUMN(NOTA[ID]))),-1)))</f>
        <v>SBS</v>
      </c>
      <c r="AI291" s="17" t="str">
        <f ca="1">IF(NOTA[[#This Row],[ID_H]]="","",IF(NOTA[[#This Row],[FAKTUR]]="",INDIRECT(ADDRESS(ROW()-1,COLUMN())),NOTA[[#This Row],[FAKTUR]]))</f>
        <v>UNTANA</v>
      </c>
      <c r="AJ291" s="27" t="str">
        <f ca="1">IF(NOTA[[#This Row],[ID]]="","",COUNTIF(NOTA[ID_H],NOTA[[#This Row],[ID_H]]))</f>
        <v/>
      </c>
      <c r="AK291" s="27">
        <f ca="1">IF(NOTA[[#This Row],[TGL.NOTA]]="",IF(NOTA[[#This Row],[SUPPLIER_H]]="","",AK290),MONTH(NOTA[[#This Row],[TGL.NOTA]]))</f>
        <v>6</v>
      </c>
      <c r="AL291" s="27" t="str">
        <f>LOWER(SUBSTITUTE(SUBSTITUTE(SUBSTITUTE(SUBSTITUTE(SUBSTITUTE(SUBSTITUTE(SUBSTITUTE(SUBSTITUTE(SUBSTITUTE(NOTA[NAMA BARANG]," ",),".",""),"-",""),"(",""),")",""),",",""),"/",""),"""",""),"+",""))</f>
        <v>pcmxu008012x22pudny</v>
      </c>
      <c r="AM2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pcmxu008012x22pudny1704000</v>
      </c>
      <c r="AN2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pcmxu008012x22pudny1704000</v>
      </c>
      <c r="AO2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27" t="str">
        <f>IF(NOTA[[#This Row],[CONCAT4]]="","",_xlfn.IFNA(MATCH(NOTA[[#This Row],[CONCAT4]],[2]!RAW[CONCAT_H],0),FALSE))</f>
        <v/>
      </c>
      <c r="AQ291" s="145">
        <f>IF(NOTA[[#This Row],[CONCAT1]]="","",MATCH(NOTA[[#This Row],[CONCAT1]],[3]!db[NB NOTA_C],0)+1)</f>
        <v>1873</v>
      </c>
    </row>
    <row r="292" spans="1:43" ht="20.100000000000001" customHeight="1" x14ac:dyDescent="0.25">
      <c r="A2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6" t="str">
        <f>IF(NOTA[[#This Row],[ID_P]]="","",MATCH(NOTA[[#This Row],[ID_P]],[1]!B_MSK[N_ID],0))</f>
        <v/>
      </c>
      <c r="D292" s="36" t="str">
        <f ca="1">IF(NOTA[[#This Row],[NAMA BARANG]]="","",INDEX(NOTA[ID],MATCH(,INDIRECT(ADDRESS(ROW(NOTA[ID]),COLUMN(NOTA[ID]))&amp;":"&amp;ADDRESS(ROW(),COLUMN(NOTA[ID]))),-1)))</f>
        <v/>
      </c>
      <c r="E292" s="14"/>
      <c r="F292" s="16"/>
      <c r="G292" s="16"/>
      <c r="H292" s="20"/>
      <c r="I292" s="16"/>
      <c r="J292" s="37"/>
      <c r="K292" s="16"/>
      <c r="L292" s="16"/>
      <c r="M292" s="28"/>
      <c r="N292" s="16"/>
      <c r="O292" s="16"/>
      <c r="P292" s="17"/>
      <c r="Q292" s="38"/>
      <c r="R292" s="28"/>
      <c r="S292" s="24"/>
      <c r="T292" s="24"/>
      <c r="U292" s="40"/>
      <c r="V292" s="26"/>
      <c r="W292" s="40" t="str">
        <f>IF(NOTA[[#This Row],[HARGA/ CTN]]="",NOTA[[#This Row],[JUMLAH_H]],NOTA[[#This Row],[HARGA/ CTN]]*IF(NOTA[[#This Row],[C]]="",0,NOTA[[#This Row],[C]]))</f>
        <v/>
      </c>
      <c r="X292" s="40" t="str">
        <f>IF(NOTA[[#This Row],[JUMLAH]]="","",NOTA[[#This Row],[JUMLAH]]*NOTA[[#This Row],[DISC 1]])</f>
        <v/>
      </c>
      <c r="Y292" s="40" t="str">
        <f>IF(NOTA[[#This Row],[JUMLAH]]="","",(NOTA[[#This Row],[JUMLAH]]-NOTA[[#This Row],[DISC 1-]])*NOTA[[#This Row],[DISC 2]])</f>
        <v/>
      </c>
      <c r="Z292" s="40" t="str">
        <f>IF(NOTA[[#This Row],[JUMLAH]]="","",NOTA[[#This Row],[DISC 1-]]+NOTA[[#This Row],[DISC 2-]])</f>
        <v/>
      </c>
      <c r="AA292" s="40" t="str">
        <f>IF(NOTA[[#This Row],[JUMLAH]]="","",NOTA[[#This Row],[JUMLAH]]-NOTA[[#This Row],[DISC]])</f>
        <v/>
      </c>
      <c r="AB292" s="40"/>
      <c r="AC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40" t="str">
        <f>IF(OR(NOTA[[#This Row],[QTY]]="",NOTA[[#This Row],[HARGA SATUAN]]="",),"",NOTA[[#This Row],[QTY]]*NOTA[[#This Row],[HARGA SATUAN]])</f>
        <v/>
      </c>
      <c r="AG292" s="37" t="str">
        <f ca="1">IF(NOTA[ID_H]="","",INDEX(NOTA[TANGGAL],MATCH(,INDIRECT(ADDRESS(ROW(NOTA[TANGGAL]),COLUMN(NOTA[TANGGAL]))&amp;":"&amp;ADDRESS(ROW(),COLUMN(NOTA[TANGGAL]))),-1)))</f>
        <v/>
      </c>
      <c r="AH292" s="35" t="str">
        <f ca="1">IF(NOTA[[#This Row],[NAMA BARANG]]="","",INDEX(NOTA[SUPPLIER],MATCH(,INDIRECT(ADDRESS(ROW(NOTA[ID]),COLUMN(NOTA[ID]))&amp;":"&amp;ADDRESS(ROW(),COLUMN(NOTA[ID]))),-1)))</f>
        <v/>
      </c>
      <c r="AI292" s="35" t="str">
        <f ca="1">IF(NOTA[[#This Row],[ID_H]]="","",IF(NOTA[[#This Row],[FAKTUR]]="",INDIRECT(ADDRESS(ROW()-1,COLUMN())),NOTA[[#This Row],[FAKTUR]]))</f>
        <v/>
      </c>
      <c r="AJ292" s="27" t="str">
        <f ca="1">IF(NOTA[[#This Row],[ID]]="","",COUNTIF(NOTA[ID_H],NOTA[[#This Row],[ID_H]]))</f>
        <v/>
      </c>
      <c r="AK292" s="27" t="str">
        <f ca="1">IF(NOTA[[#This Row],[TGL.NOTA]]="",IF(NOTA[[#This Row],[SUPPLIER_H]]="","",AK291),MONTH(NOTA[[#This Row],[TGL.NOTA]]))</f>
        <v/>
      </c>
      <c r="AL292" s="27" t="str">
        <f>LOWER(SUBSTITUTE(SUBSTITUTE(SUBSTITUTE(SUBSTITUTE(SUBSTITUTE(SUBSTITUTE(SUBSTITUTE(SUBSTITUTE(SUBSTITUTE(NOTA[NAMA BARANG]," ",),".",""),"-",""),"(",""),")",""),",",""),"/",""),"""",""),"+",""))</f>
        <v/>
      </c>
      <c r="AM2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27" t="str">
        <f>IF(NOTA[[#This Row],[CONCAT4]]="","",_xlfn.IFNA(MATCH(NOTA[[#This Row],[CONCAT4]],[2]!RAW[CONCAT_H],0),FALSE))</f>
        <v/>
      </c>
      <c r="AQ292" s="145" t="str">
        <f>IF(NOTA[[#This Row],[CONCAT1]]="","",MATCH(NOTA[[#This Row],[CONCAT1]],[3]!db[NB NOTA_C],0)+1)</f>
        <v/>
      </c>
    </row>
    <row r="293" spans="1:43" ht="20.100000000000001" customHeight="1" x14ac:dyDescent="0.25">
      <c r="A293" s="35">
        <f ca="1">IF(INDIRECT(ADDRESS(ROW()-1,COLUMN(NOTA[[#Headers],[ID]])))="ID",1,IF(NOTA[[#This Row],[FAKTUR]]="","",COUNT(INDIRECT(ADDRESS(ROW(NOTA[ID]),COLUMN(NOTA[ID]))&amp;":"&amp;ADDRESS(ROW()-1,COLUMN(NOTA[ID]))))+1))</f>
        <v>53</v>
      </c>
      <c r="B29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BIN_1105_149-5</v>
      </c>
      <c r="C293" s="36" t="e">
        <f ca="1">IF(NOTA[[#This Row],[ID_P]]="","",MATCH(NOTA[[#This Row],[ID_P]],[1]!B_MSK[N_ID],0))</f>
        <v>#REF!</v>
      </c>
      <c r="D293" s="36">
        <f ca="1">IF(NOTA[[#This Row],[NAMA BARANG]]="","",INDEX(NOTA[ID],MATCH(,INDIRECT(ADDRESS(ROW(NOTA[ID]),COLUMN(NOTA[ID]))&amp;":"&amp;ADDRESS(ROW(),COLUMN(NOTA[ID]))),-1)))</f>
        <v>53</v>
      </c>
      <c r="E293" s="14">
        <v>45057</v>
      </c>
      <c r="F293" s="16" t="s">
        <v>157</v>
      </c>
      <c r="G293" s="16" t="s">
        <v>112</v>
      </c>
      <c r="H293" s="20" t="s">
        <v>480</v>
      </c>
      <c r="I293" s="16"/>
      <c r="J293" s="37">
        <v>45050</v>
      </c>
      <c r="K293" s="16"/>
      <c r="L293" s="16" t="s">
        <v>481</v>
      </c>
      <c r="M293" s="28">
        <v>5</v>
      </c>
      <c r="N293" s="16">
        <f>144*5</f>
        <v>720</v>
      </c>
      <c r="O293" s="16" t="s">
        <v>160</v>
      </c>
      <c r="P293" s="17">
        <v>15500</v>
      </c>
      <c r="Q293" s="38">
        <v>2232000</v>
      </c>
      <c r="R293" s="28" t="s">
        <v>161</v>
      </c>
      <c r="S293" s="24">
        <v>0.05</v>
      </c>
      <c r="T293" s="24">
        <v>2.5000000000000001E-2</v>
      </c>
      <c r="U293" s="40"/>
      <c r="V293" s="26"/>
      <c r="W293" s="40">
        <f>IF(NOTA[[#This Row],[HARGA/ CTN]]="",NOTA[[#This Row],[JUMLAH_H]],NOTA[[#This Row],[HARGA/ CTN]]*IF(NOTA[[#This Row],[C]]="",0,NOTA[[#This Row],[C]]))</f>
        <v>11160000</v>
      </c>
      <c r="X293" s="40">
        <f>IF(NOTA[[#This Row],[JUMLAH]]="","",NOTA[[#This Row],[JUMLAH]]*NOTA[[#This Row],[DISC 1]])</f>
        <v>558000</v>
      </c>
      <c r="Y293" s="40">
        <f>IF(NOTA[[#This Row],[JUMLAH]]="","",(NOTA[[#This Row],[JUMLAH]]-NOTA[[#This Row],[DISC 1-]])*NOTA[[#This Row],[DISC 2]])</f>
        <v>265050</v>
      </c>
      <c r="Z293" s="40">
        <f>IF(NOTA[[#This Row],[JUMLAH]]="","",NOTA[[#This Row],[DISC 1-]]+NOTA[[#This Row],[DISC 2-]])</f>
        <v>823050</v>
      </c>
      <c r="AA293" s="40">
        <f>IF(NOTA[[#This Row],[JUMLAH]]="","",NOTA[[#This Row],[JUMLAH]]-NOTA[[#This Row],[DISC]])</f>
        <v>10336950</v>
      </c>
      <c r="AB293" s="40"/>
      <c r="AC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3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293" s="40">
        <f>IF(OR(NOTA[[#This Row],[QTY]]="",NOTA[[#This Row],[HARGA SATUAN]]="",),"",NOTA[[#This Row],[QTY]]*NOTA[[#This Row],[HARGA SATUAN]])</f>
        <v>11160000</v>
      </c>
      <c r="AG293" s="37">
        <f ca="1">IF(NOTA[ID_H]="","",INDEX(NOTA[TANGGAL],MATCH(,INDIRECT(ADDRESS(ROW(NOTA[TANGGAL]),COLUMN(NOTA[TANGGAL]))&amp;":"&amp;ADDRESS(ROW(),COLUMN(NOTA[TANGGAL]))),-1)))</f>
        <v>45057</v>
      </c>
      <c r="AH293" s="35" t="str">
        <f ca="1">IF(NOTA[[#This Row],[NAMA BARANG]]="","",INDEX(NOTA[SUPPLIER],MATCH(,INDIRECT(ADDRESS(ROW(NOTA[ID]),COLUMN(NOTA[ID]))&amp;":"&amp;ADDRESS(ROW(),COLUMN(NOTA[ID]))),-1)))</f>
        <v>BINTANG JAYA</v>
      </c>
      <c r="AI293" s="35" t="str">
        <f ca="1">IF(NOTA[[#This Row],[ID_H]]="","",IF(NOTA[[#This Row],[FAKTUR]]="",INDIRECT(ADDRESS(ROW()-1,COLUMN())),NOTA[[#This Row],[FAKTUR]]))</f>
        <v>UNTANA</v>
      </c>
      <c r="AJ293" s="27">
        <f ca="1">IF(NOTA[[#This Row],[ID]]="","",COUNTIF(NOTA[ID_H],NOTA[[#This Row],[ID_H]]))</f>
        <v>5</v>
      </c>
      <c r="AK293" s="27">
        <f>IF(NOTA[[#This Row],[TGL.NOTA]]="",IF(NOTA[[#This Row],[SUPPLIER_H]]="","",AK292),MONTH(NOTA[[#This Row],[TGL.NOTA]]))</f>
        <v>5</v>
      </c>
      <c r="AL293" s="27" t="str">
        <f>LOWER(SUBSTITUTE(SUBSTITUTE(SUBSTITUTE(SUBSTITUTE(SUBSTITUTE(SUBSTITUTE(SUBSTITUTE(SUBSTITUTE(SUBSTITUTE(NOTA[NAMA BARANG]," ",),".",""),"-",""),"(",""),")",""),",",""),"/",""),"""",""),"+",""))</f>
        <v>pencilcasemagnetisicc1021</v>
      </c>
      <c r="AM2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pencilcasemagnetisicc102122320000.050.025</v>
      </c>
      <c r="AN2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pencilcasemagnetisicc102122320000.050.025</v>
      </c>
      <c r="AO293" s="27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JAYAUNTANASI.2023.05.0014945050pencilcasemagnetisicc1021</v>
      </c>
      <c r="AP293" s="27" t="e">
        <f>IF(NOTA[[#This Row],[CONCAT4]]="","",_xlfn.IFNA(MATCH(NOTA[[#This Row],[CONCAT4]],[2]!RAW[CONCAT_H],0),FALSE))</f>
        <v>#REF!</v>
      </c>
      <c r="AQ293" s="145" t="e">
        <f>IF(NOTA[[#This Row],[CONCAT1]]="","",MATCH(NOTA[[#This Row],[CONCAT1]],[3]!db[NB NOTA_C],0)+1)</f>
        <v>#N/A</v>
      </c>
    </row>
    <row r="294" spans="1:43" ht="20.100000000000001" customHeight="1" x14ac:dyDescent="0.25">
      <c r="A29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4" t="str">
        <f>IF(NOTA[[#This Row],[ID_P]]="","",MATCH(NOTA[[#This Row],[ID_P]],[1]!B_MSK[N_ID],0))</f>
        <v/>
      </c>
      <c r="D294" s="44">
        <f ca="1">IF(NOTA[[#This Row],[NAMA BARANG]]="","",INDEX(NOTA[ID],MATCH(,INDIRECT(ADDRESS(ROW(NOTA[ID]),COLUMN(NOTA[ID]))&amp;":"&amp;ADDRESS(ROW(),COLUMN(NOTA[ID]))),-1)))</f>
        <v>53</v>
      </c>
      <c r="E294" s="47"/>
      <c r="F294" s="48"/>
      <c r="G294" s="48"/>
      <c r="H294" s="81"/>
      <c r="I294" s="48"/>
      <c r="J294" s="46"/>
      <c r="K294" s="48"/>
      <c r="L294" s="16" t="s">
        <v>483</v>
      </c>
      <c r="M294" s="49">
        <v>2</v>
      </c>
      <c r="N294" s="48">
        <v>1200</v>
      </c>
      <c r="O294" s="16" t="s">
        <v>160</v>
      </c>
      <c r="P294" s="17">
        <v>2450</v>
      </c>
      <c r="Q294" s="50">
        <v>1470000</v>
      </c>
      <c r="R294" s="28" t="s">
        <v>482</v>
      </c>
      <c r="S294" s="24"/>
      <c r="T294" s="24"/>
      <c r="U294" s="45"/>
      <c r="V294" s="26"/>
      <c r="W294" s="45">
        <f>IF(NOTA[[#This Row],[HARGA/ CTN]]="",NOTA[[#This Row],[JUMLAH_H]],NOTA[[#This Row],[HARGA/ CTN]]*IF(NOTA[[#This Row],[C]]="",0,NOTA[[#This Row],[C]]))</f>
        <v>2940000</v>
      </c>
      <c r="X294" s="45">
        <f>IF(NOTA[[#This Row],[JUMLAH]]="","",NOTA[[#This Row],[JUMLAH]]*NOTA[[#This Row],[DISC 1]])</f>
        <v>0</v>
      </c>
      <c r="Y294" s="45">
        <f>IF(NOTA[[#This Row],[JUMLAH]]="","",(NOTA[[#This Row],[JUMLAH]]-NOTA[[#This Row],[DISC 1-]])*NOTA[[#This Row],[DISC 2]])</f>
        <v>0</v>
      </c>
      <c r="Z294" s="45">
        <f>IF(NOTA[[#This Row],[JUMLAH]]="","",NOTA[[#This Row],[DISC 1-]]+NOTA[[#This Row],[DISC 2-]])</f>
        <v>0</v>
      </c>
      <c r="AA294" s="45">
        <f>IF(NOTA[[#This Row],[JUMLAH]]="","",NOTA[[#This Row],[JUMLAH]]-NOTA[[#This Row],[DISC]])</f>
        <v>2940000</v>
      </c>
      <c r="AB294" s="45"/>
      <c r="AC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3">
        <f>IF(NOTA[[#This Row],[NAMA BARANG]]="","",IF(NOTA[[#This Row],[JUMLAH_H]]="",NOTA[[#This Row],[HARGA/ CTN]],NOTA[[#This Row],[QTY]]*NOTA[[#This Row],[HARGA SATUAN]]/IF(ISNUMBER(NOTA[[#This Row],[C]]),NOTA[[#This Row],[C]],1)))</f>
        <v>1470000</v>
      </c>
      <c r="AF294" s="45">
        <f>IF(OR(NOTA[[#This Row],[QTY]]="",NOTA[[#This Row],[HARGA SATUAN]]="",),"",NOTA[[#This Row],[QTY]]*NOTA[[#This Row],[HARGA SATUAN]])</f>
        <v>2940000</v>
      </c>
      <c r="AG294" s="46">
        <f ca="1">IF(NOTA[ID_H]="","",INDEX(NOTA[TANGGAL],MATCH(,INDIRECT(ADDRESS(ROW(NOTA[TANGGAL]),COLUMN(NOTA[TANGGAL]))&amp;":"&amp;ADDRESS(ROW(),COLUMN(NOTA[TANGGAL]))),-1)))</f>
        <v>45057</v>
      </c>
      <c r="AH294" s="43" t="str">
        <f ca="1">IF(NOTA[[#This Row],[NAMA BARANG]]="","",INDEX(NOTA[SUPPLIER],MATCH(,INDIRECT(ADDRESS(ROW(NOTA[ID]),COLUMN(NOTA[ID]))&amp;":"&amp;ADDRESS(ROW(),COLUMN(NOTA[ID]))),-1)))</f>
        <v>BINTANG JAYA</v>
      </c>
      <c r="AI294" s="43" t="str">
        <f ca="1">IF(NOTA[[#This Row],[ID_H]]="","",IF(NOTA[[#This Row],[FAKTUR]]="",INDIRECT(ADDRESS(ROW()-1,COLUMN())),NOTA[[#This Row],[FAKTUR]]))</f>
        <v>UNTANA</v>
      </c>
      <c r="AJ294" s="27" t="str">
        <f ca="1">IF(NOTA[[#This Row],[ID]]="","",COUNTIF(NOTA[ID_H],NOTA[[#This Row],[ID_H]]))</f>
        <v/>
      </c>
      <c r="AK294" s="27">
        <f ca="1">IF(NOTA[[#This Row],[TGL.NOTA]]="",IF(NOTA[[#This Row],[SUPPLIER_H]]="","",AK293),MONTH(NOTA[[#This Row],[TGL.NOTA]]))</f>
        <v>5</v>
      </c>
      <c r="AL294" s="27" t="str">
        <f>LOWER(SUBSTITUTE(SUBSTITUTE(SUBSTITUTE(SUBSTITUTE(SUBSTITUTE(SUBSTITUTE(SUBSTITUTE(SUBSTITUTE(SUBSTITUTE(NOTA[NAMA BARANG]," ",),".",""),"-",""),"(",""),")",""),",",""),"/",""),"""",""),"+",""))</f>
        <v>stainlesssteelsqscissors45colorscsq04c</v>
      </c>
      <c r="AM2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N2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stainlesssteelsqscissors45colorscsq04c1470000</v>
      </c>
      <c r="AO2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27" t="str">
        <f>IF(NOTA[[#This Row],[CONCAT4]]="","",_xlfn.IFNA(MATCH(NOTA[[#This Row],[CONCAT4]],[2]!RAW[CONCAT_H],0),FALSE))</f>
        <v/>
      </c>
      <c r="AQ294" s="145" t="e">
        <f>IF(NOTA[[#This Row],[CONCAT1]]="","",MATCH(NOTA[[#This Row],[CONCAT1]],[3]!db[NB NOTA_C],0)+1)</f>
        <v>#N/A</v>
      </c>
    </row>
    <row r="295" spans="1:43" ht="20.100000000000001" customHeight="1" x14ac:dyDescent="0.25">
      <c r="A29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4" t="str">
        <f>IF(NOTA[[#This Row],[ID_P]]="","",MATCH(NOTA[[#This Row],[ID_P]],[1]!B_MSK[N_ID],0))</f>
        <v/>
      </c>
      <c r="D295" s="44">
        <f ca="1">IF(NOTA[[#This Row],[NAMA BARANG]]="","",INDEX(NOTA[ID],MATCH(,INDIRECT(ADDRESS(ROW(NOTA[ID]),COLUMN(NOTA[ID]))&amp;":"&amp;ADDRESS(ROW(),COLUMN(NOTA[ID]))),-1)))</f>
        <v>53</v>
      </c>
      <c r="E295" s="14"/>
      <c r="F295" s="16"/>
      <c r="G295" s="16"/>
      <c r="H295" s="20"/>
      <c r="I295" s="16"/>
      <c r="J295" s="37"/>
      <c r="K295" s="16"/>
      <c r="L295" s="16" t="s">
        <v>484</v>
      </c>
      <c r="M295" s="28">
        <v>2</v>
      </c>
      <c r="N295" s="16">
        <v>1200</v>
      </c>
      <c r="O295" s="16" t="s">
        <v>160</v>
      </c>
      <c r="P295" s="35">
        <v>2750</v>
      </c>
      <c r="Q295" s="38">
        <v>1650000</v>
      </c>
      <c r="R295" s="28" t="s">
        <v>482</v>
      </c>
      <c r="S295" s="39"/>
      <c r="T295" s="39"/>
      <c r="U295" s="40"/>
      <c r="V295" s="26"/>
      <c r="W295" s="45">
        <f>IF(NOTA[[#This Row],[HARGA/ CTN]]="",NOTA[[#This Row],[JUMLAH_H]],NOTA[[#This Row],[HARGA/ CTN]]*IF(NOTA[[#This Row],[C]]="",0,NOTA[[#This Row],[C]]))</f>
        <v>3300000</v>
      </c>
      <c r="X295" s="45">
        <f>IF(NOTA[[#This Row],[JUMLAH]]="","",NOTA[[#This Row],[JUMLAH]]*NOTA[[#This Row],[DISC 1]])</f>
        <v>0</v>
      </c>
      <c r="Y295" s="45">
        <f>IF(NOTA[[#This Row],[JUMLAH]]="","",(NOTA[[#This Row],[JUMLAH]]-NOTA[[#This Row],[DISC 1-]])*NOTA[[#This Row],[DISC 2]])</f>
        <v>0</v>
      </c>
      <c r="Z295" s="45">
        <f>IF(NOTA[[#This Row],[JUMLAH]]="","",NOTA[[#This Row],[DISC 1-]]+NOTA[[#This Row],[DISC 2-]])</f>
        <v>0</v>
      </c>
      <c r="AA295" s="45">
        <f>IF(NOTA[[#This Row],[JUMLAH]]="","",NOTA[[#This Row],[JUMLAH]]-NOTA[[#This Row],[DISC]])</f>
        <v>3300000</v>
      </c>
      <c r="AB295" s="45"/>
      <c r="AC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95" s="45">
        <f>IF(OR(NOTA[[#This Row],[QTY]]="",NOTA[[#This Row],[HARGA SATUAN]]="",),"",NOTA[[#This Row],[QTY]]*NOTA[[#This Row],[HARGA SATUAN]])</f>
        <v>3300000</v>
      </c>
      <c r="AG295" s="46">
        <f ca="1">IF(NOTA[ID_H]="","",INDEX(NOTA[TANGGAL],MATCH(,INDIRECT(ADDRESS(ROW(NOTA[TANGGAL]),COLUMN(NOTA[TANGGAL]))&amp;":"&amp;ADDRESS(ROW(),COLUMN(NOTA[TANGGAL]))),-1)))</f>
        <v>45057</v>
      </c>
      <c r="AH295" s="43" t="str">
        <f ca="1">IF(NOTA[[#This Row],[NAMA BARANG]]="","",INDEX(NOTA[SUPPLIER],MATCH(,INDIRECT(ADDRESS(ROW(NOTA[ID]),COLUMN(NOTA[ID]))&amp;":"&amp;ADDRESS(ROW(),COLUMN(NOTA[ID]))),-1)))</f>
        <v>BINTANG JAYA</v>
      </c>
      <c r="AI295" s="43" t="str">
        <f ca="1">IF(NOTA[[#This Row],[ID_H]]="","",IF(NOTA[[#This Row],[FAKTUR]]="",INDIRECT(ADDRESS(ROW()-1,COLUMN())),NOTA[[#This Row],[FAKTUR]]))</f>
        <v>UNTANA</v>
      </c>
      <c r="AJ295" s="27" t="str">
        <f ca="1">IF(NOTA[[#This Row],[ID]]="","",COUNTIF(NOTA[ID_H],NOTA[[#This Row],[ID_H]]))</f>
        <v/>
      </c>
      <c r="AK295" s="27">
        <f ca="1">IF(NOTA[[#This Row],[TGL.NOTA]]="",IF(NOTA[[#This Row],[SUPPLIER_H]]="","",AK294),MONTH(NOTA[[#This Row],[TGL.NOTA]]))</f>
        <v>5</v>
      </c>
      <c r="AL295" s="27" t="str">
        <f>LOWER(SUBSTITUTE(SUBSTITUTE(SUBSTITUTE(SUBSTITUTE(SUBSTITUTE(SUBSTITUTE(SUBSTITUTE(SUBSTITUTE(SUBSTITUTE(NOTA[NAMA BARANG]," ",),".",""),"-",""),"(",""),")",""),",",""),"/",""),"""",""),"+",""))</f>
        <v>stainlesssteelsqscissors60colorscsq06c</v>
      </c>
      <c r="AM2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N2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stainlesssteelsqscissors60colorscsq06c1650000</v>
      </c>
      <c r="AO2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27" t="str">
        <f>IF(NOTA[[#This Row],[CONCAT4]]="","",_xlfn.IFNA(MATCH(NOTA[[#This Row],[CONCAT4]],[2]!RAW[CONCAT_H],0),FALSE))</f>
        <v/>
      </c>
      <c r="AQ295" s="145" t="e">
        <f>IF(NOTA[[#This Row],[CONCAT1]]="","",MATCH(NOTA[[#This Row],[CONCAT1]],[3]!db[NB NOTA_C],0)+1)</f>
        <v>#N/A</v>
      </c>
    </row>
    <row r="296" spans="1:43" ht="20.100000000000001" customHeight="1" x14ac:dyDescent="0.25">
      <c r="A29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4" t="str">
        <f>IF(NOTA[[#This Row],[ID_P]]="","",MATCH(NOTA[[#This Row],[ID_P]],[1]!B_MSK[N_ID],0))</f>
        <v/>
      </c>
      <c r="D296" s="44">
        <f ca="1">IF(NOTA[[#This Row],[NAMA BARANG]]="","",INDEX(NOTA[ID],MATCH(,INDIRECT(ADDRESS(ROW(NOTA[ID]),COLUMN(NOTA[ID]))&amp;":"&amp;ADDRESS(ROW(),COLUMN(NOTA[ID]))),-1)))</f>
        <v>53</v>
      </c>
      <c r="E296" s="14"/>
      <c r="F296" s="16"/>
      <c r="G296" s="16"/>
      <c r="H296" s="20"/>
      <c r="I296" s="16"/>
      <c r="J296" s="37"/>
      <c r="K296" s="16"/>
      <c r="L296" s="16" t="s">
        <v>485</v>
      </c>
      <c r="M296" s="28">
        <v>2</v>
      </c>
      <c r="N296" s="16">
        <v>1200</v>
      </c>
      <c r="O296" s="16" t="s">
        <v>160</v>
      </c>
      <c r="P296" s="35">
        <v>2300</v>
      </c>
      <c r="Q296" s="38">
        <v>1380000</v>
      </c>
      <c r="R296" s="28" t="s">
        <v>482</v>
      </c>
      <c r="S296" s="39"/>
      <c r="T296" s="39"/>
      <c r="U296" s="40"/>
      <c r="V296" s="26"/>
      <c r="W296" s="45">
        <f>IF(NOTA[[#This Row],[HARGA/ CTN]]="",NOTA[[#This Row],[JUMLAH_H]],NOTA[[#This Row],[HARGA/ CTN]]*IF(NOTA[[#This Row],[C]]="",0,NOTA[[#This Row],[C]]))</f>
        <v>2760000</v>
      </c>
      <c r="X296" s="45">
        <f>IF(NOTA[[#This Row],[JUMLAH]]="","",NOTA[[#This Row],[JUMLAH]]*NOTA[[#This Row],[DISC 1]])</f>
        <v>0</v>
      </c>
      <c r="Y296" s="45">
        <f>IF(NOTA[[#This Row],[JUMLAH]]="","",(NOTA[[#This Row],[JUMLAH]]-NOTA[[#This Row],[DISC 1-]])*NOTA[[#This Row],[DISC 2]])</f>
        <v>0</v>
      </c>
      <c r="Z296" s="45">
        <f>IF(NOTA[[#This Row],[JUMLAH]]="","",NOTA[[#This Row],[DISC 1-]]+NOTA[[#This Row],[DISC 2-]])</f>
        <v>0</v>
      </c>
      <c r="AA296" s="45">
        <f>IF(NOTA[[#This Row],[JUMLAH]]="","",NOTA[[#This Row],[JUMLAH]]-NOTA[[#This Row],[DISC]])</f>
        <v>2760000</v>
      </c>
      <c r="AB296" s="45"/>
      <c r="AC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3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296" s="45">
        <f>IF(OR(NOTA[[#This Row],[QTY]]="",NOTA[[#This Row],[HARGA SATUAN]]="",),"",NOTA[[#This Row],[QTY]]*NOTA[[#This Row],[HARGA SATUAN]])</f>
        <v>2760000</v>
      </c>
      <c r="AG296" s="46">
        <f ca="1">IF(NOTA[ID_H]="","",INDEX(NOTA[TANGGAL],MATCH(,INDIRECT(ADDRESS(ROW(NOTA[TANGGAL]),COLUMN(NOTA[TANGGAL]))&amp;":"&amp;ADDRESS(ROW(),COLUMN(NOTA[TANGGAL]))),-1)))</f>
        <v>45057</v>
      </c>
      <c r="AH296" s="43" t="str">
        <f ca="1">IF(NOTA[[#This Row],[NAMA BARANG]]="","",INDEX(NOTA[SUPPLIER],MATCH(,INDIRECT(ADDRESS(ROW(NOTA[ID]),COLUMN(NOTA[ID]))&amp;":"&amp;ADDRESS(ROW(),COLUMN(NOTA[ID]))),-1)))</f>
        <v>BINTANG JAYA</v>
      </c>
      <c r="AI296" s="43" t="str">
        <f ca="1">IF(NOTA[[#This Row],[ID_H]]="","",IF(NOTA[[#This Row],[FAKTUR]]="",INDIRECT(ADDRESS(ROW()-1,COLUMN())),NOTA[[#This Row],[FAKTUR]]))</f>
        <v>UNTANA</v>
      </c>
      <c r="AJ296" s="27" t="str">
        <f ca="1">IF(NOTA[[#This Row],[ID]]="","",COUNTIF(NOTA[ID_H],NOTA[[#This Row],[ID_H]]))</f>
        <v/>
      </c>
      <c r="AK296" s="27">
        <f ca="1">IF(NOTA[[#This Row],[TGL.NOTA]]="",IF(NOTA[[#This Row],[SUPPLIER_H]]="","",AK295),MONTH(NOTA[[#This Row],[TGL.NOTA]]))</f>
        <v>5</v>
      </c>
      <c r="AL296" s="27" t="str">
        <f>LOWER(SUBSTITUTE(SUBSTITUTE(SUBSTITUTE(SUBSTITUTE(SUBSTITUTE(SUBSTITUTE(SUBSTITUTE(SUBSTITUTE(SUBSTITUTE(NOTA[NAMA BARANG]," ",),".",""),"-",""),"(",""),")",""),",",""),"/",""),"""",""),"+",""))</f>
        <v>stainlesssteelsqscissors45blackscsq04b</v>
      </c>
      <c r="AM2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N2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stainlesssteelsqscissors45blackscsq04b1380000</v>
      </c>
      <c r="AO2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27" t="str">
        <f>IF(NOTA[[#This Row],[CONCAT4]]="","",_xlfn.IFNA(MATCH(NOTA[[#This Row],[CONCAT4]],[2]!RAW[CONCAT_H],0),FALSE))</f>
        <v/>
      </c>
      <c r="AQ296" s="145" t="e">
        <f>IF(NOTA[[#This Row],[CONCAT1]]="","",MATCH(NOTA[[#This Row],[CONCAT1]],[3]!db[NB NOTA_C],0)+1)</f>
        <v>#N/A</v>
      </c>
    </row>
    <row r="297" spans="1:43" ht="20.100000000000001" customHeight="1" x14ac:dyDescent="0.25">
      <c r="A29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44" t="str">
        <f>IF(NOTA[[#This Row],[ID_P]]="","",MATCH(NOTA[[#This Row],[ID_P]],[1]!B_MSK[N_ID],0))</f>
        <v/>
      </c>
      <c r="D297" s="44">
        <f ca="1">IF(NOTA[[#This Row],[NAMA BARANG]]="","",INDEX(NOTA[ID],MATCH(,INDIRECT(ADDRESS(ROW(NOTA[ID]),COLUMN(NOTA[ID]))&amp;":"&amp;ADDRESS(ROW(),COLUMN(NOTA[ID]))),-1)))</f>
        <v>53</v>
      </c>
      <c r="E297" s="14"/>
      <c r="F297" s="16"/>
      <c r="G297" s="16"/>
      <c r="H297" s="20"/>
      <c r="I297" s="16"/>
      <c r="J297" s="37"/>
      <c r="K297" s="16"/>
      <c r="L297" s="16" t="s">
        <v>486</v>
      </c>
      <c r="M297" s="28">
        <v>2</v>
      </c>
      <c r="N297" s="16">
        <v>1200</v>
      </c>
      <c r="O297" s="16" t="s">
        <v>160</v>
      </c>
      <c r="P297" s="35">
        <v>2600</v>
      </c>
      <c r="Q297" s="38">
        <v>1560000</v>
      </c>
      <c r="R297" s="28" t="s">
        <v>482</v>
      </c>
      <c r="S297" s="39"/>
      <c r="T297" s="39"/>
      <c r="U297" s="40"/>
      <c r="V297" s="26"/>
      <c r="W297" s="45">
        <f>IF(NOTA[[#This Row],[HARGA/ CTN]]="",NOTA[[#This Row],[JUMLAH_H]],NOTA[[#This Row],[HARGA/ CTN]]*IF(NOTA[[#This Row],[C]]="",0,NOTA[[#This Row],[C]]))</f>
        <v>3120000</v>
      </c>
      <c r="X297" s="45">
        <f>IF(NOTA[[#This Row],[JUMLAH]]="","",NOTA[[#This Row],[JUMLAH]]*NOTA[[#This Row],[DISC 1]])</f>
        <v>0</v>
      </c>
      <c r="Y297" s="45">
        <f>IF(NOTA[[#This Row],[JUMLAH]]="","",(NOTA[[#This Row],[JUMLAH]]-NOTA[[#This Row],[DISC 1-]])*NOTA[[#This Row],[DISC 2]])</f>
        <v>0</v>
      </c>
      <c r="Z297" s="45">
        <f>IF(NOTA[[#This Row],[JUMLAH]]="","",NOTA[[#This Row],[DISC 1-]]+NOTA[[#This Row],[DISC 2-]])</f>
        <v>0</v>
      </c>
      <c r="AA297" s="45">
        <f>IF(NOTA[[#This Row],[JUMLAH]]="","",NOTA[[#This Row],[JUMLAH]]-NOTA[[#This Row],[DISC]])</f>
        <v>3120000</v>
      </c>
      <c r="AB297" s="45"/>
      <c r="AC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823050</v>
      </c>
      <c r="AD29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22456950</v>
      </c>
      <c r="AE297" s="43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97" s="45">
        <f>IF(OR(NOTA[[#This Row],[QTY]]="",NOTA[[#This Row],[HARGA SATUAN]]="",),"",NOTA[[#This Row],[QTY]]*NOTA[[#This Row],[HARGA SATUAN]])</f>
        <v>3120000</v>
      </c>
      <c r="AG297" s="46">
        <f ca="1">IF(NOTA[ID_H]="","",INDEX(NOTA[TANGGAL],MATCH(,INDIRECT(ADDRESS(ROW(NOTA[TANGGAL]),COLUMN(NOTA[TANGGAL]))&amp;":"&amp;ADDRESS(ROW(),COLUMN(NOTA[TANGGAL]))),-1)))</f>
        <v>45057</v>
      </c>
      <c r="AH297" s="43" t="str">
        <f ca="1">IF(NOTA[[#This Row],[NAMA BARANG]]="","",INDEX(NOTA[SUPPLIER],MATCH(,INDIRECT(ADDRESS(ROW(NOTA[ID]),COLUMN(NOTA[ID]))&amp;":"&amp;ADDRESS(ROW(),COLUMN(NOTA[ID]))),-1)))</f>
        <v>BINTANG JAYA</v>
      </c>
      <c r="AI297" s="43" t="str">
        <f ca="1">IF(NOTA[[#This Row],[ID_H]]="","",IF(NOTA[[#This Row],[FAKTUR]]="",INDIRECT(ADDRESS(ROW()-1,COLUMN())),NOTA[[#This Row],[FAKTUR]]))</f>
        <v>UNTANA</v>
      </c>
      <c r="AJ297" s="27" t="str">
        <f ca="1">IF(NOTA[[#This Row],[ID]]="","",COUNTIF(NOTA[ID_H],NOTA[[#This Row],[ID_H]]))</f>
        <v/>
      </c>
      <c r="AK297" s="27">
        <f ca="1">IF(NOTA[[#This Row],[TGL.NOTA]]="",IF(NOTA[[#This Row],[SUPPLIER_H]]="","",AK296),MONTH(NOTA[[#This Row],[TGL.NOTA]]))</f>
        <v>5</v>
      </c>
      <c r="AL297" s="27" t="str">
        <f>LOWER(SUBSTITUTE(SUBSTITUTE(SUBSTITUTE(SUBSTITUTE(SUBSTITUTE(SUBSTITUTE(SUBSTITUTE(SUBSTITUTE(SUBSTITUTE(NOTA[NAMA BARANG]," ",),".",""),"-",""),"(",""),")",""),",",""),"/",""),"""",""),"+",""))</f>
        <v>stainlesssteelsqscissors60blackscsq06b</v>
      </c>
      <c r="AM2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N2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stainlesssteelsqscissors60blackscsq06b1560000</v>
      </c>
      <c r="AO2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27" t="str">
        <f>IF(NOTA[[#This Row],[CONCAT4]]="","",_xlfn.IFNA(MATCH(NOTA[[#This Row],[CONCAT4]],[2]!RAW[CONCAT_H],0),FALSE))</f>
        <v/>
      </c>
      <c r="AQ297" s="145" t="e">
        <f>IF(NOTA[[#This Row],[CONCAT1]]="","",MATCH(NOTA[[#This Row],[CONCAT1]],[3]!db[NB NOTA_C],0)+1)</f>
        <v>#N/A</v>
      </c>
    </row>
    <row r="298" spans="1:43" ht="20.100000000000001" customHeight="1" x14ac:dyDescent="0.25">
      <c r="A29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4" t="str">
        <f>IF(NOTA[[#This Row],[ID_P]]="","",MATCH(NOTA[[#This Row],[ID_P]],[1]!B_MSK[N_ID],0))</f>
        <v/>
      </c>
      <c r="D298" s="44" t="str">
        <f ca="1">IF(NOTA[[#This Row],[NAMA BARANG]]="","",INDEX(NOTA[ID],MATCH(,INDIRECT(ADDRESS(ROW(NOTA[ID]),COLUMN(NOTA[ID]))&amp;":"&amp;ADDRESS(ROW(),COLUMN(NOTA[ID]))),-1)))</f>
        <v/>
      </c>
      <c r="E298" s="14"/>
      <c r="F298" s="16"/>
      <c r="G298" s="16"/>
      <c r="H298" s="20"/>
      <c r="I298" s="16"/>
      <c r="J298" s="37"/>
      <c r="K298" s="16"/>
      <c r="L298" s="16"/>
      <c r="M298" s="28"/>
      <c r="N298" s="16"/>
      <c r="O298" s="16"/>
      <c r="P298" s="35"/>
      <c r="Q298" s="38"/>
      <c r="R298" s="28"/>
      <c r="S298" s="39"/>
      <c r="T298" s="39"/>
      <c r="U298" s="40"/>
      <c r="V298" s="26"/>
      <c r="W298" s="45" t="str">
        <f>IF(NOTA[[#This Row],[HARGA/ CTN]]="",NOTA[[#This Row],[JUMLAH_H]],NOTA[[#This Row],[HARGA/ CTN]]*IF(NOTA[[#This Row],[C]]="",0,NOTA[[#This Row],[C]]))</f>
        <v/>
      </c>
      <c r="X298" s="45" t="str">
        <f>IF(NOTA[[#This Row],[JUMLAH]]="","",NOTA[[#This Row],[JUMLAH]]*NOTA[[#This Row],[DISC 1]])</f>
        <v/>
      </c>
      <c r="Y298" s="45" t="str">
        <f>IF(NOTA[[#This Row],[JUMLAH]]="","",(NOTA[[#This Row],[JUMLAH]]-NOTA[[#This Row],[DISC 1-]])*NOTA[[#This Row],[DISC 2]])</f>
        <v/>
      </c>
      <c r="Z298" s="45" t="str">
        <f>IF(NOTA[[#This Row],[JUMLAH]]="","",NOTA[[#This Row],[DISC 1-]]+NOTA[[#This Row],[DISC 2-]])</f>
        <v/>
      </c>
      <c r="AA298" s="45" t="str">
        <f>IF(NOTA[[#This Row],[JUMLAH]]="","",NOTA[[#This Row],[JUMLAH]]-NOTA[[#This Row],[DISC]])</f>
        <v/>
      </c>
      <c r="AB298" s="45"/>
      <c r="AC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8" s="45" t="str">
        <f>IF(OR(NOTA[[#This Row],[QTY]]="",NOTA[[#This Row],[HARGA SATUAN]]="",),"",NOTA[[#This Row],[QTY]]*NOTA[[#This Row],[HARGA SATUAN]])</f>
        <v/>
      </c>
      <c r="AG298" s="46" t="str">
        <f ca="1">IF(NOTA[ID_H]="","",INDEX(NOTA[TANGGAL],MATCH(,INDIRECT(ADDRESS(ROW(NOTA[TANGGAL]),COLUMN(NOTA[TANGGAL]))&amp;":"&amp;ADDRESS(ROW(),COLUMN(NOTA[TANGGAL]))),-1)))</f>
        <v/>
      </c>
      <c r="AH298" s="43" t="str">
        <f ca="1">IF(NOTA[[#This Row],[NAMA BARANG]]="","",INDEX(NOTA[SUPPLIER],MATCH(,INDIRECT(ADDRESS(ROW(NOTA[ID]),COLUMN(NOTA[ID]))&amp;":"&amp;ADDRESS(ROW(),COLUMN(NOTA[ID]))),-1)))</f>
        <v/>
      </c>
      <c r="AI298" s="43" t="str">
        <f ca="1">IF(NOTA[[#This Row],[ID_H]]="","",IF(NOTA[[#This Row],[FAKTUR]]="",INDIRECT(ADDRESS(ROW()-1,COLUMN())),NOTA[[#This Row],[FAKTUR]]))</f>
        <v/>
      </c>
      <c r="AJ298" s="27" t="str">
        <f ca="1">IF(NOTA[[#This Row],[ID]]="","",COUNTIF(NOTA[ID_H],NOTA[[#This Row],[ID_H]]))</f>
        <v/>
      </c>
      <c r="AK298" s="27" t="str">
        <f ca="1">IF(NOTA[[#This Row],[TGL.NOTA]]="",IF(NOTA[[#This Row],[SUPPLIER_H]]="","",AK297),MONTH(NOTA[[#This Row],[TGL.NOTA]]))</f>
        <v/>
      </c>
      <c r="AL298" s="27" t="str">
        <f>LOWER(SUBSTITUTE(SUBSTITUTE(SUBSTITUTE(SUBSTITUTE(SUBSTITUTE(SUBSTITUTE(SUBSTITUTE(SUBSTITUTE(SUBSTITUTE(NOTA[NAMA BARANG]," ",),".",""),"-",""),"(",""),")",""),",",""),"/",""),"""",""),"+",""))</f>
        <v/>
      </c>
      <c r="AM2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27" t="str">
        <f>IF(NOTA[[#This Row],[CONCAT4]]="","",_xlfn.IFNA(MATCH(NOTA[[#This Row],[CONCAT4]],[2]!RAW[CONCAT_H],0),FALSE))</f>
        <v/>
      </c>
      <c r="AQ298" s="145" t="str">
        <f>IF(NOTA[[#This Row],[CONCAT1]]="","",MATCH(NOTA[[#This Row],[CONCAT1]],[3]!db[NB NOTA_C],0)+1)</f>
        <v/>
      </c>
    </row>
    <row r="299" spans="1:43" ht="20.100000000000001" customHeight="1" x14ac:dyDescent="0.25">
      <c r="A299" s="43">
        <f ca="1">IF(INDIRECT(ADDRESS(ROW()-1,COLUMN(NOTA[[#Headers],[ID]])))="ID",1,IF(NOTA[[#This Row],[FAKTUR]]="","",COUNT(INDIRECT(ADDRESS(ROW(NOTA[ID]),COLUMN(NOTA[ID]))&amp;":"&amp;ADDRESS(ROW()-1,COLUMN(NOTA[ID]))))+1))</f>
        <v>54</v>
      </c>
      <c r="B299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SAP_1105_SOS-1</v>
      </c>
      <c r="C299" s="44" t="e">
        <f ca="1">IF(NOTA[[#This Row],[ID_P]]="","",MATCH(NOTA[[#This Row],[ID_P]],[1]!B_MSK[N_ID],0))</f>
        <v>#REF!</v>
      </c>
      <c r="D299" s="44">
        <f ca="1">IF(NOTA[[#This Row],[NAMA BARANG]]="","",INDEX(NOTA[ID],MATCH(,INDIRECT(ADDRESS(ROW(NOTA[ID]),COLUMN(NOTA[ID]))&amp;":"&amp;ADDRESS(ROW(),COLUMN(NOTA[ID]))),-1)))</f>
        <v>54</v>
      </c>
      <c r="E299" s="14"/>
      <c r="F299" s="16" t="s">
        <v>487</v>
      </c>
      <c r="G299" s="16" t="s">
        <v>112</v>
      </c>
      <c r="H299" s="20" t="s">
        <v>488</v>
      </c>
      <c r="I299" s="16"/>
      <c r="J299" s="37">
        <v>45056</v>
      </c>
      <c r="K299" s="16"/>
      <c r="L299" s="16" t="s">
        <v>489</v>
      </c>
      <c r="M299" s="28">
        <v>20</v>
      </c>
      <c r="N299" s="16">
        <f>144*20</f>
        <v>2880</v>
      </c>
      <c r="O299" s="16" t="s">
        <v>160</v>
      </c>
      <c r="P299" s="35">
        <v>4750</v>
      </c>
      <c r="Q299" s="38"/>
      <c r="R299" s="28" t="s">
        <v>161</v>
      </c>
      <c r="S299" s="39"/>
      <c r="T299" s="39"/>
      <c r="U299" s="40"/>
      <c r="V299" s="26"/>
      <c r="W299" s="45">
        <f>IF(NOTA[[#This Row],[HARGA/ CTN]]="",NOTA[[#This Row],[JUMLAH_H]],NOTA[[#This Row],[HARGA/ CTN]]*IF(NOTA[[#This Row],[C]]="",0,NOTA[[#This Row],[C]]))</f>
        <v>13680000</v>
      </c>
      <c r="X299" s="45">
        <f>IF(NOTA[[#This Row],[JUMLAH]]="","",NOTA[[#This Row],[JUMLAH]]*NOTA[[#This Row],[DISC 1]])</f>
        <v>0</v>
      </c>
      <c r="Y299" s="45">
        <f>IF(NOTA[[#This Row],[JUMLAH]]="","",(NOTA[[#This Row],[JUMLAH]]-NOTA[[#This Row],[DISC 1-]])*NOTA[[#This Row],[DISC 2]])</f>
        <v>0</v>
      </c>
      <c r="Z299" s="45">
        <f>IF(NOTA[[#This Row],[JUMLAH]]="","",NOTA[[#This Row],[DISC 1-]]+NOTA[[#This Row],[DISC 2-]])</f>
        <v>0</v>
      </c>
      <c r="AA299" s="45">
        <f>IF(NOTA[[#This Row],[JUMLAH]]="","",NOTA[[#This Row],[JUMLAH]]-NOTA[[#This Row],[DISC]])</f>
        <v>13680000</v>
      </c>
      <c r="AB299" s="45"/>
      <c r="AC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9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E299" s="43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299" s="45">
        <f>IF(OR(NOTA[[#This Row],[QTY]]="",NOTA[[#This Row],[HARGA SATUAN]]="",),"",NOTA[[#This Row],[QTY]]*NOTA[[#This Row],[HARGA SATUAN]])</f>
        <v>13680000</v>
      </c>
      <c r="AG299" s="46">
        <f ca="1">IF(NOTA[ID_H]="","",INDEX(NOTA[TANGGAL],MATCH(,INDIRECT(ADDRESS(ROW(NOTA[TANGGAL]),COLUMN(NOTA[TANGGAL]))&amp;":"&amp;ADDRESS(ROW(),COLUMN(NOTA[TANGGAL]))),-1)))</f>
        <v>45057</v>
      </c>
      <c r="AH299" s="43" t="str">
        <f ca="1">IF(NOTA[[#This Row],[NAMA BARANG]]="","",INDEX(NOTA[SUPPLIER],MATCH(,INDIRECT(ADDRESS(ROW(NOTA[ID]),COLUMN(NOTA[ID]))&amp;":"&amp;ADDRESS(ROW(),COLUMN(NOTA[ID]))),-1)))</f>
        <v>SAPUTRO OFFINCE</v>
      </c>
      <c r="AI299" s="43" t="str">
        <f ca="1">IF(NOTA[[#This Row],[ID_H]]="","",IF(NOTA[[#This Row],[FAKTUR]]="",INDIRECT(ADDRESS(ROW()-1,COLUMN())),NOTA[[#This Row],[FAKTUR]]))</f>
        <v>UNTANA</v>
      </c>
      <c r="AJ299" s="27">
        <f ca="1">IF(NOTA[[#This Row],[ID]]="","",COUNTIF(NOTA[ID_H],NOTA[[#This Row],[ID_H]]))</f>
        <v>1</v>
      </c>
      <c r="AK299" s="27">
        <f>IF(NOTA[[#This Row],[TGL.NOTA]]="",IF(NOTA[[#This Row],[SUPPLIER_H]]="","",AK298),MONTH(NOTA[[#This Row],[TGL.NOTA]]))</f>
        <v>5</v>
      </c>
      <c r="AL299" s="27" t="str">
        <f>LOWER(SUBSTITUTE(SUBSTITUTE(SUBSTITUTE(SUBSTITUTE(SUBSTITUTE(SUBSTITUTE(SUBSTITUTE(SUBSTITUTE(SUBSTITUTE(NOTA[NAMA BARANG]," ",),".",""),"-",""),"(",""),")",""),",",""),"/",""),"""",""),"+",""))</f>
        <v>crayon12wvanartnew</v>
      </c>
      <c r="AM2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crayon12wvanartnew684000</v>
      </c>
      <c r="AN2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crayon12wvanartnew684000</v>
      </c>
      <c r="AO299" s="27" t="str">
        <f>IF(NOTA[[#This Row],[SUPPLIER]]="","",NOTA[[#This Row],[SUPPLIER]]&amp;NOTA[[#This Row],[FAKTUR]]&amp;NOTA[[#This Row],[NO.NOTA]]&amp;NOTA[[#This Row],[NO.SJ]]&amp;NOTA[[#This Row],[TGL.NOTA]]&amp;NOTA[[#This Row],[CONCAT1]])</f>
        <v>SAPUTRO OFFINCEUNTANAG-1025 INV.SOS45056crayon12wvanartnew</v>
      </c>
      <c r="AP299" s="27" t="e">
        <f>IF(NOTA[[#This Row],[CONCAT4]]="","",_xlfn.IFNA(MATCH(NOTA[[#This Row],[CONCAT4]],[2]!RAW[CONCAT_H],0),FALSE))</f>
        <v>#REF!</v>
      </c>
      <c r="AQ299" s="145">
        <f>IF(NOTA[[#This Row],[CONCAT1]]="","",MATCH(NOTA[[#This Row],[CONCAT1]],[3]!db[NB NOTA_C],0)+1)</f>
        <v>597</v>
      </c>
    </row>
    <row r="300" spans="1:43" ht="20.100000000000001" customHeight="1" x14ac:dyDescent="0.25">
      <c r="A30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18" t="str">
        <f>IF(NOTA[[#This Row],[ID_P]]="","",MATCH(NOTA[[#This Row],[ID_P]],[1]!B_MSK[N_ID],0))</f>
        <v/>
      </c>
      <c r="D300" s="18" t="str">
        <f ca="1">IF(NOTA[[#This Row],[NAMA BARANG]]="","",INDEX(NOTA[ID],MATCH(,INDIRECT(ADDRESS(ROW(NOTA[ID]),COLUMN(NOTA[ID]))&amp;":"&amp;ADDRESS(ROW(),COLUMN(NOTA[ID]))),-1)))</f>
        <v/>
      </c>
      <c r="E300" s="14"/>
      <c r="F300" s="16"/>
      <c r="G300" s="16"/>
      <c r="H300" s="20"/>
      <c r="I300" s="16"/>
      <c r="J300" s="37"/>
      <c r="K300" s="16"/>
      <c r="L300" s="16"/>
      <c r="M300" s="28"/>
      <c r="N300" s="16"/>
      <c r="O300" s="16"/>
      <c r="P300" s="35"/>
      <c r="Q300" s="38"/>
      <c r="R300" s="28"/>
      <c r="S300" s="39"/>
      <c r="T300" s="39"/>
      <c r="U300" s="40"/>
      <c r="V300" s="26"/>
      <c r="W300" s="25" t="str">
        <f>IF(NOTA[[#This Row],[HARGA/ CTN]]="",NOTA[[#This Row],[JUMLAH_H]],NOTA[[#This Row],[HARGA/ CTN]]*IF(NOTA[[#This Row],[C]]="",0,NOTA[[#This Row],[C]]))</f>
        <v/>
      </c>
      <c r="X300" s="25" t="str">
        <f>IF(NOTA[[#This Row],[JUMLAH]]="","",NOTA[[#This Row],[JUMLAH]]*NOTA[[#This Row],[DISC 1]])</f>
        <v/>
      </c>
      <c r="Y300" s="25" t="str">
        <f>IF(NOTA[[#This Row],[JUMLAH]]="","",(NOTA[[#This Row],[JUMLAH]]-NOTA[[#This Row],[DISC 1-]])*NOTA[[#This Row],[DISC 2]])</f>
        <v/>
      </c>
      <c r="Z300" s="25" t="str">
        <f>IF(NOTA[[#This Row],[JUMLAH]]="","",NOTA[[#This Row],[DISC 1-]]+NOTA[[#This Row],[DISC 2-]])</f>
        <v/>
      </c>
      <c r="AA300" s="25" t="str">
        <f>IF(NOTA[[#This Row],[JUMLAH]]="","",NOTA[[#This Row],[JUMLAH]]-NOTA[[#This Row],[DISC]])</f>
        <v/>
      </c>
      <c r="AB300" s="25"/>
      <c r="AC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25" t="str">
        <f>IF(OR(NOTA[[#This Row],[QTY]]="",NOTA[[#This Row],[HARGA SATUAN]]="",),"",NOTA[[#This Row],[QTY]]*NOTA[[#This Row],[HARGA SATUAN]])</f>
        <v/>
      </c>
      <c r="AG300" s="22" t="str">
        <f ca="1">IF(NOTA[ID_H]="","",INDEX(NOTA[TANGGAL],MATCH(,INDIRECT(ADDRESS(ROW(NOTA[TANGGAL]),COLUMN(NOTA[TANGGAL]))&amp;":"&amp;ADDRESS(ROW(),COLUMN(NOTA[TANGGAL]))),-1)))</f>
        <v/>
      </c>
      <c r="AH300" s="17" t="str">
        <f ca="1">IF(NOTA[[#This Row],[NAMA BARANG]]="","",INDEX(NOTA[SUPPLIER],MATCH(,INDIRECT(ADDRESS(ROW(NOTA[ID]),COLUMN(NOTA[ID]))&amp;":"&amp;ADDRESS(ROW(),COLUMN(NOTA[ID]))),-1)))</f>
        <v/>
      </c>
      <c r="AI300" s="17" t="str">
        <f ca="1">IF(NOTA[[#This Row],[ID_H]]="","",IF(NOTA[[#This Row],[FAKTUR]]="",INDIRECT(ADDRESS(ROW()-1,COLUMN())),NOTA[[#This Row],[FAKTUR]]))</f>
        <v/>
      </c>
      <c r="AJ300" s="27" t="str">
        <f ca="1">IF(NOTA[[#This Row],[ID]]="","",COUNTIF(NOTA[ID_H],NOTA[[#This Row],[ID_H]]))</f>
        <v/>
      </c>
      <c r="AK300" s="27" t="str">
        <f ca="1">IF(NOTA[[#This Row],[TGL.NOTA]]="",IF(NOTA[[#This Row],[SUPPLIER_H]]="","",AK299),MONTH(NOTA[[#This Row],[TGL.NOTA]]))</f>
        <v/>
      </c>
      <c r="AL300" s="27" t="str">
        <f>LOWER(SUBSTITUTE(SUBSTITUTE(SUBSTITUTE(SUBSTITUTE(SUBSTITUTE(SUBSTITUTE(SUBSTITUTE(SUBSTITUTE(SUBSTITUTE(NOTA[NAMA BARANG]," ",),".",""),"-",""),"(",""),")",""),",",""),"/",""),"""",""),"+",""))</f>
        <v/>
      </c>
      <c r="AM3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27" t="str">
        <f>IF(NOTA[[#This Row],[CONCAT4]]="","",_xlfn.IFNA(MATCH(NOTA[[#This Row],[CONCAT4]],[2]!RAW[CONCAT_H],0),FALSE))</f>
        <v/>
      </c>
      <c r="AQ300" s="145" t="str">
        <f>IF(NOTA[[#This Row],[CONCAT1]]="","",MATCH(NOTA[[#This Row],[CONCAT1]],[3]!db[NB NOTA_C],0)+1)</f>
        <v/>
      </c>
    </row>
    <row r="301" spans="1:43" ht="20.100000000000001" customHeight="1" x14ac:dyDescent="0.25">
      <c r="A301" s="17">
        <f ca="1">IF(INDIRECT(ADDRESS(ROW()-1,COLUMN(NOTA[[#Headers],[ID]])))="ID",1,IF(NOTA[[#This Row],[FAKTUR]]="","",COUNT(INDIRECT(ADDRESS(ROW(NOTA[ID]),COLUMN(NOTA[ID]))&amp;":"&amp;ADDRESS(ROW()-1,COLUMN(NOTA[ID]))))+1))</f>
        <v>55</v>
      </c>
      <c r="B301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HAN_1205_033-2</v>
      </c>
      <c r="C301" s="18" t="e">
        <f ca="1">IF(NOTA[[#This Row],[ID_P]]="","",MATCH(NOTA[[#This Row],[ID_P]],[1]!B_MSK[N_ID],0))</f>
        <v>#REF!</v>
      </c>
      <c r="D301" s="18">
        <f ca="1">IF(NOTA[[#This Row],[NAMA BARANG]]="","",INDEX(NOTA[ID],MATCH(,INDIRECT(ADDRESS(ROW(NOTA[ID]),COLUMN(NOTA[ID]))&amp;":"&amp;ADDRESS(ROW(),COLUMN(NOTA[ID]))),-1)))</f>
        <v>55</v>
      </c>
      <c r="E301" s="14">
        <v>45058</v>
      </c>
      <c r="F301" s="16" t="s">
        <v>153</v>
      </c>
      <c r="G301" s="16" t="s">
        <v>112</v>
      </c>
      <c r="H301" s="20" t="s">
        <v>490</v>
      </c>
      <c r="I301" s="16"/>
      <c r="J301" s="37">
        <v>45058</v>
      </c>
      <c r="K301" s="16"/>
      <c r="L301" s="16" t="s">
        <v>491</v>
      </c>
      <c r="M301" s="28">
        <v>1</v>
      </c>
      <c r="N301" s="16">
        <v>480</v>
      </c>
      <c r="O301" s="16" t="s">
        <v>160</v>
      </c>
      <c r="P301" s="35">
        <v>1600</v>
      </c>
      <c r="Q301" s="38"/>
      <c r="R301" s="28" t="s">
        <v>492</v>
      </c>
      <c r="S301" s="39"/>
      <c r="T301" s="39"/>
      <c r="U301" s="40"/>
      <c r="V301" s="26"/>
      <c r="W301" s="25">
        <f>IF(NOTA[[#This Row],[HARGA/ CTN]]="",NOTA[[#This Row],[JUMLAH_H]],NOTA[[#This Row],[HARGA/ CTN]]*IF(NOTA[[#This Row],[C]]="",0,NOTA[[#This Row],[C]]))</f>
        <v>768000</v>
      </c>
      <c r="X301" s="25">
        <f>IF(NOTA[[#This Row],[JUMLAH]]="","",NOTA[[#This Row],[JUMLAH]]*NOTA[[#This Row],[DISC 1]])</f>
        <v>0</v>
      </c>
      <c r="Y301" s="25">
        <f>IF(NOTA[[#This Row],[JUMLAH]]="","",(NOTA[[#This Row],[JUMLAH]]-NOTA[[#This Row],[DISC 1-]])*NOTA[[#This Row],[DISC 2]])</f>
        <v>0</v>
      </c>
      <c r="Z301" s="25">
        <f>IF(NOTA[[#This Row],[JUMLAH]]="","",NOTA[[#This Row],[DISC 1-]]+NOTA[[#This Row],[DISC 2-]])</f>
        <v>0</v>
      </c>
      <c r="AA301" s="25">
        <f>IF(NOTA[[#This Row],[JUMLAH]]="","",NOTA[[#This Row],[JUMLAH]]-NOTA[[#This Row],[DISC]])</f>
        <v>768000</v>
      </c>
      <c r="AB301" s="25"/>
      <c r="AC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17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301" s="25">
        <f>IF(OR(NOTA[[#This Row],[QTY]]="",NOTA[[#This Row],[HARGA SATUAN]]="",),"",NOTA[[#This Row],[QTY]]*NOTA[[#This Row],[HARGA SATUAN]])</f>
        <v>768000</v>
      </c>
      <c r="AG301" s="22">
        <f ca="1">IF(NOTA[ID_H]="","",INDEX(NOTA[TANGGAL],MATCH(,INDIRECT(ADDRESS(ROW(NOTA[TANGGAL]),COLUMN(NOTA[TANGGAL]))&amp;":"&amp;ADDRESS(ROW(),COLUMN(NOTA[TANGGAL]))),-1)))</f>
        <v>45058</v>
      </c>
      <c r="AH301" s="17" t="str">
        <f ca="1">IF(NOTA[[#This Row],[NAMA BARANG]]="","",INDEX(NOTA[SUPPLIER],MATCH(,INDIRECT(ADDRESS(ROW(NOTA[ID]),COLUMN(NOTA[ID]))&amp;":"&amp;ADDRESS(ROW(),COLUMN(NOTA[ID]))),-1)))</f>
        <v>HANSA</v>
      </c>
      <c r="AI301" s="17" t="str">
        <f ca="1">IF(NOTA[[#This Row],[ID_H]]="","",IF(NOTA[[#This Row],[FAKTUR]]="",INDIRECT(ADDRESS(ROW()-1,COLUMN())),NOTA[[#This Row],[FAKTUR]]))</f>
        <v>UNTANA</v>
      </c>
      <c r="AJ301" s="27">
        <f ca="1">IF(NOTA[[#This Row],[ID]]="","",COUNTIF(NOTA[ID_H],NOTA[[#This Row],[ID_H]]))</f>
        <v>2</v>
      </c>
      <c r="AK301" s="27">
        <f>IF(NOTA[[#This Row],[TGL.NOTA]]="",IF(NOTA[[#This Row],[SUPPLIER_H]]="","",AK300),MONTH(NOTA[[#This Row],[TGL.NOTA]]))</f>
        <v>5</v>
      </c>
      <c r="AL301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N3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O301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HANSAUNTANA2023.05.003345058malamshintoengk612w</v>
      </c>
      <c r="AP301" s="27" t="e">
        <f>IF(NOTA[[#This Row],[CONCAT4]]="","",_xlfn.IFNA(MATCH(NOTA[[#This Row],[CONCAT4]],[2]!RAW[CONCAT_H],0),FALSE))</f>
        <v>#REF!</v>
      </c>
      <c r="AQ301" s="145">
        <f>IF(NOTA[[#This Row],[CONCAT1]]="","",MATCH(NOTA[[#This Row],[CONCAT1]],[3]!db[NB NOTA_C],0)+1)</f>
        <v>1558</v>
      </c>
    </row>
    <row r="302" spans="1:43" ht="20.100000000000001" customHeight="1" x14ac:dyDescent="0.25">
      <c r="A30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18" t="str">
        <f>IF(NOTA[[#This Row],[ID_P]]="","",MATCH(NOTA[[#This Row],[ID_P]],[1]!B_MSK[N_ID],0))</f>
        <v/>
      </c>
      <c r="D302" s="18">
        <f ca="1">IF(NOTA[[#This Row],[NAMA BARANG]]="","",INDEX(NOTA[ID],MATCH(,INDIRECT(ADDRESS(ROW(NOTA[ID]),COLUMN(NOTA[ID]))&amp;":"&amp;ADDRESS(ROW(),COLUMN(NOTA[ID]))),-1)))</f>
        <v>55</v>
      </c>
      <c r="E302" s="14"/>
      <c r="F302" s="16"/>
      <c r="G302" s="16"/>
      <c r="H302" s="20"/>
      <c r="I302" s="16"/>
      <c r="J302" s="37"/>
      <c r="K302" s="16"/>
      <c r="L302" s="16" t="s">
        <v>493</v>
      </c>
      <c r="M302" s="28">
        <v>1</v>
      </c>
      <c r="N302" s="16">
        <v>150</v>
      </c>
      <c r="O302" s="16" t="s">
        <v>160</v>
      </c>
      <c r="P302" s="35">
        <v>6100</v>
      </c>
      <c r="Q302" s="38"/>
      <c r="R302" s="28" t="s">
        <v>494</v>
      </c>
      <c r="S302" s="39"/>
      <c r="T302" s="39"/>
      <c r="U302" s="40"/>
      <c r="V302" s="26"/>
      <c r="W302" s="25">
        <f>IF(NOTA[[#This Row],[HARGA/ CTN]]="",NOTA[[#This Row],[JUMLAH_H]],NOTA[[#This Row],[HARGA/ CTN]]*IF(NOTA[[#This Row],[C]]="",0,NOTA[[#This Row],[C]]))</f>
        <v>915000</v>
      </c>
      <c r="X302" s="25">
        <f>IF(NOTA[[#This Row],[JUMLAH]]="","",NOTA[[#This Row],[JUMLAH]]*NOTA[[#This Row],[DISC 1]])</f>
        <v>0</v>
      </c>
      <c r="Y302" s="25">
        <f>IF(NOTA[[#This Row],[JUMLAH]]="","",(NOTA[[#This Row],[JUMLAH]]-NOTA[[#This Row],[DISC 1-]])*NOTA[[#This Row],[DISC 2]])</f>
        <v>0</v>
      </c>
      <c r="Z302" s="25">
        <f>IF(NOTA[[#This Row],[JUMLAH]]="","",NOTA[[#This Row],[DISC 1-]]+NOTA[[#This Row],[DISC 2-]])</f>
        <v>0</v>
      </c>
      <c r="AA302" s="25">
        <f>IF(NOTA[[#This Row],[JUMLAH]]="","",NOTA[[#This Row],[JUMLAH]]-NOTA[[#This Row],[DISC]])</f>
        <v>915000</v>
      </c>
      <c r="AB302" s="25"/>
      <c r="AC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2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1683000</v>
      </c>
      <c r="AE302" s="17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302" s="25">
        <f>IF(OR(NOTA[[#This Row],[QTY]]="",NOTA[[#This Row],[HARGA SATUAN]]="",),"",NOTA[[#This Row],[QTY]]*NOTA[[#This Row],[HARGA SATUAN]])</f>
        <v>915000</v>
      </c>
      <c r="AG302" s="22">
        <f ca="1">IF(NOTA[ID_H]="","",INDEX(NOTA[TANGGAL],MATCH(,INDIRECT(ADDRESS(ROW(NOTA[TANGGAL]),COLUMN(NOTA[TANGGAL]))&amp;":"&amp;ADDRESS(ROW(),COLUMN(NOTA[TANGGAL]))),-1)))</f>
        <v>45058</v>
      </c>
      <c r="AH302" s="17" t="str">
        <f ca="1">IF(NOTA[[#This Row],[NAMA BARANG]]="","",INDEX(NOTA[SUPPLIER],MATCH(,INDIRECT(ADDRESS(ROW(NOTA[ID]),COLUMN(NOTA[ID]))&amp;":"&amp;ADDRESS(ROW(),COLUMN(NOTA[ID]))),-1)))</f>
        <v>HANSA</v>
      </c>
      <c r="AI302" s="17" t="str">
        <f ca="1">IF(NOTA[[#This Row],[ID_H]]="","",IF(NOTA[[#This Row],[FAKTUR]]="",INDIRECT(ADDRESS(ROW()-1,COLUMN())),NOTA[[#This Row],[FAKTUR]]))</f>
        <v>UNTANA</v>
      </c>
      <c r="AJ302" s="27" t="str">
        <f ca="1">IF(NOTA[[#This Row],[ID]]="","",COUNTIF(NOTA[ID_H],NOTA[[#This Row],[ID_H]]))</f>
        <v/>
      </c>
      <c r="AK302" s="27">
        <f ca="1">IF(NOTA[[#This Row],[TGL.NOTA]]="",IF(NOTA[[#This Row],[SUPPLIER_H]]="","",AK301),MONTH(NOTA[[#This Row],[TGL.NOTA]]))</f>
        <v>5</v>
      </c>
      <c r="AL302" s="27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3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N3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O3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27" t="str">
        <f>IF(NOTA[[#This Row],[CONCAT4]]="","",_xlfn.IFNA(MATCH(NOTA[[#This Row],[CONCAT4]],[2]!RAW[CONCAT_H],0),FALSE))</f>
        <v/>
      </c>
      <c r="AQ302" s="145">
        <f>IF(NOTA[[#This Row],[CONCAT1]]="","",MATCH(NOTA[[#This Row],[CONCAT1]],[3]!db[NB NOTA_C],0)+1)</f>
        <v>1556</v>
      </c>
    </row>
    <row r="303" spans="1:43" ht="20.100000000000001" customHeight="1" x14ac:dyDescent="0.25">
      <c r="A30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18" t="str">
        <f>IF(NOTA[[#This Row],[ID_P]]="","",MATCH(NOTA[[#This Row],[ID_P]],[1]!B_MSK[N_ID],0))</f>
        <v/>
      </c>
      <c r="D303" s="18" t="str">
        <f ca="1">IF(NOTA[[#This Row],[NAMA BARANG]]="","",INDEX(NOTA[ID],MATCH(,INDIRECT(ADDRESS(ROW(NOTA[ID]),COLUMN(NOTA[ID]))&amp;":"&amp;ADDRESS(ROW(),COLUMN(NOTA[ID]))),-1)))</f>
        <v/>
      </c>
      <c r="E303" s="14"/>
      <c r="F303" s="16"/>
      <c r="G303" s="16"/>
      <c r="H303" s="20"/>
      <c r="I303" s="16"/>
      <c r="J303" s="37"/>
      <c r="K303" s="16"/>
      <c r="L303" s="16"/>
      <c r="M303" s="28"/>
      <c r="N303" s="16"/>
      <c r="O303" s="16"/>
      <c r="P303" s="35"/>
      <c r="Q303" s="38"/>
      <c r="R303" s="28"/>
      <c r="S303" s="39"/>
      <c r="T303" s="39"/>
      <c r="U303" s="40"/>
      <c r="V303" s="26"/>
      <c r="W303" s="25" t="str">
        <f>IF(NOTA[[#This Row],[HARGA/ CTN]]="",NOTA[[#This Row],[JUMLAH_H]],NOTA[[#This Row],[HARGA/ CTN]]*IF(NOTA[[#This Row],[C]]="",0,NOTA[[#This Row],[C]]))</f>
        <v/>
      </c>
      <c r="X303" s="25" t="str">
        <f>IF(NOTA[[#This Row],[JUMLAH]]="","",NOTA[[#This Row],[JUMLAH]]*NOTA[[#This Row],[DISC 1]])</f>
        <v/>
      </c>
      <c r="Y303" s="25" t="str">
        <f>IF(NOTA[[#This Row],[JUMLAH]]="","",(NOTA[[#This Row],[JUMLAH]]-NOTA[[#This Row],[DISC 1-]])*NOTA[[#This Row],[DISC 2]])</f>
        <v/>
      </c>
      <c r="Z303" s="25" t="str">
        <f>IF(NOTA[[#This Row],[JUMLAH]]="","",NOTA[[#This Row],[DISC 1-]]+NOTA[[#This Row],[DISC 2-]])</f>
        <v/>
      </c>
      <c r="AA303" s="25" t="str">
        <f>IF(NOTA[[#This Row],[JUMLAH]]="","",NOTA[[#This Row],[JUMLAH]]-NOTA[[#This Row],[DISC]])</f>
        <v/>
      </c>
      <c r="AB303" s="25"/>
      <c r="AC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25" t="str">
        <f>IF(OR(NOTA[[#This Row],[QTY]]="",NOTA[[#This Row],[HARGA SATUAN]]="",),"",NOTA[[#This Row],[QTY]]*NOTA[[#This Row],[HARGA SATUAN]])</f>
        <v/>
      </c>
      <c r="AG303" s="22" t="str">
        <f ca="1">IF(NOTA[ID_H]="","",INDEX(NOTA[TANGGAL],MATCH(,INDIRECT(ADDRESS(ROW(NOTA[TANGGAL]),COLUMN(NOTA[TANGGAL]))&amp;":"&amp;ADDRESS(ROW(),COLUMN(NOTA[TANGGAL]))),-1)))</f>
        <v/>
      </c>
      <c r="AH303" s="17" t="str">
        <f ca="1">IF(NOTA[[#This Row],[NAMA BARANG]]="","",INDEX(NOTA[SUPPLIER],MATCH(,INDIRECT(ADDRESS(ROW(NOTA[ID]),COLUMN(NOTA[ID]))&amp;":"&amp;ADDRESS(ROW(),COLUMN(NOTA[ID]))),-1)))</f>
        <v/>
      </c>
      <c r="AI303" s="17" t="str">
        <f ca="1">IF(NOTA[[#This Row],[ID_H]]="","",IF(NOTA[[#This Row],[FAKTUR]]="",INDIRECT(ADDRESS(ROW()-1,COLUMN())),NOTA[[#This Row],[FAKTUR]]))</f>
        <v/>
      </c>
      <c r="AJ303" s="27" t="str">
        <f ca="1">IF(NOTA[[#This Row],[ID]]="","",COUNTIF(NOTA[ID_H],NOTA[[#This Row],[ID_H]]))</f>
        <v/>
      </c>
      <c r="AK303" s="27" t="str">
        <f ca="1">IF(NOTA[[#This Row],[TGL.NOTA]]="",IF(NOTA[[#This Row],[SUPPLIER_H]]="","",AK302),MONTH(NOTA[[#This Row],[TGL.NOTA]]))</f>
        <v/>
      </c>
      <c r="AL303" s="27" t="str">
        <f>LOWER(SUBSTITUTE(SUBSTITUTE(SUBSTITUTE(SUBSTITUTE(SUBSTITUTE(SUBSTITUTE(SUBSTITUTE(SUBSTITUTE(SUBSTITUTE(NOTA[NAMA BARANG]," ",),".",""),"-",""),"(",""),")",""),",",""),"/",""),"""",""),"+",""))</f>
        <v/>
      </c>
      <c r="AM3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27" t="str">
        <f>IF(NOTA[[#This Row],[CONCAT4]]="","",_xlfn.IFNA(MATCH(NOTA[[#This Row],[CONCAT4]],[2]!RAW[CONCAT_H],0),FALSE))</f>
        <v/>
      </c>
      <c r="AQ303" s="145" t="str">
        <f>IF(NOTA[[#This Row],[CONCAT1]]="","",MATCH(NOTA[[#This Row],[CONCAT1]],[3]!db[NB NOTA_C],0)+1)</f>
        <v/>
      </c>
    </row>
    <row r="304" spans="1:43" ht="20.100000000000001" customHeight="1" x14ac:dyDescent="0.25">
      <c r="A304" s="17">
        <f ca="1">IF(INDIRECT(ADDRESS(ROW()-1,COLUMN(NOTA[[#Headers],[ID]])))="ID",1,IF(NOTA[[#This Row],[FAKTUR]]="","",COUNT(INDIRECT(ADDRESS(ROW(NOTA[ID]),COLUMN(NOTA[ID]))&amp;":"&amp;ADDRESS(ROW()-1,COLUMN(NOTA[ID]))))+1))</f>
        <v>56</v>
      </c>
      <c r="B304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HAN_1205_189-2</v>
      </c>
      <c r="C304" s="18" t="e">
        <f ca="1">IF(NOTA[[#This Row],[ID_P]]="","",MATCH(NOTA[[#This Row],[ID_P]],[1]!B_MSK[N_ID],0))</f>
        <v>#REF!</v>
      </c>
      <c r="D304" s="18">
        <f ca="1">IF(NOTA[[#This Row],[NAMA BARANG]]="","",INDEX(NOTA[ID],MATCH(,INDIRECT(ADDRESS(ROW(NOTA[ID]),COLUMN(NOTA[ID]))&amp;":"&amp;ADDRESS(ROW(),COLUMN(NOTA[ID]))),-1)))</f>
        <v>56</v>
      </c>
      <c r="E304" s="19"/>
      <c r="F304" s="16" t="s">
        <v>153</v>
      </c>
      <c r="G304" s="16" t="s">
        <v>112</v>
      </c>
      <c r="H304" s="20" t="s">
        <v>495</v>
      </c>
      <c r="I304" s="21"/>
      <c r="J304" s="22">
        <v>45059</v>
      </c>
      <c r="K304" s="21"/>
      <c r="L304" s="16" t="s">
        <v>155</v>
      </c>
      <c r="M304" s="23"/>
      <c r="N304" s="21">
        <v>10</v>
      </c>
      <c r="O304" s="16" t="s">
        <v>496</v>
      </c>
      <c r="P304" s="17">
        <v>39000</v>
      </c>
      <c r="Q304" s="34"/>
      <c r="R304" s="28"/>
      <c r="S304" s="24"/>
      <c r="T304" s="24"/>
      <c r="U304" s="25"/>
      <c r="V304" s="26"/>
      <c r="W304" s="25">
        <f>IF(NOTA[[#This Row],[HARGA/ CTN]]="",NOTA[[#This Row],[JUMLAH_H]],NOTA[[#This Row],[HARGA/ CTN]]*IF(NOTA[[#This Row],[C]]="",0,NOTA[[#This Row],[C]]))</f>
        <v>390000</v>
      </c>
      <c r="X304" s="25">
        <f>IF(NOTA[[#This Row],[JUMLAH]]="","",NOTA[[#This Row],[JUMLAH]]*NOTA[[#This Row],[DISC 1]])</f>
        <v>0</v>
      </c>
      <c r="Y304" s="25">
        <f>IF(NOTA[[#This Row],[JUMLAH]]="","",(NOTA[[#This Row],[JUMLAH]]-NOTA[[#This Row],[DISC 1-]])*NOTA[[#This Row],[DISC 2]])</f>
        <v>0</v>
      </c>
      <c r="Z304" s="25">
        <f>IF(NOTA[[#This Row],[JUMLAH]]="","",NOTA[[#This Row],[DISC 1-]]+NOTA[[#This Row],[DISC 2-]])</f>
        <v>0</v>
      </c>
      <c r="AA304" s="25">
        <f>IF(NOTA[[#This Row],[JUMLAH]]="","",NOTA[[#This Row],[JUMLAH]]-NOTA[[#This Row],[DISC]])</f>
        <v>390000</v>
      </c>
      <c r="AB304" s="25"/>
      <c r="AC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17">
        <f>IF(NOTA[[#This Row],[NAMA BARANG]]="","",IF(NOTA[[#This Row],[JUMLAH_H]]="",NOTA[[#This Row],[HARGA/ CTN]],NOTA[[#This Row],[QTY]]*NOTA[[#This Row],[HARGA SATUAN]]/IF(ISNUMBER(NOTA[[#This Row],[C]]),NOTA[[#This Row],[C]],1)))</f>
        <v>390000</v>
      </c>
      <c r="AF304" s="25">
        <f>IF(OR(NOTA[[#This Row],[QTY]]="",NOTA[[#This Row],[HARGA SATUAN]]="",),"",NOTA[[#This Row],[QTY]]*NOTA[[#This Row],[HARGA SATUAN]])</f>
        <v>390000</v>
      </c>
      <c r="AG304" s="22">
        <f ca="1">IF(NOTA[ID_H]="","",INDEX(NOTA[TANGGAL],MATCH(,INDIRECT(ADDRESS(ROW(NOTA[TANGGAL]),COLUMN(NOTA[TANGGAL]))&amp;":"&amp;ADDRESS(ROW(),COLUMN(NOTA[TANGGAL]))),-1)))</f>
        <v>45058</v>
      </c>
      <c r="AH304" s="17" t="str">
        <f ca="1">IF(NOTA[[#This Row],[NAMA BARANG]]="","",INDEX(NOTA[SUPPLIER],MATCH(,INDIRECT(ADDRESS(ROW(NOTA[ID]),COLUMN(NOTA[ID]))&amp;":"&amp;ADDRESS(ROW(),COLUMN(NOTA[ID]))),-1)))</f>
        <v>HANSA</v>
      </c>
      <c r="AI304" s="17" t="str">
        <f ca="1">IF(NOTA[[#This Row],[ID_H]]="","",IF(NOTA[[#This Row],[FAKTUR]]="",INDIRECT(ADDRESS(ROW()-1,COLUMN())),NOTA[[#This Row],[FAKTUR]]))</f>
        <v>UNTANA</v>
      </c>
      <c r="AJ304" s="27">
        <f ca="1">IF(NOTA[[#This Row],[ID]]="","",COUNTIF(NOTA[ID_H],NOTA[[#This Row],[ID_H]]))</f>
        <v>2</v>
      </c>
      <c r="AK304" s="27">
        <f>IF(NOTA[[#This Row],[TGL.NOTA]]="",IF(NOTA[[#This Row],[SUPPLIER_H]]="","",AK303),MONTH(NOTA[[#This Row],[TGL.NOTA]]))</f>
        <v>5</v>
      </c>
      <c r="AL304" s="27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M3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lilinshintoeng12btg390000</v>
      </c>
      <c r="AN3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O304" s="27" t="str">
        <f>IF(NOTA[[#This Row],[SUPPLIER]]="","",NOTA[[#This Row],[SUPPLIER]]&amp;NOTA[[#This Row],[FAKTUR]]&amp;NOTA[[#This Row],[NO.NOTA]]&amp;NOTA[[#This Row],[NO.SJ]]&amp;NOTA[[#This Row],[TGL.NOTA]]&amp;NOTA[[#This Row],[CONCAT1]])</f>
        <v>HANSAUNTANAHN05202318945059lilinshintoeng12btg</v>
      </c>
      <c r="AP304" s="27" t="e">
        <f>IF(NOTA[[#This Row],[CONCAT4]]="","",_xlfn.IFNA(MATCH(NOTA[[#This Row],[CONCAT4]],[2]!RAW[CONCAT_H],0),FALSE))</f>
        <v>#REF!</v>
      </c>
      <c r="AQ304" s="145">
        <f>IF(NOTA[[#This Row],[CONCAT1]]="","",MATCH(NOTA[[#This Row],[CONCAT1]],[3]!db[NB NOTA_C],0)+1)</f>
        <v>1514</v>
      </c>
    </row>
    <row r="305" spans="1:43" ht="20.100000000000001" customHeight="1" x14ac:dyDescent="0.25">
      <c r="A30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18" t="str">
        <f>IF(NOTA[[#This Row],[ID_P]]="","",MATCH(NOTA[[#This Row],[ID_P]],[1]!B_MSK[N_ID],0))</f>
        <v/>
      </c>
      <c r="D305" s="18">
        <f ca="1">IF(NOTA[[#This Row],[NAMA BARANG]]="","",INDEX(NOTA[ID],MATCH(,INDIRECT(ADDRESS(ROW(NOTA[ID]),COLUMN(NOTA[ID]))&amp;":"&amp;ADDRESS(ROW(),COLUMN(NOTA[ID]))),-1)))</f>
        <v>56</v>
      </c>
      <c r="E305" s="14"/>
      <c r="F305" s="16"/>
      <c r="G305" s="16"/>
      <c r="H305" s="20"/>
      <c r="I305" s="16"/>
      <c r="J305" s="22"/>
      <c r="K305" s="21"/>
      <c r="L305" s="16" t="s">
        <v>497</v>
      </c>
      <c r="M305" s="23"/>
      <c r="N305" s="21">
        <v>120</v>
      </c>
      <c r="O305" s="16" t="s">
        <v>160</v>
      </c>
      <c r="P305" s="17">
        <v>1600</v>
      </c>
      <c r="Q305" s="34"/>
      <c r="R305" s="28"/>
      <c r="S305" s="24"/>
      <c r="T305" s="24"/>
      <c r="U305" s="25"/>
      <c r="V305" s="26"/>
      <c r="W305" s="25">
        <f>IF(NOTA[[#This Row],[HARGA/ CTN]]="",NOTA[[#This Row],[JUMLAH_H]],NOTA[[#This Row],[HARGA/ CTN]]*IF(NOTA[[#This Row],[C]]="",0,NOTA[[#This Row],[C]]))</f>
        <v>192000</v>
      </c>
      <c r="X305" s="25">
        <f>IF(NOTA[[#This Row],[JUMLAH]]="","",NOTA[[#This Row],[JUMLAH]]*NOTA[[#This Row],[DISC 1]])</f>
        <v>0</v>
      </c>
      <c r="Y305" s="25">
        <f>IF(NOTA[[#This Row],[JUMLAH]]="","",(NOTA[[#This Row],[JUMLAH]]-NOTA[[#This Row],[DISC 1-]])*NOTA[[#This Row],[DISC 2]])</f>
        <v>0</v>
      </c>
      <c r="Z305" s="25">
        <f>IF(NOTA[[#This Row],[JUMLAH]]="","",NOTA[[#This Row],[DISC 1-]]+NOTA[[#This Row],[DISC 2-]])</f>
        <v>0</v>
      </c>
      <c r="AA305" s="25">
        <f>IF(NOTA[[#This Row],[JUMLAH]]="","",NOTA[[#This Row],[JUMLAH]]-NOTA[[#This Row],[DISC]])</f>
        <v>192000</v>
      </c>
      <c r="AB305" s="25"/>
      <c r="AC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0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</v>
      </c>
      <c r="AE305" s="17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305" s="25">
        <f>IF(OR(NOTA[[#This Row],[QTY]]="",NOTA[[#This Row],[HARGA SATUAN]]="",),"",NOTA[[#This Row],[QTY]]*NOTA[[#This Row],[HARGA SATUAN]])</f>
        <v>192000</v>
      </c>
      <c r="AG305" s="22">
        <f ca="1">IF(NOTA[ID_H]="","",INDEX(NOTA[TANGGAL],MATCH(,INDIRECT(ADDRESS(ROW(NOTA[TANGGAL]),COLUMN(NOTA[TANGGAL]))&amp;":"&amp;ADDRESS(ROW(),COLUMN(NOTA[TANGGAL]))),-1)))</f>
        <v>45058</v>
      </c>
      <c r="AH305" s="17" t="str">
        <f ca="1">IF(NOTA[[#This Row],[NAMA BARANG]]="","",INDEX(NOTA[SUPPLIER],MATCH(,INDIRECT(ADDRESS(ROW(NOTA[ID]),COLUMN(NOTA[ID]))&amp;":"&amp;ADDRESS(ROW(),COLUMN(NOTA[ID]))),-1)))</f>
        <v>HANSA</v>
      </c>
      <c r="AI305" s="17" t="str">
        <f ca="1">IF(NOTA[[#This Row],[ID_H]]="","",IF(NOTA[[#This Row],[FAKTUR]]="",INDIRECT(ADDRESS(ROW()-1,COLUMN())),NOTA[[#This Row],[FAKTUR]]))</f>
        <v>UNTANA</v>
      </c>
      <c r="AJ305" s="27" t="str">
        <f ca="1">IF(NOTA[[#This Row],[ID]]="","",COUNTIF(NOTA[ID_H],NOTA[[#This Row],[ID_H]]))</f>
        <v/>
      </c>
      <c r="AK305" s="27">
        <f ca="1">IF(NOTA[[#This Row],[TGL.NOTA]]="",IF(NOTA[[#This Row],[SUPPLIER_H]]="","",AK304),MONTH(NOTA[[#This Row],[TGL.NOTA]]))</f>
        <v>5</v>
      </c>
      <c r="AL305" s="27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3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3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3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27" t="str">
        <f>IF(NOTA[[#This Row],[CONCAT4]]="","",_xlfn.IFNA(MATCH(NOTA[[#This Row],[CONCAT4]],[2]!RAW[CONCAT_H],0),FALSE))</f>
        <v/>
      </c>
      <c r="AQ305" s="145">
        <f>IF(NOTA[[#This Row],[CONCAT1]]="","",MATCH(NOTA[[#This Row],[CONCAT1]],[3]!db[NB NOTA_C],0)+1)</f>
        <v>1558</v>
      </c>
    </row>
    <row r="306" spans="1:43" ht="20.100000000000001" customHeight="1" x14ac:dyDescent="0.25">
      <c r="A30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18" t="str">
        <f>IF(NOTA[[#This Row],[ID_P]]="","",MATCH(NOTA[[#This Row],[ID_P]],[1]!B_MSK[N_ID],0))</f>
        <v/>
      </c>
      <c r="D306" s="18" t="str">
        <f ca="1">IF(NOTA[[#This Row],[NAMA BARANG]]="","",INDEX(NOTA[ID],MATCH(,INDIRECT(ADDRESS(ROW(NOTA[ID]),COLUMN(NOTA[ID]))&amp;":"&amp;ADDRESS(ROW(),COLUMN(NOTA[ID]))),-1)))</f>
        <v/>
      </c>
      <c r="E306" s="19"/>
      <c r="F306" s="21"/>
      <c r="G306" s="21"/>
      <c r="H306" s="41"/>
      <c r="I306" s="21"/>
      <c r="J306" s="22"/>
      <c r="K306" s="21"/>
      <c r="L306" s="16"/>
      <c r="M306" s="23"/>
      <c r="N306" s="21"/>
      <c r="O306" s="16"/>
      <c r="P306" s="17"/>
      <c r="Q306" s="34"/>
      <c r="R306" s="28"/>
      <c r="S306" s="24"/>
      <c r="T306" s="24"/>
      <c r="U306" s="25"/>
      <c r="V306" s="26"/>
      <c r="W306" s="25" t="str">
        <f>IF(NOTA[[#This Row],[HARGA/ CTN]]="",NOTA[[#This Row],[JUMLAH_H]],NOTA[[#This Row],[HARGA/ CTN]]*IF(NOTA[[#This Row],[C]]="",0,NOTA[[#This Row],[C]]))</f>
        <v/>
      </c>
      <c r="X306" s="25" t="str">
        <f>IF(NOTA[[#This Row],[JUMLAH]]="","",NOTA[[#This Row],[JUMLAH]]*NOTA[[#This Row],[DISC 1]])</f>
        <v/>
      </c>
      <c r="Y306" s="25" t="str">
        <f>IF(NOTA[[#This Row],[JUMLAH]]="","",(NOTA[[#This Row],[JUMLAH]]-NOTA[[#This Row],[DISC 1-]])*NOTA[[#This Row],[DISC 2]])</f>
        <v/>
      </c>
      <c r="Z306" s="25" t="str">
        <f>IF(NOTA[[#This Row],[JUMLAH]]="","",NOTA[[#This Row],[DISC 1-]]+NOTA[[#This Row],[DISC 2-]])</f>
        <v/>
      </c>
      <c r="AA306" s="25" t="str">
        <f>IF(NOTA[[#This Row],[JUMLAH]]="","",NOTA[[#This Row],[JUMLAH]]-NOTA[[#This Row],[DISC]])</f>
        <v/>
      </c>
      <c r="AB306" s="25"/>
      <c r="AC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25" t="str">
        <f>IF(OR(NOTA[[#This Row],[QTY]]="",NOTA[[#This Row],[HARGA SATUAN]]="",),"",NOTA[[#This Row],[QTY]]*NOTA[[#This Row],[HARGA SATUAN]])</f>
        <v/>
      </c>
      <c r="AG306" s="22" t="str">
        <f ca="1">IF(NOTA[ID_H]="","",INDEX(NOTA[TANGGAL],MATCH(,INDIRECT(ADDRESS(ROW(NOTA[TANGGAL]),COLUMN(NOTA[TANGGAL]))&amp;":"&amp;ADDRESS(ROW(),COLUMN(NOTA[TANGGAL]))),-1)))</f>
        <v/>
      </c>
      <c r="AH306" s="17" t="str">
        <f ca="1">IF(NOTA[[#This Row],[NAMA BARANG]]="","",INDEX(NOTA[SUPPLIER],MATCH(,INDIRECT(ADDRESS(ROW(NOTA[ID]),COLUMN(NOTA[ID]))&amp;":"&amp;ADDRESS(ROW(),COLUMN(NOTA[ID]))),-1)))</f>
        <v/>
      </c>
      <c r="AI306" s="17" t="str">
        <f ca="1">IF(NOTA[[#This Row],[ID_H]]="","",IF(NOTA[[#This Row],[FAKTUR]]="",INDIRECT(ADDRESS(ROW()-1,COLUMN())),NOTA[[#This Row],[FAKTUR]]))</f>
        <v/>
      </c>
      <c r="AJ306" s="27" t="str">
        <f ca="1">IF(NOTA[[#This Row],[ID]]="","",COUNTIF(NOTA[ID_H],NOTA[[#This Row],[ID_H]]))</f>
        <v/>
      </c>
      <c r="AK306" s="27" t="str">
        <f ca="1">IF(NOTA[[#This Row],[TGL.NOTA]]="",IF(NOTA[[#This Row],[SUPPLIER_H]]="","",AK305),MONTH(NOTA[[#This Row],[TGL.NOTA]]))</f>
        <v/>
      </c>
      <c r="AL306" s="27" t="str">
        <f>LOWER(SUBSTITUTE(SUBSTITUTE(SUBSTITUTE(SUBSTITUTE(SUBSTITUTE(SUBSTITUTE(SUBSTITUTE(SUBSTITUTE(SUBSTITUTE(NOTA[NAMA BARANG]," ",),".",""),"-",""),"(",""),")",""),",",""),"/",""),"""",""),"+",""))</f>
        <v/>
      </c>
      <c r="AM3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27" t="str">
        <f>IF(NOTA[[#This Row],[CONCAT4]]="","",_xlfn.IFNA(MATCH(NOTA[[#This Row],[CONCAT4]],[2]!RAW[CONCAT_H],0),FALSE))</f>
        <v/>
      </c>
      <c r="AQ306" s="145" t="str">
        <f>IF(NOTA[[#This Row],[CONCAT1]]="","",MATCH(NOTA[[#This Row],[CONCAT1]],[3]!db[NB NOTA_C],0)+1)</f>
        <v/>
      </c>
    </row>
    <row r="307" spans="1:43" ht="20.100000000000001" customHeight="1" x14ac:dyDescent="0.25">
      <c r="A307" s="17">
        <f ca="1">IF(INDIRECT(ADDRESS(ROW()-1,COLUMN(NOTA[[#Headers],[ID]])))="ID",1,IF(NOTA[[#This Row],[FAKTUR]]="","",COUNT(INDIRECT(ADDRESS(ROW(NOTA[ID]),COLUMN(NOTA[ID]))&amp;":"&amp;ADDRESS(ROW()-1,COLUMN(NOTA[ID]))))+1))</f>
        <v>57</v>
      </c>
      <c r="B307" s="1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ATA_1305_076-9</v>
      </c>
      <c r="C307" s="18" t="e">
        <f ca="1">IF(NOTA[[#This Row],[ID_P]]="","",MATCH(NOTA[[#This Row],[ID_P]],[1]!B_MSK[N_ID],0))</f>
        <v>#REF!</v>
      </c>
      <c r="D307" s="18">
        <f ca="1">IF(NOTA[[#This Row],[NAMA BARANG]]="","",INDEX(NOTA[ID],MATCH(,INDIRECT(ADDRESS(ROW(NOTA[ID]),COLUMN(NOTA[ID]))&amp;":"&amp;ADDRESS(ROW(),COLUMN(NOTA[ID]))),-1)))</f>
        <v>57</v>
      </c>
      <c r="E307" s="19">
        <v>45059</v>
      </c>
      <c r="F307" s="16" t="s">
        <v>25</v>
      </c>
      <c r="G307" s="16" t="s">
        <v>24</v>
      </c>
      <c r="H307" s="20" t="s">
        <v>498</v>
      </c>
      <c r="I307" s="21"/>
      <c r="J307" s="22">
        <v>45054</v>
      </c>
      <c r="K307" s="21"/>
      <c r="L307" s="16" t="s">
        <v>499</v>
      </c>
      <c r="M307" s="23">
        <v>2</v>
      </c>
      <c r="N307" s="21">
        <v>2000</v>
      </c>
      <c r="O307" s="16" t="s">
        <v>288</v>
      </c>
      <c r="P307" s="17">
        <v>3000</v>
      </c>
      <c r="Q307" s="34"/>
      <c r="R307" s="28" t="s">
        <v>500</v>
      </c>
      <c r="S307" s="24">
        <v>0.125</v>
      </c>
      <c r="T307" s="24">
        <v>0.05</v>
      </c>
      <c r="U307" s="25"/>
      <c r="V307" s="26"/>
      <c r="W307" s="25">
        <f>IF(NOTA[[#This Row],[HARGA/ CTN]]="",NOTA[[#This Row],[JUMLAH_H]],NOTA[[#This Row],[HARGA/ CTN]]*IF(NOTA[[#This Row],[C]]="",0,NOTA[[#This Row],[C]]))</f>
        <v>6000000</v>
      </c>
      <c r="X307" s="25">
        <f>IF(NOTA[[#This Row],[JUMLAH]]="","",NOTA[[#This Row],[JUMLAH]]*NOTA[[#This Row],[DISC 1]])</f>
        <v>750000</v>
      </c>
      <c r="Y307" s="25">
        <f>IF(NOTA[[#This Row],[JUMLAH]]="","",(NOTA[[#This Row],[JUMLAH]]-NOTA[[#This Row],[DISC 1-]])*NOTA[[#This Row],[DISC 2]])</f>
        <v>262500</v>
      </c>
      <c r="Z307" s="25">
        <f>IF(NOTA[[#This Row],[JUMLAH]]="","",NOTA[[#This Row],[DISC 1-]]+NOTA[[#This Row],[DISC 2-]])</f>
        <v>1012500</v>
      </c>
      <c r="AA307" s="25">
        <f>IF(NOTA[[#This Row],[JUMLAH]]="","",NOTA[[#This Row],[JUMLAH]]-NOTA[[#This Row],[DISC]])</f>
        <v>4987500</v>
      </c>
      <c r="AB307" s="25"/>
      <c r="AC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17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307" s="25">
        <f>IF(OR(NOTA[[#This Row],[QTY]]="",NOTA[[#This Row],[HARGA SATUAN]]="",),"",NOTA[[#This Row],[QTY]]*NOTA[[#This Row],[HARGA SATUAN]])</f>
        <v>6000000</v>
      </c>
      <c r="AG307" s="22">
        <f ca="1">IF(NOTA[ID_H]="","",INDEX(NOTA[TANGGAL],MATCH(,INDIRECT(ADDRESS(ROW(NOTA[TANGGAL]),COLUMN(NOTA[TANGGAL]))&amp;":"&amp;ADDRESS(ROW(),COLUMN(NOTA[TANGGAL]))),-1)))</f>
        <v>45059</v>
      </c>
      <c r="AH307" s="17" t="str">
        <f ca="1">IF(NOTA[[#This Row],[NAMA BARANG]]="","",INDEX(NOTA[SUPPLIER],MATCH(,INDIRECT(ADDRESS(ROW(NOTA[ID]),COLUMN(NOTA[ID]))&amp;":"&amp;ADDRESS(ROW(),COLUMN(NOTA[ID]))),-1)))</f>
        <v>ATALI MAKMUR</v>
      </c>
      <c r="AI307" s="17" t="str">
        <f ca="1">IF(NOTA[[#This Row],[ID_H]]="","",IF(NOTA[[#This Row],[FAKTUR]]="",INDIRECT(ADDRESS(ROW()-1,COLUMN())),NOTA[[#This Row],[FAKTUR]]))</f>
        <v>ARTO MORO</v>
      </c>
      <c r="AJ307" s="27">
        <f ca="1">IF(NOTA[[#This Row],[ID]]="","",COUNTIF(NOTA[ID_H],NOTA[[#This Row],[ID_H]]))</f>
        <v>9</v>
      </c>
      <c r="AK307" s="27">
        <f>IF(NOTA[[#This Row],[TGL.NOTA]]="",IF(NOTA[[#This Row],[SUPPLIER_H]]="","",AK306),MONTH(NOTA[[#This Row],[TGL.NOTA]]))</f>
        <v>5</v>
      </c>
      <c r="AL307" s="27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3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3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30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MOROSA23050707645054labellb1ly1barisyellowjk</v>
      </c>
      <c r="AP307" s="27" t="e">
        <f>IF(NOTA[[#This Row],[CONCAT4]]="","",_xlfn.IFNA(MATCH(NOTA[[#This Row],[CONCAT4]],[2]!RAW[CONCAT_H],0),FALSE))</f>
        <v>#REF!</v>
      </c>
      <c r="AQ307" s="145">
        <f>IF(NOTA[[#This Row],[CONCAT1]]="","",MATCH(NOTA[[#This Row],[CONCAT1]],[3]!db[NB NOTA_C],0)+1)</f>
        <v>1463</v>
      </c>
    </row>
    <row r="308" spans="1:43" ht="20.100000000000001" customHeight="1" x14ac:dyDescent="0.25">
      <c r="A308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18" t="str">
        <f>IF(NOTA[[#This Row],[ID_P]]="","",MATCH(NOTA[[#This Row],[ID_P]],[1]!B_MSK[N_ID],0))</f>
        <v/>
      </c>
      <c r="D308" s="18">
        <f ca="1">IF(NOTA[[#This Row],[NAMA BARANG]]="","",INDEX(NOTA[ID],MATCH(,INDIRECT(ADDRESS(ROW(NOTA[ID]),COLUMN(NOTA[ID]))&amp;":"&amp;ADDRESS(ROW(),COLUMN(NOTA[ID]))),-1)))</f>
        <v>57</v>
      </c>
      <c r="E308" s="19"/>
      <c r="F308" s="21"/>
      <c r="G308" s="21"/>
      <c r="H308" s="20"/>
      <c r="I308" s="21"/>
      <c r="J308" s="22"/>
      <c r="K308" s="21"/>
      <c r="L308" s="16" t="s">
        <v>501</v>
      </c>
      <c r="M308" s="23">
        <v>1</v>
      </c>
      <c r="N308" s="21">
        <v>1000</v>
      </c>
      <c r="O308" s="16" t="s">
        <v>288</v>
      </c>
      <c r="P308" s="17">
        <v>2050</v>
      </c>
      <c r="Q308" s="34"/>
      <c r="R308" s="28" t="s">
        <v>500</v>
      </c>
      <c r="S308" s="24">
        <v>0.125</v>
      </c>
      <c r="T308" s="24">
        <v>0.05</v>
      </c>
      <c r="U308" s="25"/>
      <c r="V308" s="26"/>
      <c r="W308" s="25">
        <f>IF(NOTA[[#This Row],[HARGA/ CTN]]="",NOTA[[#This Row],[JUMLAH_H]],NOTA[[#This Row],[HARGA/ CTN]]*IF(NOTA[[#This Row],[C]]="",0,NOTA[[#This Row],[C]]))</f>
        <v>2050000</v>
      </c>
      <c r="X308" s="25">
        <f>IF(NOTA[[#This Row],[JUMLAH]]="","",NOTA[[#This Row],[JUMLAH]]*NOTA[[#This Row],[DISC 1]])</f>
        <v>256250</v>
      </c>
      <c r="Y308" s="25">
        <f>IF(NOTA[[#This Row],[JUMLAH]]="","",(NOTA[[#This Row],[JUMLAH]]-NOTA[[#This Row],[DISC 1-]])*NOTA[[#This Row],[DISC 2]])</f>
        <v>89687.5</v>
      </c>
      <c r="Z308" s="25">
        <f>IF(NOTA[[#This Row],[JUMLAH]]="","",NOTA[[#This Row],[DISC 1-]]+NOTA[[#This Row],[DISC 2-]])</f>
        <v>345937.5</v>
      </c>
      <c r="AA308" s="25">
        <f>IF(NOTA[[#This Row],[JUMLAH]]="","",NOTA[[#This Row],[JUMLAH]]-NOTA[[#This Row],[DISC]])</f>
        <v>1704062.5</v>
      </c>
      <c r="AB308" s="25"/>
      <c r="AC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1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308" s="25">
        <f>IF(OR(NOTA[[#This Row],[QTY]]="",NOTA[[#This Row],[HARGA SATUAN]]="",),"",NOTA[[#This Row],[QTY]]*NOTA[[#This Row],[HARGA SATUAN]])</f>
        <v>2050000</v>
      </c>
      <c r="AG308" s="22">
        <f ca="1">IF(NOTA[ID_H]="","",INDEX(NOTA[TANGGAL],MATCH(,INDIRECT(ADDRESS(ROW(NOTA[TANGGAL]),COLUMN(NOTA[TANGGAL]))&amp;":"&amp;ADDRESS(ROW(),COLUMN(NOTA[TANGGAL]))),-1)))</f>
        <v>45059</v>
      </c>
      <c r="AH308" s="17" t="str">
        <f ca="1">IF(NOTA[[#This Row],[NAMA BARANG]]="","",INDEX(NOTA[SUPPLIER],MATCH(,INDIRECT(ADDRESS(ROW(NOTA[ID]),COLUMN(NOTA[ID]))&amp;":"&amp;ADDRESS(ROW(),COLUMN(NOTA[ID]))),-1)))</f>
        <v>ATALI MAKMUR</v>
      </c>
      <c r="AI308" s="17" t="str">
        <f ca="1">IF(NOTA[[#This Row],[ID_H]]="","",IF(NOTA[[#This Row],[FAKTUR]]="",INDIRECT(ADDRESS(ROW()-1,COLUMN())),NOTA[[#This Row],[FAKTUR]]))</f>
        <v>ARTO MORO</v>
      </c>
      <c r="AJ308" s="27" t="str">
        <f ca="1">IF(NOTA[[#This Row],[ID]]="","",COUNTIF(NOTA[ID_H],NOTA[[#This Row],[ID_H]]))</f>
        <v/>
      </c>
      <c r="AK308" s="27">
        <f ca="1">IF(NOTA[[#This Row],[TGL.NOTA]]="",IF(NOTA[[#This Row],[SUPPLIER_H]]="","",AK307),MONTH(NOTA[[#This Row],[TGL.NOTA]]))</f>
        <v>5</v>
      </c>
      <c r="AL308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3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3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3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27" t="str">
        <f>IF(NOTA[[#This Row],[CONCAT4]]="","",_xlfn.IFNA(MATCH(NOTA[[#This Row],[CONCAT4]],[2]!RAW[CONCAT_H],0),FALSE))</f>
        <v/>
      </c>
      <c r="AQ308" s="145">
        <f>IF(NOTA[[#This Row],[CONCAT1]]="","",MATCH(NOTA[[#This Row],[CONCAT1]],[3]!db[NB NOTA_C],0)+1)</f>
        <v>1464</v>
      </c>
    </row>
    <row r="309" spans="1:43" ht="20.100000000000001" customHeight="1" x14ac:dyDescent="0.25">
      <c r="A309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18" t="str">
        <f>IF(NOTA[[#This Row],[ID_P]]="","",MATCH(NOTA[[#This Row],[ID_P]],[1]!B_MSK[N_ID],0))</f>
        <v/>
      </c>
      <c r="D309" s="18">
        <f ca="1">IF(NOTA[[#This Row],[NAMA BARANG]]="","",INDEX(NOTA[ID],MATCH(,INDIRECT(ADDRESS(ROW(NOTA[ID]),COLUMN(NOTA[ID]))&amp;":"&amp;ADDRESS(ROW(),COLUMN(NOTA[ID]))),-1)))</f>
        <v>57</v>
      </c>
      <c r="E309" s="19"/>
      <c r="F309" s="16"/>
      <c r="G309" s="16"/>
      <c r="H309" s="20"/>
      <c r="I309" s="21"/>
      <c r="J309" s="22"/>
      <c r="K309" s="21"/>
      <c r="L309" s="16" t="s">
        <v>503</v>
      </c>
      <c r="M309" s="23">
        <v>6</v>
      </c>
      <c r="N309" s="21">
        <v>864</v>
      </c>
      <c r="O309" s="16" t="s">
        <v>160</v>
      </c>
      <c r="P309" s="17">
        <v>4350</v>
      </c>
      <c r="Q309" s="34"/>
      <c r="R309" s="28" t="s">
        <v>502</v>
      </c>
      <c r="S309" s="24">
        <v>0.125</v>
      </c>
      <c r="T309" s="24">
        <v>0.05</v>
      </c>
      <c r="U309" s="25"/>
      <c r="V309" s="26"/>
      <c r="W309" s="25">
        <f>IF(NOTA[[#This Row],[HARGA/ CTN]]="",NOTA[[#This Row],[JUMLAH_H]],NOTA[[#This Row],[HARGA/ CTN]]*IF(NOTA[[#This Row],[C]]="",0,NOTA[[#This Row],[C]]))</f>
        <v>3758400</v>
      </c>
      <c r="X309" s="25">
        <f>IF(NOTA[[#This Row],[JUMLAH]]="","",NOTA[[#This Row],[JUMLAH]]*NOTA[[#This Row],[DISC 1]])</f>
        <v>469800</v>
      </c>
      <c r="Y309" s="25">
        <f>IF(NOTA[[#This Row],[JUMLAH]]="","",(NOTA[[#This Row],[JUMLAH]]-NOTA[[#This Row],[DISC 1-]])*NOTA[[#This Row],[DISC 2]])</f>
        <v>164430</v>
      </c>
      <c r="Z309" s="25">
        <f>IF(NOTA[[#This Row],[JUMLAH]]="","",NOTA[[#This Row],[DISC 1-]]+NOTA[[#This Row],[DISC 2-]])</f>
        <v>634230</v>
      </c>
      <c r="AA309" s="25">
        <f>IF(NOTA[[#This Row],[JUMLAH]]="","",NOTA[[#This Row],[JUMLAH]]-NOTA[[#This Row],[DISC]])</f>
        <v>3124170</v>
      </c>
      <c r="AB309" s="25"/>
      <c r="AC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1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09" s="25">
        <f>IF(OR(NOTA[[#This Row],[QTY]]="",NOTA[[#This Row],[HARGA SATUAN]]="",),"",NOTA[[#This Row],[QTY]]*NOTA[[#This Row],[HARGA SATUAN]])</f>
        <v>3758400</v>
      </c>
      <c r="AG309" s="22">
        <f ca="1">IF(NOTA[ID_H]="","",INDEX(NOTA[TANGGAL],MATCH(,INDIRECT(ADDRESS(ROW(NOTA[TANGGAL]),COLUMN(NOTA[TANGGAL]))&amp;":"&amp;ADDRESS(ROW(),COLUMN(NOTA[TANGGAL]))),-1)))</f>
        <v>45059</v>
      </c>
      <c r="AH309" s="17" t="str">
        <f ca="1">IF(NOTA[[#This Row],[NAMA BARANG]]="","",INDEX(NOTA[SUPPLIER],MATCH(,INDIRECT(ADDRESS(ROW(NOTA[ID]),COLUMN(NOTA[ID]))&amp;":"&amp;ADDRESS(ROW(),COLUMN(NOTA[ID]))),-1)))</f>
        <v>ATALI MAKMUR</v>
      </c>
      <c r="AI309" s="17" t="str">
        <f ca="1">IF(NOTA[[#This Row],[ID_H]]="","",IF(NOTA[[#This Row],[FAKTUR]]="",INDIRECT(ADDRESS(ROW()-1,COLUMN())),NOTA[[#This Row],[FAKTUR]]))</f>
        <v>ARTO MORO</v>
      </c>
      <c r="AJ309" s="27" t="str">
        <f ca="1">IF(NOTA[[#This Row],[ID]]="","",COUNTIF(NOTA[ID_H],NOTA[[#This Row],[ID_H]]))</f>
        <v/>
      </c>
      <c r="AK309" s="27">
        <f ca="1">IF(NOTA[[#This Row],[TGL.NOTA]]="",IF(NOTA[[#This Row],[SUPPLIER_H]]="","",AK308),MONTH(NOTA[[#This Row],[TGL.NOTA]]))</f>
        <v>5</v>
      </c>
      <c r="AL309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3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3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3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27" t="str">
        <f>IF(NOTA[[#This Row],[CONCAT4]]="","",_xlfn.IFNA(MATCH(NOTA[[#This Row],[CONCAT4]],[2]!RAW[CONCAT_H],0),FALSE))</f>
        <v/>
      </c>
      <c r="AQ309" s="145">
        <f>IF(NOTA[[#This Row],[CONCAT1]]="","",MATCH(NOTA[[#This Row],[CONCAT1]],[3]!db[NB NOTA_C],0)+1)</f>
        <v>2111</v>
      </c>
    </row>
    <row r="310" spans="1:43" ht="20.100000000000001" customHeight="1" x14ac:dyDescent="0.25">
      <c r="A31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18" t="str">
        <f>IF(NOTA[[#This Row],[ID_P]]="","",MATCH(NOTA[[#This Row],[ID_P]],[1]!B_MSK[N_ID],0))</f>
        <v/>
      </c>
      <c r="D310" s="18">
        <f ca="1">IF(NOTA[[#This Row],[NAMA BARANG]]="","",INDEX(NOTA[ID],MATCH(,INDIRECT(ADDRESS(ROW(NOTA[ID]),COLUMN(NOTA[ID]))&amp;":"&amp;ADDRESS(ROW(),COLUMN(NOTA[ID]))),-1)))</f>
        <v>57</v>
      </c>
      <c r="E310" s="19"/>
      <c r="F310" s="21"/>
      <c r="G310" s="21"/>
      <c r="H310" s="41"/>
      <c r="I310" s="21"/>
      <c r="J310" s="22"/>
      <c r="K310" s="21"/>
      <c r="L310" s="16" t="s">
        <v>514</v>
      </c>
      <c r="M310" s="23">
        <v>6</v>
      </c>
      <c r="N310" s="21">
        <v>864</v>
      </c>
      <c r="O310" s="16" t="s">
        <v>160</v>
      </c>
      <c r="P310" s="17">
        <v>6500</v>
      </c>
      <c r="Q310" s="34"/>
      <c r="R310" s="28" t="s">
        <v>502</v>
      </c>
      <c r="S310" s="24">
        <v>0.125</v>
      </c>
      <c r="T310" s="24">
        <v>0.05</v>
      </c>
      <c r="U310" s="25"/>
      <c r="V310" s="26"/>
      <c r="W310" s="25">
        <f>IF(NOTA[[#This Row],[HARGA/ CTN]]="",NOTA[[#This Row],[JUMLAH_H]],NOTA[[#This Row],[HARGA/ CTN]]*IF(NOTA[[#This Row],[C]]="",0,NOTA[[#This Row],[C]]))</f>
        <v>5616000</v>
      </c>
      <c r="X310" s="25">
        <f>IF(NOTA[[#This Row],[JUMLAH]]="","",NOTA[[#This Row],[JUMLAH]]*NOTA[[#This Row],[DISC 1]])</f>
        <v>702000</v>
      </c>
      <c r="Y310" s="25">
        <f>IF(NOTA[[#This Row],[JUMLAH]]="","",(NOTA[[#This Row],[JUMLAH]]-NOTA[[#This Row],[DISC 1-]])*NOTA[[#This Row],[DISC 2]])</f>
        <v>245700</v>
      </c>
      <c r="Z310" s="25">
        <f>IF(NOTA[[#This Row],[JUMLAH]]="","",NOTA[[#This Row],[DISC 1-]]+NOTA[[#This Row],[DISC 2-]])</f>
        <v>947700</v>
      </c>
      <c r="AA310" s="25">
        <f>IF(NOTA[[#This Row],[JUMLAH]]="","",NOTA[[#This Row],[JUMLAH]]-NOTA[[#This Row],[DISC]])</f>
        <v>4668300</v>
      </c>
      <c r="AB310" s="25"/>
      <c r="AC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17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10" s="25">
        <f>IF(OR(NOTA[[#This Row],[QTY]]="",NOTA[[#This Row],[HARGA SATUAN]]="",),"",NOTA[[#This Row],[QTY]]*NOTA[[#This Row],[HARGA SATUAN]])</f>
        <v>5616000</v>
      </c>
      <c r="AG310" s="22">
        <f ca="1">IF(NOTA[ID_H]="","",INDEX(NOTA[TANGGAL],MATCH(,INDIRECT(ADDRESS(ROW(NOTA[TANGGAL]),COLUMN(NOTA[TANGGAL]))&amp;":"&amp;ADDRESS(ROW(),COLUMN(NOTA[TANGGAL]))),-1)))</f>
        <v>45059</v>
      </c>
      <c r="AH310" s="17" t="str">
        <f ca="1">IF(NOTA[[#This Row],[NAMA BARANG]]="","",INDEX(NOTA[SUPPLIER],MATCH(,INDIRECT(ADDRESS(ROW(NOTA[ID]),COLUMN(NOTA[ID]))&amp;":"&amp;ADDRESS(ROW(),COLUMN(NOTA[ID]))),-1)))</f>
        <v>ATALI MAKMUR</v>
      </c>
      <c r="AI310" s="17" t="str">
        <f ca="1">IF(NOTA[[#This Row],[ID_H]]="","",IF(NOTA[[#This Row],[FAKTUR]]="",INDIRECT(ADDRESS(ROW()-1,COLUMN())),NOTA[[#This Row],[FAKTUR]]))</f>
        <v>ARTO MORO</v>
      </c>
      <c r="AJ310" s="27" t="str">
        <f ca="1">IF(NOTA[[#This Row],[ID]]="","",COUNTIF(NOTA[ID_H],NOTA[[#This Row],[ID_H]]))</f>
        <v/>
      </c>
      <c r="AK310" s="27">
        <f ca="1">IF(NOTA[[#This Row],[TGL.NOTA]]="",IF(NOTA[[#This Row],[SUPPLIER_H]]="","",AK309),MONTH(NOTA[[#This Row],[TGL.NOTA]]))</f>
        <v>5</v>
      </c>
      <c r="AL310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3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27" t="str">
        <f>IF(NOTA[[#This Row],[CONCAT4]]="","",_xlfn.IFNA(MATCH(NOTA[[#This Row],[CONCAT4]],[2]!RAW[CONCAT_H],0),FALSE))</f>
        <v/>
      </c>
      <c r="AQ310" s="145">
        <f>IF(NOTA[[#This Row],[CONCAT1]]="","",MATCH(NOTA[[#This Row],[CONCAT1]],[3]!db[NB NOTA_C],0)+1)</f>
        <v>2112</v>
      </c>
    </row>
    <row r="311" spans="1:43" ht="20.100000000000001" customHeight="1" x14ac:dyDescent="0.25">
      <c r="A311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18" t="str">
        <f>IF(NOTA[[#This Row],[ID_P]]="","",MATCH(NOTA[[#This Row],[ID_P]],[1]!B_MSK[N_ID],0))</f>
        <v/>
      </c>
      <c r="D311" s="18">
        <f ca="1">IF(NOTA[[#This Row],[NAMA BARANG]]="","",INDEX(NOTA[ID],MATCH(,INDIRECT(ADDRESS(ROW(NOTA[ID]),COLUMN(NOTA[ID]))&amp;":"&amp;ADDRESS(ROW(),COLUMN(NOTA[ID]))),-1)))</f>
        <v>57</v>
      </c>
      <c r="E311" s="19"/>
      <c r="F311" s="16"/>
      <c r="G311" s="16"/>
      <c r="H311" s="20"/>
      <c r="I311" s="16"/>
      <c r="J311" s="22"/>
      <c r="K311" s="21"/>
      <c r="L311" s="16" t="s">
        <v>504</v>
      </c>
      <c r="M311" s="23">
        <v>6</v>
      </c>
      <c r="N311" s="21">
        <v>864</v>
      </c>
      <c r="O311" s="16" t="s">
        <v>160</v>
      </c>
      <c r="P311" s="17">
        <v>9750</v>
      </c>
      <c r="Q311" s="34"/>
      <c r="R311" s="28" t="s">
        <v>502</v>
      </c>
      <c r="S311" s="24">
        <v>0.125</v>
      </c>
      <c r="T311" s="24">
        <v>0.05</v>
      </c>
      <c r="U311" s="25"/>
      <c r="V311" s="26"/>
      <c r="W311" s="25">
        <f>IF(NOTA[[#This Row],[HARGA/ CTN]]="",NOTA[[#This Row],[JUMLAH_H]],NOTA[[#This Row],[HARGA/ CTN]]*IF(NOTA[[#This Row],[C]]="",0,NOTA[[#This Row],[C]]))</f>
        <v>8424000</v>
      </c>
      <c r="X311" s="25">
        <f>IF(NOTA[[#This Row],[JUMLAH]]="","",NOTA[[#This Row],[JUMLAH]]*NOTA[[#This Row],[DISC 1]])</f>
        <v>1053000</v>
      </c>
      <c r="Y311" s="25">
        <f>IF(NOTA[[#This Row],[JUMLAH]]="","",(NOTA[[#This Row],[JUMLAH]]-NOTA[[#This Row],[DISC 1-]])*NOTA[[#This Row],[DISC 2]])</f>
        <v>368550</v>
      </c>
      <c r="Z311" s="25">
        <f>IF(NOTA[[#This Row],[JUMLAH]]="","",NOTA[[#This Row],[DISC 1-]]+NOTA[[#This Row],[DISC 2-]])</f>
        <v>1421550</v>
      </c>
      <c r="AA311" s="25">
        <f>IF(NOTA[[#This Row],[JUMLAH]]="","",NOTA[[#This Row],[JUMLAH]]-NOTA[[#This Row],[DISC]])</f>
        <v>7002450</v>
      </c>
      <c r="AB311" s="25"/>
      <c r="AC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1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311" s="25">
        <f>IF(OR(NOTA[[#This Row],[QTY]]="",NOTA[[#This Row],[HARGA SATUAN]]="",),"",NOTA[[#This Row],[QTY]]*NOTA[[#This Row],[HARGA SATUAN]])</f>
        <v>8424000</v>
      </c>
      <c r="AG311" s="22">
        <f ca="1">IF(NOTA[ID_H]="","",INDEX(NOTA[TANGGAL],MATCH(,INDIRECT(ADDRESS(ROW(NOTA[TANGGAL]),COLUMN(NOTA[TANGGAL]))&amp;":"&amp;ADDRESS(ROW(),COLUMN(NOTA[TANGGAL]))),-1)))</f>
        <v>45059</v>
      </c>
      <c r="AH311" s="17" t="str">
        <f ca="1">IF(NOTA[[#This Row],[NAMA BARANG]]="","",INDEX(NOTA[SUPPLIER],MATCH(,INDIRECT(ADDRESS(ROW(NOTA[ID]),COLUMN(NOTA[ID]))&amp;":"&amp;ADDRESS(ROW(),COLUMN(NOTA[ID]))),-1)))</f>
        <v>ATALI MAKMUR</v>
      </c>
      <c r="AI311" s="17" t="str">
        <f ca="1">IF(NOTA[[#This Row],[ID_H]]="","",IF(NOTA[[#This Row],[FAKTUR]]="",INDIRECT(ADDRESS(ROW()-1,COLUMN())),NOTA[[#This Row],[FAKTUR]]))</f>
        <v>ARTO MORO</v>
      </c>
      <c r="AJ311" s="27" t="str">
        <f ca="1">IF(NOTA[[#This Row],[ID]]="","",COUNTIF(NOTA[ID_H],NOTA[[#This Row],[ID_H]]))</f>
        <v/>
      </c>
      <c r="AK311" s="27">
        <f ca="1">IF(NOTA[[#This Row],[TGL.NOTA]]="",IF(NOTA[[#This Row],[SUPPLIER_H]]="","",AK310),MONTH(NOTA[[#This Row],[TGL.NOTA]]))</f>
        <v>5</v>
      </c>
      <c r="AL311" s="27" t="str">
        <f>LOWER(SUBSTITUTE(SUBSTITUTE(SUBSTITUTE(SUBSTITUTE(SUBSTITUTE(SUBSTITUTE(SUBSTITUTE(SUBSTITUTE(SUBSTITUTE(NOTA[NAMA BARANG]," ",),".",""),"-",""),"(",""),")",""),",",""),"/",""),"""",""),"+",""))</f>
        <v>scissorssc848jk</v>
      </c>
      <c r="AM3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3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3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27" t="str">
        <f>IF(NOTA[[#This Row],[CONCAT4]]="","",_xlfn.IFNA(MATCH(NOTA[[#This Row],[CONCAT4]],[2]!RAW[CONCAT_H],0),FALSE))</f>
        <v/>
      </c>
      <c r="AQ311" s="145">
        <f>IF(NOTA[[#This Row],[CONCAT1]]="","",MATCH(NOTA[[#This Row],[CONCAT1]],[3]!db[NB NOTA_C],0)+1)</f>
        <v>2114</v>
      </c>
    </row>
    <row r="312" spans="1:43" ht="20.100000000000001" customHeight="1" x14ac:dyDescent="0.25">
      <c r="A312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18" t="str">
        <f>IF(NOTA[[#This Row],[ID_P]]="","",MATCH(NOTA[[#This Row],[ID_P]],[1]!B_MSK[N_ID],0))</f>
        <v/>
      </c>
      <c r="D312" s="18">
        <f ca="1">IF(NOTA[[#This Row],[NAMA BARANG]]="","",INDEX(NOTA[ID],MATCH(,INDIRECT(ADDRESS(ROW(NOTA[ID]),COLUMN(NOTA[ID]))&amp;":"&amp;ADDRESS(ROW(),COLUMN(NOTA[ID]))),-1)))</f>
        <v>57</v>
      </c>
      <c r="E312" s="19"/>
      <c r="F312" s="21"/>
      <c r="G312" s="21"/>
      <c r="H312" s="41"/>
      <c r="I312" s="16"/>
      <c r="J312" s="22"/>
      <c r="K312" s="21"/>
      <c r="L312" s="16" t="s">
        <v>269</v>
      </c>
      <c r="M312" s="23">
        <v>9</v>
      </c>
      <c r="N312" s="21">
        <v>270</v>
      </c>
      <c r="O312" s="16" t="s">
        <v>183</v>
      </c>
      <c r="P312" s="17">
        <v>104400</v>
      </c>
      <c r="Q312" s="34"/>
      <c r="R312" s="28" t="s">
        <v>270</v>
      </c>
      <c r="S312" s="24">
        <v>0.125</v>
      </c>
      <c r="T312" s="24">
        <v>0.05</v>
      </c>
      <c r="U312" s="25"/>
      <c r="V312" s="26"/>
      <c r="W312" s="25">
        <f>IF(NOTA[[#This Row],[HARGA/ CTN]]="",NOTA[[#This Row],[JUMLAH_H]],NOTA[[#This Row],[HARGA/ CTN]]*IF(NOTA[[#This Row],[C]]="",0,NOTA[[#This Row],[C]]))</f>
        <v>28188000</v>
      </c>
      <c r="X312" s="25">
        <f>IF(NOTA[[#This Row],[JUMLAH]]="","",NOTA[[#This Row],[JUMLAH]]*NOTA[[#This Row],[DISC 1]])</f>
        <v>3523500</v>
      </c>
      <c r="Y312" s="25">
        <f>IF(NOTA[[#This Row],[JUMLAH]]="","",(NOTA[[#This Row],[JUMLAH]]-NOTA[[#This Row],[DISC 1-]])*NOTA[[#This Row],[DISC 2]])</f>
        <v>1233225</v>
      </c>
      <c r="Z312" s="25">
        <f>IF(NOTA[[#This Row],[JUMLAH]]="","",NOTA[[#This Row],[DISC 1-]]+NOTA[[#This Row],[DISC 2-]])</f>
        <v>4756725</v>
      </c>
      <c r="AA312" s="25">
        <f>IF(NOTA[[#This Row],[JUMLAH]]="","",NOTA[[#This Row],[JUMLAH]]-NOTA[[#This Row],[DISC]])</f>
        <v>23431275</v>
      </c>
      <c r="AB312" s="25"/>
      <c r="AC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1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12" s="25">
        <f>IF(OR(NOTA[[#This Row],[QTY]]="",NOTA[[#This Row],[HARGA SATUAN]]="",),"",NOTA[[#This Row],[QTY]]*NOTA[[#This Row],[HARGA SATUAN]])</f>
        <v>28188000</v>
      </c>
      <c r="AG312" s="22">
        <f ca="1">IF(NOTA[ID_H]="","",INDEX(NOTA[TANGGAL],MATCH(,INDIRECT(ADDRESS(ROW(NOTA[TANGGAL]),COLUMN(NOTA[TANGGAL]))&amp;":"&amp;ADDRESS(ROW(),COLUMN(NOTA[TANGGAL]))),-1)))</f>
        <v>45059</v>
      </c>
      <c r="AH312" s="17" t="str">
        <f ca="1">IF(NOTA[[#This Row],[NAMA BARANG]]="","",INDEX(NOTA[SUPPLIER],MATCH(,INDIRECT(ADDRESS(ROW(NOTA[ID]),COLUMN(NOTA[ID]))&amp;":"&amp;ADDRESS(ROW(),COLUMN(NOTA[ID]))),-1)))</f>
        <v>ATALI MAKMUR</v>
      </c>
      <c r="AI312" s="17" t="str">
        <f ca="1">IF(NOTA[[#This Row],[ID_H]]="","",IF(NOTA[[#This Row],[FAKTUR]]="",INDIRECT(ADDRESS(ROW()-1,COLUMN())),NOTA[[#This Row],[FAKTUR]]))</f>
        <v>ARTO MORO</v>
      </c>
      <c r="AJ312" s="27" t="str">
        <f ca="1">IF(NOTA[[#This Row],[ID]]="","",COUNTIF(NOTA[ID_H],NOTA[[#This Row],[ID_H]]))</f>
        <v/>
      </c>
      <c r="AK312" s="27">
        <f ca="1">IF(NOTA[[#This Row],[TGL.NOTA]]="",IF(NOTA[[#This Row],[SUPPLIER_H]]="","",AK311),MONTH(NOTA[[#This Row],[TGL.NOTA]]))</f>
        <v>5</v>
      </c>
      <c r="AL312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3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27" t="str">
        <f>IF(NOTA[[#This Row],[CONCAT4]]="","",_xlfn.IFNA(MATCH(NOTA[[#This Row],[CONCAT4]],[2]!RAW[CONCAT_H],0),FALSE))</f>
        <v/>
      </c>
      <c r="AQ312" s="145">
        <f>IF(NOTA[[#This Row],[CONCAT1]]="","",MATCH(NOTA[[#This Row],[CONCAT1]],[3]!db[NB NOTA_C],0)+1)</f>
        <v>1927</v>
      </c>
    </row>
    <row r="313" spans="1:43" ht="20.100000000000001" customHeight="1" x14ac:dyDescent="0.25">
      <c r="A313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18" t="str">
        <f>IF(NOTA[[#This Row],[ID_P]]="","",MATCH(NOTA[[#This Row],[ID_P]],[1]!B_MSK[N_ID],0))</f>
        <v/>
      </c>
      <c r="D313" s="18">
        <f ca="1">IF(NOTA[[#This Row],[NAMA BARANG]]="","",INDEX(NOTA[ID],MATCH(,INDIRECT(ADDRESS(ROW(NOTA[ID]),COLUMN(NOTA[ID]))&amp;":"&amp;ADDRESS(ROW(),COLUMN(NOTA[ID]))),-1)))</f>
        <v>57</v>
      </c>
      <c r="E313" s="19"/>
      <c r="F313" s="16"/>
      <c r="G313" s="16"/>
      <c r="H313" s="20"/>
      <c r="I313" s="21"/>
      <c r="J313" s="22"/>
      <c r="K313" s="21"/>
      <c r="L313" s="16" t="s">
        <v>505</v>
      </c>
      <c r="M313" s="23">
        <v>10</v>
      </c>
      <c r="N313" s="16">
        <v>7200</v>
      </c>
      <c r="O313" s="16" t="s">
        <v>160</v>
      </c>
      <c r="P313" s="17">
        <v>4800</v>
      </c>
      <c r="Q313" s="34"/>
      <c r="R313" s="28" t="s">
        <v>506</v>
      </c>
      <c r="S313" s="24">
        <v>0.125</v>
      </c>
      <c r="T313" s="24">
        <v>0.05</v>
      </c>
      <c r="U313" s="25"/>
      <c r="V313" s="26"/>
      <c r="W313" s="25">
        <f>IF(NOTA[[#This Row],[HARGA/ CTN]]="",NOTA[[#This Row],[JUMLAH_H]],NOTA[[#This Row],[HARGA/ CTN]]*IF(NOTA[[#This Row],[C]]="",0,NOTA[[#This Row],[C]]))</f>
        <v>34560000</v>
      </c>
      <c r="X313" s="25">
        <f>IF(NOTA[[#This Row],[JUMLAH]]="","",NOTA[[#This Row],[JUMLAH]]*NOTA[[#This Row],[DISC 1]])</f>
        <v>4320000</v>
      </c>
      <c r="Y313" s="25">
        <f>IF(NOTA[[#This Row],[JUMLAH]]="","",(NOTA[[#This Row],[JUMLAH]]-NOTA[[#This Row],[DISC 1-]])*NOTA[[#This Row],[DISC 2]])</f>
        <v>1512000</v>
      </c>
      <c r="Z313" s="25">
        <f>IF(NOTA[[#This Row],[JUMLAH]]="","",NOTA[[#This Row],[DISC 1-]]+NOTA[[#This Row],[DISC 2-]])</f>
        <v>5832000</v>
      </c>
      <c r="AA313" s="25">
        <f>IF(NOTA[[#This Row],[JUMLAH]]="","",NOTA[[#This Row],[JUMLAH]]-NOTA[[#This Row],[DISC]])</f>
        <v>28728000</v>
      </c>
      <c r="AB313" s="25"/>
      <c r="AC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1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13" s="25">
        <f>IF(OR(NOTA[[#This Row],[QTY]]="",NOTA[[#This Row],[HARGA SATUAN]]="",),"",NOTA[[#This Row],[QTY]]*NOTA[[#This Row],[HARGA SATUAN]])</f>
        <v>34560000</v>
      </c>
      <c r="AG313" s="22">
        <f ca="1">IF(NOTA[ID_H]="","",INDEX(NOTA[TANGGAL],MATCH(,INDIRECT(ADDRESS(ROW(NOTA[TANGGAL]),COLUMN(NOTA[TANGGAL]))&amp;":"&amp;ADDRESS(ROW(),COLUMN(NOTA[TANGGAL]))),-1)))</f>
        <v>45059</v>
      </c>
      <c r="AH313" s="17" t="str">
        <f ca="1">IF(NOTA[[#This Row],[NAMA BARANG]]="","",INDEX(NOTA[SUPPLIER],MATCH(,INDIRECT(ADDRESS(ROW(NOTA[ID]),COLUMN(NOTA[ID]))&amp;":"&amp;ADDRESS(ROW(),COLUMN(NOTA[ID]))),-1)))</f>
        <v>ATALI MAKMUR</v>
      </c>
      <c r="AI313" s="17" t="str">
        <f ca="1">IF(NOTA[[#This Row],[ID_H]]="","",IF(NOTA[[#This Row],[FAKTUR]]="",INDIRECT(ADDRESS(ROW()-1,COLUMN())),NOTA[[#This Row],[FAKTUR]]))</f>
        <v>ARTO MORO</v>
      </c>
      <c r="AJ313" s="27" t="str">
        <f ca="1">IF(NOTA[[#This Row],[ID]]="","",COUNTIF(NOTA[ID_H],NOTA[[#This Row],[ID_H]]))</f>
        <v/>
      </c>
      <c r="AK313" s="27">
        <f ca="1">IF(NOTA[[#This Row],[TGL.NOTA]]="",IF(NOTA[[#This Row],[SUPPLIER_H]]="","",AK312),MONTH(NOTA[[#This Row],[TGL.NOTA]]))</f>
        <v>5</v>
      </c>
      <c r="AL313" s="27" t="str">
        <f>LOWER(SUBSTITUTE(SUBSTITUTE(SUBSTITUTE(SUBSTITUTE(SUBSTITUTE(SUBSTITUTE(SUBSTITUTE(SUBSTITUTE(SUBSTITUTE(NOTA[NAMA BARANG]," ",),".",""),"-",""),"(",""),")",""),",",""),"/",""),"""",""),"+",""))</f>
        <v>correctiontapect522ptljk</v>
      </c>
      <c r="AM3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correctiontapect522ptljk34560000.1250.05</v>
      </c>
      <c r="AN3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correctiontapect522ptljk34560000.1250.05</v>
      </c>
      <c r="AO3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27" t="str">
        <f>IF(NOTA[[#This Row],[CONCAT4]]="","",_xlfn.IFNA(MATCH(NOTA[[#This Row],[CONCAT4]],[2]!RAW[CONCAT_H],0),FALSE))</f>
        <v/>
      </c>
      <c r="AQ313" s="145">
        <f>IF(NOTA[[#This Row],[CONCAT1]]="","",MATCH(NOTA[[#This Row],[CONCAT1]],[3]!db[NB NOTA_C],0)+1)</f>
        <v>566</v>
      </c>
    </row>
    <row r="314" spans="1:43" ht="20.100000000000001" customHeight="1" x14ac:dyDescent="0.25">
      <c r="A31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18" t="str">
        <f>IF(NOTA[[#This Row],[ID_P]]="","",MATCH(NOTA[[#This Row],[ID_P]],[1]!B_MSK[N_ID],0))</f>
        <v/>
      </c>
      <c r="D314" s="18">
        <f ca="1">IF(NOTA[[#This Row],[NAMA BARANG]]="","",INDEX(NOTA[ID],MATCH(,INDIRECT(ADDRESS(ROW(NOTA[ID]),COLUMN(NOTA[ID]))&amp;":"&amp;ADDRESS(ROW(),COLUMN(NOTA[ID]))),-1)))</f>
        <v>57</v>
      </c>
      <c r="E314" s="19"/>
      <c r="F314" s="84"/>
      <c r="G314" s="84"/>
      <c r="H314" s="85"/>
      <c r="I314" s="84"/>
      <c r="J314" s="86"/>
      <c r="K314" s="84"/>
      <c r="L314" s="27" t="s">
        <v>290</v>
      </c>
      <c r="M314" s="87">
        <v>3</v>
      </c>
      <c r="N314" s="84">
        <v>72</v>
      </c>
      <c r="O314" s="27" t="s">
        <v>160</v>
      </c>
      <c r="P314" s="88">
        <v>19000</v>
      </c>
      <c r="Q314" s="89"/>
      <c r="R314" s="28" t="s">
        <v>236</v>
      </c>
      <c r="S314" s="90">
        <v>0.125</v>
      </c>
      <c r="T314" s="24">
        <v>0.05</v>
      </c>
      <c r="U314" s="25"/>
      <c r="V314" s="26"/>
      <c r="W314" s="25">
        <f>IF(NOTA[[#This Row],[HARGA/ CTN]]="",NOTA[[#This Row],[JUMLAH_H]],NOTA[[#This Row],[HARGA/ CTN]]*IF(NOTA[[#This Row],[C]]="",0,NOTA[[#This Row],[C]]))</f>
        <v>1368000</v>
      </c>
      <c r="X314" s="25">
        <f>IF(NOTA[[#This Row],[JUMLAH]]="","",NOTA[[#This Row],[JUMLAH]]*NOTA[[#This Row],[DISC 1]])</f>
        <v>171000</v>
      </c>
      <c r="Y314" s="25">
        <f>IF(NOTA[[#This Row],[JUMLAH]]="","",(NOTA[[#This Row],[JUMLAH]]-NOTA[[#This Row],[DISC 1-]])*NOTA[[#This Row],[DISC 2]])</f>
        <v>59850</v>
      </c>
      <c r="Z314" s="25">
        <f>IF(NOTA[[#This Row],[JUMLAH]]="","",NOTA[[#This Row],[DISC 1-]]+NOTA[[#This Row],[DISC 2-]])</f>
        <v>230850</v>
      </c>
      <c r="AA314" s="25">
        <f>IF(NOTA[[#This Row],[JUMLAH]]="","",NOTA[[#This Row],[JUMLAH]]-NOTA[[#This Row],[DISC]])</f>
        <v>1137150</v>
      </c>
      <c r="AB314" s="25"/>
      <c r="AC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17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14" s="25">
        <f>IF(OR(NOTA[[#This Row],[QTY]]="",NOTA[[#This Row],[HARGA SATUAN]]="",),"",NOTA[[#This Row],[QTY]]*NOTA[[#This Row],[HARGA SATUAN]])</f>
        <v>1368000</v>
      </c>
      <c r="AG314" s="22">
        <f ca="1">IF(NOTA[ID_H]="","",INDEX(NOTA[TANGGAL],MATCH(,INDIRECT(ADDRESS(ROW(NOTA[TANGGAL]),COLUMN(NOTA[TANGGAL]))&amp;":"&amp;ADDRESS(ROW(),COLUMN(NOTA[TANGGAL]))),-1)))</f>
        <v>45059</v>
      </c>
      <c r="AH314" s="17" t="str">
        <f ca="1">IF(NOTA[[#This Row],[NAMA BARANG]]="","",INDEX(NOTA[SUPPLIER],MATCH(,INDIRECT(ADDRESS(ROW(NOTA[ID]),COLUMN(NOTA[ID]))&amp;":"&amp;ADDRESS(ROW(),COLUMN(NOTA[ID]))),-1)))</f>
        <v>ATALI MAKMUR</v>
      </c>
      <c r="AI314" s="17" t="str">
        <f ca="1">IF(NOTA[[#This Row],[ID_H]]="","",IF(NOTA[[#This Row],[FAKTUR]]="",INDIRECT(ADDRESS(ROW()-1,COLUMN())),NOTA[[#This Row],[FAKTUR]]))</f>
        <v>ARTO MORO</v>
      </c>
      <c r="AJ314" s="27" t="str">
        <f ca="1">IF(NOTA[[#This Row],[ID]]="","",COUNTIF(NOTA[ID_H],NOTA[[#This Row],[ID_H]]))</f>
        <v/>
      </c>
      <c r="AK314" s="27">
        <f ca="1">IF(NOTA[[#This Row],[TGL.NOTA]]="",IF(NOTA[[#This Row],[SUPPLIER_H]]="","",AK313),MONTH(NOTA[[#This Row],[TGL.NOTA]]))</f>
        <v>5</v>
      </c>
      <c r="AL314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27" t="str">
        <f>IF(NOTA[[#This Row],[CONCAT4]]="","",_xlfn.IFNA(MATCH(NOTA[[#This Row],[CONCAT4]],[2]!RAW[CONCAT_H],0),FALSE))</f>
        <v/>
      </c>
      <c r="AQ314" s="145">
        <f>IF(NOTA[[#This Row],[CONCAT1]]="","",MATCH(NOTA[[#This Row],[CONCAT1]],[3]!db[NB NOTA_C],0)+1)</f>
        <v>2219</v>
      </c>
    </row>
    <row r="315" spans="1:43" ht="20.100000000000001" customHeight="1" x14ac:dyDescent="0.25">
      <c r="A315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18" t="str">
        <f>IF(NOTA[[#This Row],[ID_P]]="","",MATCH(NOTA[[#This Row],[ID_P]],[1]!B_MSK[N_ID],0))</f>
        <v/>
      </c>
      <c r="D315" s="18">
        <f ca="1">IF(NOTA[[#This Row],[NAMA BARANG]]="","",INDEX(NOTA[ID],MATCH(,INDIRECT(ADDRESS(ROW(NOTA[ID]),COLUMN(NOTA[ID]))&amp;":"&amp;ADDRESS(ROW(),COLUMN(NOTA[ID]))),-1)))</f>
        <v>57</v>
      </c>
      <c r="E315" s="19"/>
      <c r="F315" s="16"/>
      <c r="G315" s="16"/>
      <c r="H315" s="20"/>
      <c r="I315" s="16"/>
      <c r="J315" s="22"/>
      <c r="K315" s="21"/>
      <c r="L315" s="16" t="s">
        <v>571</v>
      </c>
      <c r="M315" s="23">
        <v>2</v>
      </c>
      <c r="N315" s="21">
        <v>288</v>
      </c>
      <c r="O315" s="16" t="s">
        <v>146</v>
      </c>
      <c r="P315" s="17">
        <v>14100</v>
      </c>
      <c r="Q315" s="34"/>
      <c r="R315" s="28" t="s">
        <v>293</v>
      </c>
      <c r="S315" s="24">
        <v>0.125</v>
      </c>
      <c r="T315" s="24">
        <v>0.05</v>
      </c>
      <c r="U315" s="25"/>
      <c r="V315" s="26"/>
      <c r="W315" s="25">
        <f>IF(NOTA[[#This Row],[HARGA/ CTN]]="",NOTA[[#This Row],[JUMLAH_H]],NOTA[[#This Row],[HARGA/ CTN]]*IF(NOTA[[#This Row],[C]]="",0,NOTA[[#This Row],[C]]))</f>
        <v>4060800</v>
      </c>
      <c r="X315" s="25">
        <f>IF(NOTA[[#This Row],[JUMLAH]]="","",NOTA[[#This Row],[JUMLAH]]*NOTA[[#This Row],[DISC 1]])</f>
        <v>507600</v>
      </c>
      <c r="Y315" s="25">
        <f>IF(NOTA[[#This Row],[JUMLAH]]="","",(NOTA[[#This Row],[JUMLAH]]-NOTA[[#This Row],[DISC 1-]])*NOTA[[#This Row],[DISC 2]])</f>
        <v>177660</v>
      </c>
      <c r="Z315" s="25">
        <f>IF(NOTA[[#This Row],[JUMLAH]]="","",NOTA[[#This Row],[DISC 1-]]+NOTA[[#This Row],[DISC 2-]])</f>
        <v>685260</v>
      </c>
      <c r="AA315" s="25">
        <f>IF(NOTA[[#This Row],[JUMLAH]]="","",NOTA[[#This Row],[JUMLAH]]-NOTA[[#This Row],[DISC]])</f>
        <v>3375540</v>
      </c>
      <c r="AB315" s="25"/>
      <c r="AC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15866752.5</v>
      </c>
      <c r="AD315" s="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78158447.5</v>
      </c>
      <c r="AE315" s="1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315" s="25">
        <f>IF(OR(NOTA[[#This Row],[QTY]]="",NOTA[[#This Row],[HARGA SATUAN]]="",),"",NOTA[[#This Row],[QTY]]*NOTA[[#This Row],[HARGA SATUAN]])</f>
        <v>4060800</v>
      </c>
      <c r="AG315" s="22">
        <f ca="1">IF(NOTA[ID_H]="","",INDEX(NOTA[TANGGAL],MATCH(,INDIRECT(ADDRESS(ROW(NOTA[TANGGAL]),COLUMN(NOTA[TANGGAL]))&amp;":"&amp;ADDRESS(ROW(),COLUMN(NOTA[TANGGAL]))),-1)))</f>
        <v>45059</v>
      </c>
      <c r="AH315" s="17" t="str">
        <f ca="1">IF(NOTA[[#This Row],[NAMA BARANG]]="","",INDEX(NOTA[SUPPLIER],MATCH(,INDIRECT(ADDRESS(ROW(NOTA[ID]),COLUMN(NOTA[ID]))&amp;":"&amp;ADDRESS(ROW(),COLUMN(NOTA[ID]))),-1)))</f>
        <v>ATALI MAKMUR</v>
      </c>
      <c r="AI315" s="17" t="str">
        <f ca="1">IF(NOTA[[#This Row],[ID_H]]="","",IF(NOTA[[#This Row],[FAKTUR]]="",INDIRECT(ADDRESS(ROW()-1,COLUMN())),NOTA[[#This Row],[FAKTUR]]))</f>
        <v>ARTO MORO</v>
      </c>
      <c r="AJ315" s="27" t="str">
        <f ca="1">IF(NOTA[[#This Row],[ID]]="","",COUNTIF(NOTA[ID_H],NOTA[[#This Row],[ID_H]]))</f>
        <v/>
      </c>
      <c r="AK315" s="27">
        <f ca="1">IF(NOTA[[#This Row],[TGL.NOTA]]="",IF(NOTA[[#This Row],[SUPPLIER_H]]="","",AK314),MONTH(NOTA[[#This Row],[TGL.NOTA]]))</f>
        <v>5</v>
      </c>
      <c r="AL315" s="27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3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3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3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27" t="str">
        <f>IF(NOTA[[#This Row],[CONCAT4]]="","",_xlfn.IFNA(MATCH(NOTA[[#This Row],[CONCAT4]],[2]!RAW[CONCAT_H],0),FALSE))</f>
        <v/>
      </c>
      <c r="AQ315" s="145">
        <f>IF(NOTA[[#This Row],[CONCAT1]]="","",MATCH(NOTA[[#This Row],[CONCAT1]],[3]!db[NB NOTA_C],0)+1)</f>
        <v>807</v>
      </c>
    </row>
    <row r="316" spans="1:43" ht="20.100000000000001" customHeight="1" x14ac:dyDescent="0.25">
      <c r="A316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1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18" t="str">
        <f>IF(NOTA[[#This Row],[ID_P]]="","",MATCH(NOTA[[#This Row],[ID_P]],[1]!B_MSK[N_ID],0))</f>
        <v/>
      </c>
      <c r="D316" s="18" t="str">
        <f ca="1">IF(NOTA[[#This Row],[NAMA BARANG]]="","",INDEX(NOTA[ID],MATCH(,INDIRECT(ADDRESS(ROW(NOTA[ID]),COLUMN(NOTA[ID]))&amp;":"&amp;ADDRESS(ROW(),COLUMN(NOTA[ID]))),-1)))</f>
        <v/>
      </c>
      <c r="E316" s="19"/>
      <c r="F316" s="21"/>
      <c r="G316" s="21"/>
      <c r="H316" s="41"/>
      <c r="I316" s="21"/>
      <c r="J316" s="22"/>
      <c r="K316" s="21"/>
      <c r="L316" s="16"/>
      <c r="M316" s="23"/>
      <c r="N316" s="21"/>
      <c r="O316" s="21"/>
      <c r="P316" s="17"/>
      <c r="Q316" s="34"/>
      <c r="R316" s="28"/>
      <c r="S316" s="24"/>
      <c r="T316" s="24"/>
      <c r="U316" s="25"/>
      <c r="V316" s="26"/>
      <c r="W316" s="25" t="str">
        <f>IF(NOTA[[#This Row],[HARGA/ CTN]]="",NOTA[[#This Row],[JUMLAH_H]],NOTA[[#This Row],[HARGA/ CTN]]*IF(NOTA[[#This Row],[C]]="",0,NOTA[[#This Row],[C]]))</f>
        <v/>
      </c>
      <c r="X316" s="25" t="str">
        <f>IF(NOTA[[#This Row],[JUMLAH]]="","",NOTA[[#This Row],[JUMLAH]]*NOTA[[#This Row],[DISC 1]])</f>
        <v/>
      </c>
      <c r="Y316" s="25" t="str">
        <f>IF(NOTA[[#This Row],[JUMLAH]]="","",(NOTA[[#This Row],[JUMLAH]]-NOTA[[#This Row],[DISC 1-]])*NOTA[[#This Row],[DISC 2]])</f>
        <v/>
      </c>
      <c r="Z316" s="25" t="str">
        <f>IF(NOTA[[#This Row],[JUMLAH]]="","",NOTA[[#This Row],[DISC 1-]]+NOTA[[#This Row],[DISC 2-]])</f>
        <v/>
      </c>
      <c r="AA316" s="25" t="str">
        <f>IF(NOTA[[#This Row],[JUMLAH]]="","",NOTA[[#This Row],[JUMLAH]]-NOTA[[#This Row],[DISC]])</f>
        <v/>
      </c>
      <c r="AB316" s="25"/>
      <c r="AC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1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25" t="str">
        <f>IF(OR(NOTA[[#This Row],[QTY]]="",NOTA[[#This Row],[HARGA SATUAN]]="",),"",NOTA[[#This Row],[QTY]]*NOTA[[#This Row],[HARGA SATUAN]])</f>
        <v/>
      </c>
      <c r="AG316" s="22" t="str">
        <f ca="1">IF(NOTA[ID_H]="","",INDEX(NOTA[TANGGAL],MATCH(,INDIRECT(ADDRESS(ROW(NOTA[TANGGAL]),COLUMN(NOTA[TANGGAL]))&amp;":"&amp;ADDRESS(ROW(),COLUMN(NOTA[TANGGAL]))),-1)))</f>
        <v/>
      </c>
      <c r="AH316" s="17" t="str">
        <f ca="1">IF(NOTA[[#This Row],[NAMA BARANG]]="","",INDEX(NOTA[SUPPLIER],MATCH(,INDIRECT(ADDRESS(ROW(NOTA[ID]),COLUMN(NOTA[ID]))&amp;":"&amp;ADDRESS(ROW(),COLUMN(NOTA[ID]))),-1)))</f>
        <v/>
      </c>
      <c r="AI316" s="17" t="str">
        <f ca="1">IF(NOTA[[#This Row],[ID_H]]="","",IF(NOTA[[#This Row],[FAKTUR]]="",INDIRECT(ADDRESS(ROW()-1,COLUMN())),NOTA[[#This Row],[FAKTUR]]))</f>
        <v/>
      </c>
      <c r="AJ316" s="27" t="str">
        <f ca="1">IF(NOTA[[#This Row],[ID]]="","",COUNTIF(NOTA[ID_H],NOTA[[#This Row],[ID_H]]))</f>
        <v/>
      </c>
      <c r="AK316" s="27" t="str">
        <f ca="1">IF(NOTA[[#This Row],[TGL.NOTA]]="",IF(NOTA[[#This Row],[SUPPLIER_H]]="","",AK315),MONTH(NOTA[[#This Row],[TGL.NOTA]]))</f>
        <v/>
      </c>
      <c r="AL316" s="27" t="str">
        <f>LOWER(SUBSTITUTE(SUBSTITUTE(SUBSTITUTE(SUBSTITUTE(SUBSTITUTE(SUBSTITUTE(SUBSTITUTE(SUBSTITUTE(SUBSTITUTE(NOTA[NAMA BARANG]," ",),".",""),"-",""),"(",""),")",""),",",""),"/",""),"""",""),"+",""))</f>
        <v/>
      </c>
      <c r="AM3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27" t="str">
        <f>IF(NOTA[[#This Row],[CONCAT4]]="","",_xlfn.IFNA(MATCH(NOTA[[#This Row],[CONCAT4]],[2]!RAW[CONCAT_H],0),FALSE))</f>
        <v/>
      </c>
      <c r="AQ316" s="145" t="str">
        <f>IF(NOTA[[#This Row],[CONCAT1]]="","",MATCH(NOTA[[#This Row],[CONCAT1]],[3]!db[NB NOTA_C],0)+1)</f>
        <v/>
      </c>
    </row>
    <row r="317" spans="1:43" ht="20.100000000000001" customHeight="1" x14ac:dyDescent="0.25">
      <c r="A317" s="43">
        <f ca="1">IF(INDIRECT(ADDRESS(ROW()-1,COLUMN(NOTA[[#Headers],[ID]])))="ID",1,IF(NOTA[[#This Row],[FAKTUR]]="","",COUNT(INDIRECT(ADDRESS(ROW(NOTA[ID]),COLUMN(NOTA[ID]))&amp;":"&amp;ADDRESS(ROW()-1,COLUMN(NOTA[ID]))))+1))</f>
        <v>58</v>
      </c>
      <c r="B317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ATA_1305_201-2</v>
      </c>
      <c r="C317" s="44" t="e">
        <f ca="1">IF(NOTA[[#This Row],[ID_P]]="","",MATCH(NOTA[[#This Row],[ID_P]],[1]!B_MSK[N_ID],0))</f>
        <v>#REF!</v>
      </c>
      <c r="D317" s="44">
        <f ca="1">IF(NOTA[[#This Row],[NAMA BARANG]]="","",INDEX(NOTA[ID],MATCH(,INDIRECT(ADDRESS(ROW(NOTA[ID]),COLUMN(NOTA[ID]))&amp;":"&amp;ADDRESS(ROW(),COLUMN(NOTA[ID]))),-1)))</f>
        <v>58</v>
      </c>
      <c r="E317" s="47"/>
      <c r="F317" s="16" t="s">
        <v>25</v>
      </c>
      <c r="G317" s="16" t="s">
        <v>24</v>
      </c>
      <c r="H317" s="20" t="s">
        <v>507</v>
      </c>
      <c r="I317" s="48"/>
      <c r="J317" s="46">
        <v>45055</v>
      </c>
      <c r="K317" s="48"/>
      <c r="L317" s="16" t="s">
        <v>510</v>
      </c>
      <c r="M317" s="23">
        <v>5</v>
      </c>
      <c r="N317" s="21">
        <v>540</v>
      </c>
      <c r="O317" s="16" t="s">
        <v>252</v>
      </c>
      <c r="P317" s="17">
        <v>17500</v>
      </c>
      <c r="Q317" s="34"/>
      <c r="R317" s="28" t="s">
        <v>508</v>
      </c>
      <c r="S317" s="24">
        <v>0.125</v>
      </c>
      <c r="T317" s="91">
        <v>0.1</v>
      </c>
      <c r="U317" s="45"/>
      <c r="V317" s="26"/>
      <c r="W317" s="45">
        <f>IF(NOTA[[#This Row],[HARGA/ CTN]]="",NOTA[[#This Row],[JUMLAH_H]],NOTA[[#This Row],[HARGA/ CTN]]*IF(NOTA[[#This Row],[C]]="",0,NOTA[[#This Row],[C]]))</f>
        <v>9450000</v>
      </c>
      <c r="X317" s="45">
        <f>IF(NOTA[[#This Row],[JUMLAH]]="","",NOTA[[#This Row],[JUMLAH]]*NOTA[[#This Row],[DISC 1]])</f>
        <v>1181250</v>
      </c>
      <c r="Y317" s="45">
        <f>IF(NOTA[[#This Row],[JUMLAH]]="","",(NOTA[[#This Row],[JUMLAH]]-NOTA[[#This Row],[DISC 1-]])*NOTA[[#This Row],[DISC 2]])</f>
        <v>826875</v>
      </c>
      <c r="Z317" s="45">
        <f>IF(NOTA[[#This Row],[JUMLAH]]="","",NOTA[[#This Row],[DISC 1-]]+NOTA[[#This Row],[DISC 2-]])</f>
        <v>2008125</v>
      </c>
      <c r="AA317" s="45">
        <f>IF(NOTA[[#This Row],[JUMLAH]]="","",NOTA[[#This Row],[JUMLAH]]-NOTA[[#This Row],[DISC]])</f>
        <v>7441875</v>
      </c>
      <c r="AB317" s="45"/>
      <c r="AC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3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F317" s="45">
        <f>IF(OR(NOTA[[#This Row],[QTY]]="",NOTA[[#This Row],[HARGA SATUAN]]="",),"",NOTA[[#This Row],[QTY]]*NOTA[[#This Row],[HARGA SATUAN]])</f>
        <v>9450000</v>
      </c>
      <c r="AG317" s="46">
        <f ca="1">IF(NOTA[ID_H]="","",INDEX(NOTA[TANGGAL],MATCH(,INDIRECT(ADDRESS(ROW(NOTA[TANGGAL]),COLUMN(NOTA[TANGGAL]))&amp;":"&amp;ADDRESS(ROW(),COLUMN(NOTA[TANGGAL]))),-1)))</f>
        <v>45059</v>
      </c>
      <c r="AH317" s="43" t="str">
        <f ca="1">IF(NOTA[[#This Row],[NAMA BARANG]]="","",INDEX(NOTA[SUPPLIER],MATCH(,INDIRECT(ADDRESS(ROW(NOTA[ID]),COLUMN(NOTA[ID]))&amp;":"&amp;ADDRESS(ROW(),COLUMN(NOTA[ID]))),-1)))</f>
        <v>ATALI MAKMUR</v>
      </c>
      <c r="AI317" s="43" t="str">
        <f ca="1">IF(NOTA[[#This Row],[ID_H]]="","",IF(NOTA[[#This Row],[FAKTUR]]="",INDIRECT(ADDRESS(ROW()-1,COLUMN())),NOTA[[#This Row],[FAKTUR]]))</f>
        <v>ARTO MORO</v>
      </c>
      <c r="AJ317" s="27">
        <f ca="1">IF(NOTA[[#This Row],[ID]]="","",COUNTIF(NOTA[ID_H],NOTA[[#This Row],[ID_H]]))</f>
        <v>2</v>
      </c>
      <c r="AK317" s="27">
        <f>IF(NOTA[[#This Row],[TGL.NOTA]]="",IF(NOTA[[#This Row],[SUPPLIER_H]]="","",AK316),MONTH(NOTA[[#This Row],[TGL.NOTA]]))</f>
        <v>5</v>
      </c>
      <c r="AL317" s="27" t="str">
        <f>LOWER(SUBSTITUTE(SUBSTITUTE(SUBSTITUTE(SUBSTITUTE(SUBSTITUTE(SUBSTITUTE(SUBSTITUTE(SUBSTITUTE(SUBSTITUTE(NOTA[NAMA BARANG]," ",),".",""),"-",""),"(",""),")",""),",",""),"/",""),"""",""),"+",""))</f>
        <v>watercolorwc412jk</v>
      </c>
      <c r="AM3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watercolorwc412jk18900000.1250.1</v>
      </c>
      <c r="AN3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watercolorwc412jk18900000.1250.1</v>
      </c>
      <c r="AO317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MOROSA23050720145055watercolorwc412jk</v>
      </c>
      <c r="AP317" s="27" t="e">
        <f>IF(NOTA[[#This Row],[CONCAT4]]="","",_xlfn.IFNA(MATCH(NOTA[[#This Row],[CONCAT4]],[2]!RAW[CONCAT_H],0),FALSE))</f>
        <v>#REF!</v>
      </c>
      <c r="AQ317" s="145">
        <f>IF(NOTA[[#This Row],[CONCAT1]]="","",MATCH(NOTA[[#This Row],[CONCAT1]],[3]!db[NB NOTA_C],0)+1)</f>
        <v>2319</v>
      </c>
    </row>
    <row r="318" spans="1:43" ht="20.100000000000001" customHeight="1" x14ac:dyDescent="0.25">
      <c r="A31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4" t="str">
        <f>IF(NOTA[[#This Row],[ID_P]]="","",MATCH(NOTA[[#This Row],[ID_P]],[1]!B_MSK[N_ID],0))</f>
        <v/>
      </c>
      <c r="D318" s="44">
        <f ca="1">IF(NOTA[[#This Row],[NAMA BARANG]]="","",INDEX(NOTA[ID],MATCH(,INDIRECT(ADDRESS(ROW(NOTA[ID]),COLUMN(NOTA[ID]))&amp;":"&amp;ADDRESS(ROW(),COLUMN(NOTA[ID]))),-1)))</f>
        <v>58</v>
      </c>
      <c r="E318" s="47"/>
      <c r="F318" s="48"/>
      <c r="G318" s="48"/>
      <c r="H318" s="81"/>
      <c r="I318" s="48"/>
      <c r="J318" s="46"/>
      <c r="K318" s="48"/>
      <c r="L318" s="16" t="s">
        <v>509</v>
      </c>
      <c r="M318" s="49">
        <v>5</v>
      </c>
      <c r="N318" s="48">
        <v>240</v>
      </c>
      <c r="O318" s="16" t="s">
        <v>252</v>
      </c>
      <c r="P318" s="43">
        <v>35000</v>
      </c>
      <c r="Q318" s="50"/>
      <c r="R318" s="28" t="s">
        <v>511</v>
      </c>
      <c r="S318" s="91">
        <v>0.125</v>
      </c>
      <c r="T318" s="91">
        <v>0.1</v>
      </c>
      <c r="U318" s="45"/>
      <c r="V318" s="26"/>
      <c r="W318" s="45">
        <f>IF(NOTA[[#This Row],[HARGA/ CTN]]="",NOTA[[#This Row],[JUMLAH_H]],NOTA[[#This Row],[HARGA/ CTN]]*IF(NOTA[[#This Row],[C]]="",0,NOTA[[#This Row],[C]]))</f>
        <v>8400000</v>
      </c>
      <c r="X318" s="45">
        <f>IF(NOTA[[#This Row],[JUMLAH]]="","",NOTA[[#This Row],[JUMLAH]]*NOTA[[#This Row],[DISC 1]])</f>
        <v>1050000</v>
      </c>
      <c r="Y318" s="45">
        <f>IF(NOTA[[#This Row],[JUMLAH]]="","",(NOTA[[#This Row],[JUMLAH]]-NOTA[[#This Row],[DISC 1-]])*NOTA[[#This Row],[DISC 2]])</f>
        <v>735000</v>
      </c>
      <c r="Z318" s="45">
        <f>IF(NOTA[[#This Row],[JUMLAH]]="","",NOTA[[#This Row],[DISC 1-]]+NOTA[[#This Row],[DISC 2-]])</f>
        <v>1785000</v>
      </c>
      <c r="AA318" s="45">
        <f>IF(NOTA[[#This Row],[JUMLAH]]="","",NOTA[[#This Row],[JUMLAH]]-NOTA[[#This Row],[DISC]])</f>
        <v>6615000</v>
      </c>
      <c r="AB318" s="45"/>
      <c r="AC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3793125</v>
      </c>
      <c r="AD318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14056875</v>
      </c>
      <c r="AE318" s="43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318" s="45">
        <f>IF(OR(NOTA[[#This Row],[QTY]]="",NOTA[[#This Row],[HARGA SATUAN]]="",),"",NOTA[[#This Row],[QTY]]*NOTA[[#This Row],[HARGA SATUAN]])</f>
        <v>8400000</v>
      </c>
      <c r="AG318" s="46">
        <f ca="1">IF(NOTA[ID_H]="","",INDEX(NOTA[TANGGAL],MATCH(,INDIRECT(ADDRESS(ROW(NOTA[TANGGAL]),COLUMN(NOTA[TANGGAL]))&amp;":"&amp;ADDRESS(ROW(),COLUMN(NOTA[TANGGAL]))),-1)))</f>
        <v>45059</v>
      </c>
      <c r="AH318" s="43" t="str">
        <f ca="1">IF(NOTA[[#This Row],[NAMA BARANG]]="","",INDEX(NOTA[SUPPLIER],MATCH(,INDIRECT(ADDRESS(ROW(NOTA[ID]),COLUMN(NOTA[ID]))&amp;":"&amp;ADDRESS(ROW(),COLUMN(NOTA[ID]))),-1)))</f>
        <v>ATALI MAKMUR</v>
      </c>
      <c r="AI318" s="43" t="str">
        <f ca="1">IF(NOTA[[#This Row],[ID_H]]="","",IF(NOTA[[#This Row],[FAKTUR]]="",INDIRECT(ADDRESS(ROW()-1,COLUMN())),NOTA[[#This Row],[FAKTUR]]))</f>
        <v>ARTO MORO</v>
      </c>
      <c r="AJ318" s="27" t="str">
        <f ca="1">IF(NOTA[[#This Row],[ID]]="","",COUNTIF(NOTA[ID_H],NOTA[[#This Row],[ID_H]]))</f>
        <v/>
      </c>
      <c r="AK318" s="27">
        <f ca="1">IF(NOTA[[#This Row],[TGL.NOTA]]="",IF(NOTA[[#This Row],[SUPPLIER_H]]="","",AK317),MONTH(NOTA[[#This Row],[TGL.NOTA]]))</f>
        <v>5</v>
      </c>
      <c r="AL318" s="27" t="str">
        <f>LOWER(SUBSTITUTE(SUBSTITUTE(SUBSTITUTE(SUBSTITUTE(SUBSTITUTE(SUBSTITUTE(SUBSTITUTE(SUBSTITUTE(SUBSTITUTE(NOTA[NAMA BARANG]," ",),".",""),"-",""),"(",""),")",""),",",""),"/",""),"""",""),"+",""))</f>
        <v>watercolorwc424jk</v>
      </c>
      <c r="AM3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watercolorwc424jk16800000.1250.1</v>
      </c>
      <c r="AN3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watercolorwc424jk16800000.1250.1</v>
      </c>
      <c r="AO3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27" t="str">
        <f>IF(NOTA[[#This Row],[CONCAT4]]="","",_xlfn.IFNA(MATCH(NOTA[[#This Row],[CONCAT4]],[2]!RAW[CONCAT_H],0),FALSE))</f>
        <v/>
      </c>
      <c r="AQ318" s="145">
        <f>IF(NOTA[[#This Row],[CONCAT1]]="","",MATCH(NOTA[[#This Row],[CONCAT1]],[3]!db[NB NOTA_C],0)+1)</f>
        <v>2320</v>
      </c>
    </row>
    <row r="319" spans="1:43" ht="20.100000000000001" customHeight="1" x14ac:dyDescent="0.25">
      <c r="A31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4" t="str">
        <f>IF(NOTA[[#This Row],[ID_P]]="","",MATCH(NOTA[[#This Row],[ID_P]],[1]!B_MSK[N_ID],0))</f>
        <v/>
      </c>
      <c r="D319" s="44" t="str">
        <f ca="1">IF(NOTA[[#This Row],[NAMA BARANG]]="","",INDEX(NOTA[ID],MATCH(,INDIRECT(ADDRESS(ROW(NOTA[ID]),COLUMN(NOTA[ID]))&amp;":"&amp;ADDRESS(ROW(),COLUMN(NOTA[ID]))),-1)))</f>
        <v/>
      </c>
      <c r="E319" s="47"/>
      <c r="F319" s="48"/>
      <c r="G319" s="48"/>
      <c r="H319" s="81"/>
      <c r="I319" s="48"/>
      <c r="J319" s="46"/>
      <c r="K319" s="48"/>
      <c r="L319" s="16"/>
      <c r="M319" s="49"/>
      <c r="N319" s="48"/>
      <c r="O319" s="16"/>
      <c r="P319" s="43"/>
      <c r="Q319" s="50"/>
      <c r="R319" s="28"/>
      <c r="S319" s="91"/>
      <c r="T319" s="91"/>
      <c r="U319" s="45"/>
      <c r="V319" s="26"/>
      <c r="W319" s="45" t="str">
        <f>IF(NOTA[[#This Row],[HARGA/ CTN]]="",NOTA[[#This Row],[JUMLAH_H]],NOTA[[#This Row],[HARGA/ CTN]]*IF(NOTA[[#This Row],[C]]="",0,NOTA[[#This Row],[C]]))</f>
        <v/>
      </c>
      <c r="X319" s="45" t="str">
        <f>IF(NOTA[[#This Row],[JUMLAH]]="","",NOTA[[#This Row],[JUMLAH]]*NOTA[[#This Row],[DISC 1]])</f>
        <v/>
      </c>
      <c r="Y319" s="45" t="str">
        <f>IF(NOTA[[#This Row],[JUMLAH]]="","",(NOTA[[#This Row],[JUMLAH]]-NOTA[[#This Row],[DISC 1-]])*NOTA[[#This Row],[DISC 2]])</f>
        <v/>
      </c>
      <c r="Z319" s="45" t="str">
        <f>IF(NOTA[[#This Row],[JUMLAH]]="","",NOTA[[#This Row],[DISC 1-]]+NOTA[[#This Row],[DISC 2-]])</f>
        <v/>
      </c>
      <c r="AA319" s="45" t="str">
        <f>IF(NOTA[[#This Row],[JUMLAH]]="","",NOTA[[#This Row],[JUMLAH]]-NOTA[[#This Row],[DISC]])</f>
        <v/>
      </c>
      <c r="AB319" s="45"/>
      <c r="AC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45" t="str">
        <f>IF(OR(NOTA[[#This Row],[QTY]]="",NOTA[[#This Row],[HARGA SATUAN]]="",),"",NOTA[[#This Row],[QTY]]*NOTA[[#This Row],[HARGA SATUAN]])</f>
        <v/>
      </c>
      <c r="AG319" s="46" t="str">
        <f ca="1">IF(NOTA[ID_H]="","",INDEX(NOTA[TANGGAL],MATCH(,INDIRECT(ADDRESS(ROW(NOTA[TANGGAL]),COLUMN(NOTA[TANGGAL]))&amp;":"&amp;ADDRESS(ROW(),COLUMN(NOTA[TANGGAL]))),-1)))</f>
        <v/>
      </c>
      <c r="AH319" s="43" t="str">
        <f ca="1">IF(NOTA[[#This Row],[NAMA BARANG]]="","",INDEX(NOTA[SUPPLIER],MATCH(,INDIRECT(ADDRESS(ROW(NOTA[ID]),COLUMN(NOTA[ID]))&amp;":"&amp;ADDRESS(ROW(),COLUMN(NOTA[ID]))),-1)))</f>
        <v/>
      </c>
      <c r="AI319" s="43" t="str">
        <f ca="1">IF(NOTA[[#This Row],[ID_H]]="","",IF(NOTA[[#This Row],[FAKTUR]]="",INDIRECT(ADDRESS(ROW()-1,COLUMN())),NOTA[[#This Row],[FAKTUR]]))</f>
        <v/>
      </c>
      <c r="AJ319" s="27" t="str">
        <f ca="1">IF(NOTA[[#This Row],[ID]]="","",COUNTIF(NOTA[ID_H],NOTA[[#This Row],[ID_H]]))</f>
        <v/>
      </c>
      <c r="AK319" s="27" t="str">
        <f ca="1">IF(NOTA[[#This Row],[TGL.NOTA]]="",IF(NOTA[[#This Row],[SUPPLIER_H]]="","",AK318),MONTH(NOTA[[#This Row],[TGL.NOTA]]))</f>
        <v/>
      </c>
      <c r="AL319" s="27" t="str">
        <f>LOWER(SUBSTITUTE(SUBSTITUTE(SUBSTITUTE(SUBSTITUTE(SUBSTITUTE(SUBSTITUTE(SUBSTITUTE(SUBSTITUTE(SUBSTITUTE(NOTA[NAMA BARANG]," ",),".",""),"-",""),"(",""),")",""),",",""),"/",""),"""",""),"+",""))</f>
        <v/>
      </c>
      <c r="AM3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27" t="str">
        <f>IF(NOTA[[#This Row],[CONCAT4]]="","",_xlfn.IFNA(MATCH(NOTA[[#This Row],[CONCAT4]],[2]!RAW[CONCAT_H],0),FALSE))</f>
        <v/>
      </c>
      <c r="AQ319" s="145" t="str">
        <f>IF(NOTA[[#This Row],[CONCAT1]]="","",MATCH(NOTA[[#This Row],[CONCAT1]],[3]!db[NB NOTA_C],0)+1)</f>
        <v/>
      </c>
    </row>
    <row r="320" spans="1:43" ht="20.100000000000001" customHeight="1" x14ac:dyDescent="0.25">
      <c r="A320" s="43">
        <f ca="1">IF(INDIRECT(ADDRESS(ROW()-1,COLUMN(NOTA[[#Headers],[ID]])))="ID",1,IF(NOTA[[#This Row],[FAKTUR]]="","",COUNT(INDIRECT(ADDRESS(ROW(NOTA[ID]),COLUMN(NOTA[ID]))&amp;":"&amp;ADDRESS(ROW()-1,COLUMN(NOTA[ID]))))+1))</f>
        <v>59</v>
      </c>
      <c r="B320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ATA_1305_105-2</v>
      </c>
      <c r="C320" s="44" t="e">
        <f ca="1">IF(NOTA[[#This Row],[ID_P]]="","",MATCH(NOTA[[#This Row],[ID_P]],[1]!B_MSK[N_ID],0))</f>
        <v>#REF!</v>
      </c>
      <c r="D320" s="44">
        <f ca="1">IF(NOTA[[#This Row],[NAMA BARANG]]="","",INDEX(NOTA[ID],MATCH(,INDIRECT(ADDRESS(ROW(NOTA[ID]),COLUMN(NOTA[ID]))&amp;":"&amp;ADDRESS(ROW(),COLUMN(NOTA[ID]))),-1)))</f>
        <v>59</v>
      </c>
      <c r="E320" s="47"/>
      <c r="F320" s="16" t="s">
        <v>25</v>
      </c>
      <c r="G320" s="16" t="s">
        <v>24</v>
      </c>
      <c r="H320" s="20" t="s">
        <v>512</v>
      </c>
      <c r="I320" s="48"/>
      <c r="J320" s="46">
        <v>45054</v>
      </c>
      <c r="K320" s="48"/>
      <c r="L320" s="16" t="s">
        <v>299</v>
      </c>
      <c r="M320" s="49">
        <v>5</v>
      </c>
      <c r="N320" s="48">
        <v>720</v>
      </c>
      <c r="O320" s="16" t="s">
        <v>252</v>
      </c>
      <c r="P320" s="43">
        <v>10600</v>
      </c>
      <c r="Q320" s="50"/>
      <c r="R320" s="28" t="s">
        <v>273</v>
      </c>
      <c r="S320" s="91">
        <v>0.125</v>
      </c>
      <c r="T320" s="91">
        <v>0.05</v>
      </c>
      <c r="U320" s="45"/>
      <c r="V320" s="26"/>
      <c r="W320" s="45">
        <f>IF(NOTA[[#This Row],[HARGA/ CTN]]="",NOTA[[#This Row],[JUMLAH_H]],NOTA[[#This Row],[HARGA/ CTN]]*IF(NOTA[[#This Row],[C]]="",0,NOTA[[#This Row],[C]]))</f>
        <v>7632000</v>
      </c>
      <c r="X320" s="45">
        <f>IF(NOTA[[#This Row],[JUMLAH]]="","",NOTA[[#This Row],[JUMLAH]]*NOTA[[#This Row],[DISC 1]])</f>
        <v>954000</v>
      </c>
      <c r="Y320" s="45">
        <f>IF(NOTA[[#This Row],[JUMLAH]]="","",(NOTA[[#This Row],[JUMLAH]]-NOTA[[#This Row],[DISC 1-]])*NOTA[[#This Row],[DISC 2]])</f>
        <v>333900</v>
      </c>
      <c r="Z320" s="45">
        <f>IF(NOTA[[#This Row],[JUMLAH]]="","",NOTA[[#This Row],[DISC 1-]]+NOTA[[#This Row],[DISC 2-]])</f>
        <v>1287900</v>
      </c>
      <c r="AA320" s="45">
        <f>IF(NOTA[[#This Row],[JUMLAH]]="","",NOTA[[#This Row],[JUMLAH]]-NOTA[[#This Row],[DISC]])</f>
        <v>6344100</v>
      </c>
      <c r="AB320" s="45"/>
      <c r="AC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3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20" s="45">
        <f>IF(OR(NOTA[[#This Row],[QTY]]="",NOTA[[#This Row],[HARGA SATUAN]]="",),"",NOTA[[#This Row],[QTY]]*NOTA[[#This Row],[HARGA SATUAN]])</f>
        <v>7632000</v>
      </c>
      <c r="AG320" s="46">
        <f ca="1">IF(NOTA[ID_H]="","",INDEX(NOTA[TANGGAL],MATCH(,INDIRECT(ADDRESS(ROW(NOTA[TANGGAL]),COLUMN(NOTA[TANGGAL]))&amp;":"&amp;ADDRESS(ROW(),COLUMN(NOTA[TANGGAL]))),-1)))</f>
        <v>45059</v>
      </c>
      <c r="AH320" s="43" t="str">
        <f ca="1">IF(NOTA[[#This Row],[NAMA BARANG]]="","",INDEX(NOTA[SUPPLIER],MATCH(,INDIRECT(ADDRESS(ROW(NOTA[ID]),COLUMN(NOTA[ID]))&amp;":"&amp;ADDRESS(ROW(),COLUMN(NOTA[ID]))),-1)))</f>
        <v>ATALI MAKMUR</v>
      </c>
      <c r="AI320" s="43" t="str">
        <f ca="1">IF(NOTA[[#This Row],[ID_H]]="","",IF(NOTA[[#This Row],[FAKTUR]]="",INDIRECT(ADDRESS(ROW()-1,COLUMN())),NOTA[[#This Row],[FAKTUR]]))</f>
        <v>ARTO MORO</v>
      </c>
      <c r="AJ320" s="27">
        <f ca="1">IF(NOTA[[#This Row],[ID]]="","",COUNTIF(NOTA[ID_H],NOTA[[#This Row],[ID_H]]))</f>
        <v>2</v>
      </c>
      <c r="AK320" s="27">
        <f>IF(NOTA[[#This Row],[TGL.NOTA]]="",IF(NOTA[[#This Row],[SUPPLIER_H]]="","",AK319),MONTH(NOTA[[#This Row],[TGL.NOTA]]))</f>
        <v>5</v>
      </c>
      <c r="AL320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MOROSA23050710545054colorpencilcp12pbjk</v>
      </c>
      <c r="AP320" s="27" t="e">
        <f>IF(NOTA[[#This Row],[CONCAT4]]="","",_xlfn.IFNA(MATCH(NOTA[[#This Row],[CONCAT4]],[2]!RAW[CONCAT_H],0),FALSE))</f>
        <v>#REF!</v>
      </c>
      <c r="AQ320" s="145">
        <f>IF(NOTA[[#This Row],[CONCAT1]]="","",MATCH(NOTA[[#This Row],[CONCAT1]],[3]!db[NB NOTA_C],0)+1)</f>
        <v>530</v>
      </c>
    </row>
    <row r="321" spans="1:43" ht="20.100000000000001" customHeight="1" x14ac:dyDescent="0.25">
      <c r="A32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4" t="str">
        <f>IF(NOTA[[#This Row],[ID_P]]="","",MATCH(NOTA[[#This Row],[ID_P]],[1]!B_MSK[N_ID],0))</f>
        <v/>
      </c>
      <c r="D321" s="44">
        <f ca="1">IF(NOTA[[#This Row],[NAMA BARANG]]="","",INDEX(NOTA[ID],MATCH(,INDIRECT(ADDRESS(ROW(NOTA[ID]),COLUMN(NOTA[ID]))&amp;":"&amp;ADDRESS(ROW(),COLUMN(NOTA[ID]))),-1)))</f>
        <v>59</v>
      </c>
      <c r="E321" s="47"/>
      <c r="F321" s="48"/>
      <c r="G321" s="48"/>
      <c r="H321" s="81"/>
      <c r="I321" s="48"/>
      <c r="J321" s="46"/>
      <c r="K321" s="48"/>
      <c r="L321" s="16" t="s">
        <v>513</v>
      </c>
      <c r="M321" s="49">
        <v>5</v>
      </c>
      <c r="N321" s="48">
        <v>3600</v>
      </c>
      <c r="O321" s="16" t="s">
        <v>160</v>
      </c>
      <c r="P321" s="43">
        <v>4800</v>
      </c>
      <c r="Q321" s="50"/>
      <c r="R321" s="28" t="s">
        <v>506</v>
      </c>
      <c r="S321" s="91">
        <v>0.125</v>
      </c>
      <c r="T321" s="91">
        <v>0.05</v>
      </c>
      <c r="U321" s="45"/>
      <c r="V321" s="26"/>
      <c r="W321" s="45">
        <f>IF(NOTA[[#This Row],[HARGA/ CTN]]="",NOTA[[#This Row],[JUMLAH_H]],NOTA[[#This Row],[HARGA/ CTN]]*IF(NOTA[[#This Row],[C]]="",0,NOTA[[#This Row],[C]]))</f>
        <v>17280000</v>
      </c>
      <c r="X321" s="45">
        <f>IF(NOTA[[#This Row],[JUMLAH]]="","",NOTA[[#This Row],[JUMLAH]]*NOTA[[#This Row],[DISC 1]])</f>
        <v>2160000</v>
      </c>
      <c r="Y321" s="45">
        <f>IF(NOTA[[#This Row],[JUMLAH]]="","",(NOTA[[#This Row],[JUMLAH]]-NOTA[[#This Row],[DISC 1-]])*NOTA[[#This Row],[DISC 2]])</f>
        <v>756000</v>
      </c>
      <c r="Z321" s="45">
        <f>IF(NOTA[[#This Row],[JUMLAH]]="","",NOTA[[#This Row],[DISC 1-]]+NOTA[[#This Row],[DISC 2-]])</f>
        <v>2916000</v>
      </c>
      <c r="AA321" s="45">
        <f>IF(NOTA[[#This Row],[JUMLAH]]="","",NOTA[[#This Row],[JUMLAH]]-NOTA[[#This Row],[DISC]])</f>
        <v>14364000</v>
      </c>
      <c r="AB321" s="45"/>
      <c r="AC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4203900</v>
      </c>
      <c r="AD321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20708100</v>
      </c>
      <c r="AE321" s="4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21" s="45">
        <f>IF(OR(NOTA[[#This Row],[QTY]]="",NOTA[[#This Row],[HARGA SATUAN]]="",),"",NOTA[[#This Row],[QTY]]*NOTA[[#This Row],[HARGA SATUAN]])</f>
        <v>17280000</v>
      </c>
      <c r="AG321" s="46">
        <f ca="1">IF(NOTA[ID_H]="","",INDEX(NOTA[TANGGAL],MATCH(,INDIRECT(ADDRESS(ROW(NOTA[TANGGAL]),COLUMN(NOTA[TANGGAL]))&amp;":"&amp;ADDRESS(ROW(),COLUMN(NOTA[TANGGAL]))),-1)))</f>
        <v>45059</v>
      </c>
      <c r="AH321" s="43" t="str">
        <f ca="1">IF(NOTA[[#This Row],[NAMA BARANG]]="","",INDEX(NOTA[SUPPLIER],MATCH(,INDIRECT(ADDRESS(ROW(NOTA[ID]),COLUMN(NOTA[ID]))&amp;":"&amp;ADDRESS(ROW(),COLUMN(NOTA[ID]))),-1)))</f>
        <v>ATALI MAKMUR</v>
      </c>
      <c r="AI321" s="43" t="str">
        <f ca="1">IF(NOTA[[#This Row],[ID_H]]="","",IF(NOTA[[#This Row],[FAKTUR]]="",INDIRECT(ADDRESS(ROW()-1,COLUMN())),NOTA[[#This Row],[FAKTUR]]))</f>
        <v>ARTO MORO</v>
      </c>
      <c r="AJ321" s="27" t="str">
        <f ca="1">IF(NOTA[[#This Row],[ID]]="","",COUNTIF(NOTA[ID_H],NOTA[[#This Row],[ID_H]]))</f>
        <v/>
      </c>
      <c r="AK321" s="27">
        <f ca="1">IF(NOTA[[#This Row],[TGL.NOTA]]="",IF(NOTA[[#This Row],[SUPPLIER_H]]="","",AK320),MONTH(NOTA[[#This Row],[TGL.NOTA]]))</f>
        <v>5</v>
      </c>
      <c r="AL321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3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3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3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27" t="str">
        <f>IF(NOTA[[#This Row],[CONCAT4]]="","",_xlfn.IFNA(MATCH(NOTA[[#This Row],[CONCAT4]],[2]!RAW[CONCAT_H],0),FALSE))</f>
        <v/>
      </c>
      <c r="AQ321" s="145">
        <f>IF(NOTA[[#This Row],[CONCAT1]]="","",MATCH(NOTA[[#This Row],[CONCAT1]],[3]!db[NB NOTA_C],0)+1)</f>
        <v>565</v>
      </c>
    </row>
    <row r="322" spans="1:43" ht="20.100000000000001" customHeight="1" x14ac:dyDescent="0.25">
      <c r="A32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4" t="str">
        <f>IF(NOTA[[#This Row],[ID_P]]="","",MATCH(NOTA[[#This Row],[ID_P]],[1]!B_MSK[N_ID],0))</f>
        <v/>
      </c>
      <c r="D322" s="44" t="str">
        <f ca="1">IF(NOTA[[#This Row],[NAMA BARANG]]="","",INDEX(NOTA[ID],MATCH(,INDIRECT(ADDRESS(ROW(NOTA[ID]),COLUMN(NOTA[ID]))&amp;":"&amp;ADDRESS(ROW(),COLUMN(NOTA[ID]))),-1)))</f>
        <v/>
      </c>
      <c r="E322" s="47"/>
      <c r="F322" s="48"/>
      <c r="G322" s="48"/>
      <c r="H322" s="81"/>
      <c r="I322" s="48"/>
      <c r="J322" s="46"/>
      <c r="K322" s="48"/>
      <c r="L322" s="16"/>
      <c r="M322" s="49"/>
      <c r="N322" s="48"/>
      <c r="O322" s="16"/>
      <c r="P322" s="43"/>
      <c r="Q322" s="50"/>
      <c r="R322" s="28"/>
      <c r="S322" s="91"/>
      <c r="T322" s="91"/>
      <c r="U322" s="45"/>
      <c r="V322" s="26"/>
      <c r="W322" s="45" t="str">
        <f>IF(NOTA[[#This Row],[HARGA/ CTN]]="",NOTA[[#This Row],[JUMLAH_H]],NOTA[[#This Row],[HARGA/ CTN]]*IF(NOTA[[#This Row],[C]]="",0,NOTA[[#This Row],[C]]))</f>
        <v/>
      </c>
      <c r="X322" s="45" t="str">
        <f>IF(NOTA[[#This Row],[JUMLAH]]="","",NOTA[[#This Row],[JUMLAH]]*NOTA[[#This Row],[DISC 1]])</f>
        <v/>
      </c>
      <c r="Y322" s="45" t="str">
        <f>IF(NOTA[[#This Row],[JUMLAH]]="","",(NOTA[[#This Row],[JUMLAH]]-NOTA[[#This Row],[DISC 1-]])*NOTA[[#This Row],[DISC 2]])</f>
        <v/>
      </c>
      <c r="Z322" s="45" t="str">
        <f>IF(NOTA[[#This Row],[JUMLAH]]="","",NOTA[[#This Row],[DISC 1-]]+NOTA[[#This Row],[DISC 2-]])</f>
        <v/>
      </c>
      <c r="AA322" s="45" t="str">
        <f>IF(NOTA[[#This Row],[JUMLAH]]="","",NOTA[[#This Row],[JUMLAH]]-NOTA[[#This Row],[DISC]])</f>
        <v/>
      </c>
      <c r="AB322" s="45"/>
      <c r="AC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45" t="str">
        <f>IF(OR(NOTA[[#This Row],[QTY]]="",NOTA[[#This Row],[HARGA SATUAN]]="",),"",NOTA[[#This Row],[QTY]]*NOTA[[#This Row],[HARGA SATUAN]])</f>
        <v/>
      </c>
      <c r="AG322" s="46" t="str">
        <f ca="1">IF(NOTA[ID_H]="","",INDEX(NOTA[TANGGAL],MATCH(,INDIRECT(ADDRESS(ROW(NOTA[TANGGAL]),COLUMN(NOTA[TANGGAL]))&amp;":"&amp;ADDRESS(ROW(),COLUMN(NOTA[TANGGAL]))),-1)))</f>
        <v/>
      </c>
      <c r="AH322" s="43" t="str">
        <f ca="1">IF(NOTA[[#This Row],[NAMA BARANG]]="","",INDEX(NOTA[SUPPLIER],MATCH(,INDIRECT(ADDRESS(ROW(NOTA[ID]),COLUMN(NOTA[ID]))&amp;":"&amp;ADDRESS(ROW(),COLUMN(NOTA[ID]))),-1)))</f>
        <v/>
      </c>
      <c r="AI322" s="43" t="str">
        <f ca="1">IF(NOTA[[#This Row],[ID_H]]="","",IF(NOTA[[#This Row],[FAKTUR]]="",INDIRECT(ADDRESS(ROW()-1,COLUMN())),NOTA[[#This Row],[FAKTUR]]))</f>
        <v/>
      </c>
      <c r="AJ322" s="27" t="str">
        <f ca="1">IF(NOTA[[#This Row],[ID]]="","",COUNTIF(NOTA[ID_H],NOTA[[#This Row],[ID_H]]))</f>
        <v/>
      </c>
      <c r="AK322" s="27" t="str">
        <f ca="1">IF(NOTA[[#This Row],[TGL.NOTA]]="",IF(NOTA[[#This Row],[SUPPLIER_H]]="","",AK321),MONTH(NOTA[[#This Row],[TGL.NOTA]]))</f>
        <v/>
      </c>
      <c r="AL322" s="27" t="str">
        <f>LOWER(SUBSTITUTE(SUBSTITUTE(SUBSTITUTE(SUBSTITUTE(SUBSTITUTE(SUBSTITUTE(SUBSTITUTE(SUBSTITUTE(SUBSTITUTE(NOTA[NAMA BARANG]," ",),".",""),"-",""),"(",""),")",""),",",""),"/",""),"""",""),"+",""))</f>
        <v/>
      </c>
      <c r="AM3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27" t="str">
        <f>IF(NOTA[[#This Row],[CONCAT4]]="","",_xlfn.IFNA(MATCH(NOTA[[#This Row],[CONCAT4]],[2]!RAW[CONCAT_H],0),FALSE))</f>
        <v/>
      </c>
      <c r="AQ322" s="145" t="str">
        <f>IF(NOTA[[#This Row],[CONCAT1]]="","",MATCH(NOTA[[#This Row],[CONCAT1]],[3]!db[NB NOTA_C],0)+1)</f>
        <v/>
      </c>
    </row>
    <row r="323" spans="1:43" ht="20.100000000000001" customHeight="1" x14ac:dyDescent="0.25">
      <c r="A323" s="43">
        <f ca="1">IF(INDIRECT(ADDRESS(ROW()-1,COLUMN(NOTA[[#Headers],[ID]])))="ID",1,IF(NOTA[[#This Row],[FAKTUR]]="","",COUNT(INDIRECT(ADDRESS(ROW(NOTA[ID]),COLUMN(NOTA[ID]))&amp;":"&amp;ADDRESS(ROW()-1,COLUMN(NOTA[ID]))))+1))</f>
        <v>60</v>
      </c>
      <c r="B323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BIN_1305_207-9</v>
      </c>
      <c r="C323" s="44" t="e">
        <f ca="1">IF(NOTA[[#This Row],[ID_P]]="","",MATCH(NOTA[[#This Row],[ID_P]],[1]!B_MSK[N_ID],0))</f>
        <v>#REF!</v>
      </c>
      <c r="D323" s="44">
        <f ca="1">IF(NOTA[[#This Row],[NAMA BARANG]]="","",INDEX(NOTA[ID],MATCH(,INDIRECT(ADDRESS(ROW(NOTA[ID]),COLUMN(NOTA[ID]))&amp;":"&amp;ADDRESS(ROW(),COLUMN(NOTA[ID]))),-1)))</f>
        <v>60</v>
      </c>
      <c r="E323" s="47"/>
      <c r="F323" s="16" t="s">
        <v>515</v>
      </c>
      <c r="G323" s="16" t="s">
        <v>112</v>
      </c>
      <c r="H323" s="20" t="s">
        <v>516</v>
      </c>
      <c r="I323" s="48"/>
      <c r="J323" s="46">
        <v>45055</v>
      </c>
      <c r="K323" s="48"/>
      <c r="L323" s="16" t="s">
        <v>517</v>
      </c>
      <c r="M323" s="49"/>
      <c r="N323" s="48">
        <v>30</v>
      </c>
      <c r="O323" s="16" t="s">
        <v>160</v>
      </c>
      <c r="P323" s="43">
        <v>19000</v>
      </c>
      <c r="Q323" s="50"/>
      <c r="R323" s="28"/>
      <c r="S323" s="91"/>
      <c r="T323" s="91"/>
      <c r="U323" s="45"/>
      <c r="V323" s="26"/>
      <c r="W323" s="45">
        <f>IF(NOTA[[#This Row],[HARGA/ CTN]]="",NOTA[[#This Row],[JUMLAH_H]],NOTA[[#This Row],[HARGA/ CTN]]*IF(NOTA[[#This Row],[C]]="",0,NOTA[[#This Row],[C]]))</f>
        <v>570000</v>
      </c>
      <c r="X323" s="45">
        <f>IF(NOTA[[#This Row],[JUMLAH]]="","",NOTA[[#This Row],[JUMLAH]]*NOTA[[#This Row],[DISC 1]])</f>
        <v>0</v>
      </c>
      <c r="Y323" s="45">
        <f>IF(NOTA[[#This Row],[JUMLAH]]="","",(NOTA[[#This Row],[JUMLAH]]-NOTA[[#This Row],[DISC 1-]])*NOTA[[#This Row],[DISC 2]])</f>
        <v>0</v>
      </c>
      <c r="Z323" s="45">
        <f>IF(NOTA[[#This Row],[JUMLAH]]="","",NOTA[[#This Row],[DISC 1-]]+NOTA[[#This Row],[DISC 2-]])</f>
        <v>0</v>
      </c>
      <c r="AA323" s="45">
        <f>IF(NOTA[[#This Row],[JUMLAH]]="","",NOTA[[#This Row],[JUMLAH]]-NOTA[[#This Row],[DISC]])</f>
        <v>570000</v>
      </c>
      <c r="AB323" s="45"/>
      <c r="AC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3" s="45">
        <f>IF(OR(NOTA[[#This Row],[QTY]]="",NOTA[[#This Row],[HARGA SATUAN]]="",),"",NOTA[[#This Row],[QTY]]*NOTA[[#This Row],[HARGA SATUAN]])</f>
        <v>570000</v>
      </c>
      <c r="AG323" s="46">
        <f ca="1">IF(NOTA[ID_H]="","",INDEX(NOTA[TANGGAL],MATCH(,INDIRECT(ADDRESS(ROW(NOTA[TANGGAL]),COLUMN(NOTA[TANGGAL]))&amp;":"&amp;ADDRESS(ROW(),COLUMN(NOTA[TANGGAL]))),-1)))</f>
        <v>45059</v>
      </c>
      <c r="AH323" s="43" t="str">
        <f ca="1">IF(NOTA[[#This Row],[NAMA BARANG]]="","",INDEX(NOTA[SUPPLIER],MATCH(,INDIRECT(ADDRESS(ROW(NOTA[ID]),COLUMN(NOTA[ID]))&amp;":"&amp;ADDRESS(ROW(),COLUMN(NOTA[ID]))),-1)))</f>
        <v>BINTANG SAUDARA</v>
      </c>
      <c r="AI323" s="43" t="str">
        <f ca="1">IF(NOTA[[#This Row],[ID_H]]="","",IF(NOTA[[#This Row],[FAKTUR]]="",INDIRECT(ADDRESS(ROW()-1,COLUMN())),NOTA[[#This Row],[FAKTUR]]))</f>
        <v>UNTANA</v>
      </c>
      <c r="AJ323" s="27">
        <f ca="1">IF(NOTA[[#This Row],[ID]]="","",COUNTIF(NOTA[ID_H],NOTA[[#This Row],[ID_H]]))</f>
        <v>9</v>
      </c>
      <c r="AK323" s="27">
        <f>IF(NOTA[[#This Row],[TGL.NOTA]]="",IF(NOTA[[#This Row],[SUPPLIER_H]]="","",AK322),MONTH(NOTA[[#This Row],[TGL.NOTA]]))</f>
        <v>5</v>
      </c>
      <c r="AL323" s="27" t="str">
        <f>LOWER(SUBSTITUTE(SUBSTITUTE(SUBSTITUTE(SUBSTITUTE(SUBSTITUTE(SUBSTITUTE(SUBSTITUTE(SUBSTITUTE(SUBSTITUTE(NOTA[NAMA BARANG]," ",),".",""),"-",""),"(",""),")",""),",",""),"/",""),"""",""),"+",""))</f>
        <v>agenda123polosbiru</v>
      </c>
      <c r="AM3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agenda123polosbiru570000</v>
      </c>
      <c r="AN3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agenda123polosbiru19000</v>
      </c>
      <c r="AO32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SAUDARAUNTANASO202305008020745055agenda123polosbiru</v>
      </c>
      <c r="AP323" s="27" t="e">
        <f>IF(NOTA[[#This Row],[CONCAT4]]="","",_xlfn.IFNA(MATCH(NOTA[[#This Row],[CONCAT4]],[2]!RAW[CONCAT_H],0),FALSE))</f>
        <v>#REF!</v>
      </c>
      <c r="AQ323" s="145" t="e">
        <f>IF(NOTA[[#This Row],[CONCAT1]]="","",MATCH(NOTA[[#This Row],[CONCAT1]],[3]!db[NB NOTA_C],0)+1)</f>
        <v>#N/A</v>
      </c>
    </row>
    <row r="324" spans="1:43" ht="20.100000000000001" customHeight="1" x14ac:dyDescent="0.25">
      <c r="A324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4" t="str">
        <f>IF(NOTA[[#This Row],[ID_P]]="","",MATCH(NOTA[[#This Row],[ID_P]],[1]!B_MSK[N_ID],0))</f>
        <v/>
      </c>
      <c r="D324" s="44">
        <f ca="1">IF(NOTA[[#This Row],[NAMA BARANG]]="","",INDEX(NOTA[ID],MATCH(,INDIRECT(ADDRESS(ROW(NOTA[ID]),COLUMN(NOTA[ID]))&amp;":"&amp;ADDRESS(ROW(),COLUMN(NOTA[ID]))),-1)))</f>
        <v>60</v>
      </c>
      <c r="E324" s="47"/>
      <c r="F324" s="16"/>
      <c r="G324" s="16"/>
      <c r="H324" s="20"/>
      <c r="I324" s="48"/>
      <c r="J324" s="46"/>
      <c r="K324" s="48"/>
      <c r="L324" s="16" t="s">
        <v>518</v>
      </c>
      <c r="M324" s="49"/>
      <c r="N324" s="48">
        <v>30</v>
      </c>
      <c r="O324" s="16" t="s">
        <v>160</v>
      </c>
      <c r="P324" s="43">
        <v>19000</v>
      </c>
      <c r="Q324" s="50"/>
      <c r="R324" s="28"/>
      <c r="S324" s="91"/>
      <c r="T324" s="91"/>
      <c r="U324" s="45"/>
      <c r="V324" s="26"/>
      <c r="W324" s="45">
        <f>IF(NOTA[[#This Row],[HARGA/ CTN]]="",NOTA[[#This Row],[JUMLAH_H]],NOTA[[#This Row],[HARGA/ CTN]]*IF(NOTA[[#This Row],[C]]="",0,NOTA[[#This Row],[C]]))</f>
        <v>570000</v>
      </c>
      <c r="X324" s="45">
        <f>IF(NOTA[[#This Row],[JUMLAH]]="","",NOTA[[#This Row],[JUMLAH]]*NOTA[[#This Row],[DISC 1]])</f>
        <v>0</v>
      </c>
      <c r="Y324" s="45">
        <f>IF(NOTA[[#This Row],[JUMLAH]]="","",(NOTA[[#This Row],[JUMLAH]]-NOTA[[#This Row],[DISC 1-]])*NOTA[[#This Row],[DISC 2]])</f>
        <v>0</v>
      </c>
      <c r="Z324" s="45">
        <f>IF(NOTA[[#This Row],[JUMLAH]]="","",NOTA[[#This Row],[DISC 1-]]+NOTA[[#This Row],[DISC 2-]])</f>
        <v>0</v>
      </c>
      <c r="AA324" s="45">
        <f>IF(NOTA[[#This Row],[JUMLAH]]="","",NOTA[[#This Row],[JUMLAH]]-NOTA[[#This Row],[DISC]])</f>
        <v>570000</v>
      </c>
      <c r="AB324" s="45"/>
      <c r="AC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3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324" s="45">
        <f>IF(OR(NOTA[[#This Row],[QTY]]="",NOTA[[#This Row],[HARGA SATUAN]]="",),"",NOTA[[#This Row],[QTY]]*NOTA[[#This Row],[HARGA SATUAN]])</f>
        <v>570000</v>
      </c>
      <c r="AG324" s="46">
        <f ca="1">IF(NOTA[ID_H]="","",INDEX(NOTA[TANGGAL],MATCH(,INDIRECT(ADDRESS(ROW(NOTA[TANGGAL]),COLUMN(NOTA[TANGGAL]))&amp;":"&amp;ADDRESS(ROW(),COLUMN(NOTA[TANGGAL]))),-1)))</f>
        <v>45059</v>
      </c>
      <c r="AH324" s="43" t="str">
        <f ca="1">IF(NOTA[[#This Row],[NAMA BARANG]]="","",INDEX(NOTA[SUPPLIER],MATCH(,INDIRECT(ADDRESS(ROW(NOTA[ID]),COLUMN(NOTA[ID]))&amp;":"&amp;ADDRESS(ROW(),COLUMN(NOTA[ID]))),-1)))</f>
        <v>BINTANG SAUDARA</v>
      </c>
      <c r="AI324" s="43" t="str">
        <f ca="1">IF(NOTA[[#This Row],[ID_H]]="","",IF(NOTA[[#This Row],[FAKTUR]]="",INDIRECT(ADDRESS(ROW()-1,COLUMN())),NOTA[[#This Row],[FAKTUR]]))</f>
        <v>UNTANA</v>
      </c>
      <c r="AJ324" s="27" t="str">
        <f ca="1">IF(NOTA[[#This Row],[ID]]="","",COUNTIF(NOTA[ID_H],NOTA[[#This Row],[ID_H]]))</f>
        <v/>
      </c>
      <c r="AK324" s="27">
        <f ca="1">IF(NOTA[[#This Row],[TGL.NOTA]]="",IF(NOTA[[#This Row],[SUPPLIER_H]]="","",AK323),MONTH(NOTA[[#This Row],[TGL.NOTA]]))</f>
        <v>5</v>
      </c>
      <c r="AL324" s="27" t="str">
        <f>LOWER(SUBSTITUTE(SUBSTITUTE(SUBSTITUTE(SUBSTITUTE(SUBSTITUTE(SUBSTITUTE(SUBSTITUTE(SUBSTITUTE(SUBSTITUTE(NOTA[NAMA BARANG]," ",),".",""),"-",""),"(",""),")",""),",",""),"/",""),"""",""),"+",""))</f>
        <v>agenda123poloshitam</v>
      </c>
      <c r="AM3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agenda123poloshitam570000</v>
      </c>
      <c r="AN3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agenda123poloshitam19000</v>
      </c>
      <c r="AO3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27" t="str">
        <f>IF(NOTA[[#This Row],[CONCAT4]]="","",_xlfn.IFNA(MATCH(NOTA[[#This Row],[CONCAT4]],[2]!RAW[CONCAT_H],0),FALSE))</f>
        <v/>
      </c>
      <c r="AQ324" s="145" t="e">
        <f>IF(NOTA[[#This Row],[CONCAT1]]="","",MATCH(NOTA[[#This Row],[CONCAT1]],[3]!db[NB NOTA_C],0)+1)</f>
        <v>#N/A</v>
      </c>
    </row>
    <row r="325" spans="1:43" ht="20.100000000000001" customHeight="1" x14ac:dyDescent="0.25">
      <c r="A32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44" t="str">
        <f>IF(NOTA[[#This Row],[ID_P]]="","",MATCH(NOTA[[#This Row],[ID_P]],[1]!B_MSK[N_ID],0))</f>
        <v/>
      </c>
      <c r="D325" s="44">
        <f ca="1">IF(NOTA[[#This Row],[NAMA BARANG]]="","",INDEX(NOTA[ID],MATCH(,INDIRECT(ADDRESS(ROW(NOTA[ID]),COLUMN(NOTA[ID]))&amp;":"&amp;ADDRESS(ROW(),COLUMN(NOTA[ID]))),-1)))</f>
        <v>60</v>
      </c>
      <c r="E325" s="47"/>
      <c r="F325" s="48"/>
      <c r="G325" s="48"/>
      <c r="H325" s="81"/>
      <c r="I325" s="48"/>
      <c r="J325" s="46"/>
      <c r="K325" s="48"/>
      <c r="L325" s="16" t="s">
        <v>519</v>
      </c>
      <c r="M325" s="49">
        <v>2</v>
      </c>
      <c r="N325" s="48">
        <v>120</v>
      </c>
      <c r="O325" s="16" t="s">
        <v>160</v>
      </c>
      <c r="P325" s="43">
        <v>21000</v>
      </c>
      <c r="Q325" s="50"/>
      <c r="R325" s="28"/>
      <c r="S325" s="91"/>
      <c r="T325" s="91"/>
      <c r="U325" s="45"/>
      <c r="V325" s="26"/>
      <c r="W325" s="45">
        <f>IF(NOTA[[#This Row],[HARGA/ CTN]]="",NOTA[[#This Row],[JUMLAH_H]],NOTA[[#This Row],[HARGA/ CTN]]*IF(NOTA[[#This Row],[C]]="",0,NOTA[[#This Row],[C]]))</f>
        <v>2520000</v>
      </c>
      <c r="X325" s="45">
        <f>IF(NOTA[[#This Row],[JUMLAH]]="","",NOTA[[#This Row],[JUMLAH]]*NOTA[[#This Row],[DISC 1]])</f>
        <v>0</v>
      </c>
      <c r="Y325" s="45">
        <f>IF(NOTA[[#This Row],[JUMLAH]]="","",(NOTA[[#This Row],[JUMLAH]]-NOTA[[#This Row],[DISC 1-]])*NOTA[[#This Row],[DISC 2]])</f>
        <v>0</v>
      </c>
      <c r="Z325" s="45">
        <f>IF(NOTA[[#This Row],[JUMLAH]]="","",NOTA[[#This Row],[DISC 1-]]+NOTA[[#This Row],[DISC 2-]])</f>
        <v>0</v>
      </c>
      <c r="AA325" s="45">
        <f>IF(NOTA[[#This Row],[JUMLAH]]="","",NOTA[[#This Row],[JUMLAH]]-NOTA[[#This Row],[DISC]])</f>
        <v>2520000</v>
      </c>
      <c r="AB325" s="45"/>
      <c r="AC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3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325" s="45">
        <f>IF(OR(NOTA[[#This Row],[QTY]]="",NOTA[[#This Row],[HARGA SATUAN]]="",),"",NOTA[[#This Row],[QTY]]*NOTA[[#This Row],[HARGA SATUAN]])</f>
        <v>2520000</v>
      </c>
      <c r="AG325" s="46">
        <f ca="1">IF(NOTA[ID_H]="","",INDEX(NOTA[TANGGAL],MATCH(,INDIRECT(ADDRESS(ROW(NOTA[TANGGAL]),COLUMN(NOTA[TANGGAL]))&amp;":"&amp;ADDRESS(ROW(),COLUMN(NOTA[TANGGAL]))),-1)))</f>
        <v>45059</v>
      </c>
      <c r="AH325" s="43" t="str">
        <f ca="1">IF(NOTA[[#This Row],[NAMA BARANG]]="","",INDEX(NOTA[SUPPLIER],MATCH(,INDIRECT(ADDRESS(ROW(NOTA[ID]),COLUMN(NOTA[ID]))&amp;":"&amp;ADDRESS(ROW(),COLUMN(NOTA[ID]))),-1)))</f>
        <v>BINTANG SAUDARA</v>
      </c>
      <c r="AI325" s="43" t="str">
        <f ca="1">IF(NOTA[[#This Row],[ID_H]]="","",IF(NOTA[[#This Row],[FAKTUR]]="",INDIRECT(ADDRESS(ROW()-1,COLUMN())),NOTA[[#This Row],[FAKTUR]]))</f>
        <v>UNTANA</v>
      </c>
      <c r="AJ325" s="27" t="str">
        <f ca="1">IF(NOTA[[#This Row],[ID]]="","",COUNTIF(NOTA[ID_H],NOTA[[#This Row],[ID_H]]))</f>
        <v/>
      </c>
      <c r="AK325" s="27">
        <f ca="1">IF(NOTA[[#This Row],[TGL.NOTA]]="",IF(NOTA[[#This Row],[SUPPLIER_H]]="","",AK324),MONTH(NOTA[[#This Row],[TGL.NOTA]]))</f>
        <v>5</v>
      </c>
      <c r="AL325" s="27" t="str">
        <f>LOWER(SUBSTITUTE(SUBSTITUTE(SUBSTITUTE(SUBSTITUTE(SUBSTITUTE(SUBSTITUTE(SUBSTITUTE(SUBSTITUTE(SUBSTITUTE(NOTA[NAMA BARANG]," ",),".",""),"-",""),"(",""),")",""),",",""),"/",""),"""",""),"+",""))</f>
        <v>agendaprodeluxebsrpc122</v>
      </c>
      <c r="AM3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agendaprodeluxebsrpc1221260000</v>
      </c>
      <c r="AN3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agendaprodeluxebsrpc1221260000</v>
      </c>
      <c r="AO3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27" t="str">
        <f>IF(NOTA[[#This Row],[CONCAT4]]="","",_xlfn.IFNA(MATCH(NOTA[[#This Row],[CONCAT4]],[2]!RAW[CONCAT_H],0),FALSE))</f>
        <v/>
      </c>
      <c r="AQ325" s="145" t="e">
        <f>IF(NOTA[[#This Row],[CONCAT1]]="","",MATCH(NOTA[[#This Row],[CONCAT1]],[3]!db[NB NOTA_C],0)+1)</f>
        <v>#N/A</v>
      </c>
    </row>
    <row r="326" spans="1:43" ht="20.100000000000001" customHeight="1" x14ac:dyDescent="0.25">
      <c r="A32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4" t="str">
        <f>IF(NOTA[[#This Row],[ID_P]]="","",MATCH(NOTA[[#This Row],[ID_P]],[1]!B_MSK[N_ID],0))</f>
        <v/>
      </c>
      <c r="D326" s="44">
        <f ca="1">IF(NOTA[[#This Row],[NAMA BARANG]]="","",INDEX(NOTA[ID],MATCH(,INDIRECT(ADDRESS(ROW(NOTA[ID]),COLUMN(NOTA[ID]))&amp;":"&amp;ADDRESS(ROW(),COLUMN(NOTA[ID]))),-1)))</f>
        <v>60</v>
      </c>
      <c r="E326" s="47"/>
      <c r="F326" s="16"/>
      <c r="G326" s="16"/>
      <c r="H326" s="20"/>
      <c r="I326" s="16"/>
      <c r="J326" s="46"/>
      <c r="K326" s="48"/>
      <c r="L326" s="16" t="s">
        <v>520</v>
      </c>
      <c r="M326" s="49">
        <v>5</v>
      </c>
      <c r="N326" s="48">
        <v>60</v>
      </c>
      <c r="O326" s="16" t="s">
        <v>125</v>
      </c>
      <c r="P326" s="43">
        <v>72000</v>
      </c>
      <c r="Q326" s="50"/>
      <c r="R326" s="28"/>
      <c r="S326" s="91"/>
      <c r="T326" s="91"/>
      <c r="U326" s="45"/>
      <c r="V326" s="26"/>
      <c r="W326" s="45">
        <f>IF(NOTA[[#This Row],[HARGA/ CTN]]="",NOTA[[#This Row],[JUMLAH_H]],NOTA[[#This Row],[HARGA/ CTN]]*IF(NOTA[[#This Row],[C]]="",0,NOTA[[#This Row],[C]]))</f>
        <v>4320000</v>
      </c>
      <c r="X326" s="45">
        <f>IF(NOTA[[#This Row],[JUMLAH]]="","",NOTA[[#This Row],[JUMLAH]]*NOTA[[#This Row],[DISC 1]])</f>
        <v>0</v>
      </c>
      <c r="Y326" s="45">
        <f>IF(NOTA[[#This Row],[JUMLAH]]="","",(NOTA[[#This Row],[JUMLAH]]-NOTA[[#This Row],[DISC 1-]])*NOTA[[#This Row],[DISC 2]])</f>
        <v>0</v>
      </c>
      <c r="Z326" s="45">
        <f>IF(NOTA[[#This Row],[JUMLAH]]="","",NOTA[[#This Row],[DISC 1-]]+NOTA[[#This Row],[DISC 2-]])</f>
        <v>0</v>
      </c>
      <c r="AA326" s="45">
        <f>IF(NOTA[[#This Row],[JUMLAH]]="","",NOTA[[#This Row],[JUMLAH]]-NOTA[[#This Row],[DISC]])</f>
        <v>4320000</v>
      </c>
      <c r="AB326" s="45"/>
      <c r="AC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3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326" s="45">
        <f>IF(OR(NOTA[[#This Row],[QTY]]="",NOTA[[#This Row],[HARGA SATUAN]]="",),"",NOTA[[#This Row],[QTY]]*NOTA[[#This Row],[HARGA SATUAN]])</f>
        <v>4320000</v>
      </c>
      <c r="AG326" s="46">
        <f ca="1">IF(NOTA[ID_H]="","",INDEX(NOTA[TANGGAL],MATCH(,INDIRECT(ADDRESS(ROW(NOTA[TANGGAL]),COLUMN(NOTA[TANGGAL]))&amp;":"&amp;ADDRESS(ROW(),COLUMN(NOTA[TANGGAL]))),-1)))</f>
        <v>45059</v>
      </c>
      <c r="AH326" s="43" t="str">
        <f ca="1">IF(NOTA[[#This Row],[NAMA BARANG]]="","",INDEX(NOTA[SUPPLIER],MATCH(,INDIRECT(ADDRESS(ROW(NOTA[ID]),COLUMN(NOTA[ID]))&amp;":"&amp;ADDRESS(ROW(),COLUMN(NOTA[ID]))),-1)))</f>
        <v>BINTANG SAUDARA</v>
      </c>
      <c r="AI326" s="43" t="str">
        <f ca="1">IF(NOTA[[#This Row],[ID_H]]="","",IF(NOTA[[#This Row],[FAKTUR]]="",INDIRECT(ADDRESS(ROW()-1,COLUMN())),NOTA[[#This Row],[FAKTUR]]))</f>
        <v>UNTANA</v>
      </c>
      <c r="AJ326" s="27" t="str">
        <f ca="1">IF(NOTA[[#This Row],[ID]]="","",COUNTIF(NOTA[ID_H],NOTA[[#This Row],[ID_H]]))</f>
        <v/>
      </c>
      <c r="AK326" s="27">
        <f ca="1">IF(NOTA[[#This Row],[TGL.NOTA]]="",IF(NOTA[[#This Row],[SUPPLIER_H]]="","",AK325),MONTH(NOTA[[#This Row],[TGL.NOTA]]))</f>
        <v>5</v>
      </c>
      <c r="AL326" s="27" t="str">
        <f>LOWER(SUBSTITUTE(SUBSTITUTE(SUBSTITUTE(SUBSTITUTE(SUBSTITUTE(SUBSTITUTE(SUBSTITUTE(SUBSTITUTE(SUBSTITUTE(NOTA[NAMA BARANG]," ",),".",""),"-",""),"(",""),")",""),",",""),"/",""),"""",""),"+",""))</f>
        <v>clipboardcb8888dove</v>
      </c>
      <c r="AM3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clipboardcb8888dove864000</v>
      </c>
      <c r="AN3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clipboardcb8888dove864000</v>
      </c>
      <c r="AO3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27" t="str">
        <f>IF(NOTA[[#This Row],[CONCAT4]]="","",_xlfn.IFNA(MATCH(NOTA[[#This Row],[CONCAT4]],[2]!RAW[CONCAT_H],0),FALSE))</f>
        <v/>
      </c>
      <c r="AQ326" s="145" t="e">
        <f>IF(NOTA[[#This Row],[CONCAT1]]="","",MATCH(NOTA[[#This Row],[CONCAT1]],[3]!db[NB NOTA_C],0)+1)</f>
        <v>#N/A</v>
      </c>
    </row>
    <row r="327" spans="1:43" ht="20.100000000000001" customHeight="1" x14ac:dyDescent="0.25">
      <c r="A3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6" t="str">
        <f>IF(NOTA[[#This Row],[ID_P]]="","",MATCH(NOTA[[#This Row],[ID_P]],[1]!B_MSK[N_ID],0))</f>
        <v/>
      </c>
      <c r="D327" s="36">
        <f ca="1">IF(NOTA[[#This Row],[NAMA BARANG]]="","",INDEX(NOTA[ID],MATCH(,INDIRECT(ADDRESS(ROW(NOTA[ID]),COLUMN(NOTA[ID]))&amp;":"&amp;ADDRESS(ROW(),COLUMN(NOTA[ID]))),-1)))</f>
        <v>60</v>
      </c>
      <c r="E327" s="14"/>
      <c r="F327" s="16"/>
      <c r="G327" s="16"/>
      <c r="H327" s="20"/>
      <c r="I327" s="16"/>
      <c r="J327" s="37"/>
      <c r="K327" s="16"/>
      <c r="L327" s="16" t="s">
        <v>521</v>
      </c>
      <c r="M327" s="28">
        <v>2</v>
      </c>
      <c r="N327" s="16">
        <v>60</v>
      </c>
      <c r="O327" s="16" t="s">
        <v>125</v>
      </c>
      <c r="P327" s="35">
        <v>43000</v>
      </c>
      <c r="Q327" s="38"/>
      <c r="R327" s="28"/>
      <c r="S327" s="39"/>
      <c r="T327" s="39"/>
      <c r="U327" s="40"/>
      <c r="V327" s="26"/>
      <c r="W327" s="40">
        <f>IF(NOTA[[#This Row],[HARGA/ CTN]]="",NOTA[[#This Row],[JUMLAH_H]],NOTA[[#This Row],[HARGA/ CTN]]*IF(NOTA[[#This Row],[C]]="",0,NOTA[[#This Row],[C]]))</f>
        <v>2580000</v>
      </c>
      <c r="X327" s="40">
        <f>IF(NOTA[[#This Row],[JUMLAH]]="","",NOTA[[#This Row],[JUMLAH]]*NOTA[[#This Row],[DISC 1]])</f>
        <v>0</v>
      </c>
      <c r="Y327" s="40">
        <f>IF(NOTA[[#This Row],[JUMLAH]]="","",(NOTA[[#This Row],[JUMLAH]]-NOTA[[#This Row],[DISC 1-]])*NOTA[[#This Row],[DISC 2]])</f>
        <v>0</v>
      </c>
      <c r="Z327" s="40">
        <f>IF(NOTA[[#This Row],[JUMLAH]]="","",NOTA[[#This Row],[DISC 1-]]+NOTA[[#This Row],[DISC 2-]])</f>
        <v>0</v>
      </c>
      <c r="AA327" s="40">
        <f>IF(NOTA[[#This Row],[JUMLAH]]="","",NOTA[[#This Row],[JUMLAH]]-NOTA[[#This Row],[DISC]])</f>
        <v>2580000</v>
      </c>
      <c r="AB327" s="40"/>
      <c r="AC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3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327" s="40">
        <f>IF(OR(NOTA[[#This Row],[QTY]]="",NOTA[[#This Row],[HARGA SATUAN]]="",),"",NOTA[[#This Row],[QTY]]*NOTA[[#This Row],[HARGA SATUAN]])</f>
        <v>2580000</v>
      </c>
      <c r="AG327" s="37">
        <f ca="1">IF(NOTA[ID_H]="","",INDEX(NOTA[TANGGAL],MATCH(,INDIRECT(ADDRESS(ROW(NOTA[TANGGAL]),COLUMN(NOTA[TANGGAL]))&amp;":"&amp;ADDRESS(ROW(),COLUMN(NOTA[TANGGAL]))),-1)))</f>
        <v>45059</v>
      </c>
      <c r="AH327" s="35" t="str">
        <f ca="1">IF(NOTA[[#This Row],[NAMA BARANG]]="","",INDEX(NOTA[SUPPLIER],MATCH(,INDIRECT(ADDRESS(ROW(NOTA[ID]),COLUMN(NOTA[ID]))&amp;":"&amp;ADDRESS(ROW(),COLUMN(NOTA[ID]))),-1)))</f>
        <v>BINTANG SAUDARA</v>
      </c>
      <c r="AI327" s="35" t="str">
        <f ca="1">IF(NOTA[[#This Row],[ID_H]]="","",IF(NOTA[[#This Row],[FAKTUR]]="",INDIRECT(ADDRESS(ROW()-1,COLUMN())),NOTA[[#This Row],[FAKTUR]]))</f>
        <v>UNTANA</v>
      </c>
      <c r="AJ327" s="27" t="str">
        <f ca="1">IF(NOTA[[#This Row],[ID]]="","",COUNTIF(NOTA[ID_H],NOTA[[#This Row],[ID_H]]))</f>
        <v/>
      </c>
      <c r="AK327" s="27">
        <f ca="1">IF(NOTA[[#This Row],[TGL.NOTA]]="",IF(NOTA[[#This Row],[SUPPLIER_H]]="","",AK326),MONTH(NOTA[[#This Row],[TGL.NOTA]]))</f>
        <v>5</v>
      </c>
      <c r="AL327" s="27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3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3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3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27" t="str">
        <f>IF(NOTA[[#This Row],[CONCAT4]]="","",_xlfn.IFNA(MATCH(NOTA[[#This Row],[CONCAT4]],[2]!RAW[CONCAT_H],0),FALSE))</f>
        <v/>
      </c>
      <c r="AQ327" s="145">
        <f>IF(NOTA[[#This Row],[CONCAT1]]="","",MATCH(NOTA[[#This Row],[CONCAT1]],[3]!db[NB NOTA_C],0)+1)</f>
        <v>1669</v>
      </c>
    </row>
    <row r="328" spans="1:43" ht="20.100000000000001" customHeight="1" x14ac:dyDescent="0.25">
      <c r="A3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6" t="str">
        <f>IF(NOTA[[#This Row],[ID_P]]="","",MATCH(NOTA[[#This Row],[ID_P]],[1]!B_MSK[N_ID],0))</f>
        <v/>
      </c>
      <c r="D328" s="36">
        <f ca="1">IF(NOTA[[#This Row],[NAMA BARANG]]="","",INDEX(NOTA[ID],MATCH(,INDIRECT(ADDRESS(ROW(NOTA[ID]),COLUMN(NOTA[ID]))&amp;":"&amp;ADDRESS(ROW(),COLUMN(NOTA[ID]))),-1)))</f>
        <v>60</v>
      </c>
      <c r="E328" s="14"/>
      <c r="F328" s="16"/>
      <c r="G328" s="16"/>
      <c r="H328" s="20"/>
      <c r="I328" s="16"/>
      <c r="J328" s="37"/>
      <c r="K328" s="16"/>
      <c r="L328" s="16" t="s">
        <v>522</v>
      </c>
      <c r="M328" s="28">
        <v>1</v>
      </c>
      <c r="N328" s="16">
        <v>96</v>
      </c>
      <c r="O328" s="16" t="s">
        <v>160</v>
      </c>
      <c r="P328" s="35">
        <v>18000</v>
      </c>
      <c r="Q328" s="38"/>
      <c r="R328" s="28"/>
      <c r="S328" s="39"/>
      <c r="T328" s="39"/>
      <c r="U328" s="40"/>
      <c r="V328" s="26"/>
      <c r="W328" s="40">
        <f>IF(NOTA[[#This Row],[HARGA/ CTN]]="",NOTA[[#This Row],[JUMLAH_H]],NOTA[[#This Row],[HARGA/ CTN]]*IF(NOTA[[#This Row],[C]]="",0,NOTA[[#This Row],[C]]))</f>
        <v>1728000</v>
      </c>
      <c r="X328" s="40">
        <f>IF(NOTA[[#This Row],[JUMLAH]]="","",NOTA[[#This Row],[JUMLAH]]*NOTA[[#This Row],[DISC 1]])</f>
        <v>0</v>
      </c>
      <c r="Y328" s="40">
        <f>IF(NOTA[[#This Row],[JUMLAH]]="","",(NOTA[[#This Row],[JUMLAH]]-NOTA[[#This Row],[DISC 1-]])*NOTA[[#This Row],[DISC 2]])</f>
        <v>0</v>
      </c>
      <c r="Z328" s="40">
        <f>IF(NOTA[[#This Row],[JUMLAH]]="","",NOTA[[#This Row],[DISC 1-]]+NOTA[[#This Row],[DISC 2-]])</f>
        <v>0</v>
      </c>
      <c r="AA328" s="40">
        <f>IF(NOTA[[#This Row],[JUMLAH]]="","",NOTA[[#This Row],[JUMLAH]]-NOTA[[#This Row],[DISC]])</f>
        <v>1728000</v>
      </c>
      <c r="AB328" s="40"/>
      <c r="AC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3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8" s="40">
        <f>IF(OR(NOTA[[#This Row],[QTY]]="",NOTA[[#This Row],[HARGA SATUAN]]="",),"",NOTA[[#This Row],[QTY]]*NOTA[[#This Row],[HARGA SATUAN]])</f>
        <v>1728000</v>
      </c>
      <c r="AG328" s="37">
        <f ca="1">IF(NOTA[ID_H]="","",INDEX(NOTA[TANGGAL],MATCH(,INDIRECT(ADDRESS(ROW(NOTA[TANGGAL]),COLUMN(NOTA[TANGGAL]))&amp;":"&amp;ADDRESS(ROW(),COLUMN(NOTA[TANGGAL]))),-1)))</f>
        <v>45059</v>
      </c>
      <c r="AH328" s="35" t="str">
        <f ca="1">IF(NOTA[[#This Row],[NAMA BARANG]]="","",INDEX(NOTA[SUPPLIER],MATCH(,INDIRECT(ADDRESS(ROW(NOTA[ID]),COLUMN(NOTA[ID]))&amp;":"&amp;ADDRESS(ROW(),COLUMN(NOTA[ID]))),-1)))</f>
        <v>BINTANG SAUDARA</v>
      </c>
      <c r="AI328" s="35" t="str">
        <f ca="1">IF(NOTA[[#This Row],[ID_H]]="","",IF(NOTA[[#This Row],[FAKTUR]]="",INDIRECT(ADDRESS(ROW()-1,COLUMN())),NOTA[[#This Row],[FAKTUR]]))</f>
        <v>UNTANA</v>
      </c>
      <c r="AJ328" s="27" t="str">
        <f ca="1">IF(NOTA[[#This Row],[ID]]="","",COUNTIF(NOTA[ID_H],NOTA[[#This Row],[ID_H]]))</f>
        <v/>
      </c>
      <c r="AK328" s="27">
        <f ca="1">IF(NOTA[[#This Row],[TGL.NOTA]]="",IF(NOTA[[#This Row],[SUPPLIER_H]]="","",AK327),MONTH(NOTA[[#This Row],[TGL.NOTA]]))</f>
        <v>5</v>
      </c>
      <c r="AL328" s="27" t="str">
        <f>LOWER(SUBSTITUTE(SUBSTITUTE(SUBSTITUTE(SUBSTITUTE(SUBSTITUTE(SUBSTITUTE(SUBSTITUTE(SUBSTITUTE(SUBSTITUTE(NOTA[NAMA BARANG]," ",),".",""),"-",""),"(",""),")",""),",",""),"/",""),"""",""),"+",""))</f>
        <v>notebookexclusive0801</v>
      </c>
      <c r="AM3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notebookexclusive08011728000</v>
      </c>
      <c r="AN3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notebookexclusive08011728000</v>
      </c>
      <c r="AO3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27" t="str">
        <f>IF(NOTA[[#This Row],[CONCAT4]]="","",_xlfn.IFNA(MATCH(NOTA[[#This Row],[CONCAT4]],[2]!RAW[CONCAT_H],0),FALSE))</f>
        <v/>
      </c>
      <c r="AQ328" s="145">
        <f>IF(NOTA[[#This Row],[CONCAT1]]="","",MATCH(NOTA[[#This Row],[CONCAT1]],[3]!db[NB NOTA_C],0)+1)</f>
        <v>1680</v>
      </c>
    </row>
    <row r="329" spans="1:43" ht="20.100000000000001" customHeight="1" x14ac:dyDescent="0.25">
      <c r="A3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6" t="str">
        <f>IF(NOTA[[#This Row],[ID_P]]="","",MATCH(NOTA[[#This Row],[ID_P]],[1]!B_MSK[N_ID],0))</f>
        <v/>
      </c>
      <c r="D329" s="36">
        <f ca="1">IF(NOTA[[#This Row],[NAMA BARANG]]="","",INDEX(NOTA[ID],MATCH(,INDIRECT(ADDRESS(ROW(NOTA[ID]),COLUMN(NOTA[ID]))&amp;":"&amp;ADDRESS(ROW(),COLUMN(NOTA[ID]))),-1)))</f>
        <v>60</v>
      </c>
      <c r="E329" s="14"/>
      <c r="F329" s="16"/>
      <c r="G329" s="16"/>
      <c r="H329" s="20"/>
      <c r="I329" s="16"/>
      <c r="J329" s="37"/>
      <c r="K329" s="16"/>
      <c r="L329" s="16" t="s">
        <v>523</v>
      </c>
      <c r="M329" s="28">
        <v>5</v>
      </c>
      <c r="N329" s="16">
        <v>300</v>
      </c>
      <c r="O329" s="16" t="s">
        <v>125</v>
      </c>
      <c r="P329" s="35">
        <v>29500</v>
      </c>
      <c r="Q329" s="38"/>
      <c r="R329" s="28"/>
      <c r="S329" s="39"/>
      <c r="T329" s="39"/>
      <c r="U329" s="40"/>
      <c r="V329" s="26"/>
      <c r="W329" s="40">
        <f>IF(NOTA[[#This Row],[HARGA/ CTN]]="",NOTA[[#This Row],[JUMLAH_H]],NOTA[[#This Row],[HARGA/ CTN]]*IF(NOTA[[#This Row],[C]]="",0,NOTA[[#This Row],[C]]))</f>
        <v>8850000</v>
      </c>
      <c r="X329" s="40">
        <f>IF(NOTA[[#This Row],[JUMLAH]]="","",NOTA[[#This Row],[JUMLAH]]*NOTA[[#This Row],[DISC 1]])</f>
        <v>0</v>
      </c>
      <c r="Y329" s="40">
        <f>IF(NOTA[[#This Row],[JUMLAH]]="","",(NOTA[[#This Row],[JUMLAH]]-NOTA[[#This Row],[DISC 1-]])*NOTA[[#This Row],[DISC 2]])</f>
        <v>0</v>
      </c>
      <c r="Z329" s="40">
        <f>IF(NOTA[[#This Row],[JUMLAH]]="","",NOTA[[#This Row],[DISC 1-]]+NOTA[[#This Row],[DISC 2-]])</f>
        <v>0</v>
      </c>
      <c r="AA329" s="40">
        <f>IF(NOTA[[#This Row],[JUMLAH]]="","",NOTA[[#This Row],[JUMLAH]]-NOTA[[#This Row],[DISC]])</f>
        <v>8850000</v>
      </c>
      <c r="AB329" s="40"/>
      <c r="AC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329" s="40">
        <f>IF(OR(NOTA[[#This Row],[QTY]]="",NOTA[[#This Row],[HARGA SATUAN]]="",),"",NOTA[[#This Row],[QTY]]*NOTA[[#This Row],[HARGA SATUAN]])</f>
        <v>8850000</v>
      </c>
      <c r="AG329" s="37">
        <f ca="1">IF(NOTA[ID_H]="","",INDEX(NOTA[TANGGAL],MATCH(,INDIRECT(ADDRESS(ROW(NOTA[TANGGAL]),COLUMN(NOTA[TANGGAL]))&amp;":"&amp;ADDRESS(ROW(),COLUMN(NOTA[TANGGAL]))),-1)))</f>
        <v>45059</v>
      </c>
      <c r="AH329" s="35" t="str">
        <f ca="1">IF(NOTA[[#This Row],[NAMA BARANG]]="","",INDEX(NOTA[SUPPLIER],MATCH(,INDIRECT(ADDRESS(ROW(NOTA[ID]),COLUMN(NOTA[ID]))&amp;":"&amp;ADDRESS(ROW(),COLUMN(NOTA[ID]))),-1)))</f>
        <v>BINTANG SAUDARA</v>
      </c>
      <c r="AI329" s="35" t="str">
        <f ca="1">IF(NOTA[[#This Row],[ID_H]]="","",IF(NOTA[[#This Row],[FAKTUR]]="",INDIRECT(ADDRESS(ROW()-1,COLUMN())),NOTA[[#This Row],[FAKTUR]]))</f>
        <v>UNTANA</v>
      </c>
      <c r="AJ329" s="27" t="str">
        <f ca="1">IF(NOTA[[#This Row],[ID]]="","",COUNTIF(NOTA[ID_H],NOTA[[#This Row],[ID_H]]))</f>
        <v/>
      </c>
      <c r="AK329" s="27">
        <f ca="1">IF(NOTA[[#This Row],[TGL.NOTA]]="",IF(NOTA[[#This Row],[SUPPLIER_H]]="","",AK328),MONTH(NOTA[[#This Row],[TGL.NOTA]]))</f>
        <v>5</v>
      </c>
      <c r="AL329" s="27" t="str">
        <f>LOWER(SUBSTITUTE(SUBSTITUTE(SUBSTITUTE(SUBSTITUTE(SUBSTITUTE(SUBSTITUTE(SUBSTITUTE(SUBSTITUTE(SUBSTITUTE(NOTA[NAMA BARANG]," ",),".",""),"-",""),"(",""),")",""),",",""),"/",""),"""",""),"+",""))</f>
        <v>notes1568daddtelp</v>
      </c>
      <c r="AM3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notes1568daddtelp1770000</v>
      </c>
      <c r="AN3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notes1568daddtelp1770000</v>
      </c>
      <c r="AO3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27" t="str">
        <f>IF(NOTA[[#This Row],[CONCAT4]]="","",_xlfn.IFNA(MATCH(NOTA[[#This Row],[CONCAT4]],[2]!RAW[CONCAT_H],0),FALSE))</f>
        <v/>
      </c>
      <c r="AQ329" s="145" t="e">
        <f>IF(NOTA[[#This Row],[CONCAT1]]="","",MATCH(NOTA[[#This Row],[CONCAT1]],[3]!db[NB NOTA_C],0)+1)</f>
        <v>#N/A</v>
      </c>
    </row>
    <row r="330" spans="1:43" ht="20.100000000000001" customHeight="1" x14ac:dyDescent="0.25">
      <c r="A330" s="1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6" t="str">
        <f>IF(NOTA[[#This Row],[ID_P]]="","",MATCH(NOTA[[#This Row],[ID_P]],[1]!B_MSK[N_ID],0))</f>
        <v/>
      </c>
      <c r="D330" s="36">
        <f ca="1">IF(NOTA[[#This Row],[NAMA BARANG]]="","",INDEX(NOTA[ID],MATCH(,INDIRECT(ADDRESS(ROW(NOTA[ID]),COLUMN(NOTA[ID]))&amp;":"&amp;ADDRESS(ROW(),COLUMN(NOTA[ID]))),-1)))</f>
        <v>60</v>
      </c>
      <c r="E330" s="14"/>
      <c r="F330" s="16"/>
      <c r="G330" s="16"/>
      <c r="H330" s="20"/>
      <c r="I330" s="16"/>
      <c r="J330" s="37"/>
      <c r="K330" s="16"/>
      <c r="L330" s="16" t="s">
        <v>524</v>
      </c>
      <c r="M330" s="28">
        <v>2</v>
      </c>
      <c r="N330" s="16">
        <v>60</v>
      </c>
      <c r="O330" s="16" t="s">
        <v>125</v>
      </c>
      <c r="P330" s="35">
        <v>25500</v>
      </c>
      <c r="Q330" s="38"/>
      <c r="R330" s="28"/>
      <c r="S330" s="39"/>
      <c r="T330" s="39"/>
      <c r="U330" s="40"/>
      <c r="V330" s="26"/>
      <c r="W330" s="40">
        <f>IF(NOTA[[#This Row],[HARGA/ CTN]]="",NOTA[[#This Row],[JUMLAH_H]],NOTA[[#This Row],[HARGA/ CTN]]*IF(NOTA[[#This Row],[C]]="",0,NOTA[[#This Row],[C]]))</f>
        <v>1530000</v>
      </c>
      <c r="X330" s="40">
        <f>IF(NOTA[[#This Row],[JUMLAH]]="","",NOTA[[#This Row],[JUMLAH]]*NOTA[[#This Row],[DISC 1]])</f>
        <v>0</v>
      </c>
      <c r="Y330" s="40">
        <f>IF(NOTA[[#This Row],[JUMLAH]]="","",(NOTA[[#This Row],[JUMLAH]]-NOTA[[#This Row],[DISC 1-]])*NOTA[[#This Row],[DISC 2]])</f>
        <v>0</v>
      </c>
      <c r="Z330" s="40">
        <f>IF(NOTA[[#This Row],[JUMLAH]]="","",NOTA[[#This Row],[DISC 1-]]+NOTA[[#This Row],[DISC 2-]])</f>
        <v>0</v>
      </c>
      <c r="AA330" s="40">
        <f>IF(NOTA[[#This Row],[JUMLAH]]="","",NOTA[[#This Row],[JUMLAH]]-NOTA[[#This Row],[DISC]])</f>
        <v>1530000</v>
      </c>
      <c r="AB330" s="40"/>
      <c r="AC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3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330" s="40">
        <f>IF(OR(NOTA[[#This Row],[QTY]]="",NOTA[[#This Row],[HARGA SATUAN]]="",),"",NOTA[[#This Row],[QTY]]*NOTA[[#This Row],[HARGA SATUAN]])</f>
        <v>1530000</v>
      </c>
      <c r="AG330" s="37">
        <f ca="1">IF(NOTA[ID_H]="","",INDEX(NOTA[TANGGAL],MATCH(,INDIRECT(ADDRESS(ROW(NOTA[TANGGAL]),COLUMN(NOTA[TANGGAL]))&amp;":"&amp;ADDRESS(ROW(),COLUMN(NOTA[TANGGAL]))),-1)))</f>
        <v>45059</v>
      </c>
      <c r="AH330" s="35" t="str">
        <f ca="1">IF(NOTA[[#This Row],[NAMA BARANG]]="","",INDEX(NOTA[SUPPLIER],MATCH(,INDIRECT(ADDRESS(ROW(NOTA[ID]),COLUMN(NOTA[ID]))&amp;":"&amp;ADDRESS(ROW(),COLUMN(NOTA[ID]))),-1)))</f>
        <v>BINTANG SAUDARA</v>
      </c>
      <c r="AI330" s="35" t="str">
        <f ca="1">IF(NOTA[[#This Row],[ID_H]]="","",IF(NOTA[[#This Row],[FAKTUR]]="",INDIRECT(ADDRESS(ROW()-1,COLUMN())),NOTA[[#This Row],[FAKTUR]]))</f>
        <v>UNTANA</v>
      </c>
      <c r="AJ330" s="27" t="str">
        <f ca="1">IF(NOTA[[#This Row],[ID]]="","",COUNTIF(NOTA[ID_H],NOTA[[#This Row],[ID_H]]))</f>
        <v/>
      </c>
      <c r="AK330" s="27">
        <f ca="1">IF(NOTA[[#This Row],[TGL.NOTA]]="",IF(NOTA[[#This Row],[SUPPLIER_H]]="","",AK329),MONTH(NOTA[[#This Row],[TGL.NOTA]]))</f>
        <v>5</v>
      </c>
      <c r="AL330" s="27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3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3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3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27" t="str">
        <f>IF(NOTA[[#This Row],[CONCAT4]]="","",_xlfn.IFNA(MATCH(NOTA[[#This Row],[CONCAT4]],[2]!RAW[CONCAT_H],0),FALSE))</f>
        <v/>
      </c>
      <c r="AQ330" s="145">
        <f>IF(NOTA[[#This Row],[CONCAT1]]="","",MATCH(NOTA[[#This Row],[CONCAT1]],[3]!db[NB NOTA_C],0)+1)</f>
        <v>1772</v>
      </c>
    </row>
    <row r="331" spans="1:43" ht="20.100000000000001" customHeight="1" x14ac:dyDescent="0.25">
      <c r="A3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6" t="str">
        <f>IF(NOTA[[#This Row],[ID_P]]="","",MATCH(NOTA[[#This Row],[ID_P]],[1]!B_MSK[N_ID],0))</f>
        <v/>
      </c>
      <c r="D331" s="36">
        <f ca="1">IF(NOTA[[#This Row],[NAMA BARANG]]="","",INDEX(NOTA[ID],MATCH(,INDIRECT(ADDRESS(ROW(NOTA[ID]),COLUMN(NOTA[ID]))&amp;":"&amp;ADDRESS(ROW(),COLUMN(NOTA[ID]))),-1)))</f>
        <v>60</v>
      </c>
      <c r="E331" s="14"/>
      <c r="F331" s="16"/>
      <c r="G331" s="16"/>
      <c r="H331" s="20"/>
      <c r="I331" s="16"/>
      <c r="J331" s="37"/>
      <c r="K331" s="16"/>
      <c r="L331" s="16" t="s">
        <v>525</v>
      </c>
      <c r="M331" s="28">
        <v>2</v>
      </c>
      <c r="N331" s="16">
        <v>80</v>
      </c>
      <c r="O331" s="16" t="s">
        <v>125</v>
      </c>
      <c r="P331" s="35">
        <v>22500</v>
      </c>
      <c r="Q331" s="38"/>
      <c r="R331" s="28"/>
      <c r="S331" s="39"/>
      <c r="T331" s="39"/>
      <c r="U331" s="40"/>
      <c r="V331" s="26"/>
      <c r="W331" s="40">
        <f>IF(NOTA[[#This Row],[HARGA/ CTN]]="",NOTA[[#This Row],[JUMLAH_H]],NOTA[[#This Row],[HARGA/ CTN]]*IF(NOTA[[#This Row],[C]]="",0,NOTA[[#This Row],[C]]))</f>
        <v>1800000</v>
      </c>
      <c r="X331" s="40">
        <f>IF(NOTA[[#This Row],[JUMLAH]]="","",NOTA[[#This Row],[JUMLAH]]*NOTA[[#This Row],[DISC 1]])</f>
        <v>0</v>
      </c>
      <c r="Y331" s="40">
        <f>IF(NOTA[[#This Row],[JUMLAH]]="","",(NOTA[[#This Row],[JUMLAH]]-NOTA[[#This Row],[DISC 1-]])*NOTA[[#This Row],[DISC 2]])</f>
        <v>0</v>
      </c>
      <c r="Z331" s="40">
        <f>IF(NOTA[[#This Row],[JUMLAH]]="","",NOTA[[#This Row],[DISC 1-]]+NOTA[[#This Row],[DISC 2-]])</f>
        <v>0</v>
      </c>
      <c r="AA331" s="40">
        <f>IF(NOTA[[#This Row],[JUMLAH]]="","",NOTA[[#This Row],[JUMLAH]]-NOTA[[#This Row],[DISC]])</f>
        <v>1800000</v>
      </c>
      <c r="AB331" s="40"/>
      <c r="AC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24468000</v>
      </c>
      <c r="AE331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31" s="40">
        <f>IF(OR(NOTA[[#This Row],[QTY]]="",NOTA[[#This Row],[HARGA SATUAN]]="",),"",NOTA[[#This Row],[QTY]]*NOTA[[#This Row],[HARGA SATUAN]])</f>
        <v>1800000</v>
      </c>
      <c r="AG331" s="37">
        <f ca="1">IF(NOTA[ID_H]="","",INDEX(NOTA[TANGGAL],MATCH(,INDIRECT(ADDRESS(ROW(NOTA[TANGGAL]),COLUMN(NOTA[TANGGAL]))&amp;":"&amp;ADDRESS(ROW(),COLUMN(NOTA[TANGGAL]))),-1)))</f>
        <v>45059</v>
      </c>
      <c r="AH331" s="35" t="str">
        <f ca="1">IF(NOTA[[#This Row],[NAMA BARANG]]="","",INDEX(NOTA[SUPPLIER],MATCH(,INDIRECT(ADDRESS(ROW(NOTA[ID]),COLUMN(NOTA[ID]))&amp;":"&amp;ADDRESS(ROW(),COLUMN(NOTA[ID]))),-1)))</f>
        <v>BINTANG SAUDARA</v>
      </c>
      <c r="AI331" s="35" t="str">
        <f ca="1">IF(NOTA[[#This Row],[ID_H]]="","",IF(NOTA[[#This Row],[FAKTUR]]="",INDIRECT(ADDRESS(ROW()-1,COLUMN())),NOTA[[#This Row],[FAKTUR]]))</f>
        <v>UNTANA</v>
      </c>
      <c r="AJ331" s="27" t="str">
        <f ca="1">IF(NOTA[[#This Row],[ID]]="","",COUNTIF(NOTA[ID_H],NOTA[[#This Row],[ID_H]]))</f>
        <v/>
      </c>
      <c r="AK331" s="27">
        <f ca="1">IF(NOTA[[#This Row],[TGL.NOTA]]="",IF(NOTA[[#This Row],[SUPPLIER_H]]="","",AK330),MONTH(NOTA[[#This Row],[TGL.NOTA]]))</f>
        <v>5</v>
      </c>
      <c r="AL331" s="27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3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3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3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27" t="str">
        <f>IF(NOTA[[#This Row],[CONCAT4]]="","",_xlfn.IFNA(MATCH(NOTA[[#This Row],[CONCAT4]],[2]!RAW[CONCAT_H],0),FALSE))</f>
        <v/>
      </c>
      <c r="AQ331" s="145" t="e">
        <f>IF(NOTA[[#This Row],[CONCAT1]]="","",MATCH(NOTA[[#This Row],[CONCAT1]],[3]!db[NB NOTA_C],0)+1)</f>
        <v>#N/A</v>
      </c>
    </row>
    <row r="332" spans="1:43" ht="20.100000000000001" customHeight="1" x14ac:dyDescent="0.25">
      <c r="A3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6" t="str">
        <f>IF(NOTA[[#This Row],[ID_P]]="","",MATCH(NOTA[[#This Row],[ID_P]],[1]!B_MSK[N_ID],0))</f>
        <v/>
      </c>
      <c r="D332" s="36" t="str">
        <f ca="1">IF(NOTA[[#This Row],[NAMA BARANG]]="","",INDEX(NOTA[ID],MATCH(,INDIRECT(ADDRESS(ROW(NOTA[ID]),COLUMN(NOTA[ID]))&amp;":"&amp;ADDRESS(ROW(),COLUMN(NOTA[ID]))),-1)))</f>
        <v/>
      </c>
      <c r="E332" s="14"/>
      <c r="F332" s="16"/>
      <c r="G332" s="16"/>
      <c r="H332" s="20"/>
      <c r="I332" s="16"/>
      <c r="J332" s="37"/>
      <c r="K332" s="16"/>
      <c r="L332" s="16"/>
      <c r="M332" s="28"/>
      <c r="N332" s="16"/>
      <c r="O332" s="16"/>
      <c r="P332" s="35"/>
      <c r="Q332" s="38"/>
      <c r="R332" s="28"/>
      <c r="S332" s="39"/>
      <c r="T332" s="39"/>
      <c r="U332" s="40"/>
      <c r="V332" s="26"/>
      <c r="W332" s="40" t="str">
        <f>IF(NOTA[[#This Row],[HARGA/ CTN]]="",NOTA[[#This Row],[JUMLAH_H]],NOTA[[#This Row],[HARGA/ CTN]]*IF(NOTA[[#This Row],[C]]="",0,NOTA[[#This Row],[C]]))</f>
        <v/>
      </c>
      <c r="X332" s="40" t="str">
        <f>IF(NOTA[[#This Row],[JUMLAH]]="","",NOTA[[#This Row],[JUMLAH]]*NOTA[[#This Row],[DISC 1]])</f>
        <v/>
      </c>
      <c r="Y332" s="40" t="str">
        <f>IF(NOTA[[#This Row],[JUMLAH]]="","",(NOTA[[#This Row],[JUMLAH]]-NOTA[[#This Row],[DISC 1-]])*NOTA[[#This Row],[DISC 2]])</f>
        <v/>
      </c>
      <c r="Z332" s="40" t="str">
        <f>IF(NOTA[[#This Row],[JUMLAH]]="","",NOTA[[#This Row],[DISC 1-]]+NOTA[[#This Row],[DISC 2-]])</f>
        <v/>
      </c>
      <c r="AA332" s="40" t="str">
        <f>IF(NOTA[[#This Row],[JUMLAH]]="","",NOTA[[#This Row],[JUMLAH]]-NOTA[[#This Row],[DISC]])</f>
        <v/>
      </c>
      <c r="AB332" s="40"/>
      <c r="AC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40" t="str">
        <f>IF(OR(NOTA[[#This Row],[QTY]]="",NOTA[[#This Row],[HARGA SATUAN]]="",),"",NOTA[[#This Row],[QTY]]*NOTA[[#This Row],[HARGA SATUAN]])</f>
        <v/>
      </c>
      <c r="AG332" s="37" t="str">
        <f ca="1">IF(NOTA[ID_H]="","",INDEX(NOTA[TANGGAL],MATCH(,INDIRECT(ADDRESS(ROW(NOTA[TANGGAL]),COLUMN(NOTA[TANGGAL]))&amp;":"&amp;ADDRESS(ROW(),COLUMN(NOTA[TANGGAL]))),-1)))</f>
        <v/>
      </c>
      <c r="AH332" s="35" t="str">
        <f ca="1">IF(NOTA[[#This Row],[NAMA BARANG]]="","",INDEX(NOTA[SUPPLIER],MATCH(,INDIRECT(ADDRESS(ROW(NOTA[ID]),COLUMN(NOTA[ID]))&amp;":"&amp;ADDRESS(ROW(),COLUMN(NOTA[ID]))),-1)))</f>
        <v/>
      </c>
      <c r="AI332" s="35" t="str">
        <f ca="1">IF(NOTA[[#This Row],[ID_H]]="","",IF(NOTA[[#This Row],[FAKTUR]]="",INDIRECT(ADDRESS(ROW()-1,COLUMN())),NOTA[[#This Row],[FAKTUR]]))</f>
        <v/>
      </c>
      <c r="AJ332" s="27" t="str">
        <f ca="1">IF(NOTA[[#This Row],[ID]]="","",COUNTIF(NOTA[ID_H],NOTA[[#This Row],[ID_H]]))</f>
        <v/>
      </c>
      <c r="AK332" s="27" t="str">
        <f ca="1">IF(NOTA[[#This Row],[TGL.NOTA]]="",IF(NOTA[[#This Row],[SUPPLIER_H]]="","",AK331),MONTH(NOTA[[#This Row],[TGL.NOTA]]))</f>
        <v/>
      </c>
      <c r="AL332" s="27" t="str">
        <f>LOWER(SUBSTITUTE(SUBSTITUTE(SUBSTITUTE(SUBSTITUTE(SUBSTITUTE(SUBSTITUTE(SUBSTITUTE(SUBSTITUTE(SUBSTITUTE(NOTA[NAMA BARANG]," ",),".",""),"-",""),"(",""),")",""),",",""),"/",""),"""",""),"+",""))</f>
        <v/>
      </c>
      <c r="AM3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27" t="str">
        <f>IF(NOTA[[#This Row],[CONCAT4]]="","",_xlfn.IFNA(MATCH(NOTA[[#This Row],[CONCAT4]],[2]!RAW[CONCAT_H],0),FALSE))</f>
        <v/>
      </c>
      <c r="AQ332" s="145" t="str">
        <f>IF(NOTA[[#This Row],[CONCAT1]]="","",MATCH(NOTA[[#This Row],[CONCAT1]],[3]!db[NB NOTA_C],0)+1)</f>
        <v/>
      </c>
    </row>
    <row r="333" spans="1:43" ht="20.100000000000001" customHeight="1" x14ac:dyDescent="0.25">
      <c r="A333" s="35">
        <f ca="1">IF(INDIRECT(ADDRESS(ROW()-1,COLUMN(NOTA[[#Headers],[ID]])))="ID",1,IF(NOTA[[#This Row],[FAKTUR]]="","",COUNT(INDIRECT(ADDRESS(ROW(NOTA[ID]),COLUMN(NOTA[ID]))&amp;":"&amp;ADDRESS(ROW()-1,COLUMN(NOTA[ID]))))+1))</f>
        <v>61</v>
      </c>
      <c r="B3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BIN_1305_208-10</v>
      </c>
      <c r="C333" s="36" t="e">
        <f ca="1">IF(NOTA[[#This Row],[ID_P]]="","",MATCH(NOTA[[#This Row],[ID_P]],[1]!B_MSK[N_ID],0))</f>
        <v>#REF!</v>
      </c>
      <c r="D333" s="36">
        <f ca="1">IF(NOTA[[#This Row],[NAMA BARANG]]="","",INDEX(NOTA[ID],MATCH(,INDIRECT(ADDRESS(ROW(NOTA[ID]),COLUMN(NOTA[ID]))&amp;":"&amp;ADDRESS(ROW(),COLUMN(NOTA[ID]))),-1)))</f>
        <v>61</v>
      </c>
      <c r="E333" s="14"/>
      <c r="F333" s="16" t="s">
        <v>515</v>
      </c>
      <c r="G333" s="16" t="s">
        <v>112</v>
      </c>
      <c r="H333" s="20" t="s">
        <v>526</v>
      </c>
      <c r="I333" s="16"/>
      <c r="J333" s="37">
        <v>45055</v>
      </c>
      <c r="K333" s="37"/>
      <c r="L333" s="16" t="s">
        <v>527</v>
      </c>
      <c r="M333" s="28"/>
      <c r="N333" s="16">
        <v>144</v>
      </c>
      <c r="O333" s="16" t="s">
        <v>160</v>
      </c>
      <c r="P333" s="35">
        <v>4500</v>
      </c>
      <c r="Q333" s="38"/>
      <c r="R333" s="28"/>
      <c r="S333" s="39"/>
      <c r="T333" s="39"/>
      <c r="U333" s="40"/>
      <c r="V333" s="26"/>
      <c r="W333" s="40">
        <f>IF(NOTA[[#This Row],[HARGA/ CTN]]="",NOTA[[#This Row],[JUMLAH_H]],NOTA[[#This Row],[HARGA/ CTN]]*IF(NOTA[[#This Row],[C]]="",0,NOTA[[#This Row],[C]]))</f>
        <v>648000</v>
      </c>
      <c r="X333" s="40">
        <f>IF(NOTA[[#This Row],[JUMLAH]]="","",NOTA[[#This Row],[JUMLAH]]*NOTA[[#This Row],[DISC 1]])</f>
        <v>0</v>
      </c>
      <c r="Y333" s="40">
        <f>IF(NOTA[[#This Row],[JUMLAH]]="","",(NOTA[[#This Row],[JUMLAH]]-NOTA[[#This Row],[DISC 1-]])*NOTA[[#This Row],[DISC 2]])</f>
        <v>0</v>
      </c>
      <c r="Z333" s="40">
        <f>IF(NOTA[[#This Row],[JUMLAH]]="","",NOTA[[#This Row],[DISC 1-]]+NOTA[[#This Row],[DISC 2-]])</f>
        <v>0</v>
      </c>
      <c r="AA333" s="40">
        <f>IF(NOTA[[#This Row],[JUMLAH]]="","",NOTA[[#This Row],[JUMLAH]]-NOTA[[#This Row],[DISC]])</f>
        <v>648000</v>
      </c>
      <c r="AB333" s="40"/>
      <c r="AC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35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F333" s="40">
        <f>IF(OR(NOTA[[#This Row],[QTY]]="",NOTA[[#This Row],[HARGA SATUAN]]="",),"",NOTA[[#This Row],[QTY]]*NOTA[[#This Row],[HARGA SATUAN]])</f>
        <v>648000</v>
      </c>
      <c r="AG333" s="37">
        <f ca="1">IF(NOTA[ID_H]="","",INDEX(NOTA[TANGGAL],MATCH(,INDIRECT(ADDRESS(ROW(NOTA[TANGGAL]),COLUMN(NOTA[TANGGAL]))&amp;":"&amp;ADDRESS(ROW(),COLUMN(NOTA[TANGGAL]))),-1)))</f>
        <v>45059</v>
      </c>
      <c r="AH333" s="35" t="str">
        <f ca="1">IF(NOTA[[#This Row],[NAMA BARANG]]="","",INDEX(NOTA[SUPPLIER],MATCH(,INDIRECT(ADDRESS(ROW(NOTA[ID]),COLUMN(NOTA[ID]))&amp;":"&amp;ADDRESS(ROW(),COLUMN(NOTA[ID]))),-1)))</f>
        <v>BINTANG SAUDARA</v>
      </c>
      <c r="AI333" s="35" t="str">
        <f ca="1">IF(NOTA[[#This Row],[ID_H]]="","",IF(NOTA[[#This Row],[FAKTUR]]="",INDIRECT(ADDRESS(ROW()-1,COLUMN())),NOTA[[#This Row],[FAKTUR]]))</f>
        <v>UNTANA</v>
      </c>
      <c r="AJ333" s="27">
        <f ca="1">IF(NOTA[[#This Row],[ID]]="","",COUNTIF(NOTA[ID_H],NOTA[[#This Row],[ID_H]]))</f>
        <v>10</v>
      </c>
      <c r="AK333" s="27">
        <f>IF(NOTA[[#This Row],[TGL.NOTA]]="",IF(NOTA[[#This Row],[SUPPLIER_H]]="","",AK332),MONTH(NOTA[[#This Row],[TGL.NOTA]]))</f>
        <v>5</v>
      </c>
      <c r="AL333" s="27" t="str">
        <f>LOWER(SUBSTITUTE(SUBSTITUTE(SUBSTITUTE(SUBSTITUTE(SUBSTITUTE(SUBSTITUTE(SUBSTITUTE(SUBSTITUTE(SUBSTITUTE(NOTA[NAMA BARANG]," ",),".",""),"-",""),"(",""),")",""),",",""),"/",""),"""",""),"+",""))</f>
        <v>acrylicnt7x10cm</v>
      </c>
      <c r="AM3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acrylicnt7x10cm648000</v>
      </c>
      <c r="AN3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acrylicnt7x10cm4500</v>
      </c>
      <c r="AO333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SAUDARAUNTANASO202305008020845055acrylicnt7x10cm</v>
      </c>
      <c r="AP333" s="27" t="e">
        <f>IF(NOTA[[#This Row],[CONCAT4]]="","",_xlfn.IFNA(MATCH(NOTA[[#This Row],[CONCAT4]],[2]!RAW[CONCAT_H],0),FALSE))</f>
        <v>#REF!</v>
      </c>
      <c r="AQ333" s="145" t="e">
        <f>IF(NOTA[[#This Row],[CONCAT1]]="","",MATCH(NOTA[[#This Row],[CONCAT1]],[3]!db[NB NOTA_C],0)+1)</f>
        <v>#N/A</v>
      </c>
    </row>
    <row r="334" spans="1:43" ht="20.100000000000001" customHeight="1" x14ac:dyDescent="0.25">
      <c r="A3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6" t="str">
        <f>IF(NOTA[[#This Row],[ID_P]]="","",MATCH(NOTA[[#This Row],[ID_P]],[1]!B_MSK[N_ID],0))</f>
        <v/>
      </c>
      <c r="D334" s="36">
        <f ca="1">IF(NOTA[[#This Row],[NAMA BARANG]]="","",INDEX(NOTA[ID],MATCH(,INDIRECT(ADDRESS(ROW(NOTA[ID]),COLUMN(NOTA[ID]))&amp;":"&amp;ADDRESS(ROW(),COLUMN(NOTA[ID]))),-1)))</f>
        <v>61</v>
      </c>
      <c r="E334" s="14"/>
      <c r="F334" s="16"/>
      <c r="G334" s="16"/>
      <c r="H334" s="20"/>
      <c r="I334" s="16"/>
      <c r="J334" s="37"/>
      <c r="K334" s="16"/>
      <c r="L334" s="16" t="s">
        <v>528</v>
      </c>
      <c r="M334" s="28"/>
      <c r="N334" s="16">
        <v>144</v>
      </c>
      <c r="O334" s="16" t="s">
        <v>160</v>
      </c>
      <c r="P334" s="35">
        <v>13500</v>
      </c>
      <c r="Q334" s="38"/>
      <c r="R334" s="28"/>
      <c r="S334" s="39"/>
      <c r="T334" s="39"/>
      <c r="U334" s="40"/>
      <c r="V334" s="26"/>
      <c r="W334" s="40">
        <f>IF(NOTA[[#This Row],[HARGA/ CTN]]="",NOTA[[#This Row],[JUMLAH_H]],NOTA[[#This Row],[HARGA/ CTN]]*IF(NOTA[[#This Row],[C]]="",0,NOTA[[#This Row],[C]]))</f>
        <v>1944000</v>
      </c>
      <c r="X334" s="40">
        <f>IF(NOTA[[#This Row],[JUMLAH]]="","",NOTA[[#This Row],[JUMLAH]]*NOTA[[#This Row],[DISC 1]])</f>
        <v>0</v>
      </c>
      <c r="Y334" s="40">
        <f>IF(NOTA[[#This Row],[JUMLAH]]="","",(NOTA[[#This Row],[JUMLAH]]-NOTA[[#This Row],[DISC 1-]])*NOTA[[#This Row],[DISC 2]])</f>
        <v>0</v>
      </c>
      <c r="Z334" s="40">
        <f>IF(NOTA[[#This Row],[JUMLAH]]="","",NOTA[[#This Row],[DISC 1-]]+NOTA[[#This Row],[DISC 2-]])</f>
        <v>0</v>
      </c>
      <c r="AA334" s="40">
        <f>IF(NOTA[[#This Row],[JUMLAH]]="","",NOTA[[#This Row],[JUMLAH]]-NOTA[[#This Row],[DISC]])</f>
        <v>1944000</v>
      </c>
      <c r="AB334" s="40"/>
      <c r="AC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334" s="40">
        <f>IF(OR(NOTA[[#This Row],[QTY]]="",NOTA[[#This Row],[HARGA SATUAN]]="",),"",NOTA[[#This Row],[QTY]]*NOTA[[#This Row],[HARGA SATUAN]])</f>
        <v>1944000</v>
      </c>
      <c r="AG334" s="37">
        <f ca="1">IF(NOTA[ID_H]="","",INDEX(NOTA[TANGGAL],MATCH(,INDIRECT(ADDRESS(ROW(NOTA[TANGGAL]),COLUMN(NOTA[TANGGAL]))&amp;":"&amp;ADDRESS(ROW(),COLUMN(NOTA[TANGGAL]))),-1)))</f>
        <v>45059</v>
      </c>
      <c r="AH334" s="35" t="str">
        <f ca="1">IF(NOTA[[#This Row],[NAMA BARANG]]="","",INDEX(NOTA[SUPPLIER],MATCH(,INDIRECT(ADDRESS(ROW(NOTA[ID]),COLUMN(NOTA[ID]))&amp;":"&amp;ADDRESS(ROW(),COLUMN(NOTA[ID]))),-1)))</f>
        <v>BINTANG SAUDARA</v>
      </c>
      <c r="AI334" s="35" t="str">
        <f ca="1">IF(NOTA[[#This Row],[ID_H]]="","",IF(NOTA[[#This Row],[FAKTUR]]="",INDIRECT(ADDRESS(ROW()-1,COLUMN())),NOTA[[#This Row],[FAKTUR]]))</f>
        <v>UNTANA</v>
      </c>
      <c r="AJ334" s="27" t="str">
        <f ca="1">IF(NOTA[[#This Row],[ID]]="","",COUNTIF(NOTA[ID_H],NOTA[[#This Row],[ID_H]]))</f>
        <v/>
      </c>
      <c r="AK334" s="27">
        <f ca="1">IF(NOTA[[#This Row],[TGL.NOTA]]="",IF(NOTA[[#This Row],[SUPPLIER_H]]="","",AK333),MONTH(NOTA[[#This Row],[TGL.NOTA]]))</f>
        <v>5</v>
      </c>
      <c r="AL334" s="27" t="str">
        <f>LOWER(SUBSTITUTE(SUBSTITUTE(SUBSTITUTE(SUBSTITUTE(SUBSTITUTE(SUBSTITUTE(SUBSTITUTE(SUBSTITUTE(SUBSTITUTE(NOTA[NAMA BARANG]," ",),".",""),"-",""),"(",""),")",""),",",""),"/",""),"""",""),"+",""))</f>
        <v>acrylicnt7x20cm</v>
      </c>
      <c r="AM3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acrylicnt7x20cm1944000</v>
      </c>
      <c r="AN3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acrylicnt7x20cm13500</v>
      </c>
      <c r="AO3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27" t="str">
        <f>IF(NOTA[[#This Row],[CONCAT4]]="","",_xlfn.IFNA(MATCH(NOTA[[#This Row],[CONCAT4]],[2]!RAW[CONCAT_H],0),FALSE))</f>
        <v/>
      </c>
      <c r="AQ334" s="145">
        <f>IF(NOTA[[#This Row],[CONCAT1]]="","",MATCH(NOTA[[#This Row],[CONCAT1]],[3]!db[NB NOTA_C],0)+1)</f>
        <v>30</v>
      </c>
    </row>
    <row r="335" spans="1:43" ht="20.100000000000001" customHeight="1" x14ac:dyDescent="0.25">
      <c r="A33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4" t="str">
        <f>IF(NOTA[[#This Row],[ID_P]]="","",MATCH(NOTA[[#This Row],[ID_P]],[1]!B_MSK[N_ID],0))</f>
        <v/>
      </c>
      <c r="D335" s="44">
        <f ca="1">IF(NOTA[[#This Row],[NAMA BARANG]]="","",INDEX(NOTA[ID],MATCH(,INDIRECT(ADDRESS(ROW(NOTA[ID]),COLUMN(NOTA[ID]))&amp;":"&amp;ADDRESS(ROW(),COLUMN(NOTA[ID]))),-1)))</f>
        <v>61</v>
      </c>
      <c r="E335" s="47"/>
      <c r="F335" s="48"/>
      <c r="G335" s="48"/>
      <c r="H335" s="81"/>
      <c r="I335" s="48"/>
      <c r="J335" s="46"/>
      <c r="K335" s="48"/>
      <c r="L335" s="16" t="s">
        <v>529</v>
      </c>
      <c r="M335" s="49">
        <v>1</v>
      </c>
      <c r="N335" s="48">
        <v>120</v>
      </c>
      <c r="O335" s="16" t="s">
        <v>160</v>
      </c>
      <c r="P335" s="43">
        <v>20500</v>
      </c>
      <c r="Q335" s="50"/>
      <c r="R335" s="28"/>
      <c r="S335" s="91"/>
      <c r="T335" s="91"/>
      <c r="U335" s="45"/>
      <c r="V335" s="26"/>
      <c r="W335" s="45">
        <f>IF(NOTA[[#This Row],[HARGA/ CTN]]="",NOTA[[#This Row],[JUMLAH_H]],NOTA[[#This Row],[HARGA/ CTN]]*IF(NOTA[[#This Row],[C]]="",0,NOTA[[#This Row],[C]]))</f>
        <v>2460000</v>
      </c>
      <c r="X335" s="45">
        <f>IF(NOTA[[#This Row],[JUMLAH]]="","",NOTA[[#This Row],[JUMLAH]]*NOTA[[#This Row],[DISC 1]])</f>
        <v>0</v>
      </c>
      <c r="Y335" s="45">
        <f>IF(NOTA[[#This Row],[JUMLAH]]="","",(NOTA[[#This Row],[JUMLAH]]-NOTA[[#This Row],[DISC 1-]])*NOTA[[#This Row],[DISC 2]])</f>
        <v>0</v>
      </c>
      <c r="Z335" s="45">
        <f>IF(NOTA[[#This Row],[JUMLAH]]="","",NOTA[[#This Row],[DISC 1-]]+NOTA[[#This Row],[DISC 2-]])</f>
        <v>0</v>
      </c>
      <c r="AA335" s="45">
        <f>IF(NOTA[[#This Row],[JUMLAH]]="","",NOTA[[#This Row],[JUMLAH]]-NOTA[[#This Row],[DISC]])</f>
        <v>2460000</v>
      </c>
      <c r="AB335" s="45"/>
      <c r="AC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3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F335" s="45">
        <f>IF(OR(NOTA[[#This Row],[QTY]]="",NOTA[[#This Row],[HARGA SATUAN]]="",),"",NOTA[[#This Row],[QTY]]*NOTA[[#This Row],[HARGA SATUAN]])</f>
        <v>2460000</v>
      </c>
      <c r="AG335" s="46">
        <f ca="1">IF(NOTA[ID_H]="","",INDEX(NOTA[TANGGAL],MATCH(,INDIRECT(ADDRESS(ROW(NOTA[TANGGAL]),COLUMN(NOTA[TANGGAL]))&amp;":"&amp;ADDRESS(ROW(),COLUMN(NOTA[TANGGAL]))),-1)))</f>
        <v>45059</v>
      </c>
      <c r="AH335" s="43" t="str">
        <f ca="1">IF(NOTA[[#This Row],[NAMA BARANG]]="","",INDEX(NOTA[SUPPLIER],MATCH(,INDIRECT(ADDRESS(ROW(NOTA[ID]),COLUMN(NOTA[ID]))&amp;":"&amp;ADDRESS(ROW(),COLUMN(NOTA[ID]))),-1)))</f>
        <v>BINTANG SAUDARA</v>
      </c>
      <c r="AI335" s="43" t="str">
        <f ca="1">IF(NOTA[[#This Row],[ID_H]]="","",IF(NOTA[[#This Row],[FAKTUR]]="",INDIRECT(ADDRESS(ROW()-1,COLUMN())),NOTA[[#This Row],[FAKTUR]]))</f>
        <v>UNTANA</v>
      </c>
      <c r="AJ335" s="27" t="str">
        <f ca="1">IF(NOTA[[#This Row],[ID]]="","",COUNTIF(NOTA[ID_H],NOTA[[#This Row],[ID_H]]))</f>
        <v/>
      </c>
      <c r="AK335" s="27">
        <f ca="1">IF(NOTA[[#This Row],[TGL.NOTA]]="",IF(NOTA[[#This Row],[SUPPLIER_H]]="","",AK334),MONTH(NOTA[[#This Row],[TGL.NOTA]]))</f>
        <v>5</v>
      </c>
      <c r="AL335" s="27" t="str">
        <f>LOWER(SUBSTITUTE(SUBSTITUTE(SUBSTITUTE(SUBSTITUTE(SUBSTITUTE(SUBSTITUTE(SUBSTITUTE(SUBSTITUTE(SUBSTITUTE(NOTA[NAMA BARANG]," ",),".",""),"-",""),"(",""),")",""),",",""),"/",""),"""",""),"+",""))</f>
        <v>acrylicsisipankertas13folio11x215cm</v>
      </c>
      <c r="AM3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N3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acrylicsisipankertas13folio11x215cm2460000</v>
      </c>
      <c r="AO3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27" t="str">
        <f>IF(NOTA[[#This Row],[CONCAT4]]="","",_xlfn.IFNA(MATCH(NOTA[[#This Row],[CONCAT4]],[2]!RAW[CONCAT_H],0),FALSE))</f>
        <v/>
      </c>
      <c r="AQ335" s="145">
        <f>IF(NOTA[[#This Row],[CONCAT1]]="","",MATCH(NOTA[[#This Row],[CONCAT1]],[3]!db[NB NOTA_C],0)+1)</f>
        <v>36</v>
      </c>
    </row>
    <row r="336" spans="1:43" ht="20.100000000000001" customHeight="1" x14ac:dyDescent="0.25">
      <c r="A33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4" t="str">
        <f>IF(NOTA[[#This Row],[ID_P]]="","",MATCH(NOTA[[#This Row],[ID_P]],[1]!B_MSK[N_ID],0))</f>
        <v/>
      </c>
      <c r="D336" s="44">
        <f ca="1">IF(NOTA[[#This Row],[NAMA BARANG]]="","",INDEX(NOTA[ID],MATCH(,INDIRECT(ADDRESS(ROW(NOTA[ID]),COLUMN(NOTA[ID]))&amp;":"&amp;ADDRESS(ROW(),COLUMN(NOTA[ID]))),-1)))</f>
        <v>61</v>
      </c>
      <c r="E336" s="47"/>
      <c r="F336" s="16"/>
      <c r="G336" s="16"/>
      <c r="H336" s="20"/>
      <c r="I336" s="48"/>
      <c r="J336" s="46"/>
      <c r="K336" s="48"/>
      <c r="L336" s="16" t="s">
        <v>530</v>
      </c>
      <c r="M336" s="49">
        <v>1</v>
      </c>
      <c r="N336" s="48">
        <v>40</v>
      </c>
      <c r="O336" s="16" t="s">
        <v>160</v>
      </c>
      <c r="P336" s="43">
        <v>50000</v>
      </c>
      <c r="Q336" s="50"/>
      <c r="R336" s="28"/>
      <c r="S336" s="91"/>
      <c r="T336" s="91"/>
      <c r="U336" s="45"/>
      <c r="V336" s="26"/>
      <c r="W336" s="45">
        <f>IF(NOTA[[#This Row],[HARGA/ CTN]]="",NOTA[[#This Row],[JUMLAH_H]],NOTA[[#This Row],[HARGA/ CTN]]*IF(NOTA[[#This Row],[C]]="",0,NOTA[[#This Row],[C]]))</f>
        <v>2000000</v>
      </c>
      <c r="X336" s="45">
        <f>IF(NOTA[[#This Row],[JUMLAH]]="","",NOTA[[#This Row],[JUMLAH]]*NOTA[[#This Row],[DISC 1]])</f>
        <v>0</v>
      </c>
      <c r="Y336" s="45">
        <f>IF(NOTA[[#This Row],[JUMLAH]]="","",(NOTA[[#This Row],[JUMLAH]]-NOTA[[#This Row],[DISC 1-]])*NOTA[[#This Row],[DISC 2]])</f>
        <v>0</v>
      </c>
      <c r="Z336" s="45">
        <f>IF(NOTA[[#This Row],[JUMLAH]]="","",NOTA[[#This Row],[DISC 1-]]+NOTA[[#This Row],[DISC 2-]])</f>
        <v>0</v>
      </c>
      <c r="AA336" s="45">
        <f>IF(NOTA[[#This Row],[JUMLAH]]="","",NOTA[[#This Row],[JUMLAH]]-NOTA[[#This Row],[DISC]])</f>
        <v>2000000</v>
      </c>
      <c r="AB336" s="45"/>
      <c r="AC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3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336" s="45">
        <f>IF(OR(NOTA[[#This Row],[QTY]]="",NOTA[[#This Row],[HARGA SATUAN]]="",),"",NOTA[[#This Row],[QTY]]*NOTA[[#This Row],[HARGA SATUAN]])</f>
        <v>2000000</v>
      </c>
      <c r="AG336" s="46">
        <f ca="1">IF(NOTA[ID_H]="","",INDEX(NOTA[TANGGAL],MATCH(,INDIRECT(ADDRESS(ROW(NOTA[TANGGAL]),COLUMN(NOTA[TANGGAL]))&amp;":"&amp;ADDRESS(ROW(),COLUMN(NOTA[TANGGAL]))),-1)))</f>
        <v>45059</v>
      </c>
      <c r="AH336" s="43" t="str">
        <f ca="1">IF(NOTA[[#This Row],[NAMA BARANG]]="","",INDEX(NOTA[SUPPLIER],MATCH(,INDIRECT(ADDRESS(ROW(NOTA[ID]),COLUMN(NOTA[ID]))&amp;":"&amp;ADDRESS(ROW(),COLUMN(NOTA[ID]))),-1)))</f>
        <v>BINTANG SAUDARA</v>
      </c>
      <c r="AI336" s="43" t="str">
        <f ca="1">IF(NOTA[[#This Row],[ID_H]]="","",IF(NOTA[[#This Row],[FAKTUR]]="",INDIRECT(ADDRESS(ROW()-1,COLUMN())),NOTA[[#This Row],[FAKTUR]]))</f>
        <v>UNTANA</v>
      </c>
      <c r="AJ336" s="27" t="str">
        <f ca="1">IF(NOTA[[#This Row],[ID]]="","",COUNTIF(NOTA[ID_H],NOTA[[#This Row],[ID_H]]))</f>
        <v/>
      </c>
      <c r="AK336" s="27">
        <f ca="1">IF(NOTA[[#This Row],[TGL.NOTA]]="",IF(NOTA[[#This Row],[SUPPLIER_H]]="","",AK335),MONTH(NOTA[[#This Row],[TGL.NOTA]]))</f>
        <v>5</v>
      </c>
      <c r="AL336" s="27" t="str">
        <f>LOWER(SUBSTITUTE(SUBSTITUTE(SUBSTITUTE(SUBSTITUTE(SUBSTITUTE(SUBSTITUTE(SUBSTITUTE(SUBSTITUTE(SUBSTITUTE(NOTA[NAMA BARANG]," ",),".",""),"-",""),"(",""),")",""),",",""),"/",""),"""",""),"+",""))</f>
        <v>acrylicsisipankertasa4t30x21cm</v>
      </c>
      <c r="AM3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acrylicsisipankertasa4t30x21cm2000000</v>
      </c>
      <c r="AN3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acrylicsisipankertasa4t30x21cm2000000</v>
      </c>
      <c r="AO3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27" t="str">
        <f>IF(NOTA[[#This Row],[CONCAT4]]="","",_xlfn.IFNA(MATCH(NOTA[[#This Row],[CONCAT4]],[2]!RAW[CONCAT_H],0),FALSE))</f>
        <v/>
      </c>
      <c r="AQ336" s="145" t="e">
        <f>IF(NOTA[[#This Row],[CONCAT1]]="","",MATCH(NOTA[[#This Row],[CONCAT1]],[3]!db[NB NOTA_C],0)+1)</f>
        <v>#N/A</v>
      </c>
    </row>
    <row r="337" spans="1:43" ht="20.100000000000001" customHeight="1" x14ac:dyDescent="0.25">
      <c r="A33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44" t="str">
        <f>IF(NOTA[[#This Row],[ID_P]]="","",MATCH(NOTA[[#This Row],[ID_P]],[1]!B_MSK[N_ID],0))</f>
        <v/>
      </c>
      <c r="D337" s="44">
        <f ca="1">IF(NOTA[[#This Row],[NAMA BARANG]]="","",INDEX(NOTA[ID],MATCH(,INDIRECT(ADDRESS(ROW(NOTA[ID]),COLUMN(NOTA[ID]))&amp;":"&amp;ADDRESS(ROW(),COLUMN(NOTA[ID]))),-1)))</f>
        <v>61</v>
      </c>
      <c r="E337" s="47"/>
      <c r="F337" s="48"/>
      <c r="G337" s="48"/>
      <c r="H337" s="81"/>
      <c r="I337" s="48"/>
      <c r="J337" s="46"/>
      <c r="K337" s="48"/>
      <c r="L337" s="16" t="s">
        <v>531</v>
      </c>
      <c r="M337" s="49">
        <v>1</v>
      </c>
      <c r="N337" s="48">
        <v>60</v>
      </c>
      <c r="O337" s="16" t="s">
        <v>160</v>
      </c>
      <c r="P337" s="43">
        <v>27500</v>
      </c>
      <c r="Q337" s="50"/>
      <c r="R337" s="28"/>
      <c r="S337" s="91"/>
      <c r="T337" s="91"/>
      <c r="U337" s="45"/>
      <c r="V337" s="26"/>
      <c r="W337" s="45">
        <f>IF(NOTA[[#This Row],[HARGA/ CTN]]="",NOTA[[#This Row],[JUMLAH_H]],NOTA[[#This Row],[HARGA/ CTN]]*IF(NOTA[[#This Row],[C]]="",0,NOTA[[#This Row],[C]]))</f>
        <v>1650000</v>
      </c>
      <c r="X337" s="45">
        <f>IF(NOTA[[#This Row],[JUMLAH]]="","",NOTA[[#This Row],[JUMLAH]]*NOTA[[#This Row],[DISC 1]])</f>
        <v>0</v>
      </c>
      <c r="Y337" s="45">
        <f>IF(NOTA[[#This Row],[JUMLAH]]="","",(NOTA[[#This Row],[JUMLAH]]-NOTA[[#This Row],[DISC 1-]])*NOTA[[#This Row],[DISC 2]])</f>
        <v>0</v>
      </c>
      <c r="Z337" s="45">
        <f>IF(NOTA[[#This Row],[JUMLAH]]="","",NOTA[[#This Row],[DISC 1-]]+NOTA[[#This Row],[DISC 2-]])</f>
        <v>0</v>
      </c>
      <c r="AA337" s="45">
        <f>IF(NOTA[[#This Row],[JUMLAH]]="","",NOTA[[#This Row],[JUMLAH]]-NOTA[[#This Row],[DISC]])</f>
        <v>1650000</v>
      </c>
      <c r="AB337" s="45"/>
      <c r="AC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3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37" s="45">
        <f>IF(OR(NOTA[[#This Row],[QTY]]="",NOTA[[#This Row],[HARGA SATUAN]]="",),"",NOTA[[#This Row],[QTY]]*NOTA[[#This Row],[HARGA SATUAN]])</f>
        <v>1650000</v>
      </c>
      <c r="AG337" s="46">
        <f ca="1">IF(NOTA[ID_H]="","",INDEX(NOTA[TANGGAL],MATCH(,INDIRECT(ADDRESS(ROW(NOTA[TANGGAL]),COLUMN(NOTA[TANGGAL]))&amp;":"&amp;ADDRESS(ROW(),COLUMN(NOTA[TANGGAL]))),-1)))</f>
        <v>45059</v>
      </c>
      <c r="AH337" s="43" t="str">
        <f ca="1">IF(NOTA[[#This Row],[NAMA BARANG]]="","",INDEX(NOTA[SUPPLIER],MATCH(,INDIRECT(ADDRESS(ROW(NOTA[ID]),COLUMN(NOTA[ID]))&amp;":"&amp;ADDRESS(ROW(),COLUMN(NOTA[ID]))),-1)))</f>
        <v>BINTANG SAUDARA</v>
      </c>
      <c r="AI337" s="43" t="str">
        <f ca="1">IF(NOTA[[#This Row],[ID_H]]="","",IF(NOTA[[#This Row],[FAKTUR]]="",INDIRECT(ADDRESS(ROW()-1,COLUMN())),NOTA[[#This Row],[FAKTUR]]))</f>
        <v>UNTANA</v>
      </c>
      <c r="AJ337" s="27" t="str">
        <f ca="1">IF(NOTA[[#This Row],[ID]]="","",COUNTIF(NOTA[ID_H],NOTA[[#This Row],[ID_H]]))</f>
        <v/>
      </c>
      <c r="AK337" s="27">
        <f ca="1">IF(NOTA[[#This Row],[TGL.NOTA]]="",IF(NOTA[[#This Row],[SUPPLIER_H]]="","",AK336),MONTH(NOTA[[#This Row],[TGL.NOTA]]))</f>
        <v>5</v>
      </c>
      <c r="AL337" s="27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3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3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3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27" t="str">
        <f>IF(NOTA[[#This Row],[CONCAT4]]="","",_xlfn.IFNA(MATCH(NOTA[[#This Row],[CONCAT4]],[2]!RAW[CONCAT_H],0),FALSE))</f>
        <v/>
      </c>
      <c r="AQ337" s="145">
        <f>IF(NOTA[[#This Row],[CONCAT1]]="","",MATCH(NOTA[[#This Row],[CONCAT1]],[3]!db[NB NOTA_C],0)+1)</f>
        <v>38</v>
      </c>
    </row>
    <row r="338" spans="1:43" ht="20.100000000000001" customHeight="1" x14ac:dyDescent="0.25">
      <c r="A33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4" t="str">
        <f>IF(NOTA[[#This Row],[ID_P]]="","",MATCH(NOTA[[#This Row],[ID_P]],[1]!B_MSK[N_ID],0))</f>
        <v/>
      </c>
      <c r="D338" s="44">
        <f ca="1">IF(NOTA[[#This Row],[NAMA BARANG]]="","",INDEX(NOTA[ID],MATCH(,INDIRECT(ADDRESS(ROW(NOTA[ID]),COLUMN(NOTA[ID]))&amp;":"&amp;ADDRESS(ROW(),COLUMN(NOTA[ID]))),-1)))</f>
        <v>61</v>
      </c>
      <c r="E338" s="47"/>
      <c r="F338" s="16"/>
      <c r="G338" s="16"/>
      <c r="H338" s="20"/>
      <c r="I338" s="48"/>
      <c r="J338" s="46"/>
      <c r="K338" s="48"/>
      <c r="L338" s="16" t="s">
        <v>532</v>
      </c>
      <c r="M338" s="49">
        <v>1</v>
      </c>
      <c r="N338" s="48">
        <v>120</v>
      </c>
      <c r="O338" s="16" t="s">
        <v>160</v>
      </c>
      <c r="P338" s="43">
        <v>18750</v>
      </c>
      <c r="Q338" s="50"/>
      <c r="R338" s="28"/>
      <c r="S338" s="91"/>
      <c r="T338" s="91"/>
      <c r="U338" s="45"/>
      <c r="V338" s="26"/>
      <c r="W338" s="45">
        <f>IF(NOTA[[#This Row],[HARGA/ CTN]]="",NOTA[[#This Row],[JUMLAH_H]],NOTA[[#This Row],[HARGA/ CTN]]*IF(NOTA[[#This Row],[C]]="",0,NOTA[[#This Row],[C]]))</f>
        <v>2250000</v>
      </c>
      <c r="X338" s="45">
        <f>IF(NOTA[[#This Row],[JUMLAH]]="","",NOTA[[#This Row],[JUMLAH]]*NOTA[[#This Row],[DISC 1]])</f>
        <v>0</v>
      </c>
      <c r="Y338" s="45">
        <f>IF(NOTA[[#This Row],[JUMLAH]]="","",(NOTA[[#This Row],[JUMLAH]]-NOTA[[#This Row],[DISC 1-]])*NOTA[[#This Row],[DISC 2]])</f>
        <v>0</v>
      </c>
      <c r="Z338" s="45">
        <f>IF(NOTA[[#This Row],[JUMLAH]]="","",NOTA[[#This Row],[DISC 1-]]+NOTA[[#This Row],[DISC 2-]])</f>
        <v>0</v>
      </c>
      <c r="AA338" s="45">
        <f>IF(NOTA[[#This Row],[JUMLAH]]="","",NOTA[[#This Row],[JUMLAH]]-NOTA[[#This Row],[DISC]])</f>
        <v>2250000</v>
      </c>
      <c r="AB338" s="45"/>
      <c r="AC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3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338" s="45">
        <f>IF(OR(NOTA[[#This Row],[QTY]]="",NOTA[[#This Row],[HARGA SATUAN]]="",),"",NOTA[[#This Row],[QTY]]*NOTA[[#This Row],[HARGA SATUAN]])</f>
        <v>2250000</v>
      </c>
      <c r="AG338" s="46">
        <f ca="1">IF(NOTA[ID_H]="","",INDEX(NOTA[TANGGAL],MATCH(,INDIRECT(ADDRESS(ROW(NOTA[TANGGAL]),COLUMN(NOTA[TANGGAL]))&amp;":"&amp;ADDRESS(ROW(),COLUMN(NOTA[TANGGAL]))),-1)))</f>
        <v>45059</v>
      </c>
      <c r="AH338" s="43" t="str">
        <f ca="1">IF(NOTA[[#This Row],[NAMA BARANG]]="","",INDEX(NOTA[SUPPLIER],MATCH(,INDIRECT(ADDRESS(ROW(NOTA[ID]),COLUMN(NOTA[ID]))&amp;":"&amp;ADDRESS(ROW(),COLUMN(NOTA[ID]))),-1)))</f>
        <v>BINTANG SAUDARA</v>
      </c>
      <c r="AI338" s="43" t="str">
        <f ca="1">IF(NOTA[[#This Row],[ID_H]]="","",IF(NOTA[[#This Row],[FAKTUR]]="",INDIRECT(ADDRESS(ROW()-1,COLUMN())),NOTA[[#This Row],[FAKTUR]]))</f>
        <v>UNTANA</v>
      </c>
      <c r="AJ338" s="27" t="str">
        <f ca="1">IF(NOTA[[#This Row],[ID]]="","",COUNTIF(NOTA[ID_H],NOTA[[#This Row],[ID_H]]))</f>
        <v/>
      </c>
      <c r="AK338" s="27">
        <f ca="1">IF(NOTA[[#This Row],[TGL.NOTA]]="",IF(NOTA[[#This Row],[SUPPLIER_H]]="","",AK337),MONTH(NOTA[[#This Row],[TGL.NOTA]]))</f>
        <v>5</v>
      </c>
      <c r="AL338" s="27" t="str">
        <f>LOWER(SUBSTITUTE(SUBSTITUTE(SUBSTITUTE(SUBSTITUTE(SUBSTITUTE(SUBSTITUTE(SUBSTITUTE(SUBSTITUTE(SUBSTITUTE(NOTA[NAMA BARANG]," ",),".",""),"-",""),"(",""),")",""),",",""),"/",""),"""",""),"+",""))</f>
        <v>acrylicsisipankertasa6t11x16cm</v>
      </c>
      <c r="AM3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acrylicsisipankertasa6t11x16cm2250000</v>
      </c>
      <c r="AN3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acrylicsisipankertasa6t11x16cm2250000</v>
      </c>
      <c r="AO3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27" t="str">
        <f>IF(NOTA[[#This Row],[CONCAT4]]="","",_xlfn.IFNA(MATCH(NOTA[[#This Row],[CONCAT4]],[2]!RAW[CONCAT_H],0),FALSE))</f>
        <v/>
      </c>
      <c r="AQ338" s="145" t="e">
        <f>IF(NOTA[[#This Row],[CONCAT1]]="","",MATCH(NOTA[[#This Row],[CONCAT1]],[3]!db[NB NOTA_C],0)+1)</f>
        <v>#N/A</v>
      </c>
    </row>
    <row r="339" spans="1:43" ht="20.100000000000001" customHeight="1" x14ac:dyDescent="0.25">
      <c r="A339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4" t="str">
        <f>IF(NOTA[[#This Row],[ID_P]]="","",MATCH(NOTA[[#This Row],[ID_P]],[1]!B_MSK[N_ID],0))</f>
        <v/>
      </c>
      <c r="D339" s="44">
        <f ca="1">IF(NOTA[[#This Row],[NAMA BARANG]]="","",INDEX(NOTA[ID],MATCH(,INDIRECT(ADDRESS(ROW(NOTA[ID]),COLUMN(NOTA[ID]))&amp;":"&amp;ADDRESS(ROW(),COLUMN(NOTA[ID]))),-1)))</f>
        <v>61</v>
      </c>
      <c r="E339" s="47"/>
      <c r="F339" s="48"/>
      <c r="G339" s="48"/>
      <c r="H339" s="81"/>
      <c r="I339" s="48"/>
      <c r="J339" s="46"/>
      <c r="K339" s="48"/>
      <c r="L339" s="16" t="s">
        <v>533</v>
      </c>
      <c r="M339" s="49">
        <v>1</v>
      </c>
      <c r="N339" s="48">
        <v>300</v>
      </c>
      <c r="O339" s="16" t="s">
        <v>457</v>
      </c>
      <c r="P339" s="43">
        <v>3850</v>
      </c>
      <c r="Q339" s="50"/>
      <c r="R339" s="28"/>
      <c r="S339" s="91"/>
      <c r="T339" s="91"/>
      <c r="U339" s="45"/>
      <c r="V339" s="26" t="s">
        <v>537</v>
      </c>
      <c r="W339" s="45">
        <f>IF(NOTA[[#This Row],[HARGA/ CTN]]="",NOTA[[#This Row],[JUMLAH_H]],NOTA[[#This Row],[HARGA/ CTN]]*IF(NOTA[[#This Row],[C]]="",0,NOTA[[#This Row],[C]]))</f>
        <v>1155000</v>
      </c>
      <c r="X339" s="45">
        <f>IF(NOTA[[#This Row],[JUMLAH]]="","",NOTA[[#This Row],[JUMLAH]]*NOTA[[#This Row],[DISC 1]])</f>
        <v>0</v>
      </c>
      <c r="Y339" s="45">
        <f>IF(NOTA[[#This Row],[JUMLAH]]="","",(NOTA[[#This Row],[JUMLAH]]-NOTA[[#This Row],[DISC 1-]])*NOTA[[#This Row],[DISC 2]])</f>
        <v>0</v>
      </c>
      <c r="Z339" s="45">
        <f>IF(NOTA[[#This Row],[JUMLAH]]="","",NOTA[[#This Row],[DISC 1-]]+NOTA[[#This Row],[DISC 2-]])</f>
        <v>0</v>
      </c>
      <c r="AA339" s="45">
        <f>IF(NOTA[[#This Row],[JUMLAH]]="","",NOTA[[#This Row],[JUMLAH]]-NOTA[[#This Row],[DISC]])</f>
        <v>1155000</v>
      </c>
      <c r="AB339" s="45"/>
      <c r="AC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39" s="45">
        <f>IF(OR(NOTA[[#This Row],[QTY]]="",NOTA[[#This Row],[HARGA SATUAN]]="",),"",NOTA[[#This Row],[QTY]]*NOTA[[#This Row],[HARGA SATUAN]])</f>
        <v>1155000</v>
      </c>
      <c r="AG339" s="46">
        <f ca="1">IF(NOTA[ID_H]="","",INDEX(NOTA[TANGGAL],MATCH(,INDIRECT(ADDRESS(ROW(NOTA[TANGGAL]),COLUMN(NOTA[TANGGAL]))&amp;":"&amp;ADDRESS(ROW(),COLUMN(NOTA[TANGGAL]))),-1)))</f>
        <v>45059</v>
      </c>
      <c r="AH339" s="43" t="str">
        <f ca="1">IF(NOTA[[#This Row],[NAMA BARANG]]="","",INDEX(NOTA[SUPPLIER],MATCH(,INDIRECT(ADDRESS(ROW(NOTA[ID]),COLUMN(NOTA[ID]))&amp;":"&amp;ADDRESS(ROW(),COLUMN(NOTA[ID]))),-1)))</f>
        <v>BINTANG SAUDARA</v>
      </c>
      <c r="AI339" s="43" t="str">
        <f ca="1">IF(NOTA[[#This Row],[ID_H]]="","",IF(NOTA[[#This Row],[FAKTUR]]="",INDIRECT(ADDRESS(ROW()-1,COLUMN())),NOTA[[#This Row],[FAKTUR]]))</f>
        <v>UNTANA</v>
      </c>
      <c r="AJ339" s="27" t="str">
        <f ca="1">IF(NOTA[[#This Row],[ID]]="","",COUNTIF(NOTA[ID_H],NOTA[[#This Row],[ID_H]]))</f>
        <v/>
      </c>
      <c r="AK339" s="27">
        <f ca="1">IF(NOTA[[#This Row],[TGL.NOTA]]="",IF(NOTA[[#This Row],[SUPPLIER_H]]="","",AK338),MONTH(NOTA[[#This Row],[TGL.NOTA]]))</f>
        <v>5</v>
      </c>
      <c r="AL339" s="27" t="str">
        <f>LOWER(SUBSTITUTE(SUBSTITUTE(SUBSTITUTE(SUBSTITUTE(SUBSTITUTE(SUBSTITUTE(SUBSTITUTE(SUBSTITUTE(SUBSTITUTE(NOTA[NAMA BARANG]," ",),".",""),"-",""),"(",""),")",""),",",""),"/",""),"""",""),"+",""))</f>
        <v>looseleafa550lbrkoalamtk</v>
      </c>
      <c r="AM3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looseleafa550lbrkoalamtk1155000</v>
      </c>
      <c r="AN3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looseleafa550lbrkoalamtk1155000</v>
      </c>
      <c r="AO3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27" t="str">
        <f>IF(NOTA[[#This Row],[CONCAT4]]="","",_xlfn.IFNA(MATCH(NOTA[[#This Row],[CONCAT4]],[2]!RAW[CONCAT_H],0),FALSE))</f>
        <v/>
      </c>
      <c r="AQ339" s="145">
        <f>IF(NOTA[[#This Row],[CONCAT1]]="","",MATCH(NOTA[[#This Row],[CONCAT1]],[3]!db[NB NOTA_C],0)+1)</f>
        <v>1518</v>
      </c>
    </row>
    <row r="340" spans="1:43" ht="20.100000000000001" customHeight="1" x14ac:dyDescent="0.25">
      <c r="A340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4" t="str">
        <f>IF(NOTA[[#This Row],[ID_P]]="","",MATCH(NOTA[[#This Row],[ID_P]],[1]!B_MSK[N_ID],0))</f>
        <v/>
      </c>
      <c r="D340" s="44">
        <f ca="1">IF(NOTA[[#This Row],[NAMA BARANG]]="","",INDEX(NOTA[ID],MATCH(,INDIRECT(ADDRESS(ROW(NOTA[ID]),COLUMN(NOTA[ID]))&amp;":"&amp;ADDRESS(ROW(),COLUMN(NOTA[ID]))),-1)))</f>
        <v>61</v>
      </c>
      <c r="E340" s="47"/>
      <c r="F340" s="48"/>
      <c r="G340" s="48"/>
      <c r="H340" s="81"/>
      <c r="I340" s="48"/>
      <c r="J340" s="46"/>
      <c r="K340" s="48"/>
      <c r="L340" s="16" t="s">
        <v>534</v>
      </c>
      <c r="M340" s="49">
        <v>1</v>
      </c>
      <c r="N340" s="16">
        <v>160</v>
      </c>
      <c r="O340" s="16" t="s">
        <v>457</v>
      </c>
      <c r="P340" s="43">
        <v>11500</v>
      </c>
      <c r="Q340" s="50"/>
      <c r="R340" s="28"/>
      <c r="S340" s="91"/>
      <c r="T340" s="91"/>
      <c r="U340" s="45"/>
      <c r="V340" s="26"/>
      <c r="W340" s="45">
        <f>IF(NOTA[[#This Row],[HARGA/ CTN]]="",NOTA[[#This Row],[JUMLAH_H]],NOTA[[#This Row],[HARGA/ CTN]]*IF(NOTA[[#This Row],[C]]="",0,NOTA[[#This Row],[C]]))</f>
        <v>1840000</v>
      </c>
      <c r="X340" s="45">
        <f>IF(NOTA[[#This Row],[JUMLAH]]="","",NOTA[[#This Row],[JUMLAH]]*NOTA[[#This Row],[DISC 1]])</f>
        <v>0</v>
      </c>
      <c r="Y340" s="45">
        <f>IF(NOTA[[#This Row],[JUMLAH]]="","",(NOTA[[#This Row],[JUMLAH]]-NOTA[[#This Row],[DISC 1-]])*NOTA[[#This Row],[DISC 2]])</f>
        <v>0</v>
      </c>
      <c r="Z340" s="45">
        <f>IF(NOTA[[#This Row],[JUMLAH]]="","",NOTA[[#This Row],[DISC 1-]]+NOTA[[#This Row],[DISC 2-]])</f>
        <v>0</v>
      </c>
      <c r="AA340" s="45">
        <f>IF(NOTA[[#This Row],[JUMLAH]]="","",NOTA[[#This Row],[JUMLAH]]-NOTA[[#This Row],[DISC]])</f>
        <v>1840000</v>
      </c>
      <c r="AB340" s="45"/>
      <c r="AC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0" s="45">
        <f>IF(OR(NOTA[[#This Row],[QTY]]="",NOTA[[#This Row],[HARGA SATUAN]]="",),"",NOTA[[#This Row],[QTY]]*NOTA[[#This Row],[HARGA SATUAN]])</f>
        <v>1840000</v>
      </c>
      <c r="AG340" s="46">
        <f ca="1">IF(NOTA[ID_H]="","",INDEX(NOTA[TANGGAL],MATCH(,INDIRECT(ADDRESS(ROW(NOTA[TANGGAL]),COLUMN(NOTA[TANGGAL]))&amp;":"&amp;ADDRESS(ROW(),COLUMN(NOTA[TANGGAL]))),-1)))</f>
        <v>45059</v>
      </c>
      <c r="AH340" s="43" t="str">
        <f ca="1">IF(NOTA[[#This Row],[NAMA BARANG]]="","",INDEX(NOTA[SUPPLIER],MATCH(,INDIRECT(ADDRESS(ROW(NOTA[ID]),COLUMN(NOTA[ID]))&amp;":"&amp;ADDRESS(ROW(),COLUMN(NOTA[ID]))),-1)))</f>
        <v>BINTANG SAUDARA</v>
      </c>
      <c r="AI340" s="43" t="str">
        <f ca="1">IF(NOTA[[#This Row],[ID_H]]="","",IF(NOTA[[#This Row],[FAKTUR]]="",INDIRECT(ADDRESS(ROW()-1,COLUMN())),NOTA[[#This Row],[FAKTUR]]))</f>
        <v>UNTANA</v>
      </c>
      <c r="AJ340" s="27" t="str">
        <f ca="1">IF(NOTA[[#This Row],[ID]]="","",COUNTIF(NOTA[ID_H],NOTA[[#This Row],[ID_H]]))</f>
        <v/>
      </c>
      <c r="AK340" s="27">
        <f ca="1">IF(NOTA[[#This Row],[TGL.NOTA]]="",IF(NOTA[[#This Row],[SUPPLIER_H]]="","",AK339),MONTH(NOTA[[#This Row],[TGL.NOTA]]))</f>
        <v>5</v>
      </c>
      <c r="AL340" s="27" t="str">
        <f>LOWER(SUBSTITUTE(SUBSTITUTE(SUBSTITUTE(SUBSTITUTE(SUBSTITUTE(SUBSTITUTE(SUBSTITUTE(SUBSTITUTE(SUBSTITUTE(NOTA[NAMA BARANG]," ",),".",""),"-",""),"(",""),")",""),",",""),"/",""),"""",""),"+",""))</f>
        <v>looseleafa5100lbrrainbowgaris</v>
      </c>
      <c r="AM3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looseleafa5100lbrrainbowgaris1840000</v>
      </c>
      <c r="AN3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looseleafa5100lbrrainbowgaris1840000</v>
      </c>
      <c r="AO3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27" t="str">
        <f>IF(NOTA[[#This Row],[CONCAT4]]="","",_xlfn.IFNA(MATCH(NOTA[[#This Row],[CONCAT4]],[2]!RAW[CONCAT_H],0),FALSE))</f>
        <v/>
      </c>
      <c r="AQ340" s="145" t="e">
        <f>IF(NOTA[[#This Row],[CONCAT1]]="","",MATCH(NOTA[[#This Row],[CONCAT1]],[3]!db[NB NOTA_C],0)+1)</f>
        <v>#N/A</v>
      </c>
    </row>
    <row r="341" spans="1:43" ht="20.100000000000001" customHeight="1" x14ac:dyDescent="0.25">
      <c r="A341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4" t="str">
        <f>IF(NOTA[[#This Row],[ID_P]]="","",MATCH(NOTA[[#This Row],[ID_P]],[1]!B_MSK[N_ID],0))</f>
        <v/>
      </c>
      <c r="D341" s="44">
        <f ca="1">IF(NOTA[[#This Row],[NAMA BARANG]]="","",INDEX(NOTA[ID],MATCH(,INDIRECT(ADDRESS(ROW(NOTA[ID]),COLUMN(NOTA[ID]))&amp;":"&amp;ADDRESS(ROW(),COLUMN(NOTA[ID]))),-1)))</f>
        <v>61</v>
      </c>
      <c r="E341" s="47"/>
      <c r="F341" s="16"/>
      <c r="G341" s="16"/>
      <c r="H341" s="20"/>
      <c r="I341" s="48"/>
      <c r="J341" s="46"/>
      <c r="K341" s="48"/>
      <c r="L341" s="16" t="s">
        <v>535</v>
      </c>
      <c r="M341" s="49">
        <v>1</v>
      </c>
      <c r="N341" s="48">
        <v>160</v>
      </c>
      <c r="O341" s="16" t="s">
        <v>457</v>
      </c>
      <c r="P341" s="43">
        <v>11500</v>
      </c>
      <c r="Q341" s="50"/>
      <c r="R341" s="28"/>
      <c r="S341" s="91"/>
      <c r="T341" s="91"/>
      <c r="U341" s="45"/>
      <c r="V341" s="26"/>
      <c r="W341" s="45">
        <f>IF(NOTA[[#This Row],[HARGA/ CTN]]="",NOTA[[#This Row],[JUMLAH_H]],NOTA[[#This Row],[HARGA/ CTN]]*IF(NOTA[[#This Row],[C]]="",0,NOTA[[#This Row],[C]]))</f>
        <v>1840000</v>
      </c>
      <c r="X341" s="45">
        <f>IF(NOTA[[#This Row],[JUMLAH]]="","",NOTA[[#This Row],[JUMLAH]]*NOTA[[#This Row],[DISC 1]])</f>
        <v>0</v>
      </c>
      <c r="Y341" s="45">
        <f>IF(NOTA[[#This Row],[JUMLAH]]="","",(NOTA[[#This Row],[JUMLAH]]-NOTA[[#This Row],[DISC 1-]])*NOTA[[#This Row],[DISC 2]])</f>
        <v>0</v>
      </c>
      <c r="Z341" s="45">
        <f>IF(NOTA[[#This Row],[JUMLAH]]="","",NOTA[[#This Row],[DISC 1-]]+NOTA[[#This Row],[DISC 2-]])</f>
        <v>0</v>
      </c>
      <c r="AA341" s="45">
        <f>IF(NOTA[[#This Row],[JUMLAH]]="","",NOTA[[#This Row],[JUMLAH]]-NOTA[[#This Row],[DISC]])</f>
        <v>1840000</v>
      </c>
      <c r="AB341" s="45"/>
      <c r="AC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3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F341" s="45">
        <f>IF(OR(NOTA[[#This Row],[QTY]]="",NOTA[[#This Row],[HARGA SATUAN]]="",),"",NOTA[[#This Row],[QTY]]*NOTA[[#This Row],[HARGA SATUAN]])</f>
        <v>1840000</v>
      </c>
      <c r="AG341" s="46">
        <f ca="1">IF(NOTA[ID_H]="","",INDEX(NOTA[TANGGAL],MATCH(,INDIRECT(ADDRESS(ROW(NOTA[TANGGAL]),COLUMN(NOTA[TANGGAL]))&amp;":"&amp;ADDRESS(ROW(),COLUMN(NOTA[TANGGAL]))),-1)))</f>
        <v>45059</v>
      </c>
      <c r="AH341" s="43" t="str">
        <f ca="1">IF(NOTA[[#This Row],[NAMA BARANG]]="","",INDEX(NOTA[SUPPLIER],MATCH(,INDIRECT(ADDRESS(ROW(NOTA[ID]),COLUMN(NOTA[ID]))&amp;":"&amp;ADDRESS(ROW(),COLUMN(NOTA[ID]))),-1)))</f>
        <v>BINTANG SAUDARA</v>
      </c>
      <c r="AI341" s="43" t="str">
        <f ca="1">IF(NOTA[[#This Row],[ID_H]]="","",IF(NOTA[[#This Row],[FAKTUR]]="",INDIRECT(ADDRESS(ROW()-1,COLUMN())),NOTA[[#This Row],[FAKTUR]]))</f>
        <v>UNTANA</v>
      </c>
      <c r="AJ341" s="27" t="str">
        <f ca="1">IF(NOTA[[#This Row],[ID]]="","",COUNTIF(NOTA[ID_H],NOTA[[#This Row],[ID_H]]))</f>
        <v/>
      </c>
      <c r="AK341" s="27">
        <f ca="1">IF(NOTA[[#This Row],[TGL.NOTA]]="",IF(NOTA[[#This Row],[SUPPLIER_H]]="","",AK340),MONTH(NOTA[[#This Row],[TGL.NOTA]]))</f>
        <v>5</v>
      </c>
      <c r="AL341" s="27" t="str">
        <f>LOWER(SUBSTITUTE(SUBSTITUTE(SUBSTITUTE(SUBSTITUTE(SUBSTITUTE(SUBSTITUTE(SUBSTITUTE(SUBSTITUTE(SUBSTITUTE(NOTA[NAMA BARANG]," ",),".",""),"-",""),"(",""),")",""),",",""),"/",""),"""",""),"+",""))</f>
        <v>looseleafa5100rainbowgariswhijau</v>
      </c>
      <c r="AM3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looseleafa5100rainbowgariswhijau1840000</v>
      </c>
      <c r="AN3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looseleafa5100rainbowgariswhijau1840000</v>
      </c>
      <c r="AO3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27" t="str">
        <f>IF(NOTA[[#This Row],[CONCAT4]]="","",_xlfn.IFNA(MATCH(NOTA[[#This Row],[CONCAT4]],[2]!RAW[CONCAT_H],0),FALSE))</f>
        <v/>
      </c>
      <c r="AQ341" s="145" t="e">
        <f>IF(NOTA[[#This Row],[CONCAT1]]="","",MATCH(NOTA[[#This Row],[CONCAT1]],[3]!db[NB NOTA_C],0)+1)</f>
        <v>#N/A</v>
      </c>
    </row>
    <row r="342" spans="1:43" ht="20.100000000000001" customHeight="1" x14ac:dyDescent="0.25">
      <c r="A3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4" t="str">
        <f>IF(NOTA[[#This Row],[ID_P]]="","",MATCH(NOTA[[#This Row],[ID_P]],[1]!B_MSK[N_ID],0))</f>
        <v/>
      </c>
      <c r="D342" s="44">
        <f ca="1">IF(NOTA[[#This Row],[NAMA BARANG]]="","",INDEX(NOTA[ID],MATCH(,INDIRECT(ADDRESS(ROW(NOTA[ID]),COLUMN(NOTA[ID]))&amp;":"&amp;ADDRESS(ROW(),COLUMN(NOTA[ID]))),-1)))</f>
        <v>61</v>
      </c>
      <c r="E342" s="47"/>
      <c r="F342" s="48"/>
      <c r="G342" s="48"/>
      <c r="H342" s="81"/>
      <c r="I342" s="48"/>
      <c r="J342" s="46"/>
      <c r="K342" s="48"/>
      <c r="L342" s="16" t="s">
        <v>536</v>
      </c>
      <c r="M342" s="49">
        <v>1</v>
      </c>
      <c r="N342" s="48">
        <v>200</v>
      </c>
      <c r="O342" s="16" t="s">
        <v>457</v>
      </c>
      <c r="P342" s="43">
        <v>5750</v>
      </c>
      <c r="Q342" s="50"/>
      <c r="R342" s="28"/>
      <c r="S342" s="91"/>
      <c r="T342" s="91"/>
      <c r="U342" s="45"/>
      <c r="V342" s="26"/>
      <c r="W342" s="45">
        <f>IF(NOTA[[#This Row],[HARGA/ CTN]]="",NOTA[[#This Row],[JUMLAH_H]],NOTA[[#This Row],[HARGA/ CTN]]*IF(NOTA[[#This Row],[C]]="",0,NOTA[[#This Row],[C]]))</f>
        <v>1150000</v>
      </c>
      <c r="X342" s="45">
        <f>IF(NOTA[[#This Row],[JUMLAH]]="","",NOTA[[#This Row],[JUMLAH]]*NOTA[[#This Row],[DISC 1]])</f>
        <v>0</v>
      </c>
      <c r="Y342" s="45">
        <f>IF(NOTA[[#This Row],[JUMLAH]]="","",(NOTA[[#This Row],[JUMLAH]]-NOTA[[#This Row],[DISC 1-]])*NOTA[[#This Row],[DISC 2]])</f>
        <v>0</v>
      </c>
      <c r="Z342" s="45">
        <f>IF(NOTA[[#This Row],[JUMLAH]]="","",NOTA[[#This Row],[DISC 1-]]+NOTA[[#This Row],[DISC 2-]])</f>
        <v>0</v>
      </c>
      <c r="AA342" s="45">
        <f>IF(NOTA[[#This Row],[JUMLAH]]="","",NOTA[[#This Row],[JUMLAH]]-NOTA[[#This Row],[DISC]])</f>
        <v>1150000</v>
      </c>
      <c r="AB342" s="45"/>
      <c r="AC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2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16937000</v>
      </c>
      <c r="AE342" s="43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342" s="45">
        <f>IF(OR(NOTA[[#This Row],[QTY]]="",NOTA[[#This Row],[HARGA SATUAN]]="",),"",NOTA[[#This Row],[QTY]]*NOTA[[#This Row],[HARGA SATUAN]])</f>
        <v>1150000</v>
      </c>
      <c r="AG342" s="46">
        <f ca="1">IF(NOTA[ID_H]="","",INDEX(NOTA[TANGGAL],MATCH(,INDIRECT(ADDRESS(ROW(NOTA[TANGGAL]),COLUMN(NOTA[TANGGAL]))&amp;":"&amp;ADDRESS(ROW(),COLUMN(NOTA[TANGGAL]))),-1)))</f>
        <v>45059</v>
      </c>
      <c r="AH342" s="43" t="str">
        <f ca="1">IF(NOTA[[#This Row],[NAMA BARANG]]="","",INDEX(NOTA[SUPPLIER],MATCH(,INDIRECT(ADDRESS(ROW(NOTA[ID]),COLUMN(NOTA[ID]))&amp;":"&amp;ADDRESS(ROW(),COLUMN(NOTA[ID]))),-1)))</f>
        <v>BINTANG SAUDARA</v>
      </c>
      <c r="AI342" s="43" t="str">
        <f ca="1">IF(NOTA[[#This Row],[ID_H]]="","",IF(NOTA[[#This Row],[FAKTUR]]="",INDIRECT(ADDRESS(ROW()-1,COLUMN())),NOTA[[#This Row],[FAKTUR]]))</f>
        <v>UNTANA</v>
      </c>
      <c r="AJ342" s="27" t="str">
        <f ca="1">IF(NOTA[[#This Row],[ID]]="","",COUNTIF(NOTA[ID_H],NOTA[[#This Row],[ID_H]]))</f>
        <v/>
      </c>
      <c r="AK342" s="27">
        <f ca="1">IF(NOTA[[#This Row],[TGL.NOTA]]="",IF(NOTA[[#This Row],[SUPPLIER_H]]="","",AK341),MONTH(NOTA[[#This Row],[TGL.NOTA]]))</f>
        <v>5</v>
      </c>
      <c r="AL342" s="27" t="str">
        <f>LOWER(SUBSTITUTE(SUBSTITUTE(SUBSTITUTE(SUBSTITUTE(SUBSTITUTE(SUBSTITUTE(SUBSTITUTE(SUBSTITUTE(SUBSTITUTE(NOTA[NAMA BARANG]," ",),".",""),"-",""),"(",""),")",""),",",""),"/",""),"""",""),"+",""))</f>
        <v>looseleafa550lbrrainbowgarishijau</v>
      </c>
      <c r="AM3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looseleafa550lbrrainbowgarishijau1150000</v>
      </c>
      <c r="AN3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looseleafa550lbrrainbowgarishijau1150000</v>
      </c>
      <c r="AO3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27" t="str">
        <f>IF(NOTA[[#This Row],[CONCAT4]]="","",_xlfn.IFNA(MATCH(NOTA[[#This Row],[CONCAT4]],[2]!RAW[CONCAT_H],0),FALSE))</f>
        <v/>
      </c>
      <c r="AQ342" s="145" t="e">
        <f>IF(NOTA[[#This Row],[CONCAT1]]="","",MATCH(NOTA[[#This Row],[CONCAT1]],[3]!db[NB NOTA_C],0)+1)</f>
        <v>#N/A</v>
      </c>
    </row>
    <row r="343" spans="1:43" ht="20.100000000000001" customHeight="1" x14ac:dyDescent="0.25">
      <c r="A343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4" t="str">
        <f>IF(NOTA[[#This Row],[ID_P]]="","",MATCH(NOTA[[#This Row],[ID_P]],[1]!B_MSK[N_ID],0))</f>
        <v/>
      </c>
      <c r="D343" s="44" t="str">
        <f ca="1">IF(NOTA[[#This Row],[NAMA BARANG]]="","",INDEX(NOTA[ID],MATCH(,INDIRECT(ADDRESS(ROW(NOTA[ID]),COLUMN(NOTA[ID]))&amp;":"&amp;ADDRESS(ROW(),COLUMN(NOTA[ID]))),-1)))</f>
        <v/>
      </c>
      <c r="E343" s="47"/>
      <c r="F343" s="48"/>
      <c r="G343" s="48"/>
      <c r="H343" s="81"/>
      <c r="I343" s="48"/>
      <c r="J343" s="46"/>
      <c r="K343" s="48"/>
      <c r="L343" s="16"/>
      <c r="M343" s="49"/>
      <c r="N343" s="48"/>
      <c r="O343" s="16"/>
      <c r="P343" s="43"/>
      <c r="Q343" s="50"/>
      <c r="R343" s="28"/>
      <c r="S343" s="91"/>
      <c r="T343" s="91"/>
      <c r="U343" s="45"/>
      <c r="V343" s="26"/>
      <c r="W343" s="45" t="str">
        <f>IF(NOTA[[#This Row],[HARGA/ CTN]]="",NOTA[[#This Row],[JUMLAH_H]],NOTA[[#This Row],[HARGA/ CTN]]*IF(NOTA[[#This Row],[C]]="",0,NOTA[[#This Row],[C]]))</f>
        <v/>
      </c>
      <c r="X343" s="45" t="str">
        <f>IF(NOTA[[#This Row],[JUMLAH]]="","",NOTA[[#This Row],[JUMLAH]]*NOTA[[#This Row],[DISC 1]])</f>
        <v/>
      </c>
      <c r="Y343" s="45" t="str">
        <f>IF(NOTA[[#This Row],[JUMLAH]]="","",(NOTA[[#This Row],[JUMLAH]]-NOTA[[#This Row],[DISC 1-]])*NOTA[[#This Row],[DISC 2]])</f>
        <v/>
      </c>
      <c r="Z343" s="45" t="str">
        <f>IF(NOTA[[#This Row],[JUMLAH]]="","",NOTA[[#This Row],[DISC 1-]]+NOTA[[#This Row],[DISC 2-]])</f>
        <v/>
      </c>
      <c r="AA343" s="45" t="str">
        <f>IF(NOTA[[#This Row],[JUMLAH]]="","",NOTA[[#This Row],[JUMLAH]]-NOTA[[#This Row],[DISC]])</f>
        <v/>
      </c>
      <c r="AB343" s="45"/>
      <c r="AC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45" t="str">
        <f>IF(OR(NOTA[[#This Row],[QTY]]="",NOTA[[#This Row],[HARGA SATUAN]]="",),"",NOTA[[#This Row],[QTY]]*NOTA[[#This Row],[HARGA SATUAN]])</f>
        <v/>
      </c>
      <c r="AG343" s="46" t="str">
        <f ca="1">IF(NOTA[ID_H]="","",INDEX(NOTA[TANGGAL],MATCH(,INDIRECT(ADDRESS(ROW(NOTA[TANGGAL]),COLUMN(NOTA[TANGGAL]))&amp;":"&amp;ADDRESS(ROW(),COLUMN(NOTA[TANGGAL]))),-1)))</f>
        <v/>
      </c>
      <c r="AH343" s="43" t="str">
        <f ca="1">IF(NOTA[[#This Row],[NAMA BARANG]]="","",INDEX(NOTA[SUPPLIER],MATCH(,INDIRECT(ADDRESS(ROW(NOTA[ID]),COLUMN(NOTA[ID]))&amp;":"&amp;ADDRESS(ROW(),COLUMN(NOTA[ID]))),-1)))</f>
        <v/>
      </c>
      <c r="AI343" s="43" t="str">
        <f ca="1">IF(NOTA[[#This Row],[ID_H]]="","",IF(NOTA[[#This Row],[FAKTUR]]="",INDIRECT(ADDRESS(ROW()-1,COLUMN())),NOTA[[#This Row],[FAKTUR]]))</f>
        <v/>
      </c>
      <c r="AJ343" s="27" t="str">
        <f ca="1">IF(NOTA[[#This Row],[ID]]="","",COUNTIF(NOTA[ID_H],NOTA[[#This Row],[ID_H]]))</f>
        <v/>
      </c>
      <c r="AK343" s="27" t="str">
        <f ca="1">IF(NOTA[[#This Row],[TGL.NOTA]]="",IF(NOTA[[#This Row],[SUPPLIER_H]]="","",AK342),MONTH(NOTA[[#This Row],[TGL.NOTA]]))</f>
        <v/>
      </c>
      <c r="AL343" s="27" t="str">
        <f>LOWER(SUBSTITUTE(SUBSTITUTE(SUBSTITUTE(SUBSTITUTE(SUBSTITUTE(SUBSTITUTE(SUBSTITUTE(SUBSTITUTE(SUBSTITUTE(NOTA[NAMA BARANG]," ",),".",""),"-",""),"(",""),")",""),",",""),"/",""),"""",""),"+",""))</f>
        <v/>
      </c>
      <c r="AM3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27" t="str">
        <f>IF(NOTA[[#This Row],[CONCAT4]]="","",_xlfn.IFNA(MATCH(NOTA[[#This Row],[CONCAT4]],[2]!RAW[CONCAT_H],0),FALSE))</f>
        <v/>
      </c>
      <c r="AQ343" s="145" t="str">
        <f>IF(NOTA[[#This Row],[CONCAT1]]="","",MATCH(NOTA[[#This Row],[CONCAT1]],[3]!db[NB NOTA_C],0)+1)</f>
        <v/>
      </c>
    </row>
    <row r="344" spans="1:43" ht="20.100000000000001" customHeight="1" x14ac:dyDescent="0.25">
      <c r="A344" s="43">
        <f ca="1">IF(INDIRECT(ADDRESS(ROW()-1,COLUMN(NOTA[[#Headers],[ID]])))="ID",1,IF(NOTA[[#This Row],[FAKTUR]]="","",COUNT(INDIRECT(ADDRESS(ROW(NOTA[ID]),COLUMN(NOTA[ID]))&amp;":"&amp;ADDRESS(ROW()-1,COLUMN(NOTA[ID]))))+1))</f>
        <v>62</v>
      </c>
      <c r="B344" s="4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BIN_1305_210-4</v>
      </c>
      <c r="C344" s="44" t="e">
        <f ca="1">IF(NOTA[[#This Row],[ID_P]]="","",MATCH(NOTA[[#This Row],[ID_P]],[1]!B_MSK[N_ID],0))</f>
        <v>#REF!</v>
      </c>
      <c r="D344" s="44">
        <f ca="1">IF(NOTA[[#This Row],[NAMA BARANG]]="","",INDEX(NOTA[ID],MATCH(,INDIRECT(ADDRESS(ROW(NOTA[ID]),COLUMN(NOTA[ID]))&amp;":"&amp;ADDRESS(ROW(),COLUMN(NOTA[ID]))),-1)))</f>
        <v>62</v>
      </c>
      <c r="E344" s="47"/>
      <c r="F344" s="16" t="s">
        <v>515</v>
      </c>
      <c r="G344" s="16" t="s">
        <v>112</v>
      </c>
      <c r="H344" s="20" t="s">
        <v>538</v>
      </c>
      <c r="I344" s="48"/>
      <c r="J344" s="46">
        <v>45055</v>
      </c>
      <c r="K344" s="48"/>
      <c r="L344" s="16" t="s">
        <v>539</v>
      </c>
      <c r="M344" s="49"/>
      <c r="N344" s="48">
        <v>150</v>
      </c>
      <c r="O344" s="16" t="s">
        <v>457</v>
      </c>
      <c r="P344" s="43">
        <v>7700</v>
      </c>
      <c r="Q344" s="50"/>
      <c r="R344" s="28"/>
      <c r="S344" s="91"/>
      <c r="T344" s="91"/>
      <c r="U344" s="45"/>
      <c r="V344" s="26"/>
      <c r="W344" s="45">
        <f>IF(NOTA[[#This Row],[HARGA/ CTN]]="",NOTA[[#This Row],[JUMLAH_H]],NOTA[[#This Row],[HARGA/ CTN]]*IF(NOTA[[#This Row],[C]]="",0,NOTA[[#This Row],[C]]))</f>
        <v>1155000</v>
      </c>
      <c r="X344" s="45">
        <f>IF(NOTA[[#This Row],[JUMLAH]]="","",NOTA[[#This Row],[JUMLAH]]*NOTA[[#This Row],[DISC 1]])</f>
        <v>0</v>
      </c>
      <c r="Y344" s="45">
        <f>IF(NOTA[[#This Row],[JUMLAH]]="","",(NOTA[[#This Row],[JUMLAH]]-NOTA[[#This Row],[DISC 1-]])*NOTA[[#This Row],[DISC 2]])</f>
        <v>0</v>
      </c>
      <c r="Z344" s="45">
        <f>IF(NOTA[[#This Row],[JUMLAH]]="","",NOTA[[#This Row],[DISC 1-]]+NOTA[[#This Row],[DISC 2-]])</f>
        <v>0</v>
      </c>
      <c r="AA344" s="45">
        <f>IF(NOTA[[#This Row],[JUMLAH]]="","",NOTA[[#This Row],[JUMLAH]]-NOTA[[#This Row],[DISC]])</f>
        <v>1155000</v>
      </c>
      <c r="AB344" s="45"/>
      <c r="AC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3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344" s="45">
        <f>IF(OR(NOTA[[#This Row],[QTY]]="",NOTA[[#This Row],[HARGA SATUAN]]="",),"",NOTA[[#This Row],[QTY]]*NOTA[[#This Row],[HARGA SATUAN]])</f>
        <v>1155000</v>
      </c>
      <c r="AG344" s="46">
        <f ca="1">IF(NOTA[ID_H]="","",INDEX(NOTA[TANGGAL],MATCH(,INDIRECT(ADDRESS(ROW(NOTA[TANGGAL]),COLUMN(NOTA[TANGGAL]))&amp;":"&amp;ADDRESS(ROW(),COLUMN(NOTA[TANGGAL]))),-1)))</f>
        <v>45059</v>
      </c>
      <c r="AH344" s="43" t="str">
        <f ca="1">IF(NOTA[[#This Row],[NAMA BARANG]]="","",INDEX(NOTA[SUPPLIER],MATCH(,INDIRECT(ADDRESS(ROW(NOTA[ID]),COLUMN(NOTA[ID]))&amp;":"&amp;ADDRESS(ROW(),COLUMN(NOTA[ID]))),-1)))</f>
        <v>BINTANG SAUDARA</v>
      </c>
      <c r="AI344" s="43" t="str">
        <f ca="1">IF(NOTA[[#This Row],[ID_H]]="","",IF(NOTA[[#This Row],[FAKTUR]]="",INDIRECT(ADDRESS(ROW()-1,COLUMN())),NOTA[[#This Row],[FAKTUR]]))</f>
        <v>UNTANA</v>
      </c>
      <c r="AJ344" s="27">
        <f ca="1">IF(NOTA[[#This Row],[ID]]="","",COUNTIF(NOTA[ID_H],NOTA[[#This Row],[ID_H]]))</f>
        <v>4</v>
      </c>
      <c r="AK344" s="27">
        <f>IF(NOTA[[#This Row],[TGL.NOTA]]="",IF(NOTA[[#This Row],[SUPPLIER_H]]="","",AK343),MONTH(NOTA[[#This Row],[TGL.NOTA]]))</f>
        <v>5</v>
      </c>
      <c r="AL344" s="27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3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3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looseleafa5100lbrkoalamtk7700</v>
      </c>
      <c r="AO344" s="27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SAUDARAUNTANASO202305008021045055looseleafa5100lbrkoalamtk</v>
      </c>
      <c r="AP344" s="27" t="e">
        <f>IF(NOTA[[#This Row],[CONCAT4]]="","",_xlfn.IFNA(MATCH(NOTA[[#This Row],[CONCAT4]],[2]!RAW[CONCAT_H],0),FALSE))</f>
        <v>#REF!</v>
      </c>
      <c r="AQ344" s="145">
        <f>IF(NOTA[[#This Row],[CONCAT1]]="","",MATCH(NOTA[[#This Row],[CONCAT1]],[3]!db[NB NOTA_C],0)+1)</f>
        <v>1520</v>
      </c>
    </row>
    <row r="345" spans="1:43" ht="20.100000000000001" customHeight="1" x14ac:dyDescent="0.25">
      <c r="A345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44" t="str">
        <f>IF(NOTA[[#This Row],[ID_P]]="","",MATCH(NOTA[[#This Row],[ID_P]],[1]!B_MSK[N_ID],0))</f>
        <v/>
      </c>
      <c r="D345" s="44">
        <f ca="1">IF(NOTA[[#This Row],[NAMA BARANG]]="","",INDEX(NOTA[ID],MATCH(,INDIRECT(ADDRESS(ROW(NOTA[ID]),COLUMN(NOTA[ID]))&amp;":"&amp;ADDRESS(ROW(),COLUMN(NOTA[ID]))),-1)))</f>
        <v>62</v>
      </c>
      <c r="E345" s="47"/>
      <c r="F345" s="48"/>
      <c r="G345" s="48"/>
      <c r="H345" s="81"/>
      <c r="I345" s="48"/>
      <c r="J345" s="46"/>
      <c r="K345" s="48"/>
      <c r="L345" s="16" t="s">
        <v>540</v>
      </c>
      <c r="M345" s="49">
        <v>1</v>
      </c>
      <c r="N345" s="48">
        <v>160</v>
      </c>
      <c r="O345" s="16" t="s">
        <v>457</v>
      </c>
      <c r="P345" s="43">
        <v>9500</v>
      </c>
      <c r="Q345" s="50"/>
      <c r="R345" s="28"/>
      <c r="S345" s="91"/>
      <c r="T345" s="91"/>
      <c r="U345" s="45"/>
      <c r="V345" s="26"/>
      <c r="W345" s="45">
        <f>IF(NOTA[[#This Row],[HARGA/ CTN]]="",NOTA[[#This Row],[JUMLAH_H]],NOTA[[#This Row],[HARGA/ CTN]]*IF(NOTA[[#This Row],[C]]="",0,NOTA[[#This Row],[C]]))</f>
        <v>1520000</v>
      </c>
      <c r="X345" s="45">
        <f>IF(NOTA[[#This Row],[JUMLAH]]="","",NOTA[[#This Row],[JUMLAH]]*NOTA[[#This Row],[DISC 1]])</f>
        <v>0</v>
      </c>
      <c r="Y345" s="45">
        <f>IF(NOTA[[#This Row],[JUMLAH]]="","",(NOTA[[#This Row],[JUMLAH]]-NOTA[[#This Row],[DISC 1-]])*NOTA[[#This Row],[DISC 2]])</f>
        <v>0</v>
      </c>
      <c r="Z345" s="45">
        <f>IF(NOTA[[#This Row],[JUMLAH]]="","",NOTA[[#This Row],[DISC 1-]]+NOTA[[#This Row],[DISC 2-]])</f>
        <v>0</v>
      </c>
      <c r="AA345" s="45">
        <f>IF(NOTA[[#This Row],[JUMLAH]]="","",NOTA[[#This Row],[JUMLAH]]-NOTA[[#This Row],[DISC]])</f>
        <v>1520000</v>
      </c>
      <c r="AB345" s="45"/>
      <c r="AC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3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F345" s="45">
        <f>IF(OR(NOTA[[#This Row],[QTY]]="",NOTA[[#This Row],[HARGA SATUAN]]="",),"",NOTA[[#This Row],[QTY]]*NOTA[[#This Row],[HARGA SATUAN]])</f>
        <v>1520000</v>
      </c>
      <c r="AG345" s="46">
        <f ca="1">IF(NOTA[ID_H]="","",INDEX(NOTA[TANGGAL],MATCH(,INDIRECT(ADDRESS(ROW(NOTA[TANGGAL]),COLUMN(NOTA[TANGGAL]))&amp;":"&amp;ADDRESS(ROW(),COLUMN(NOTA[TANGGAL]))),-1)))</f>
        <v>45059</v>
      </c>
      <c r="AH345" s="43" t="str">
        <f ca="1">IF(NOTA[[#This Row],[NAMA BARANG]]="","",INDEX(NOTA[SUPPLIER],MATCH(,INDIRECT(ADDRESS(ROW(NOTA[ID]),COLUMN(NOTA[ID]))&amp;":"&amp;ADDRESS(ROW(),COLUMN(NOTA[ID]))),-1)))</f>
        <v>BINTANG SAUDARA</v>
      </c>
      <c r="AI345" s="43" t="str">
        <f ca="1">IF(NOTA[[#This Row],[ID_H]]="","",IF(NOTA[[#This Row],[FAKTUR]]="",INDIRECT(ADDRESS(ROW()-1,COLUMN())),NOTA[[#This Row],[FAKTUR]]))</f>
        <v>UNTANA</v>
      </c>
      <c r="AJ345" s="27" t="str">
        <f ca="1">IF(NOTA[[#This Row],[ID]]="","",COUNTIF(NOTA[ID_H],NOTA[[#This Row],[ID_H]]))</f>
        <v/>
      </c>
      <c r="AK345" s="27">
        <f ca="1">IF(NOTA[[#This Row],[TGL.NOTA]]="",IF(NOTA[[#This Row],[SUPPLIER_H]]="","",AK344),MONTH(NOTA[[#This Row],[TGL.NOTA]]))</f>
        <v>5</v>
      </c>
      <c r="AL345" s="27" t="str">
        <f>LOWER(SUBSTITUTE(SUBSTITUTE(SUBSTITUTE(SUBSTITUTE(SUBSTITUTE(SUBSTITUTE(SUBSTITUTE(SUBSTITUTE(SUBSTITUTE(NOTA[NAMA BARANG]," ",),".",""),"-",""),"(",""),")",""),",",""),"/",""),"""",""),"+",""))</f>
        <v>looseleafa5100lbrdotedtitik</v>
      </c>
      <c r="AM3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looseleafa5100lbrdotedtitik1520000</v>
      </c>
      <c r="AN3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looseleafa5100lbrdotedtitik1520000</v>
      </c>
      <c r="AO3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27" t="str">
        <f>IF(NOTA[[#This Row],[CONCAT4]]="","",_xlfn.IFNA(MATCH(NOTA[[#This Row],[CONCAT4]],[2]!RAW[CONCAT_H],0),FALSE))</f>
        <v/>
      </c>
      <c r="AQ345" s="145">
        <f>IF(NOTA[[#This Row],[CONCAT1]]="","",MATCH(NOTA[[#This Row],[CONCAT1]],[3]!db[NB NOTA_C],0)+1)</f>
        <v>1521</v>
      </c>
    </row>
    <row r="346" spans="1:43" ht="20.100000000000001" customHeight="1" x14ac:dyDescent="0.25">
      <c r="A346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4" t="str">
        <f>IF(NOTA[[#This Row],[ID_P]]="","",MATCH(NOTA[[#This Row],[ID_P]],[1]!B_MSK[N_ID],0))</f>
        <v/>
      </c>
      <c r="D346" s="44">
        <f ca="1">IF(NOTA[[#This Row],[NAMA BARANG]]="","",INDEX(NOTA[ID],MATCH(,INDIRECT(ADDRESS(ROW(NOTA[ID]),COLUMN(NOTA[ID]))&amp;":"&amp;ADDRESS(ROW(),COLUMN(NOTA[ID]))),-1)))</f>
        <v>62</v>
      </c>
      <c r="E346" s="47"/>
      <c r="F346" s="48"/>
      <c r="G346" s="48"/>
      <c r="H346" s="81"/>
      <c r="I346" s="48"/>
      <c r="J346" s="46"/>
      <c r="K346" s="48"/>
      <c r="L346" s="16" t="s">
        <v>541</v>
      </c>
      <c r="M346" s="49">
        <v>1</v>
      </c>
      <c r="N346" s="48">
        <v>200</v>
      </c>
      <c r="O346" s="16" t="s">
        <v>457</v>
      </c>
      <c r="P346" s="43">
        <v>4750</v>
      </c>
      <c r="Q346" s="50"/>
      <c r="R346" s="28"/>
      <c r="S346" s="91"/>
      <c r="T346" s="91"/>
      <c r="U346" s="45"/>
      <c r="V346" s="26"/>
      <c r="W346" s="45">
        <f>IF(NOTA[[#This Row],[HARGA/ CTN]]="",NOTA[[#This Row],[JUMLAH_H]],NOTA[[#This Row],[HARGA/ CTN]]*IF(NOTA[[#This Row],[C]]="",0,NOTA[[#This Row],[C]]))</f>
        <v>950000</v>
      </c>
      <c r="X346" s="45">
        <f>IF(NOTA[[#This Row],[JUMLAH]]="","",NOTA[[#This Row],[JUMLAH]]*NOTA[[#This Row],[DISC 1]])</f>
        <v>0</v>
      </c>
      <c r="Y346" s="45">
        <f>IF(NOTA[[#This Row],[JUMLAH]]="","",(NOTA[[#This Row],[JUMLAH]]-NOTA[[#This Row],[DISC 1-]])*NOTA[[#This Row],[DISC 2]])</f>
        <v>0</v>
      </c>
      <c r="Z346" s="45">
        <f>IF(NOTA[[#This Row],[JUMLAH]]="","",NOTA[[#This Row],[DISC 1-]]+NOTA[[#This Row],[DISC 2-]])</f>
        <v>0</v>
      </c>
      <c r="AA346" s="45">
        <f>IF(NOTA[[#This Row],[JUMLAH]]="","",NOTA[[#This Row],[JUMLAH]]-NOTA[[#This Row],[DISC]])</f>
        <v>950000</v>
      </c>
      <c r="AB346" s="45"/>
      <c r="AC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3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346" s="45">
        <f>IF(OR(NOTA[[#This Row],[QTY]]="",NOTA[[#This Row],[HARGA SATUAN]]="",),"",NOTA[[#This Row],[QTY]]*NOTA[[#This Row],[HARGA SATUAN]])</f>
        <v>950000</v>
      </c>
      <c r="AG346" s="46">
        <f ca="1">IF(NOTA[ID_H]="","",INDEX(NOTA[TANGGAL],MATCH(,INDIRECT(ADDRESS(ROW(NOTA[TANGGAL]),COLUMN(NOTA[TANGGAL]))&amp;":"&amp;ADDRESS(ROW(),COLUMN(NOTA[TANGGAL]))),-1)))</f>
        <v>45059</v>
      </c>
      <c r="AH346" s="43" t="str">
        <f ca="1">IF(NOTA[[#This Row],[NAMA BARANG]]="","",INDEX(NOTA[SUPPLIER],MATCH(,INDIRECT(ADDRESS(ROW(NOTA[ID]),COLUMN(NOTA[ID]))&amp;":"&amp;ADDRESS(ROW(),COLUMN(NOTA[ID]))),-1)))</f>
        <v>BINTANG SAUDARA</v>
      </c>
      <c r="AI346" s="43" t="str">
        <f ca="1">IF(NOTA[[#This Row],[ID_H]]="","",IF(NOTA[[#This Row],[FAKTUR]]="",INDIRECT(ADDRESS(ROW()-1,COLUMN())),NOTA[[#This Row],[FAKTUR]]))</f>
        <v>UNTANA</v>
      </c>
      <c r="AJ346" s="27" t="str">
        <f ca="1">IF(NOTA[[#This Row],[ID]]="","",COUNTIF(NOTA[ID_H],NOTA[[#This Row],[ID_H]]))</f>
        <v/>
      </c>
      <c r="AK346" s="27">
        <f ca="1">IF(NOTA[[#This Row],[TGL.NOTA]]="",IF(NOTA[[#This Row],[SUPPLIER_H]]="","",AK345),MONTH(NOTA[[#This Row],[TGL.NOTA]]))</f>
        <v>5</v>
      </c>
      <c r="AL346" s="27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3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3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3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27" t="str">
        <f>IF(NOTA[[#This Row],[CONCAT4]]="","",_xlfn.IFNA(MATCH(NOTA[[#This Row],[CONCAT4]],[2]!RAW[CONCAT_H],0),FALSE))</f>
        <v/>
      </c>
      <c r="AQ346" s="145">
        <f>IF(NOTA[[#This Row],[CONCAT1]]="","",MATCH(NOTA[[#This Row],[CONCAT1]],[3]!db[NB NOTA_C],0)+1)</f>
        <v>1525</v>
      </c>
    </row>
    <row r="347" spans="1:43" ht="20.100000000000001" customHeight="1" x14ac:dyDescent="0.25">
      <c r="A347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4" t="str">
        <f>IF(NOTA[[#This Row],[ID_P]]="","",MATCH(NOTA[[#This Row],[ID_P]],[1]!B_MSK[N_ID],0))</f>
        <v/>
      </c>
      <c r="D347" s="44">
        <f ca="1">IF(NOTA[[#This Row],[NAMA BARANG]]="","",INDEX(NOTA[ID],MATCH(,INDIRECT(ADDRESS(ROW(NOTA[ID]),COLUMN(NOTA[ID]))&amp;":"&amp;ADDRESS(ROW(),COLUMN(NOTA[ID]))),-1)))</f>
        <v>62</v>
      </c>
      <c r="E347" s="47"/>
      <c r="F347" s="16"/>
      <c r="G347" s="16"/>
      <c r="H347" s="20"/>
      <c r="I347" s="48"/>
      <c r="J347" s="46"/>
      <c r="K347" s="48"/>
      <c r="L347" s="16" t="s">
        <v>542</v>
      </c>
      <c r="M347" s="49">
        <v>1</v>
      </c>
      <c r="N347" s="48">
        <v>150</v>
      </c>
      <c r="O347" s="16" t="s">
        <v>457</v>
      </c>
      <c r="P347" s="43">
        <v>10500</v>
      </c>
      <c r="Q347" s="50"/>
      <c r="R347" s="28"/>
      <c r="S347" s="91"/>
      <c r="T347" s="91"/>
      <c r="U347" s="45"/>
      <c r="V347" s="26"/>
      <c r="W347" s="45">
        <f>IF(NOTA[[#This Row],[HARGA/ CTN]]="",NOTA[[#This Row],[JUMLAH_H]],NOTA[[#This Row],[HARGA/ CTN]]*IF(NOTA[[#This Row],[C]]="",0,NOTA[[#This Row],[C]]))</f>
        <v>1575000</v>
      </c>
      <c r="X347" s="45">
        <f>IF(NOTA[[#This Row],[JUMLAH]]="","",NOTA[[#This Row],[JUMLAH]]*NOTA[[#This Row],[DISC 1]])</f>
        <v>0</v>
      </c>
      <c r="Y347" s="45">
        <f>IF(NOTA[[#This Row],[JUMLAH]]="","",(NOTA[[#This Row],[JUMLAH]]-NOTA[[#This Row],[DISC 1-]])*NOTA[[#This Row],[DISC 2]])</f>
        <v>0</v>
      </c>
      <c r="Z347" s="45">
        <f>IF(NOTA[[#This Row],[JUMLAH]]="","",NOTA[[#This Row],[DISC 1-]]+NOTA[[#This Row],[DISC 2-]])</f>
        <v>0</v>
      </c>
      <c r="AA347" s="45">
        <f>IF(NOTA[[#This Row],[JUMLAH]]="","",NOTA[[#This Row],[JUMLAH]]-NOTA[[#This Row],[DISC]])</f>
        <v>1575000</v>
      </c>
      <c r="AB347" s="45"/>
      <c r="AC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E347" s="43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347" s="45">
        <f>IF(OR(NOTA[[#This Row],[QTY]]="",NOTA[[#This Row],[HARGA SATUAN]]="",),"",NOTA[[#This Row],[QTY]]*NOTA[[#This Row],[HARGA SATUAN]])</f>
        <v>1575000</v>
      </c>
      <c r="AG347" s="46">
        <f ca="1">IF(NOTA[ID_H]="","",INDEX(NOTA[TANGGAL],MATCH(,INDIRECT(ADDRESS(ROW(NOTA[TANGGAL]),COLUMN(NOTA[TANGGAL]))&amp;":"&amp;ADDRESS(ROW(),COLUMN(NOTA[TANGGAL]))),-1)))</f>
        <v>45059</v>
      </c>
      <c r="AH347" s="43" t="str">
        <f ca="1">IF(NOTA[[#This Row],[NAMA BARANG]]="","",INDEX(NOTA[SUPPLIER],MATCH(,INDIRECT(ADDRESS(ROW(NOTA[ID]),COLUMN(NOTA[ID]))&amp;":"&amp;ADDRESS(ROW(),COLUMN(NOTA[ID]))),-1)))</f>
        <v>BINTANG SAUDARA</v>
      </c>
      <c r="AI347" s="43" t="str">
        <f ca="1">IF(NOTA[[#This Row],[ID_H]]="","",IF(NOTA[[#This Row],[FAKTUR]]="",INDIRECT(ADDRESS(ROW()-1,COLUMN())),NOTA[[#This Row],[FAKTUR]]))</f>
        <v>UNTANA</v>
      </c>
      <c r="AJ347" s="27" t="str">
        <f ca="1">IF(NOTA[[#This Row],[ID]]="","",COUNTIF(NOTA[ID_H],NOTA[[#This Row],[ID_H]]))</f>
        <v/>
      </c>
      <c r="AK347" s="27">
        <f ca="1">IF(NOTA[[#This Row],[TGL.NOTA]]="",IF(NOTA[[#This Row],[SUPPLIER_H]]="","",AK346),MONTH(NOTA[[#This Row],[TGL.NOTA]]))</f>
        <v>5</v>
      </c>
      <c r="AL347" s="27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3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3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3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27" t="str">
        <f>IF(NOTA[[#This Row],[CONCAT4]]="","",_xlfn.IFNA(MATCH(NOTA[[#This Row],[CONCAT4]],[2]!RAW[CONCAT_H],0),FALSE))</f>
        <v/>
      </c>
      <c r="AQ347" s="145">
        <f>IF(NOTA[[#This Row],[CONCAT1]]="","",MATCH(NOTA[[#This Row],[CONCAT1]],[3]!db[NB NOTA_C],0)+1)</f>
        <v>1528</v>
      </c>
    </row>
    <row r="348" spans="1:43" ht="20.100000000000001" customHeight="1" x14ac:dyDescent="0.25">
      <c r="A348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4" t="str">
        <f>IF(NOTA[[#This Row],[ID_P]]="","",MATCH(NOTA[[#This Row],[ID_P]],[1]!B_MSK[N_ID],0))</f>
        <v/>
      </c>
      <c r="D348" s="44" t="str">
        <f ca="1">IF(NOTA[[#This Row],[NAMA BARANG]]="","",INDEX(NOTA[ID],MATCH(,INDIRECT(ADDRESS(ROW(NOTA[ID]),COLUMN(NOTA[ID]))&amp;":"&amp;ADDRESS(ROW(),COLUMN(NOTA[ID]))),-1)))</f>
        <v/>
      </c>
      <c r="E348" s="47"/>
      <c r="F348" s="16"/>
      <c r="G348" s="16"/>
      <c r="H348" s="20"/>
      <c r="I348" s="48"/>
      <c r="J348" s="46"/>
      <c r="K348" s="48"/>
      <c r="L348" s="16"/>
      <c r="M348" s="49"/>
      <c r="N348" s="48"/>
      <c r="O348" s="16"/>
      <c r="P348" s="43"/>
      <c r="Q348" s="50"/>
      <c r="R348" s="28"/>
      <c r="S348" s="91"/>
      <c r="T348" s="91"/>
      <c r="U348" s="45"/>
      <c r="V348" s="26"/>
      <c r="W348" s="45" t="str">
        <f>IF(NOTA[[#This Row],[HARGA/ CTN]]="",NOTA[[#This Row],[JUMLAH_H]],NOTA[[#This Row],[HARGA/ CTN]]*IF(NOTA[[#This Row],[C]]="",0,NOTA[[#This Row],[C]]))</f>
        <v/>
      </c>
      <c r="X348" s="45" t="str">
        <f>IF(NOTA[[#This Row],[JUMLAH]]="","",NOTA[[#This Row],[JUMLAH]]*NOTA[[#This Row],[DISC 1]])</f>
        <v/>
      </c>
      <c r="Y348" s="45" t="str">
        <f>IF(NOTA[[#This Row],[JUMLAH]]="","",(NOTA[[#This Row],[JUMLAH]]-NOTA[[#This Row],[DISC 1-]])*NOTA[[#This Row],[DISC 2]])</f>
        <v/>
      </c>
      <c r="Z348" s="45" t="str">
        <f>IF(NOTA[[#This Row],[JUMLAH]]="","",NOTA[[#This Row],[DISC 1-]]+NOTA[[#This Row],[DISC 2-]])</f>
        <v/>
      </c>
      <c r="AA348" s="45" t="str">
        <f>IF(NOTA[[#This Row],[JUMLAH]]="","",NOTA[[#This Row],[JUMLAH]]-NOTA[[#This Row],[DISC]])</f>
        <v/>
      </c>
      <c r="AB348" s="45"/>
      <c r="AC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45" t="str">
        <f>IF(OR(NOTA[[#This Row],[QTY]]="",NOTA[[#This Row],[HARGA SATUAN]]="",),"",NOTA[[#This Row],[QTY]]*NOTA[[#This Row],[HARGA SATUAN]])</f>
        <v/>
      </c>
      <c r="AG348" s="46" t="str">
        <f ca="1">IF(NOTA[ID_H]="","",INDEX(NOTA[TANGGAL],MATCH(,INDIRECT(ADDRESS(ROW(NOTA[TANGGAL]),COLUMN(NOTA[TANGGAL]))&amp;":"&amp;ADDRESS(ROW(),COLUMN(NOTA[TANGGAL]))),-1)))</f>
        <v/>
      </c>
      <c r="AH348" s="43" t="str">
        <f ca="1">IF(NOTA[[#This Row],[NAMA BARANG]]="","",INDEX(NOTA[SUPPLIER],MATCH(,INDIRECT(ADDRESS(ROW(NOTA[ID]),COLUMN(NOTA[ID]))&amp;":"&amp;ADDRESS(ROW(),COLUMN(NOTA[ID]))),-1)))</f>
        <v/>
      </c>
      <c r="AI348" s="43" t="str">
        <f ca="1">IF(NOTA[[#This Row],[ID_H]]="","",IF(NOTA[[#This Row],[FAKTUR]]="",INDIRECT(ADDRESS(ROW()-1,COLUMN())),NOTA[[#This Row],[FAKTUR]]))</f>
        <v/>
      </c>
      <c r="AJ348" s="27" t="str">
        <f ca="1">IF(NOTA[[#This Row],[ID]]="","",COUNTIF(NOTA[ID_H],NOTA[[#This Row],[ID_H]]))</f>
        <v/>
      </c>
      <c r="AK348" s="27" t="str">
        <f ca="1">IF(NOTA[[#This Row],[TGL.NOTA]]="",IF(NOTA[[#This Row],[SUPPLIER_H]]="","",AK347),MONTH(NOTA[[#This Row],[TGL.NOTA]]))</f>
        <v/>
      </c>
      <c r="AL348" s="27" t="str">
        <f>LOWER(SUBSTITUTE(SUBSTITUTE(SUBSTITUTE(SUBSTITUTE(SUBSTITUTE(SUBSTITUTE(SUBSTITUTE(SUBSTITUTE(SUBSTITUTE(NOTA[NAMA BARANG]," ",),".",""),"-",""),"(",""),")",""),",",""),"/",""),"""",""),"+",""))</f>
        <v/>
      </c>
      <c r="AM3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27" t="str">
        <f>IF(NOTA[[#This Row],[CONCAT4]]="","",_xlfn.IFNA(MATCH(NOTA[[#This Row],[CONCAT4]],[2]!RAW[CONCAT_H],0),FALSE))</f>
        <v/>
      </c>
      <c r="AQ348" s="145" t="str">
        <f>IF(NOTA[[#This Row],[CONCAT1]]="","",MATCH(NOTA[[#This Row],[CONCAT1]],[3]!db[NB NOTA_C],0)+1)</f>
        <v/>
      </c>
    </row>
    <row r="349" spans="1:43" ht="20.100000000000001" customHeight="1" x14ac:dyDescent="0.25">
      <c r="A349" s="35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SIN_1305_EDY-3</v>
      </c>
      <c r="C349" s="36" t="e">
        <f ca="1">IF(NOTA[[#This Row],[ID_P]]="","",MATCH(NOTA[[#This Row],[ID_P]],[1]!B_MSK[N_ID],0))</f>
        <v>#REF!</v>
      </c>
      <c r="D349" s="36">
        <f ca="1">IF(NOTA[[#This Row],[NAMA BARANG]]="","",INDEX(NOTA[ID],MATCH(,INDIRECT(ADDRESS(ROW(NOTA[ID]),COLUMN(NOTA[ID]))&amp;":"&amp;ADDRESS(ROW(),COLUMN(NOTA[ID]))),-1)))</f>
        <v>63</v>
      </c>
      <c r="E349" s="14"/>
      <c r="F349" s="16" t="s">
        <v>386</v>
      </c>
      <c r="G349" s="16" t="s">
        <v>112</v>
      </c>
      <c r="H349" s="20" t="s">
        <v>543</v>
      </c>
      <c r="I349" s="16"/>
      <c r="J349" s="37">
        <v>45055</v>
      </c>
      <c r="K349" s="16"/>
      <c r="L349" s="16" t="s">
        <v>544</v>
      </c>
      <c r="M349" s="49">
        <v>15</v>
      </c>
      <c r="N349" s="48">
        <v>1440</v>
      </c>
      <c r="O349" s="16" t="s">
        <v>160</v>
      </c>
      <c r="P349" s="43">
        <v>18500</v>
      </c>
      <c r="Q349" s="38"/>
      <c r="R349" s="28" t="s">
        <v>545</v>
      </c>
      <c r="S349" s="39"/>
      <c r="T349" s="39"/>
      <c r="U349" s="40"/>
      <c r="V349" s="26"/>
      <c r="W349" s="40">
        <f>IF(NOTA[[#This Row],[HARGA/ CTN]]="",NOTA[[#This Row],[JUMLAH_H]],NOTA[[#This Row],[HARGA/ CTN]]*IF(NOTA[[#This Row],[C]]="",0,NOTA[[#This Row],[C]]))</f>
        <v>26640000</v>
      </c>
      <c r="X349" s="40">
        <f>IF(NOTA[[#This Row],[JUMLAH]]="","",NOTA[[#This Row],[JUMLAH]]*NOTA[[#This Row],[DISC 1]])</f>
        <v>0</v>
      </c>
      <c r="Y349" s="40">
        <f>IF(NOTA[[#This Row],[JUMLAH]]="","",(NOTA[[#This Row],[JUMLAH]]-NOTA[[#This Row],[DISC 1-]])*NOTA[[#This Row],[DISC 2]])</f>
        <v>0</v>
      </c>
      <c r="Z349" s="40">
        <f>IF(NOTA[[#This Row],[JUMLAH]]="","",NOTA[[#This Row],[DISC 1-]]+NOTA[[#This Row],[DISC 2-]])</f>
        <v>0</v>
      </c>
      <c r="AA349" s="40">
        <f>IF(NOTA[[#This Row],[JUMLAH]]="","",NOTA[[#This Row],[JUMLAH]]-NOTA[[#This Row],[DISC]])</f>
        <v>26640000</v>
      </c>
      <c r="AB349" s="40"/>
      <c r="AC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3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349" s="40">
        <f>IF(OR(NOTA[[#This Row],[QTY]]="",NOTA[[#This Row],[HARGA SATUAN]]="",),"",NOTA[[#This Row],[QTY]]*NOTA[[#This Row],[HARGA SATUAN]])</f>
        <v>26640000</v>
      </c>
      <c r="AG349" s="37">
        <f ca="1">IF(NOTA[ID_H]="","",INDEX(NOTA[TANGGAL],MATCH(,INDIRECT(ADDRESS(ROW(NOTA[TANGGAL]),COLUMN(NOTA[TANGGAL]))&amp;":"&amp;ADDRESS(ROW(),COLUMN(NOTA[TANGGAL]))),-1)))</f>
        <v>45059</v>
      </c>
      <c r="AH349" s="35" t="str">
        <f ca="1">IF(NOTA[[#This Row],[NAMA BARANG]]="","",INDEX(NOTA[SUPPLIER],MATCH(,INDIRECT(ADDRESS(ROW(NOTA[ID]),COLUMN(NOTA[ID]))&amp;":"&amp;ADDRESS(ROW(),COLUMN(NOTA[ID]))),-1)))</f>
        <v>SINAR MAS</v>
      </c>
      <c r="AI349" s="35" t="str">
        <f ca="1">IF(NOTA[[#This Row],[ID_H]]="","",IF(NOTA[[#This Row],[FAKTUR]]="",INDIRECT(ADDRESS(ROW()-1,COLUMN())),NOTA[[#This Row],[FAKTUR]]))</f>
        <v>UNTANA</v>
      </c>
      <c r="AJ349" s="27">
        <f ca="1">IF(NOTA[[#This Row],[ID]]="","",COUNTIF(NOTA[ID_H],NOTA[[#This Row],[ID_H]]))</f>
        <v>3</v>
      </c>
      <c r="AK349" s="27">
        <f>IF(NOTA[[#This Row],[TGL.NOTA]]="",IF(NOTA[[#This Row],[SUPPLIER_H]]="","",AK348),MONTH(NOTA[[#This Row],[TGL.NOTA]]))</f>
        <v>5</v>
      </c>
      <c r="AL349" s="27" t="str">
        <f>LOWER(SUBSTITUTE(SUBSTITUTE(SUBSTITUTE(SUBSTITUTE(SUBSTITUTE(SUBSTITUTE(SUBSTITUTE(SUBSTITUTE(SUBSTITUTE(NOTA[NAMA BARANG]," ",),".",""),"-",""),"(",""),")",""),",",""),"/",""),"""",""),"+",""))</f>
        <v>pckode3ss3da2020</v>
      </c>
      <c r="AM3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pckode3ss3da20201776000</v>
      </c>
      <c r="AN3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pckode3ss3da20201776000</v>
      </c>
      <c r="AO349" s="27" t="str">
        <f>IF(NOTA[[#This Row],[SUPPLIER]]="","",NOTA[[#This Row],[SUPPLIER]]&amp;NOTA[[#This Row],[FAKTUR]]&amp;NOTA[[#This Row],[NO.NOTA]]&amp;NOTA[[#This Row],[NO.SJ]]&amp;NOTA[[#This Row],[TGL.NOTA]]&amp;NOTA[[#This Row],[CONCAT1]])</f>
        <v>SINAR MASUNTANAGI-EDY45055pckode3ss3da2020</v>
      </c>
      <c r="AP349" s="27" t="e">
        <f>IF(NOTA[[#This Row],[CONCAT4]]="","",_xlfn.IFNA(MATCH(NOTA[[#This Row],[CONCAT4]],[2]!RAW[CONCAT_H],0),FALSE))</f>
        <v>#REF!</v>
      </c>
      <c r="AQ349" s="145" t="e">
        <f>IF(NOTA[[#This Row],[CONCAT1]]="","",MATCH(NOTA[[#This Row],[CONCAT1]],[3]!db[NB NOTA_C],0)+1)</f>
        <v>#N/A</v>
      </c>
    </row>
    <row r="350" spans="1:43" ht="20.100000000000001" customHeight="1" x14ac:dyDescent="0.25">
      <c r="A3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6" t="str">
        <f>IF(NOTA[[#This Row],[ID_P]]="","",MATCH(NOTA[[#This Row],[ID_P]],[1]!B_MSK[N_ID],0))</f>
        <v/>
      </c>
      <c r="D350" s="36">
        <f ca="1">IF(NOTA[[#This Row],[NAMA BARANG]]="","",INDEX(NOTA[ID],MATCH(,INDIRECT(ADDRESS(ROW(NOTA[ID]),COLUMN(NOTA[ID]))&amp;":"&amp;ADDRESS(ROW(),COLUMN(NOTA[ID]))),-1)))</f>
        <v>63</v>
      </c>
      <c r="E350" s="14"/>
      <c r="F350" s="16"/>
      <c r="G350" s="16"/>
      <c r="H350" s="20"/>
      <c r="I350" s="16"/>
      <c r="J350" s="37"/>
      <c r="K350" s="16"/>
      <c r="L350" s="16" t="s">
        <v>546</v>
      </c>
      <c r="M350" s="49">
        <v>1</v>
      </c>
      <c r="N350" s="48">
        <v>72</v>
      </c>
      <c r="O350" s="16" t="s">
        <v>160</v>
      </c>
      <c r="P350" s="43">
        <v>21000</v>
      </c>
      <c r="Q350" s="38"/>
      <c r="R350" s="28" t="s">
        <v>549</v>
      </c>
      <c r="S350" s="39"/>
      <c r="T350" s="39"/>
      <c r="U350" s="40"/>
      <c r="V350" s="26"/>
      <c r="W350" s="40">
        <f>IF(NOTA[[#This Row],[HARGA/ CTN]]="",NOTA[[#This Row],[JUMLAH_H]],NOTA[[#This Row],[HARGA/ CTN]]*IF(NOTA[[#This Row],[C]]="",0,NOTA[[#This Row],[C]]))</f>
        <v>1512000</v>
      </c>
      <c r="X350" s="40">
        <f>IF(NOTA[[#This Row],[JUMLAH]]="","",NOTA[[#This Row],[JUMLAH]]*NOTA[[#This Row],[DISC 1]])</f>
        <v>0</v>
      </c>
      <c r="Y350" s="40">
        <f>IF(NOTA[[#This Row],[JUMLAH]]="","",(NOTA[[#This Row],[JUMLAH]]-NOTA[[#This Row],[DISC 1-]])*NOTA[[#This Row],[DISC 2]])</f>
        <v>0</v>
      </c>
      <c r="Z350" s="40">
        <f>IF(NOTA[[#This Row],[JUMLAH]]="","",NOTA[[#This Row],[DISC 1-]]+NOTA[[#This Row],[DISC 2-]])</f>
        <v>0</v>
      </c>
      <c r="AA350" s="40">
        <f>IF(NOTA[[#This Row],[JUMLAH]]="","",NOTA[[#This Row],[JUMLAH]]-NOTA[[#This Row],[DISC]])</f>
        <v>1512000</v>
      </c>
      <c r="AB350" s="40"/>
      <c r="AC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3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350" s="40">
        <f>IF(OR(NOTA[[#This Row],[QTY]]="",NOTA[[#This Row],[HARGA SATUAN]]="",),"",NOTA[[#This Row],[QTY]]*NOTA[[#This Row],[HARGA SATUAN]])</f>
        <v>1512000</v>
      </c>
      <c r="AG350" s="37">
        <f ca="1">IF(NOTA[ID_H]="","",INDEX(NOTA[TANGGAL],MATCH(,INDIRECT(ADDRESS(ROW(NOTA[TANGGAL]),COLUMN(NOTA[TANGGAL]))&amp;":"&amp;ADDRESS(ROW(),COLUMN(NOTA[TANGGAL]))),-1)))</f>
        <v>45059</v>
      </c>
      <c r="AH350" s="35" t="str">
        <f ca="1">IF(NOTA[[#This Row],[NAMA BARANG]]="","",INDEX(NOTA[SUPPLIER],MATCH(,INDIRECT(ADDRESS(ROW(NOTA[ID]),COLUMN(NOTA[ID]))&amp;":"&amp;ADDRESS(ROW(),COLUMN(NOTA[ID]))),-1)))</f>
        <v>SINAR MAS</v>
      </c>
      <c r="AI350" s="35" t="str">
        <f ca="1">IF(NOTA[[#This Row],[ID_H]]="","",IF(NOTA[[#This Row],[FAKTUR]]="",INDIRECT(ADDRESS(ROW()-1,COLUMN())),NOTA[[#This Row],[FAKTUR]]))</f>
        <v>UNTANA</v>
      </c>
      <c r="AJ350" s="27" t="str">
        <f ca="1">IF(NOTA[[#This Row],[ID]]="","",COUNTIF(NOTA[ID_H],NOTA[[#This Row],[ID_H]]))</f>
        <v/>
      </c>
      <c r="AK350" s="27">
        <f ca="1">IF(NOTA[[#This Row],[TGL.NOTA]]="",IF(NOTA[[#This Row],[SUPPLIER_H]]="","",AK349),MONTH(NOTA[[#This Row],[TGL.NOTA]]))</f>
        <v>5</v>
      </c>
      <c r="AL350" s="27" t="str">
        <f>LOWER(SUBSTITUTE(SUBSTITUTE(SUBSTITUTE(SUBSTITUTE(SUBSTITUTE(SUBSTITUTE(SUBSTITUTE(SUBSTITUTE(SUBSTITUTE(NOTA[NAMA BARANG]," ",),".",""),"-",""),"(",""),")",""),",",""),"/",""),"""",""),"+",""))</f>
        <v>pckode4ssa4001</v>
      </c>
      <c r="AM3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pckode4ssa40011512000</v>
      </c>
      <c r="AN3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pckode4ssa40011512000</v>
      </c>
      <c r="AO3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27" t="str">
        <f>IF(NOTA[[#This Row],[CONCAT4]]="","",_xlfn.IFNA(MATCH(NOTA[[#This Row],[CONCAT4]],[2]!RAW[CONCAT_H],0),FALSE))</f>
        <v/>
      </c>
      <c r="AQ350" s="145" t="e">
        <f>IF(NOTA[[#This Row],[CONCAT1]]="","",MATCH(NOTA[[#This Row],[CONCAT1]],[3]!db[NB NOTA_C],0)+1)</f>
        <v>#N/A</v>
      </c>
    </row>
    <row r="351" spans="1:43" ht="20.100000000000001" customHeight="1" x14ac:dyDescent="0.25">
      <c r="A3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6" t="str">
        <f>IF(NOTA[[#This Row],[ID_P]]="","",MATCH(NOTA[[#This Row],[ID_P]],[1]!B_MSK[N_ID],0))</f>
        <v/>
      </c>
      <c r="D351" s="36">
        <f ca="1">IF(NOTA[[#This Row],[NAMA BARANG]]="","",INDEX(NOTA[ID],MATCH(,INDIRECT(ADDRESS(ROW(NOTA[ID]),COLUMN(NOTA[ID]))&amp;":"&amp;ADDRESS(ROW(),COLUMN(NOTA[ID]))),-1)))</f>
        <v>63</v>
      </c>
      <c r="E351" s="14"/>
      <c r="F351" s="16"/>
      <c r="G351" s="16"/>
      <c r="H351" s="20"/>
      <c r="I351" s="16"/>
      <c r="J351" s="37"/>
      <c r="K351" s="16"/>
      <c r="L351" s="16" t="s">
        <v>547</v>
      </c>
      <c r="M351" s="49">
        <v>1</v>
      </c>
      <c r="N351" s="48">
        <v>60</v>
      </c>
      <c r="O351" s="16" t="s">
        <v>160</v>
      </c>
      <c r="P351" s="43">
        <v>25000</v>
      </c>
      <c r="Q351" s="38"/>
      <c r="R351" s="28" t="s">
        <v>548</v>
      </c>
      <c r="S351" s="39"/>
      <c r="T351" s="39"/>
      <c r="U351" s="40"/>
      <c r="V351" s="26"/>
      <c r="W351" s="40">
        <f>IF(NOTA[[#This Row],[HARGA/ CTN]]="",NOTA[[#This Row],[JUMLAH_H]],NOTA[[#This Row],[HARGA/ CTN]]*IF(NOTA[[#This Row],[C]]="",0,NOTA[[#This Row],[C]]))</f>
        <v>1500000</v>
      </c>
      <c r="X351" s="40">
        <f>IF(NOTA[[#This Row],[JUMLAH]]="","",NOTA[[#This Row],[JUMLAH]]*NOTA[[#This Row],[DISC 1]])</f>
        <v>0</v>
      </c>
      <c r="Y351" s="40">
        <f>IF(NOTA[[#This Row],[JUMLAH]]="","",(NOTA[[#This Row],[JUMLAH]]-NOTA[[#This Row],[DISC 1-]])*NOTA[[#This Row],[DISC 2]])</f>
        <v>0</v>
      </c>
      <c r="Z351" s="40">
        <f>IF(NOTA[[#This Row],[JUMLAH]]="","",NOTA[[#This Row],[DISC 1-]]+NOTA[[#This Row],[DISC 2-]])</f>
        <v>0</v>
      </c>
      <c r="AA351" s="40">
        <f>IF(NOTA[[#This Row],[JUMLAH]]="","",NOTA[[#This Row],[JUMLAH]]-NOTA[[#This Row],[DISC]])</f>
        <v>1500000</v>
      </c>
      <c r="AB351" s="40"/>
      <c r="AC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29652000</v>
      </c>
      <c r="AE351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51" s="40">
        <f>IF(OR(NOTA[[#This Row],[QTY]]="",NOTA[[#This Row],[HARGA SATUAN]]="",),"",NOTA[[#This Row],[QTY]]*NOTA[[#This Row],[HARGA SATUAN]])</f>
        <v>1500000</v>
      </c>
      <c r="AG351" s="37">
        <f ca="1">IF(NOTA[ID_H]="","",INDEX(NOTA[TANGGAL],MATCH(,INDIRECT(ADDRESS(ROW(NOTA[TANGGAL]),COLUMN(NOTA[TANGGAL]))&amp;":"&amp;ADDRESS(ROW(),COLUMN(NOTA[TANGGAL]))),-1)))</f>
        <v>45059</v>
      </c>
      <c r="AH351" s="35" t="str">
        <f ca="1">IF(NOTA[[#This Row],[NAMA BARANG]]="","",INDEX(NOTA[SUPPLIER],MATCH(,INDIRECT(ADDRESS(ROW(NOTA[ID]),COLUMN(NOTA[ID]))&amp;":"&amp;ADDRESS(ROW(),COLUMN(NOTA[ID]))),-1)))</f>
        <v>SINAR MAS</v>
      </c>
      <c r="AI351" s="35" t="str">
        <f ca="1">IF(NOTA[[#This Row],[ID_H]]="","",IF(NOTA[[#This Row],[FAKTUR]]="",INDIRECT(ADDRESS(ROW()-1,COLUMN())),NOTA[[#This Row],[FAKTUR]]))</f>
        <v>UNTANA</v>
      </c>
      <c r="AJ351" s="27" t="str">
        <f ca="1">IF(NOTA[[#This Row],[ID]]="","",COUNTIF(NOTA[ID_H],NOTA[[#This Row],[ID_H]]))</f>
        <v/>
      </c>
      <c r="AK351" s="27">
        <f ca="1">IF(NOTA[[#This Row],[TGL.NOTA]]="",IF(NOTA[[#This Row],[SUPPLIER_H]]="","",AK350),MONTH(NOTA[[#This Row],[TGL.NOTA]]))</f>
        <v>5</v>
      </c>
      <c r="AL351" s="27" t="str">
        <f>LOWER(SUBSTITUTE(SUBSTITUTE(SUBSTITUTE(SUBSTITUTE(SUBSTITUTE(SUBSTITUTE(SUBSTITUTE(SUBSTITUTE(SUBSTITUTE(NOTA[NAMA BARANG]," ",),".",""),"-",""),"(",""),")",""),",",""),"/",""),"""",""),"+",""))</f>
        <v>pckode5ss15001</v>
      </c>
      <c r="AM3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pckode5ss150011500000</v>
      </c>
      <c r="AN3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pckode5ss150011500000</v>
      </c>
      <c r="AO3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27" t="str">
        <f>IF(NOTA[[#This Row],[CONCAT4]]="","",_xlfn.IFNA(MATCH(NOTA[[#This Row],[CONCAT4]],[2]!RAW[CONCAT_H],0),FALSE))</f>
        <v/>
      </c>
      <c r="AQ351" s="145" t="e">
        <f>IF(NOTA[[#This Row],[CONCAT1]]="","",MATCH(NOTA[[#This Row],[CONCAT1]],[3]!db[NB NOTA_C],0)+1)</f>
        <v>#N/A</v>
      </c>
    </row>
    <row r="352" spans="1:43" ht="20.100000000000001" customHeight="1" x14ac:dyDescent="0.25">
      <c r="A3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6" t="str">
        <f>IF(NOTA[[#This Row],[ID_P]]="","",MATCH(NOTA[[#This Row],[ID_P]],[1]!B_MSK[N_ID],0))</f>
        <v/>
      </c>
      <c r="D352" s="36" t="str">
        <f ca="1">IF(NOTA[[#This Row],[NAMA BARANG]]="","",INDEX(NOTA[ID],MATCH(,INDIRECT(ADDRESS(ROW(NOTA[ID]),COLUMN(NOTA[ID]))&amp;":"&amp;ADDRESS(ROW(),COLUMN(NOTA[ID]))),-1)))</f>
        <v/>
      </c>
      <c r="E352" s="14"/>
      <c r="F352" s="16"/>
      <c r="G352" s="16"/>
      <c r="H352" s="20"/>
      <c r="I352" s="16"/>
      <c r="J352" s="37"/>
      <c r="K352" s="16"/>
      <c r="L352" s="16"/>
      <c r="M352" s="49"/>
      <c r="N352" s="48"/>
      <c r="O352" s="16"/>
      <c r="P352" s="43"/>
      <c r="Q352" s="38"/>
      <c r="R352" s="28"/>
      <c r="S352" s="39"/>
      <c r="T352" s="39"/>
      <c r="U352" s="40"/>
      <c r="V352" s="26"/>
      <c r="W352" s="40" t="str">
        <f>IF(NOTA[[#This Row],[HARGA/ CTN]]="",NOTA[[#This Row],[JUMLAH_H]],NOTA[[#This Row],[HARGA/ CTN]]*IF(NOTA[[#This Row],[C]]="",0,NOTA[[#This Row],[C]]))</f>
        <v/>
      </c>
      <c r="X352" s="40" t="str">
        <f>IF(NOTA[[#This Row],[JUMLAH]]="","",NOTA[[#This Row],[JUMLAH]]*NOTA[[#This Row],[DISC 1]])</f>
        <v/>
      </c>
      <c r="Y352" s="40" t="str">
        <f>IF(NOTA[[#This Row],[JUMLAH]]="","",(NOTA[[#This Row],[JUMLAH]]-NOTA[[#This Row],[DISC 1-]])*NOTA[[#This Row],[DISC 2]])</f>
        <v/>
      </c>
      <c r="Z352" s="40" t="str">
        <f>IF(NOTA[[#This Row],[JUMLAH]]="","",NOTA[[#This Row],[DISC 1-]]+NOTA[[#This Row],[DISC 2-]])</f>
        <v/>
      </c>
      <c r="AA352" s="40" t="str">
        <f>IF(NOTA[[#This Row],[JUMLAH]]="","",NOTA[[#This Row],[JUMLAH]]-NOTA[[#This Row],[DISC]])</f>
        <v/>
      </c>
      <c r="AB352" s="40"/>
      <c r="AC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40" t="str">
        <f>IF(OR(NOTA[[#This Row],[QTY]]="",NOTA[[#This Row],[HARGA SATUAN]]="",),"",NOTA[[#This Row],[QTY]]*NOTA[[#This Row],[HARGA SATUAN]])</f>
        <v/>
      </c>
      <c r="AG352" s="37" t="str">
        <f ca="1">IF(NOTA[ID_H]="","",INDEX(NOTA[TANGGAL],MATCH(,INDIRECT(ADDRESS(ROW(NOTA[TANGGAL]),COLUMN(NOTA[TANGGAL]))&amp;":"&amp;ADDRESS(ROW(),COLUMN(NOTA[TANGGAL]))),-1)))</f>
        <v/>
      </c>
      <c r="AH352" s="35" t="str">
        <f ca="1">IF(NOTA[[#This Row],[NAMA BARANG]]="","",INDEX(NOTA[SUPPLIER],MATCH(,INDIRECT(ADDRESS(ROW(NOTA[ID]),COLUMN(NOTA[ID]))&amp;":"&amp;ADDRESS(ROW(),COLUMN(NOTA[ID]))),-1)))</f>
        <v/>
      </c>
      <c r="AI352" s="35" t="str">
        <f ca="1">IF(NOTA[[#This Row],[ID_H]]="","",IF(NOTA[[#This Row],[FAKTUR]]="",INDIRECT(ADDRESS(ROW()-1,COLUMN())),NOTA[[#This Row],[FAKTUR]]))</f>
        <v/>
      </c>
      <c r="AJ352" s="27" t="str">
        <f ca="1">IF(NOTA[[#This Row],[ID]]="","",COUNTIF(NOTA[ID_H],NOTA[[#This Row],[ID_H]]))</f>
        <v/>
      </c>
      <c r="AK352" s="27" t="str">
        <f ca="1">IF(NOTA[[#This Row],[TGL.NOTA]]="",IF(NOTA[[#This Row],[SUPPLIER_H]]="","",AK351),MONTH(NOTA[[#This Row],[TGL.NOTA]]))</f>
        <v/>
      </c>
      <c r="AL352" s="27" t="str">
        <f>LOWER(SUBSTITUTE(SUBSTITUTE(SUBSTITUTE(SUBSTITUTE(SUBSTITUTE(SUBSTITUTE(SUBSTITUTE(SUBSTITUTE(SUBSTITUTE(NOTA[NAMA BARANG]," ",),".",""),"-",""),"(",""),")",""),",",""),"/",""),"""",""),"+",""))</f>
        <v/>
      </c>
      <c r="AM3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27" t="str">
        <f>IF(NOTA[[#This Row],[CONCAT4]]="","",_xlfn.IFNA(MATCH(NOTA[[#This Row],[CONCAT4]],[2]!RAW[CONCAT_H],0),FALSE))</f>
        <v/>
      </c>
      <c r="AQ352" s="145" t="str">
        <f>IF(NOTA[[#This Row],[CONCAT1]]="","",MATCH(NOTA[[#This Row],[CONCAT1]],[3]!db[NB NOTA_C],0)+1)</f>
        <v/>
      </c>
    </row>
    <row r="353" spans="1:43" ht="20.100000000000001" customHeight="1" x14ac:dyDescent="0.25">
      <c r="A353" s="35">
        <f ca="1">IF(INDIRECT(ADDRESS(ROW()-1,COLUMN(NOTA[[#Headers],[ID]])))="ID",1,IF(NOTA[[#This Row],[FAKTUR]]="","",COUNT(INDIRECT(ADDRESS(ROW(NOTA[ID]),COLUMN(NOTA[ID]))&amp;":"&amp;ADDRESS(ROW()-1,COLUMN(NOTA[ID]))))+1))</f>
        <v>64</v>
      </c>
      <c r="B35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HEN_1305_-1</v>
      </c>
      <c r="C353" s="36" t="e">
        <f ca="1">IF(NOTA[[#This Row],[ID_P]]="","",MATCH(NOTA[[#This Row],[ID_P]],[1]!B_MSK[N_ID],0))</f>
        <v>#REF!</v>
      </c>
      <c r="D353" s="36">
        <f ca="1">IF(NOTA[[#This Row],[NAMA BARANG]]="","",INDEX(NOTA[ID],MATCH(,INDIRECT(ADDRESS(ROW(NOTA[ID]),COLUMN(NOTA[ID]))&amp;":"&amp;ADDRESS(ROW(),COLUMN(NOTA[ID]))),-1)))</f>
        <v>64</v>
      </c>
      <c r="E353" s="14"/>
      <c r="F353" s="16" t="s">
        <v>550</v>
      </c>
      <c r="G353" s="16" t="s">
        <v>112</v>
      </c>
      <c r="H353" s="20"/>
      <c r="I353" s="16"/>
      <c r="J353" s="37">
        <v>45056</v>
      </c>
      <c r="K353" s="16"/>
      <c r="L353" s="16" t="s">
        <v>551</v>
      </c>
      <c r="M353" s="28">
        <v>25</v>
      </c>
      <c r="N353" s="48">
        <f>24*25</f>
        <v>600</v>
      </c>
      <c r="O353" s="16" t="s">
        <v>262</v>
      </c>
      <c r="P353" s="43">
        <v>31500</v>
      </c>
      <c r="Q353" s="38"/>
      <c r="R353" s="28" t="s">
        <v>552</v>
      </c>
      <c r="S353" s="39"/>
      <c r="T353" s="39"/>
      <c r="U353" s="40"/>
      <c r="V353" s="26"/>
      <c r="W353" s="40">
        <f>IF(NOTA[[#This Row],[HARGA/ CTN]]="",NOTA[[#This Row],[JUMLAH_H]],NOTA[[#This Row],[HARGA/ CTN]]*IF(NOTA[[#This Row],[C]]="",0,NOTA[[#This Row],[C]]))</f>
        <v>18900000</v>
      </c>
      <c r="X353" s="40">
        <f>IF(NOTA[[#This Row],[JUMLAH]]="","",NOTA[[#This Row],[JUMLAH]]*NOTA[[#This Row],[DISC 1]])</f>
        <v>0</v>
      </c>
      <c r="Y353" s="40">
        <f>IF(NOTA[[#This Row],[JUMLAH]]="","",(NOTA[[#This Row],[JUMLAH]]-NOTA[[#This Row],[DISC 1-]])*NOTA[[#This Row],[DISC 2]])</f>
        <v>0</v>
      </c>
      <c r="Z353" s="40">
        <f>IF(NOTA[[#This Row],[JUMLAH]]="","",NOTA[[#This Row],[DISC 1-]]+NOTA[[#This Row],[DISC 2-]])</f>
        <v>0</v>
      </c>
      <c r="AA353" s="40">
        <f>IF(NOTA[[#This Row],[JUMLAH]]="","",NOTA[[#This Row],[JUMLAH]]-NOTA[[#This Row],[DISC]])</f>
        <v>18900000</v>
      </c>
      <c r="AB353" s="40"/>
      <c r="AC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E353" s="3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F353" s="40">
        <f>IF(OR(NOTA[[#This Row],[QTY]]="",NOTA[[#This Row],[HARGA SATUAN]]="",),"",NOTA[[#This Row],[QTY]]*NOTA[[#This Row],[HARGA SATUAN]])</f>
        <v>18900000</v>
      </c>
      <c r="AG353" s="37">
        <f ca="1">IF(NOTA[ID_H]="","",INDEX(NOTA[TANGGAL],MATCH(,INDIRECT(ADDRESS(ROW(NOTA[TANGGAL]),COLUMN(NOTA[TANGGAL]))&amp;":"&amp;ADDRESS(ROW(),COLUMN(NOTA[TANGGAL]))),-1)))</f>
        <v>45059</v>
      </c>
      <c r="AH353" s="35" t="str">
        <f ca="1">IF(NOTA[[#This Row],[NAMA BARANG]]="","",INDEX(NOTA[SUPPLIER],MATCH(,INDIRECT(ADDRESS(ROW(NOTA[ID]),COLUMN(NOTA[ID]))&amp;":"&amp;ADDRESS(ROW(),COLUMN(NOTA[ID]))),-1)))</f>
        <v>HENDA SUKSES ABADI</v>
      </c>
      <c r="AI353" s="35" t="str">
        <f ca="1">IF(NOTA[[#This Row],[ID_H]]="","",IF(NOTA[[#This Row],[FAKTUR]]="",INDIRECT(ADDRESS(ROW()-1,COLUMN())),NOTA[[#This Row],[FAKTUR]]))</f>
        <v>UNTANA</v>
      </c>
      <c r="AJ353" s="27">
        <f ca="1">IF(NOTA[[#This Row],[ID]]="","",COUNTIF(NOTA[ID_H],NOTA[[#This Row],[ID_H]]))</f>
        <v>1</v>
      </c>
      <c r="AK353" s="27">
        <f>IF(NOTA[[#This Row],[TGL.NOTA]]="",IF(NOTA[[#This Row],[SUPPLIER_H]]="","",AK352),MONTH(NOTA[[#This Row],[TGL.NOTA]]))</f>
        <v>5</v>
      </c>
      <c r="AL353" s="27" t="str">
        <f>LOWER(SUBSTITUTE(SUBSTITUTE(SUBSTITUTE(SUBSTITUTE(SUBSTITUTE(SUBSTITUTE(SUBSTITUTE(SUBSTITUTE(SUBSTITUTE(NOTA[NAMA BARANG]," ",),".",""),"-",""),"(",""),")",""),",",""),"/",""),"""",""),"+",""))</f>
        <v>spidol83812wrn</v>
      </c>
      <c r="AM3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spidol83812wrn756000</v>
      </c>
      <c r="AN3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spidol83812wrn756000</v>
      </c>
      <c r="AO353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ABADIUNTANA45056spidol83812wrn</v>
      </c>
      <c r="AP353" s="27" t="e">
        <f>IF(NOTA[[#This Row],[CONCAT4]]="","",_xlfn.IFNA(MATCH(NOTA[[#This Row],[CONCAT4]],[2]!RAW[CONCAT_H],0),FALSE))</f>
        <v>#REF!</v>
      </c>
      <c r="AQ353" s="145">
        <f>IF(NOTA[[#This Row],[CONCAT1]]="","",MATCH(NOTA[[#This Row],[CONCAT1]],[3]!db[NB NOTA_C],0)+1)</f>
        <v>2165</v>
      </c>
    </row>
    <row r="354" spans="1:43" ht="20.100000000000001" customHeight="1" x14ac:dyDescent="0.25">
      <c r="A3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6" t="str">
        <f>IF(NOTA[[#This Row],[ID_P]]="","",MATCH(NOTA[[#This Row],[ID_P]],[1]!B_MSK[N_ID],0))</f>
        <v/>
      </c>
      <c r="D354" s="36" t="str">
        <f ca="1">IF(NOTA[[#This Row],[NAMA BARANG]]="","",INDEX(NOTA[ID],MATCH(,INDIRECT(ADDRESS(ROW(NOTA[ID]),COLUMN(NOTA[ID]))&amp;":"&amp;ADDRESS(ROW(),COLUMN(NOTA[ID]))),-1)))</f>
        <v/>
      </c>
      <c r="E354" s="14"/>
      <c r="F354" s="16"/>
      <c r="G354" s="16"/>
      <c r="H354" s="20"/>
      <c r="I354" s="16"/>
      <c r="J354" s="37"/>
      <c r="K354" s="16"/>
      <c r="L354" s="16"/>
      <c r="M354" s="28"/>
      <c r="N354" s="16"/>
      <c r="O354" s="16"/>
      <c r="P354" s="35"/>
      <c r="Q354" s="38"/>
      <c r="R354" s="28"/>
      <c r="S354" s="39"/>
      <c r="T354" s="39"/>
      <c r="U354" s="40"/>
      <c r="V354" s="26"/>
      <c r="W354" s="40" t="str">
        <f>IF(NOTA[[#This Row],[HARGA/ CTN]]="",NOTA[[#This Row],[JUMLAH_H]],NOTA[[#This Row],[HARGA/ CTN]]*IF(NOTA[[#This Row],[C]]="",0,NOTA[[#This Row],[C]]))</f>
        <v/>
      </c>
      <c r="X354" s="40" t="str">
        <f>IF(NOTA[[#This Row],[JUMLAH]]="","",NOTA[[#This Row],[JUMLAH]]*NOTA[[#This Row],[DISC 1]])</f>
        <v/>
      </c>
      <c r="Y354" s="40" t="str">
        <f>IF(NOTA[[#This Row],[JUMLAH]]="","",(NOTA[[#This Row],[JUMLAH]]-NOTA[[#This Row],[DISC 1-]])*NOTA[[#This Row],[DISC 2]])</f>
        <v/>
      </c>
      <c r="Z354" s="40" t="str">
        <f>IF(NOTA[[#This Row],[JUMLAH]]="","",NOTA[[#This Row],[DISC 1-]]+NOTA[[#This Row],[DISC 2-]])</f>
        <v/>
      </c>
      <c r="AA354" s="40" t="str">
        <f>IF(NOTA[[#This Row],[JUMLAH]]="","",NOTA[[#This Row],[JUMLAH]]-NOTA[[#This Row],[DISC]])</f>
        <v/>
      </c>
      <c r="AB354" s="40"/>
      <c r="AC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40" t="str">
        <f>IF(OR(NOTA[[#This Row],[QTY]]="",NOTA[[#This Row],[HARGA SATUAN]]="",),"",NOTA[[#This Row],[QTY]]*NOTA[[#This Row],[HARGA SATUAN]])</f>
        <v/>
      </c>
      <c r="AG354" s="37" t="str">
        <f ca="1">IF(NOTA[ID_H]="","",INDEX(NOTA[TANGGAL],MATCH(,INDIRECT(ADDRESS(ROW(NOTA[TANGGAL]),COLUMN(NOTA[TANGGAL]))&amp;":"&amp;ADDRESS(ROW(),COLUMN(NOTA[TANGGAL]))),-1)))</f>
        <v/>
      </c>
      <c r="AH354" s="35" t="str">
        <f ca="1">IF(NOTA[[#This Row],[NAMA BARANG]]="","",INDEX(NOTA[SUPPLIER],MATCH(,INDIRECT(ADDRESS(ROW(NOTA[ID]),COLUMN(NOTA[ID]))&amp;":"&amp;ADDRESS(ROW(),COLUMN(NOTA[ID]))),-1)))</f>
        <v/>
      </c>
      <c r="AI354" s="35" t="str">
        <f ca="1">IF(NOTA[[#This Row],[ID_H]]="","",IF(NOTA[[#This Row],[FAKTUR]]="",INDIRECT(ADDRESS(ROW()-1,COLUMN())),NOTA[[#This Row],[FAKTUR]]))</f>
        <v/>
      </c>
      <c r="AJ354" s="27" t="str">
        <f ca="1">IF(NOTA[[#This Row],[ID]]="","",COUNTIF(NOTA[ID_H],NOTA[[#This Row],[ID_H]]))</f>
        <v/>
      </c>
      <c r="AK354" s="27" t="str">
        <f ca="1">IF(NOTA[[#This Row],[TGL.NOTA]]="",IF(NOTA[[#This Row],[SUPPLIER_H]]="","",AK353),MONTH(NOTA[[#This Row],[TGL.NOTA]]))</f>
        <v/>
      </c>
      <c r="AL354" s="27" t="str">
        <f>LOWER(SUBSTITUTE(SUBSTITUTE(SUBSTITUTE(SUBSTITUTE(SUBSTITUTE(SUBSTITUTE(SUBSTITUTE(SUBSTITUTE(SUBSTITUTE(NOTA[NAMA BARANG]," ",),".",""),"-",""),"(",""),")",""),",",""),"/",""),"""",""),"+",""))</f>
        <v/>
      </c>
      <c r="AM3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27" t="str">
        <f>IF(NOTA[[#This Row],[CONCAT4]]="","",_xlfn.IFNA(MATCH(NOTA[[#This Row],[CONCAT4]],[2]!RAW[CONCAT_H],0),FALSE))</f>
        <v/>
      </c>
      <c r="AQ354" s="145" t="str">
        <f>IF(NOTA[[#This Row],[CONCAT1]]="","",MATCH(NOTA[[#This Row],[CONCAT1]],[3]!db[NB NOTA_C],0)+1)</f>
        <v/>
      </c>
    </row>
    <row r="355" spans="1:43" ht="20.100000000000001" customHeight="1" x14ac:dyDescent="0.25">
      <c r="A355" s="35">
        <f ca="1">IF(INDIRECT(ADDRESS(ROW()-1,COLUMN(NOTA[[#Headers],[ID]])))="ID",1,IF(NOTA[[#This Row],[FAKTUR]]="","",COUNT(INDIRECT(ADDRESS(ROW(NOTA[ID]),COLUMN(NOTA[ID]))&amp;":"&amp;ADDRESS(ROW()-1,COLUMN(NOTA[ID]))))+1))</f>
        <v>65</v>
      </c>
      <c r="B35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EMI_1305_045-3</v>
      </c>
      <c r="C355" s="36" t="e">
        <f ca="1">IF(NOTA[[#This Row],[ID_P]]="","",MATCH(NOTA[[#This Row],[ID_P]],[1]!B_MSK[N_ID],0))</f>
        <v>#REF!</v>
      </c>
      <c r="D355" s="36">
        <f ca="1">IF(NOTA[[#This Row],[NAMA BARANG]]="","",INDEX(NOTA[ID],MATCH(,INDIRECT(ADDRESS(ROW(NOTA[ID]),COLUMN(NOTA[ID]))&amp;":"&amp;ADDRESS(ROW(),COLUMN(NOTA[ID]))),-1)))</f>
        <v>65</v>
      </c>
      <c r="E355" s="14"/>
      <c r="F355" s="16" t="s">
        <v>553</v>
      </c>
      <c r="G355" s="16" t="s">
        <v>112</v>
      </c>
      <c r="H355" s="20" t="s">
        <v>554</v>
      </c>
      <c r="I355" s="37"/>
      <c r="J355" s="37">
        <v>45055</v>
      </c>
      <c r="K355" s="16"/>
      <c r="L355" s="16" t="s">
        <v>555</v>
      </c>
      <c r="M355" s="28">
        <v>20</v>
      </c>
      <c r="N355" s="16">
        <v>400</v>
      </c>
      <c r="O355" s="16" t="s">
        <v>183</v>
      </c>
      <c r="P355" s="35">
        <v>71428</v>
      </c>
      <c r="Q355" s="38"/>
      <c r="R355" s="28" t="s">
        <v>184</v>
      </c>
      <c r="S355" s="39"/>
      <c r="T355" s="39"/>
      <c r="U355" s="40"/>
      <c r="V355" s="26"/>
      <c r="W355" s="40">
        <f>IF(NOTA[[#This Row],[HARGA/ CTN]]="",NOTA[[#This Row],[JUMLAH_H]],NOTA[[#This Row],[HARGA/ CTN]]*IF(NOTA[[#This Row],[C]]="",0,NOTA[[#This Row],[C]]))</f>
        <v>28571200</v>
      </c>
      <c r="X355" s="40">
        <f>IF(NOTA[[#This Row],[JUMLAH]]="","",NOTA[[#This Row],[JUMLAH]]*NOTA[[#This Row],[DISC 1]])</f>
        <v>0</v>
      </c>
      <c r="Y355" s="40">
        <f>IF(NOTA[[#This Row],[JUMLAH]]="","",(NOTA[[#This Row],[JUMLAH]]-NOTA[[#This Row],[DISC 1-]])*NOTA[[#This Row],[DISC 2]])</f>
        <v>0</v>
      </c>
      <c r="Z355" s="40">
        <f>IF(NOTA[[#This Row],[JUMLAH]]="","",NOTA[[#This Row],[DISC 1-]]+NOTA[[#This Row],[DISC 2-]])</f>
        <v>0</v>
      </c>
      <c r="AA355" s="40">
        <f>IF(NOTA[[#This Row],[JUMLAH]]="","",NOTA[[#This Row],[JUMLAH]]-NOTA[[#This Row],[DISC]])</f>
        <v>28571200</v>
      </c>
      <c r="AB355" s="40"/>
      <c r="AC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5" s="40">
        <f>IF(OR(NOTA[[#This Row],[QTY]]="",NOTA[[#This Row],[HARGA SATUAN]]="",),"",NOTA[[#This Row],[QTY]]*NOTA[[#This Row],[HARGA SATUAN]])</f>
        <v>28571200</v>
      </c>
      <c r="AG355" s="37">
        <f ca="1">IF(NOTA[ID_H]="","",INDEX(NOTA[TANGGAL],MATCH(,INDIRECT(ADDRESS(ROW(NOTA[TANGGAL]),COLUMN(NOTA[TANGGAL]))&amp;":"&amp;ADDRESS(ROW(),COLUMN(NOTA[TANGGAL]))),-1)))</f>
        <v>45059</v>
      </c>
      <c r="AH355" s="35" t="str">
        <f ca="1">IF(NOTA[[#This Row],[NAMA BARANG]]="","",INDEX(NOTA[SUPPLIER],MATCH(,INDIRECT(ADDRESS(ROW(NOTA[ID]),COLUMN(NOTA[ID]))&amp;":"&amp;ADDRESS(ROW(),COLUMN(NOTA[ID]))),-1)))</f>
        <v>EMICO STATIONERY</v>
      </c>
      <c r="AI355" s="35" t="str">
        <f ca="1">IF(NOTA[[#This Row],[ID_H]]="","",IF(NOTA[[#This Row],[FAKTUR]]="",INDIRECT(ADDRESS(ROW()-1,COLUMN())),NOTA[[#This Row],[FAKTUR]]))</f>
        <v>UNTANA</v>
      </c>
      <c r="AJ355" s="27">
        <f ca="1">IF(NOTA[[#This Row],[ID]]="","",COUNTIF(NOTA[ID_H],NOTA[[#This Row],[ID_H]]))</f>
        <v>3</v>
      </c>
      <c r="AK355" s="27">
        <f>IF(NOTA[[#This Row],[TGL.NOTA]]="",IF(NOTA[[#This Row],[SUPPLIER_H]]="","",AK354),MONTH(NOTA[[#This Row],[TGL.NOTA]]))</f>
        <v>5</v>
      </c>
      <c r="AL355" s="27" t="str">
        <f>LOWER(SUBSTITUTE(SUBSTITUTE(SUBSTITUTE(SUBSTITUTE(SUBSTITUTE(SUBSTITUTE(SUBSTITUTE(SUBSTITUTE(SUBSTITUTE(NOTA[NAMA BARANG]," ",),".",""),"-",""),"(",""),")",""),",",""),"/",""),"""",""),"+",""))</f>
        <v>xdatadirectfillpenm1htm</v>
      </c>
      <c r="AM3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xdatadirectfillpenm1htm1428560</v>
      </c>
      <c r="AN3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xdatadirectfillpenm1htm1428560</v>
      </c>
      <c r="AO355" s="27" t="str">
        <f>IF(NOTA[[#This Row],[SUPPLIER]]="","",NOTA[[#This Row],[SUPPLIER]]&amp;NOTA[[#This Row],[FAKTUR]]&amp;NOTA[[#This Row],[NO.NOTA]]&amp;NOTA[[#This Row],[NO.SJ]]&amp;NOTA[[#This Row],[TGL.NOTA]]&amp;NOTA[[#This Row],[CONCAT1]])</f>
        <v>EMICO STATIONERYUNTANAJ230504545055xdatadirectfillpenm1htm</v>
      </c>
      <c r="AP355" s="27" t="e">
        <f>IF(NOTA[[#This Row],[CONCAT4]]="","",_xlfn.IFNA(MATCH(NOTA[[#This Row],[CONCAT4]],[2]!RAW[CONCAT_H],0),FALSE))</f>
        <v>#REF!</v>
      </c>
      <c r="AQ355" s="145">
        <f>IF(NOTA[[#This Row],[CONCAT1]]="","",MATCH(NOTA[[#This Row],[CONCAT1]],[3]!db[NB NOTA_C],0)+1)</f>
        <v>2326</v>
      </c>
    </row>
    <row r="356" spans="1:43" ht="20.100000000000001" customHeight="1" x14ac:dyDescent="0.25">
      <c r="A3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6" t="str">
        <f>IF(NOTA[[#This Row],[ID_P]]="","",MATCH(NOTA[[#This Row],[ID_P]],[1]!B_MSK[N_ID],0))</f>
        <v/>
      </c>
      <c r="D356" s="36">
        <f ca="1">IF(NOTA[[#This Row],[NAMA BARANG]]="","",INDEX(NOTA[ID],MATCH(,INDIRECT(ADDRESS(ROW(NOTA[ID]),COLUMN(NOTA[ID]))&amp;":"&amp;ADDRESS(ROW(),COLUMN(NOTA[ID]))),-1)))</f>
        <v>65</v>
      </c>
      <c r="E356" s="14"/>
      <c r="F356" s="16"/>
      <c r="G356" s="16"/>
      <c r="H356" s="20"/>
      <c r="I356" s="16"/>
      <c r="J356" s="37"/>
      <c r="K356" s="16"/>
      <c r="L356" s="16" t="s">
        <v>556</v>
      </c>
      <c r="M356" s="28">
        <v>10</v>
      </c>
      <c r="N356" s="16">
        <v>200</v>
      </c>
      <c r="O356" s="16" t="s">
        <v>183</v>
      </c>
      <c r="P356" s="35">
        <v>71428</v>
      </c>
      <c r="Q356" s="38"/>
      <c r="R356" s="28" t="s">
        <v>184</v>
      </c>
      <c r="S356" s="39"/>
      <c r="T356" s="39"/>
      <c r="U356" s="40"/>
      <c r="V356" s="26"/>
      <c r="W356" s="40">
        <f>IF(NOTA[[#This Row],[HARGA/ CTN]]="",NOTA[[#This Row],[JUMLAH_H]],NOTA[[#This Row],[HARGA/ CTN]]*IF(NOTA[[#This Row],[C]]="",0,NOTA[[#This Row],[C]]))</f>
        <v>14285600</v>
      </c>
      <c r="X356" s="40">
        <f>IF(NOTA[[#This Row],[JUMLAH]]="","",NOTA[[#This Row],[JUMLAH]]*NOTA[[#This Row],[DISC 1]])</f>
        <v>0</v>
      </c>
      <c r="Y356" s="40">
        <f>IF(NOTA[[#This Row],[JUMLAH]]="","",(NOTA[[#This Row],[JUMLAH]]-NOTA[[#This Row],[DISC 1-]])*NOTA[[#This Row],[DISC 2]])</f>
        <v>0</v>
      </c>
      <c r="Z356" s="40">
        <f>IF(NOTA[[#This Row],[JUMLAH]]="","",NOTA[[#This Row],[DISC 1-]]+NOTA[[#This Row],[DISC 2-]])</f>
        <v>0</v>
      </c>
      <c r="AA356" s="40">
        <f>IF(NOTA[[#This Row],[JUMLAH]]="","",NOTA[[#This Row],[JUMLAH]]-NOTA[[#This Row],[DISC]])</f>
        <v>14285600</v>
      </c>
      <c r="AB356" s="40"/>
      <c r="AC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35">
        <f>IF(NOTA[[#This Row],[NAMA BARANG]]="","",IF(NOTA[[#This Row],[JUMLAH_H]]="",NOTA[[#This Row],[HARGA/ CTN]],NOTA[[#This Row],[QTY]]*NOTA[[#This Row],[HARGA SATUAN]]/IF(ISNUMBER(NOTA[[#This Row],[C]]),NOTA[[#This Row],[C]],1)))</f>
        <v>1428560</v>
      </c>
      <c r="AF356" s="40">
        <f>IF(OR(NOTA[[#This Row],[QTY]]="",NOTA[[#This Row],[HARGA SATUAN]]="",),"",NOTA[[#This Row],[QTY]]*NOTA[[#This Row],[HARGA SATUAN]])</f>
        <v>14285600</v>
      </c>
      <c r="AG356" s="37">
        <f ca="1">IF(NOTA[ID_H]="","",INDEX(NOTA[TANGGAL],MATCH(,INDIRECT(ADDRESS(ROW(NOTA[TANGGAL]),COLUMN(NOTA[TANGGAL]))&amp;":"&amp;ADDRESS(ROW(),COLUMN(NOTA[TANGGAL]))),-1)))</f>
        <v>45059</v>
      </c>
      <c r="AH356" s="35" t="str">
        <f ca="1">IF(NOTA[[#This Row],[NAMA BARANG]]="","",INDEX(NOTA[SUPPLIER],MATCH(,INDIRECT(ADDRESS(ROW(NOTA[ID]),COLUMN(NOTA[ID]))&amp;":"&amp;ADDRESS(ROW(),COLUMN(NOTA[ID]))),-1)))</f>
        <v>EMICO STATIONERY</v>
      </c>
      <c r="AI356" s="35" t="str">
        <f ca="1">IF(NOTA[[#This Row],[ID_H]]="","",IF(NOTA[[#This Row],[FAKTUR]]="",INDIRECT(ADDRESS(ROW()-1,COLUMN())),NOTA[[#This Row],[FAKTUR]]))</f>
        <v>UNTANA</v>
      </c>
      <c r="AJ356" s="27" t="str">
        <f ca="1">IF(NOTA[[#This Row],[ID]]="","",COUNTIF(NOTA[ID_H],NOTA[[#This Row],[ID_H]]))</f>
        <v/>
      </c>
      <c r="AK356" s="27">
        <f ca="1">IF(NOTA[[#This Row],[TGL.NOTA]]="",IF(NOTA[[#This Row],[SUPPLIER_H]]="","",AK355),MONTH(NOTA[[#This Row],[TGL.NOTA]]))</f>
        <v>5</v>
      </c>
      <c r="AL356" s="27" t="str">
        <f>LOWER(SUBSTITUTE(SUBSTITUTE(SUBSTITUTE(SUBSTITUTE(SUBSTITUTE(SUBSTITUTE(SUBSTITUTE(SUBSTITUTE(SUBSTITUTE(NOTA[NAMA BARANG]," ",),".",""),"-",""),"(",""),")",""),",",""),"/",""),"""",""),"+",""))</f>
        <v>xdatadirectfillpenm2htm</v>
      </c>
      <c r="AM3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xdatadirectfillpenm2htm1428560</v>
      </c>
      <c r="AN3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xdatadirectfillpenm2htm1428560</v>
      </c>
      <c r="AO3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27" t="str">
        <f>IF(NOTA[[#This Row],[CONCAT4]]="","",_xlfn.IFNA(MATCH(NOTA[[#This Row],[CONCAT4]],[2]!RAW[CONCAT_H],0),FALSE))</f>
        <v/>
      </c>
      <c r="AQ356" s="145">
        <f>IF(NOTA[[#This Row],[CONCAT1]]="","",MATCH(NOTA[[#This Row],[CONCAT1]],[3]!db[NB NOTA_C],0)+1)</f>
        <v>2327</v>
      </c>
    </row>
    <row r="357" spans="1:43" ht="20.100000000000001" customHeight="1" x14ac:dyDescent="0.25">
      <c r="A35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6" t="str">
        <f>IF(NOTA[[#This Row],[ID_P]]="","",MATCH(NOTA[[#This Row],[ID_P]],[1]!B_MSK[N_ID],0))</f>
        <v/>
      </c>
      <c r="D357" s="36">
        <f ca="1">IF(NOTA[[#This Row],[NAMA BARANG]]="","",INDEX(NOTA[ID],MATCH(,INDIRECT(ADDRESS(ROW(NOTA[ID]),COLUMN(NOTA[ID]))&amp;":"&amp;ADDRESS(ROW(),COLUMN(NOTA[ID]))),-1)))</f>
        <v>65</v>
      </c>
      <c r="E357" s="14"/>
      <c r="F357" s="16"/>
      <c r="G357" s="16"/>
      <c r="H357" s="20"/>
      <c r="I357" s="16"/>
      <c r="J357" s="37"/>
      <c r="K357" s="16"/>
      <c r="L357" s="16" t="s">
        <v>557</v>
      </c>
      <c r="M357" s="28">
        <v>5</v>
      </c>
      <c r="N357" s="16">
        <v>100</v>
      </c>
      <c r="O357" s="16" t="s">
        <v>183</v>
      </c>
      <c r="P357" s="35">
        <v>86000</v>
      </c>
      <c r="Q357" s="38"/>
      <c r="R357" s="28" t="s">
        <v>184</v>
      </c>
      <c r="S357" s="39"/>
      <c r="T357" s="39"/>
      <c r="U357" s="40"/>
      <c r="V357" s="26"/>
      <c r="W357" s="40">
        <f>IF(NOTA[[#This Row],[HARGA/ CTN]]="",NOTA[[#This Row],[JUMLAH_H]],NOTA[[#This Row],[HARGA/ CTN]]*IF(NOTA[[#This Row],[C]]="",0,NOTA[[#This Row],[C]]))</f>
        <v>8600000</v>
      </c>
      <c r="X357" s="40">
        <f>IF(NOTA[[#This Row],[JUMLAH]]="","",NOTA[[#This Row],[JUMLAH]]*NOTA[[#This Row],[DISC 1]])</f>
        <v>0</v>
      </c>
      <c r="Y357" s="40">
        <f>IF(NOTA[[#This Row],[JUMLAH]]="","",(NOTA[[#This Row],[JUMLAH]]-NOTA[[#This Row],[DISC 1-]])*NOTA[[#This Row],[DISC 2]])</f>
        <v>0</v>
      </c>
      <c r="Z357" s="40">
        <f>IF(NOTA[[#This Row],[JUMLAH]]="","",NOTA[[#This Row],[DISC 1-]]+NOTA[[#This Row],[DISC 2-]])</f>
        <v>0</v>
      </c>
      <c r="AA357" s="40">
        <f>IF(NOTA[[#This Row],[JUMLAH]]="","",NOTA[[#This Row],[JUMLAH]]-NOTA[[#This Row],[DISC]])</f>
        <v>8600000</v>
      </c>
      <c r="AB357" s="40"/>
      <c r="AC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51456800</v>
      </c>
      <c r="AE357" s="35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F357" s="40">
        <f>IF(OR(NOTA[[#This Row],[QTY]]="",NOTA[[#This Row],[HARGA SATUAN]]="",),"",NOTA[[#This Row],[QTY]]*NOTA[[#This Row],[HARGA SATUAN]])</f>
        <v>8600000</v>
      </c>
      <c r="AG357" s="37">
        <f ca="1">IF(NOTA[ID_H]="","",INDEX(NOTA[TANGGAL],MATCH(,INDIRECT(ADDRESS(ROW(NOTA[TANGGAL]),COLUMN(NOTA[TANGGAL]))&amp;":"&amp;ADDRESS(ROW(),COLUMN(NOTA[TANGGAL]))),-1)))</f>
        <v>45059</v>
      </c>
      <c r="AH357" s="35" t="str">
        <f ca="1">IF(NOTA[[#This Row],[NAMA BARANG]]="","",INDEX(NOTA[SUPPLIER],MATCH(,INDIRECT(ADDRESS(ROW(NOTA[ID]),COLUMN(NOTA[ID]))&amp;":"&amp;ADDRESS(ROW(),COLUMN(NOTA[ID]))),-1)))</f>
        <v>EMICO STATIONERY</v>
      </c>
      <c r="AI357" s="35" t="str">
        <f ca="1">IF(NOTA[[#This Row],[ID_H]]="","",IF(NOTA[[#This Row],[FAKTUR]]="",INDIRECT(ADDRESS(ROW()-1,COLUMN())),NOTA[[#This Row],[FAKTUR]]))</f>
        <v>UNTANA</v>
      </c>
      <c r="AJ357" s="27" t="str">
        <f ca="1">IF(NOTA[[#This Row],[ID]]="","",COUNTIF(NOTA[ID_H],NOTA[[#This Row],[ID_H]]))</f>
        <v/>
      </c>
      <c r="AK357" s="27">
        <f ca="1">IF(NOTA[[#This Row],[TGL.NOTA]]="",IF(NOTA[[#This Row],[SUPPLIER_H]]="","",AK356),MONTH(NOTA[[#This Row],[TGL.NOTA]]))</f>
        <v>5</v>
      </c>
      <c r="AL357" s="27" t="str">
        <f>LOWER(SUBSTITUTE(SUBSTITUTE(SUBSTITUTE(SUBSTITUTE(SUBSTITUTE(SUBSTITUTE(SUBSTITUTE(SUBSTITUTE(SUBSTITUTE(NOTA[NAMA BARANG]," ",),".",""),"-",""),"(",""),")",""),",",""),"/",""),"""",""),"+",""))</f>
        <v>xdatadirectfillpenx2htm</v>
      </c>
      <c r="AM3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xdatadirectfillpenx2htm1720000</v>
      </c>
      <c r="AN3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xdatadirectfillpenx2htm1720000</v>
      </c>
      <c r="AO35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27" t="str">
        <f>IF(NOTA[[#This Row],[CONCAT4]]="","",_xlfn.IFNA(MATCH(NOTA[[#This Row],[CONCAT4]],[2]!RAW[CONCAT_H],0),FALSE))</f>
        <v/>
      </c>
      <c r="AQ357" s="145" t="e">
        <f>IF(NOTA[[#This Row],[CONCAT1]]="","",MATCH(NOTA[[#This Row],[CONCAT1]],[3]!db[NB NOTA_C],0)+1)</f>
        <v>#N/A</v>
      </c>
    </row>
    <row r="358" spans="1:43" ht="20.100000000000001" customHeight="1" x14ac:dyDescent="0.25">
      <c r="A3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6" t="str">
        <f>IF(NOTA[[#This Row],[ID_P]]="","",MATCH(NOTA[[#This Row],[ID_P]],[1]!B_MSK[N_ID],0))</f>
        <v/>
      </c>
      <c r="D358" s="36" t="str">
        <f ca="1">IF(NOTA[[#This Row],[NAMA BARANG]]="","",INDEX(NOTA[ID],MATCH(,INDIRECT(ADDRESS(ROW(NOTA[ID]),COLUMN(NOTA[ID]))&amp;":"&amp;ADDRESS(ROW(),COLUMN(NOTA[ID]))),-1)))</f>
        <v/>
      </c>
      <c r="E358" s="14"/>
      <c r="F358" s="16"/>
      <c r="G358" s="16"/>
      <c r="H358" s="20"/>
      <c r="I358" s="16"/>
      <c r="J358" s="37"/>
      <c r="K358" s="16"/>
      <c r="L358" s="16"/>
      <c r="M358" s="28"/>
      <c r="N358" s="16"/>
      <c r="O358" s="16"/>
      <c r="P358" s="92"/>
      <c r="Q358" s="38"/>
      <c r="R358" s="28"/>
      <c r="S358" s="39"/>
      <c r="T358" s="39"/>
      <c r="U358" s="40"/>
      <c r="V358" s="26"/>
      <c r="W358" s="40" t="str">
        <f>IF(NOTA[[#This Row],[HARGA/ CTN]]="",NOTA[[#This Row],[JUMLAH_H]],NOTA[[#This Row],[HARGA/ CTN]]*IF(NOTA[[#This Row],[C]]="",0,NOTA[[#This Row],[C]]))</f>
        <v/>
      </c>
      <c r="X358" s="40" t="str">
        <f>IF(NOTA[[#This Row],[JUMLAH]]="","",NOTA[[#This Row],[JUMLAH]]*NOTA[[#This Row],[DISC 1]])</f>
        <v/>
      </c>
      <c r="Y358" s="40" t="str">
        <f>IF(NOTA[[#This Row],[JUMLAH]]="","",(NOTA[[#This Row],[JUMLAH]]-NOTA[[#This Row],[DISC 1-]])*NOTA[[#This Row],[DISC 2]])</f>
        <v/>
      </c>
      <c r="Z358" s="40" t="str">
        <f>IF(NOTA[[#This Row],[JUMLAH]]="","",NOTA[[#This Row],[DISC 1-]]+NOTA[[#This Row],[DISC 2-]])</f>
        <v/>
      </c>
      <c r="AA358" s="40" t="str">
        <f>IF(NOTA[[#This Row],[JUMLAH]]="","",NOTA[[#This Row],[JUMLAH]]-NOTA[[#This Row],[DISC]])</f>
        <v/>
      </c>
      <c r="AB358" s="40"/>
      <c r="AC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40" t="str">
        <f>IF(OR(NOTA[[#This Row],[QTY]]="",NOTA[[#This Row],[HARGA SATUAN]]="",),"",NOTA[[#This Row],[QTY]]*NOTA[[#This Row],[HARGA SATUAN]])</f>
        <v/>
      </c>
      <c r="AG358" s="37" t="str">
        <f ca="1">IF(NOTA[ID_H]="","",INDEX(NOTA[TANGGAL],MATCH(,INDIRECT(ADDRESS(ROW(NOTA[TANGGAL]),COLUMN(NOTA[TANGGAL]))&amp;":"&amp;ADDRESS(ROW(),COLUMN(NOTA[TANGGAL]))),-1)))</f>
        <v/>
      </c>
      <c r="AH358" s="35" t="str">
        <f ca="1">IF(NOTA[[#This Row],[NAMA BARANG]]="","",INDEX(NOTA[SUPPLIER],MATCH(,INDIRECT(ADDRESS(ROW(NOTA[ID]),COLUMN(NOTA[ID]))&amp;":"&amp;ADDRESS(ROW(),COLUMN(NOTA[ID]))),-1)))</f>
        <v/>
      </c>
      <c r="AI358" s="35" t="str">
        <f ca="1">IF(NOTA[[#This Row],[ID_H]]="","",IF(NOTA[[#This Row],[FAKTUR]]="",INDIRECT(ADDRESS(ROW()-1,COLUMN())),NOTA[[#This Row],[FAKTUR]]))</f>
        <v/>
      </c>
      <c r="AJ358" s="27" t="str">
        <f ca="1">IF(NOTA[[#This Row],[ID]]="","",COUNTIF(NOTA[ID_H],NOTA[[#This Row],[ID_H]]))</f>
        <v/>
      </c>
      <c r="AK358" s="27" t="str">
        <f ca="1">IF(NOTA[[#This Row],[TGL.NOTA]]="",IF(NOTA[[#This Row],[SUPPLIER_H]]="","",AK357),MONTH(NOTA[[#This Row],[TGL.NOTA]]))</f>
        <v/>
      </c>
      <c r="AL358" s="27" t="str">
        <f>LOWER(SUBSTITUTE(SUBSTITUTE(SUBSTITUTE(SUBSTITUTE(SUBSTITUTE(SUBSTITUTE(SUBSTITUTE(SUBSTITUTE(SUBSTITUTE(NOTA[NAMA BARANG]," ",),".",""),"-",""),"(",""),")",""),",",""),"/",""),"""",""),"+",""))</f>
        <v/>
      </c>
      <c r="AM3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27" t="str">
        <f>IF(NOTA[[#This Row],[CONCAT4]]="","",_xlfn.IFNA(MATCH(NOTA[[#This Row],[CONCAT4]],[2]!RAW[CONCAT_H],0),FALSE))</f>
        <v/>
      </c>
      <c r="AQ358" s="145" t="str">
        <f>IF(NOTA[[#This Row],[CONCAT1]]="","",MATCH(NOTA[[#This Row],[CONCAT1]],[3]!db[NB NOTA_C],0)+1)</f>
        <v/>
      </c>
    </row>
    <row r="359" spans="1:43" ht="20.100000000000001" customHeight="1" x14ac:dyDescent="0.25">
      <c r="A359" s="35">
        <f ca="1">IF(INDIRECT(ADDRESS(ROW()-1,COLUMN(NOTA[[#Headers],[ID]])))="ID",1,IF(NOTA[[#This Row],[FAKTUR]]="","",COUNT(INDIRECT(ADDRESS(ROW(NOTA[ID]),COLUMN(NOTA[ID]))&amp;":"&amp;ADDRESS(ROW()-1,COLUMN(NOTA[ID]))))+1))</f>
        <v>66</v>
      </c>
      <c r="B35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GRA_1305_-1</v>
      </c>
      <c r="C359" s="36" t="e">
        <f ca="1">IF(NOTA[[#This Row],[ID_P]]="","",MATCH(NOTA[[#This Row],[ID_P]],[1]!B_MSK[N_ID],0))</f>
        <v>#REF!</v>
      </c>
      <c r="D359" s="36">
        <f ca="1">IF(NOTA[[#This Row],[NAMA BARANG]]="","",INDEX(NOTA[ID],MATCH(,INDIRECT(ADDRESS(ROW(NOTA[ID]),COLUMN(NOTA[ID]))&amp;":"&amp;ADDRESS(ROW(),COLUMN(NOTA[ID]))),-1)))</f>
        <v>66</v>
      </c>
      <c r="E359" s="14"/>
      <c r="F359" s="16" t="s">
        <v>124</v>
      </c>
      <c r="G359" s="16" t="s">
        <v>112</v>
      </c>
      <c r="H359" s="20"/>
      <c r="I359" s="16" t="s">
        <v>559</v>
      </c>
      <c r="J359" s="37">
        <v>45056</v>
      </c>
      <c r="K359" s="16"/>
      <c r="L359" s="16" t="s">
        <v>558</v>
      </c>
      <c r="M359" s="28">
        <v>25</v>
      </c>
      <c r="N359" s="16">
        <v>1250</v>
      </c>
      <c r="O359" s="16" t="s">
        <v>125</v>
      </c>
      <c r="P359" s="35">
        <v>15000</v>
      </c>
      <c r="Q359" s="38"/>
      <c r="R359" s="28" t="s">
        <v>137</v>
      </c>
      <c r="S359" s="39"/>
      <c r="T359" s="39"/>
      <c r="U359" s="40"/>
      <c r="V359" s="26" t="s">
        <v>123</v>
      </c>
      <c r="W359" s="40">
        <f>IF(NOTA[[#This Row],[HARGA/ CTN]]="",NOTA[[#This Row],[JUMLAH_H]],NOTA[[#This Row],[HARGA/ CTN]]*IF(NOTA[[#This Row],[C]]="",0,NOTA[[#This Row],[C]]))</f>
        <v>18750000</v>
      </c>
      <c r="X359" s="40">
        <f>IF(NOTA[[#This Row],[JUMLAH]]="","",NOTA[[#This Row],[JUMLAH]]*NOTA[[#This Row],[DISC 1]])</f>
        <v>0</v>
      </c>
      <c r="Y359" s="40">
        <f>IF(NOTA[[#This Row],[JUMLAH]]="","",(NOTA[[#This Row],[JUMLAH]]-NOTA[[#This Row],[DISC 1-]])*NOTA[[#This Row],[DISC 2]])</f>
        <v>0</v>
      </c>
      <c r="Z359" s="40">
        <f>IF(NOTA[[#This Row],[JUMLAH]]="","",NOTA[[#This Row],[DISC 1-]]+NOTA[[#This Row],[DISC 2-]])</f>
        <v>0</v>
      </c>
      <c r="AA359" s="40">
        <f>IF(NOTA[[#This Row],[JUMLAH]]="","",NOTA[[#This Row],[JUMLAH]]-NOTA[[#This Row],[DISC]])</f>
        <v>18750000</v>
      </c>
      <c r="AB359" s="40"/>
      <c r="AC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18750000</v>
      </c>
      <c r="AE359" s="35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359" s="40">
        <f>IF(OR(NOTA[[#This Row],[QTY]]="",NOTA[[#This Row],[HARGA SATUAN]]="",),"",NOTA[[#This Row],[QTY]]*NOTA[[#This Row],[HARGA SATUAN]])</f>
        <v>18750000</v>
      </c>
      <c r="AG359" s="37">
        <f ca="1">IF(NOTA[ID_H]="","",INDEX(NOTA[TANGGAL],MATCH(,INDIRECT(ADDRESS(ROW(NOTA[TANGGAL]),COLUMN(NOTA[TANGGAL]))&amp;":"&amp;ADDRESS(ROW(),COLUMN(NOTA[TANGGAL]))),-1)))</f>
        <v>45059</v>
      </c>
      <c r="AH359" s="35" t="str">
        <f ca="1">IF(NOTA[[#This Row],[NAMA BARANG]]="","",INDEX(NOTA[SUPPLIER],MATCH(,INDIRECT(ADDRESS(ROW(NOTA[ID]),COLUMN(NOTA[ID]))&amp;":"&amp;ADDRESS(ROW(),COLUMN(NOTA[ID]))),-1)))</f>
        <v>GRAFINDO</v>
      </c>
      <c r="AI359" s="35" t="str">
        <f ca="1">IF(NOTA[[#This Row],[ID_H]]="","",IF(NOTA[[#This Row],[FAKTUR]]="",INDIRECT(ADDRESS(ROW()-1,COLUMN())),NOTA[[#This Row],[FAKTUR]]))</f>
        <v>UNTANA</v>
      </c>
      <c r="AJ359" s="27">
        <f ca="1">IF(NOTA[[#This Row],[ID]]="","",COUNTIF(NOTA[ID_H],NOTA[[#This Row],[ID_H]]))</f>
        <v>1</v>
      </c>
      <c r="AK359" s="27">
        <f>IF(NOTA[[#This Row],[TGL.NOTA]]="",IF(NOTA[[#This Row],[SUPPLIER_H]]="","",AK358),MONTH(NOTA[[#This Row],[TGL.NOTA]]))</f>
        <v>5</v>
      </c>
      <c r="AL359" s="27" t="str">
        <f>LOWER(SUBSTITUTE(SUBSTITUTE(SUBSTITUTE(SUBSTITUTE(SUBSTITUTE(SUBSTITUTE(SUBSTITUTE(SUBSTITUTE(SUBSTITUTE(NOTA[NAMA BARANG]," ",),".",""),"-",""),"(",""),")",""),",",""),"/",""),"""",""),"+",""))</f>
        <v>ac106fhijau</v>
      </c>
      <c r="AM3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ac106fhijau750000</v>
      </c>
      <c r="AN3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ac106fhijau750000</v>
      </c>
      <c r="AO359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9388 FRW45056ac106fhijau</v>
      </c>
      <c r="AP359" s="27" t="e">
        <f>IF(NOTA[[#This Row],[CONCAT4]]="","",_xlfn.IFNA(MATCH(NOTA[[#This Row],[CONCAT4]],[2]!RAW[CONCAT_H],0),FALSE))</f>
        <v>#REF!</v>
      </c>
      <c r="AQ359" s="145" t="e">
        <f>IF(NOTA[[#This Row],[CONCAT1]]="","",MATCH(NOTA[[#This Row],[CONCAT1]],[3]!db[NB NOTA_C],0)+1)</f>
        <v>#N/A</v>
      </c>
    </row>
    <row r="360" spans="1:43" ht="20.100000000000001" customHeight="1" x14ac:dyDescent="0.25">
      <c r="A3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6" t="str">
        <f>IF(NOTA[[#This Row],[ID_P]]="","",MATCH(NOTA[[#This Row],[ID_P]],[1]!B_MSK[N_ID],0))</f>
        <v/>
      </c>
      <c r="D360" s="36" t="str">
        <f ca="1">IF(NOTA[[#This Row],[NAMA BARANG]]="","",INDEX(NOTA[ID],MATCH(,INDIRECT(ADDRESS(ROW(NOTA[ID]),COLUMN(NOTA[ID]))&amp;":"&amp;ADDRESS(ROW(),COLUMN(NOTA[ID]))),-1)))</f>
        <v/>
      </c>
      <c r="E360" s="14"/>
      <c r="F360" s="16"/>
      <c r="G360" s="16"/>
      <c r="H360" s="20"/>
      <c r="I360" s="16"/>
      <c r="J360" s="37"/>
      <c r="K360" s="16"/>
      <c r="L360" s="16"/>
      <c r="M360" s="28"/>
      <c r="N360" s="16"/>
      <c r="O360" s="16"/>
      <c r="P360" s="35"/>
      <c r="Q360" s="38"/>
      <c r="R360" s="28"/>
      <c r="S360" s="39"/>
      <c r="T360" s="39"/>
      <c r="U360" s="40"/>
      <c r="V360" s="26"/>
      <c r="W360" s="40" t="str">
        <f>IF(NOTA[[#This Row],[HARGA/ CTN]]="",NOTA[[#This Row],[JUMLAH_H]],NOTA[[#This Row],[HARGA/ CTN]]*IF(NOTA[[#This Row],[C]]="",0,NOTA[[#This Row],[C]]))</f>
        <v/>
      </c>
      <c r="X360" s="40" t="str">
        <f>IF(NOTA[[#This Row],[JUMLAH]]="","",NOTA[[#This Row],[JUMLAH]]*NOTA[[#This Row],[DISC 1]])</f>
        <v/>
      </c>
      <c r="Y360" s="40" t="str">
        <f>IF(NOTA[[#This Row],[JUMLAH]]="","",(NOTA[[#This Row],[JUMLAH]]-NOTA[[#This Row],[DISC 1-]])*NOTA[[#This Row],[DISC 2]])</f>
        <v/>
      </c>
      <c r="Z360" s="40" t="str">
        <f>IF(NOTA[[#This Row],[JUMLAH]]="","",NOTA[[#This Row],[DISC 1-]]+NOTA[[#This Row],[DISC 2-]])</f>
        <v/>
      </c>
      <c r="AA360" s="40" t="str">
        <f>IF(NOTA[[#This Row],[JUMLAH]]="","",NOTA[[#This Row],[JUMLAH]]-NOTA[[#This Row],[DISC]])</f>
        <v/>
      </c>
      <c r="AB360" s="40"/>
      <c r="AC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40" t="str">
        <f>IF(OR(NOTA[[#This Row],[QTY]]="",NOTA[[#This Row],[HARGA SATUAN]]="",),"",NOTA[[#This Row],[QTY]]*NOTA[[#This Row],[HARGA SATUAN]])</f>
        <v/>
      </c>
      <c r="AG360" s="37" t="str">
        <f ca="1">IF(NOTA[ID_H]="","",INDEX(NOTA[TANGGAL],MATCH(,INDIRECT(ADDRESS(ROW(NOTA[TANGGAL]),COLUMN(NOTA[TANGGAL]))&amp;":"&amp;ADDRESS(ROW(),COLUMN(NOTA[TANGGAL]))),-1)))</f>
        <v/>
      </c>
      <c r="AH360" s="35" t="str">
        <f ca="1">IF(NOTA[[#This Row],[NAMA BARANG]]="","",INDEX(NOTA[SUPPLIER],MATCH(,INDIRECT(ADDRESS(ROW(NOTA[ID]),COLUMN(NOTA[ID]))&amp;":"&amp;ADDRESS(ROW(),COLUMN(NOTA[ID]))),-1)))</f>
        <v/>
      </c>
      <c r="AI360" s="35" t="str">
        <f ca="1">IF(NOTA[[#This Row],[ID_H]]="","",IF(NOTA[[#This Row],[FAKTUR]]="",INDIRECT(ADDRESS(ROW()-1,COLUMN())),NOTA[[#This Row],[FAKTUR]]))</f>
        <v/>
      </c>
      <c r="AJ360" s="27" t="str">
        <f ca="1">IF(NOTA[[#This Row],[ID]]="","",COUNTIF(NOTA[ID_H],NOTA[[#This Row],[ID_H]]))</f>
        <v/>
      </c>
      <c r="AK360" s="27" t="str">
        <f ca="1">IF(NOTA[[#This Row],[TGL.NOTA]]="",IF(NOTA[[#This Row],[SUPPLIER_H]]="","",AK359),MONTH(NOTA[[#This Row],[TGL.NOTA]]))</f>
        <v/>
      </c>
      <c r="AL360" s="27" t="str">
        <f>LOWER(SUBSTITUTE(SUBSTITUTE(SUBSTITUTE(SUBSTITUTE(SUBSTITUTE(SUBSTITUTE(SUBSTITUTE(SUBSTITUTE(SUBSTITUTE(NOTA[NAMA BARANG]," ",),".",""),"-",""),"(",""),")",""),",",""),"/",""),"""",""),"+",""))</f>
        <v/>
      </c>
      <c r="AM3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27" t="str">
        <f>IF(NOTA[[#This Row],[CONCAT4]]="","",_xlfn.IFNA(MATCH(NOTA[[#This Row],[CONCAT4]],[2]!RAW[CONCAT_H],0),FALSE))</f>
        <v/>
      </c>
      <c r="AQ360" s="145" t="str">
        <f>IF(NOTA[[#This Row],[CONCAT1]]="","",MATCH(NOTA[[#This Row],[CONCAT1]],[3]!db[NB NOTA_C],0)+1)</f>
        <v/>
      </c>
    </row>
    <row r="361" spans="1:43" ht="20.100000000000001" customHeight="1" x14ac:dyDescent="0.25">
      <c r="A361" s="3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PPW_1305_-2</v>
      </c>
      <c r="C361" s="36" t="e">
        <f ca="1">IF(NOTA[[#This Row],[ID_P]]="","",MATCH(NOTA[[#This Row],[ID_P]],[1]!B_MSK[N_ID],0))</f>
        <v>#REF!</v>
      </c>
      <c r="D361" s="36">
        <f ca="1">IF(NOTA[[#This Row],[NAMA BARANG]]="","",INDEX(NOTA[ID],MATCH(,INDIRECT(ADDRESS(ROW(NOTA[ID]),COLUMN(NOTA[ID]))&amp;":"&amp;ADDRESS(ROW(),COLUMN(NOTA[ID]))),-1)))</f>
        <v>67</v>
      </c>
      <c r="E361" s="14"/>
      <c r="F361" s="16" t="s">
        <v>382</v>
      </c>
      <c r="G361" s="16" t="s">
        <v>112</v>
      </c>
      <c r="H361" s="20"/>
      <c r="I361" s="16" t="s">
        <v>560</v>
      </c>
      <c r="J361" s="37">
        <v>45056</v>
      </c>
      <c r="K361" s="37"/>
      <c r="L361" s="16" t="s">
        <v>561</v>
      </c>
      <c r="M361" s="28">
        <v>2</v>
      </c>
      <c r="N361" s="16">
        <v>200</v>
      </c>
      <c r="O361" s="16" t="s">
        <v>146</v>
      </c>
      <c r="P361" s="35">
        <v>21380</v>
      </c>
      <c r="Q361" s="38"/>
      <c r="R361" s="28" t="s">
        <v>367</v>
      </c>
      <c r="S361" s="39">
        <v>0.2</v>
      </c>
      <c r="T361" s="39">
        <v>0.04</v>
      </c>
      <c r="U361" s="40"/>
      <c r="V361" s="26"/>
      <c r="W361" s="40">
        <f>IF(NOTA[[#This Row],[HARGA/ CTN]]="",NOTA[[#This Row],[JUMLAH_H]],NOTA[[#This Row],[HARGA/ CTN]]*IF(NOTA[[#This Row],[C]]="",0,NOTA[[#This Row],[C]]))</f>
        <v>4276000</v>
      </c>
      <c r="X361" s="40">
        <f>IF(NOTA[[#This Row],[JUMLAH]]="","",NOTA[[#This Row],[JUMLAH]]*NOTA[[#This Row],[DISC 1]])</f>
        <v>855200</v>
      </c>
      <c r="Y361" s="40">
        <f>IF(NOTA[[#This Row],[JUMLAH]]="","",(NOTA[[#This Row],[JUMLAH]]-NOTA[[#This Row],[DISC 1-]])*NOTA[[#This Row],[DISC 2]])</f>
        <v>136832</v>
      </c>
      <c r="Z361" s="40">
        <f>IF(NOTA[[#This Row],[JUMLAH]]="","",NOTA[[#This Row],[DISC 1-]]+NOTA[[#This Row],[DISC 2-]])</f>
        <v>992032</v>
      </c>
      <c r="AA361" s="40">
        <f>IF(NOTA[[#This Row],[JUMLAH]]="","",NOTA[[#This Row],[JUMLAH]]-NOTA[[#This Row],[DISC]])</f>
        <v>3283968</v>
      </c>
      <c r="AB361" s="40"/>
      <c r="AC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3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361" s="40">
        <f>IF(OR(NOTA[[#This Row],[QTY]]="",NOTA[[#This Row],[HARGA SATUAN]]="",),"",NOTA[[#This Row],[QTY]]*NOTA[[#This Row],[HARGA SATUAN]])</f>
        <v>4276000</v>
      </c>
      <c r="AG361" s="37">
        <f ca="1">IF(NOTA[ID_H]="","",INDEX(NOTA[TANGGAL],MATCH(,INDIRECT(ADDRESS(ROW(NOTA[TANGGAL]),COLUMN(NOTA[TANGGAL]))&amp;":"&amp;ADDRESS(ROW(),COLUMN(NOTA[TANGGAL]))),-1)))</f>
        <v>45059</v>
      </c>
      <c r="AH361" s="35" t="str">
        <f ca="1">IF(NOTA[[#This Row],[NAMA BARANG]]="","",INDEX(NOTA[SUPPLIER],MATCH(,INDIRECT(ADDRESS(ROW(NOTA[ID]),COLUMN(NOTA[ID]))&amp;":"&amp;ADDRESS(ROW(),COLUMN(NOTA[ID]))),-1)))</f>
        <v>PPW</v>
      </c>
      <c r="AI361" s="35" t="str">
        <f ca="1">IF(NOTA[[#This Row],[ID_H]]="","",IF(NOTA[[#This Row],[FAKTUR]]="",INDIRECT(ADDRESS(ROW()-1,COLUMN())),NOTA[[#This Row],[FAKTUR]]))</f>
        <v>UNTANA</v>
      </c>
      <c r="AJ361" s="27">
        <f ca="1">IF(NOTA[[#This Row],[ID]]="","",COUNTIF(NOTA[ID_H],NOTA[[#This Row],[ID_H]]))</f>
        <v>2</v>
      </c>
      <c r="AK361" s="27">
        <f>IF(NOTA[[#This Row],[TGL.NOTA]]="",IF(NOTA[[#This Row],[SUPPLIER_H]]="","",AK360),MONTH(NOTA[[#This Row],[TGL.NOTA]]))</f>
        <v>5</v>
      </c>
      <c r="AL361" s="27" t="str">
        <f>LOWER(SUBSTITUTE(SUBSTITUTE(SUBSTITUTE(SUBSTITUTE(SUBSTITUTE(SUBSTITUTE(SUBSTITUTE(SUBSTITUTE(SUBSTITUTE(NOTA[NAMA BARANG]," ",),".",""),"-",""),"(",""),")",""),",",""),"/",""),"""",""),"+",""))</f>
        <v>bt20cm</v>
      </c>
      <c r="AM3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N3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O361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PPWUNTANA0189/HW/V/2345056bt20cm</v>
      </c>
      <c r="AP361" s="27" t="e">
        <f>IF(NOTA[[#This Row],[CONCAT4]]="","",_xlfn.IFNA(MATCH(NOTA[[#This Row],[CONCAT4]],[2]!RAW[CONCAT_H],0),FALSE))</f>
        <v>#REF!</v>
      </c>
      <c r="AQ361" s="145">
        <f>IF(NOTA[[#This Row],[CONCAT1]]="","",MATCH(NOTA[[#This Row],[CONCAT1]],[3]!db[NB NOTA_C],0)+1)</f>
        <v>367</v>
      </c>
    </row>
    <row r="362" spans="1:43" ht="20.100000000000001" customHeight="1" x14ac:dyDescent="0.25">
      <c r="A362" s="4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6" t="str">
        <f>IF(NOTA[[#This Row],[ID_P]]="","",MATCH(NOTA[[#This Row],[ID_P]],[1]!B_MSK[N_ID],0))</f>
        <v/>
      </c>
      <c r="D362" s="36">
        <f ca="1">IF(NOTA[[#This Row],[NAMA BARANG]]="","",INDEX(NOTA[ID],MATCH(,INDIRECT(ADDRESS(ROW(NOTA[ID]),COLUMN(NOTA[ID]))&amp;":"&amp;ADDRESS(ROW(),COLUMN(NOTA[ID]))),-1)))</f>
        <v>67</v>
      </c>
      <c r="E362" s="14"/>
      <c r="F362" s="16"/>
      <c r="G362" s="16"/>
      <c r="H362" s="20"/>
      <c r="I362" s="16"/>
      <c r="J362" s="37"/>
      <c r="K362" s="16"/>
      <c r="L362" s="16" t="s">
        <v>562</v>
      </c>
      <c r="M362" s="28">
        <v>5</v>
      </c>
      <c r="N362" s="16">
        <v>500</v>
      </c>
      <c r="O362" s="16" t="s">
        <v>146</v>
      </c>
      <c r="P362" s="35">
        <v>26780</v>
      </c>
      <c r="Q362" s="38"/>
      <c r="R362" s="28" t="s">
        <v>367</v>
      </c>
      <c r="S362" s="39">
        <v>0.2</v>
      </c>
      <c r="T362" s="39">
        <v>0.04</v>
      </c>
      <c r="U362" s="40"/>
      <c r="V362" s="26"/>
      <c r="W362" s="40">
        <f>IF(NOTA[[#This Row],[HARGA/ CTN]]="",NOTA[[#This Row],[JUMLAH_H]],NOTA[[#This Row],[HARGA/ CTN]]*IF(NOTA[[#This Row],[C]]="",0,NOTA[[#This Row],[C]]))</f>
        <v>13390000</v>
      </c>
      <c r="X362" s="40">
        <f>IF(NOTA[[#This Row],[JUMLAH]]="","",NOTA[[#This Row],[JUMLAH]]*NOTA[[#This Row],[DISC 1]])</f>
        <v>2678000</v>
      </c>
      <c r="Y362" s="40">
        <f>IF(NOTA[[#This Row],[JUMLAH]]="","",(NOTA[[#This Row],[JUMLAH]]-NOTA[[#This Row],[DISC 1-]])*NOTA[[#This Row],[DISC 2]])</f>
        <v>428480</v>
      </c>
      <c r="Z362" s="40">
        <f>IF(NOTA[[#This Row],[JUMLAH]]="","",NOTA[[#This Row],[DISC 1-]]+NOTA[[#This Row],[DISC 2-]])</f>
        <v>3106480</v>
      </c>
      <c r="AA362" s="40">
        <f>IF(NOTA[[#This Row],[JUMLAH]]="","",NOTA[[#This Row],[JUMLAH]]-NOTA[[#This Row],[DISC]])</f>
        <v>10283520</v>
      </c>
      <c r="AB362" s="40"/>
      <c r="AC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D36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E362" s="3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362" s="40">
        <f>IF(OR(NOTA[[#This Row],[QTY]]="",NOTA[[#This Row],[HARGA SATUAN]]="",),"",NOTA[[#This Row],[QTY]]*NOTA[[#This Row],[HARGA SATUAN]])</f>
        <v>13390000</v>
      </c>
      <c r="AG362" s="37">
        <f ca="1">IF(NOTA[ID_H]="","",INDEX(NOTA[TANGGAL],MATCH(,INDIRECT(ADDRESS(ROW(NOTA[TANGGAL]),COLUMN(NOTA[TANGGAL]))&amp;":"&amp;ADDRESS(ROW(),COLUMN(NOTA[TANGGAL]))),-1)))</f>
        <v>45059</v>
      </c>
      <c r="AH362" s="35" t="str">
        <f ca="1">IF(NOTA[[#This Row],[NAMA BARANG]]="","",INDEX(NOTA[SUPPLIER],MATCH(,INDIRECT(ADDRESS(ROW(NOTA[ID]),COLUMN(NOTA[ID]))&amp;":"&amp;ADDRESS(ROW(),COLUMN(NOTA[ID]))),-1)))</f>
        <v>PPW</v>
      </c>
      <c r="AI362" s="35" t="str">
        <f ca="1">IF(NOTA[[#This Row],[ID_H]]="","",IF(NOTA[[#This Row],[FAKTUR]]="",INDIRECT(ADDRESS(ROW()-1,COLUMN())),NOTA[[#This Row],[FAKTUR]]))</f>
        <v>UNTANA</v>
      </c>
      <c r="AJ362" s="27" t="str">
        <f ca="1">IF(NOTA[[#This Row],[ID]]="","",COUNTIF(NOTA[ID_H],NOTA[[#This Row],[ID_H]]))</f>
        <v/>
      </c>
      <c r="AK362" s="27">
        <f ca="1">IF(NOTA[[#This Row],[TGL.NOTA]]="",IF(NOTA[[#This Row],[SUPPLIER_H]]="","",AK361),MONTH(NOTA[[#This Row],[TGL.NOTA]]))</f>
        <v>5</v>
      </c>
      <c r="AL362" s="27" t="str">
        <f>LOWER(SUBSTITUTE(SUBSTITUTE(SUBSTITUTE(SUBSTITUTE(SUBSTITUTE(SUBSTITUTE(SUBSTITUTE(SUBSTITUTE(SUBSTITUTE(NOTA[NAMA BARANG]," ",),".",""),"-",""),"(",""),")",""),",",""),"/",""),"""",""),"+",""))</f>
        <v>bt30cm</v>
      </c>
      <c r="AM3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N3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O3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27" t="str">
        <f>IF(NOTA[[#This Row],[CONCAT4]]="","",_xlfn.IFNA(MATCH(NOTA[[#This Row],[CONCAT4]],[2]!RAW[CONCAT_H],0),FALSE))</f>
        <v/>
      </c>
      <c r="AQ362" s="145">
        <f>IF(NOTA[[#This Row],[CONCAT1]]="","",MATCH(NOTA[[#This Row],[CONCAT1]],[3]!db[NB NOTA_C],0)+1)</f>
        <v>368</v>
      </c>
    </row>
    <row r="363" spans="1:43" ht="20.100000000000001" customHeight="1" x14ac:dyDescent="0.25">
      <c r="A3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6" t="str">
        <f>IF(NOTA[[#This Row],[ID_P]]="","",MATCH(NOTA[[#This Row],[ID_P]],[1]!B_MSK[N_ID],0))</f>
        <v/>
      </c>
      <c r="D363" s="36" t="str">
        <f ca="1">IF(NOTA[[#This Row],[NAMA BARANG]]="","",INDEX(NOTA[ID],MATCH(,INDIRECT(ADDRESS(ROW(NOTA[ID]),COLUMN(NOTA[ID]))&amp;":"&amp;ADDRESS(ROW(),COLUMN(NOTA[ID]))),-1)))</f>
        <v/>
      </c>
      <c r="E363" s="14"/>
      <c r="F363" s="16"/>
      <c r="G363" s="16"/>
      <c r="H363" s="20"/>
      <c r="I363" s="16"/>
      <c r="J363" s="37"/>
      <c r="K363" s="16"/>
      <c r="L363" s="16"/>
      <c r="M363" s="28"/>
      <c r="N363" s="16"/>
      <c r="O363" s="16"/>
      <c r="P363" s="35"/>
      <c r="Q363" s="38"/>
      <c r="R363" s="28"/>
      <c r="S363" s="39"/>
      <c r="T363" s="39"/>
      <c r="U363" s="40"/>
      <c r="V363" s="26"/>
      <c r="W363" s="40" t="str">
        <f>IF(NOTA[[#This Row],[HARGA/ CTN]]="",NOTA[[#This Row],[JUMLAH_H]],NOTA[[#This Row],[HARGA/ CTN]]*IF(NOTA[[#This Row],[C]]="",0,NOTA[[#This Row],[C]]))</f>
        <v/>
      </c>
      <c r="X363" s="40" t="str">
        <f>IF(NOTA[[#This Row],[JUMLAH]]="","",NOTA[[#This Row],[JUMLAH]]*NOTA[[#This Row],[DISC 1]])</f>
        <v/>
      </c>
      <c r="Y363" s="40" t="str">
        <f>IF(NOTA[[#This Row],[JUMLAH]]="","",(NOTA[[#This Row],[JUMLAH]]-NOTA[[#This Row],[DISC 1-]])*NOTA[[#This Row],[DISC 2]])</f>
        <v/>
      </c>
      <c r="Z363" s="40" t="str">
        <f>IF(NOTA[[#This Row],[JUMLAH]]="","",NOTA[[#This Row],[DISC 1-]]+NOTA[[#This Row],[DISC 2-]])</f>
        <v/>
      </c>
      <c r="AA363" s="40" t="str">
        <f>IF(NOTA[[#This Row],[JUMLAH]]="","",NOTA[[#This Row],[JUMLAH]]-NOTA[[#This Row],[DISC]])</f>
        <v/>
      </c>
      <c r="AB363" s="40"/>
      <c r="AC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40" t="str">
        <f>IF(OR(NOTA[[#This Row],[QTY]]="",NOTA[[#This Row],[HARGA SATUAN]]="",),"",NOTA[[#This Row],[QTY]]*NOTA[[#This Row],[HARGA SATUAN]])</f>
        <v/>
      </c>
      <c r="AG363" s="37" t="str">
        <f ca="1">IF(NOTA[ID_H]="","",INDEX(NOTA[TANGGAL],MATCH(,INDIRECT(ADDRESS(ROW(NOTA[TANGGAL]),COLUMN(NOTA[TANGGAL]))&amp;":"&amp;ADDRESS(ROW(),COLUMN(NOTA[TANGGAL]))),-1)))</f>
        <v/>
      </c>
      <c r="AH363" s="35" t="str">
        <f ca="1">IF(NOTA[[#This Row],[NAMA BARANG]]="","",INDEX(NOTA[SUPPLIER],MATCH(,INDIRECT(ADDRESS(ROW(NOTA[ID]),COLUMN(NOTA[ID]))&amp;":"&amp;ADDRESS(ROW(),COLUMN(NOTA[ID]))),-1)))</f>
        <v/>
      </c>
      <c r="AI363" s="35" t="str">
        <f ca="1">IF(NOTA[[#This Row],[ID_H]]="","",IF(NOTA[[#This Row],[FAKTUR]]="",INDIRECT(ADDRESS(ROW()-1,COLUMN())),NOTA[[#This Row],[FAKTUR]]))</f>
        <v/>
      </c>
      <c r="AJ363" s="27" t="str">
        <f ca="1">IF(NOTA[[#This Row],[ID]]="","",COUNTIF(NOTA[ID_H],NOTA[[#This Row],[ID_H]]))</f>
        <v/>
      </c>
      <c r="AK363" s="27" t="str">
        <f ca="1">IF(NOTA[[#This Row],[TGL.NOTA]]="",IF(NOTA[[#This Row],[SUPPLIER_H]]="","",AK362),MONTH(NOTA[[#This Row],[TGL.NOTA]]))</f>
        <v/>
      </c>
      <c r="AL363" s="27" t="str">
        <f>LOWER(SUBSTITUTE(SUBSTITUTE(SUBSTITUTE(SUBSTITUTE(SUBSTITUTE(SUBSTITUTE(SUBSTITUTE(SUBSTITUTE(SUBSTITUTE(NOTA[NAMA BARANG]," ",),".",""),"-",""),"(",""),")",""),",",""),"/",""),"""",""),"+",""))</f>
        <v/>
      </c>
      <c r="AM3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27" t="str">
        <f>IF(NOTA[[#This Row],[CONCAT4]]="","",_xlfn.IFNA(MATCH(NOTA[[#This Row],[CONCAT4]],[2]!RAW[CONCAT_H],0),FALSE))</f>
        <v/>
      </c>
      <c r="AQ363" s="145" t="str">
        <f>IF(NOTA[[#This Row],[CONCAT1]]="","",MATCH(NOTA[[#This Row],[CONCAT1]],[3]!db[NB NOTA_C],0)+1)</f>
        <v/>
      </c>
    </row>
    <row r="364" spans="1:43" ht="20.100000000000001" customHeight="1" x14ac:dyDescent="0.25">
      <c r="A364" s="35">
        <f ca="1">IF(INDIRECT(ADDRESS(ROW()-1,COLUMN(NOTA[[#Headers],[ID]])))="ID",1,IF(NOTA[[#This Row],[FAKTUR]]="","",COUNT(INDIRECT(ADDRESS(ROW(NOTA[ID]),COLUMN(NOTA[ID]))&amp;":"&amp;ADDRESS(ROW()-1,COLUMN(NOTA[ID]))))+1))</f>
        <v>68</v>
      </c>
      <c r="B36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GUN_1305_871-5</v>
      </c>
      <c r="C364" s="36" t="e">
        <f ca="1">IF(NOTA[[#This Row],[ID_P]]="","",MATCH(NOTA[[#This Row],[ID_P]],[1]!B_MSK[N_ID],0))</f>
        <v>#REF!</v>
      </c>
      <c r="D364" s="36">
        <f ca="1">IF(NOTA[[#This Row],[NAMA BARANG]]="","",INDEX(NOTA[ID],MATCH(,INDIRECT(ADDRESS(ROW(NOTA[ID]),COLUMN(NOTA[ID]))&amp;":"&amp;ADDRESS(ROW(),COLUMN(NOTA[ID]))),-1)))</f>
        <v>68</v>
      </c>
      <c r="E364" s="14"/>
      <c r="F364" s="16" t="s">
        <v>563</v>
      </c>
      <c r="G364" s="16" t="s">
        <v>112</v>
      </c>
      <c r="H364" s="20" t="s">
        <v>564</v>
      </c>
      <c r="I364" s="16"/>
      <c r="J364" s="37">
        <v>45056</v>
      </c>
      <c r="K364" s="16"/>
      <c r="L364" s="16" t="s">
        <v>565</v>
      </c>
      <c r="M364" s="28">
        <v>4</v>
      </c>
      <c r="N364" s="16">
        <v>240</v>
      </c>
      <c r="O364" s="16" t="s">
        <v>125</v>
      </c>
      <c r="P364" s="35">
        <v>49200</v>
      </c>
      <c r="Q364" s="38"/>
      <c r="R364" s="28" t="s">
        <v>379</v>
      </c>
      <c r="S364" s="39">
        <v>0.05</v>
      </c>
      <c r="T364" s="39">
        <v>0.1</v>
      </c>
      <c r="U364" s="40"/>
      <c r="V364" s="26"/>
      <c r="W364" s="40">
        <f>IF(NOTA[[#This Row],[HARGA/ CTN]]="",NOTA[[#This Row],[JUMLAH_H]],NOTA[[#This Row],[HARGA/ CTN]]*IF(NOTA[[#This Row],[C]]="",0,NOTA[[#This Row],[C]]))</f>
        <v>11808000</v>
      </c>
      <c r="X364" s="40">
        <f>IF(NOTA[[#This Row],[JUMLAH]]="","",NOTA[[#This Row],[JUMLAH]]*NOTA[[#This Row],[DISC 1]])</f>
        <v>590400</v>
      </c>
      <c r="Y364" s="40">
        <f>IF(NOTA[[#This Row],[JUMLAH]]="","",(NOTA[[#This Row],[JUMLAH]]-NOTA[[#This Row],[DISC 1-]])*NOTA[[#This Row],[DISC 2]])</f>
        <v>1121760</v>
      </c>
      <c r="Z364" s="40">
        <f>IF(NOTA[[#This Row],[JUMLAH]]="","",NOTA[[#This Row],[DISC 1-]]+NOTA[[#This Row],[DISC 2-]])</f>
        <v>1712160</v>
      </c>
      <c r="AA364" s="40">
        <f>IF(NOTA[[#This Row],[JUMLAH]]="","",NOTA[[#This Row],[JUMLAH]]-NOTA[[#This Row],[DISC]])</f>
        <v>10095840</v>
      </c>
      <c r="AB364" s="40"/>
      <c r="AC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3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64" s="40">
        <f>IF(OR(NOTA[[#This Row],[QTY]]="",NOTA[[#This Row],[HARGA SATUAN]]="",),"",NOTA[[#This Row],[QTY]]*NOTA[[#This Row],[HARGA SATUAN]])</f>
        <v>11808000</v>
      </c>
      <c r="AG364" s="37">
        <f ca="1">IF(NOTA[ID_H]="","",INDEX(NOTA[TANGGAL],MATCH(,INDIRECT(ADDRESS(ROW(NOTA[TANGGAL]),COLUMN(NOTA[TANGGAL]))&amp;":"&amp;ADDRESS(ROW(),COLUMN(NOTA[TANGGAL]))),-1)))</f>
        <v>45059</v>
      </c>
      <c r="AH364" s="35" t="str">
        <f ca="1">IF(NOTA[[#This Row],[NAMA BARANG]]="","",INDEX(NOTA[SUPPLIER],MATCH(,INDIRECT(ADDRESS(ROW(NOTA[ID]),COLUMN(NOTA[ID]))&amp;":"&amp;ADDRESS(ROW(),COLUMN(NOTA[ID]))),-1)))</f>
        <v>GUNINDO</v>
      </c>
      <c r="AI364" s="35" t="str">
        <f ca="1">IF(NOTA[[#This Row],[ID_H]]="","",IF(NOTA[[#This Row],[FAKTUR]]="",INDIRECT(ADDRESS(ROW()-1,COLUMN())),NOTA[[#This Row],[FAKTUR]]))</f>
        <v>UNTANA</v>
      </c>
      <c r="AJ364" s="27">
        <f ca="1">IF(NOTA[[#This Row],[ID]]="","",COUNTIF(NOTA[ID_H],NOTA[[#This Row],[ID_H]]))</f>
        <v>5</v>
      </c>
      <c r="AK364" s="27">
        <f>IF(NOTA[[#This Row],[TGL.NOTA]]="",IF(NOTA[[#This Row],[SUPPLIER_H]]="","",AK363),MONTH(NOTA[[#This Row],[TGL.NOTA]]))</f>
        <v>5</v>
      </c>
      <c r="AL364" s="27" t="str">
        <f>LOWER(SUBSTITUTE(SUBSTITUTE(SUBSTITUTE(SUBSTITUTE(SUBSTITUTE(SUBSTITUTE(SUBSTITUTE(SUBSTITUTE(SUBSTITUTE(NOTA[NAMA BARANG]," ",),".",""),"-",""),"(",""),")",""),",",""),"/",""),"""",""),"+",""))</f>
        <v>ossgunindo</v>
      </c>
      <c r="AM3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6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GUNINDOUNTANA230087145056ossgunindo</v>
      </c>
      <c r="AP364" s="27" t="e">
        <f>IF(NOTA[[#This Row],[CONCAT4]]="","",_xlfn.IFNA(MATCH(NOTA[[#This Row],[CONCAT4]],[2]!RAW[CONCAT_H],0),FALSE))</f>
        <v>#REF!</v>
      </c>
      <c r="AQ364" s="145">
        <f>IF(NOTA[[#This Row],[CONCAT1]]="","",MATCH(NOTA[[#This Row],[CONCAT1]],[3]!db[NB NOTA_C],0)+1)</f>
        <v>1725</v>
      </c>
    </row>
    <row r="365" spans="1:43" ht="20.100000000000001" customHeight="1" x14ac:dyDescent="0.25">
      <c r="A3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6" t="str">
        <f>IF(NOTA[[#This Row],[ID_P]]="","",MATCH(NOTA[[#This Row],[ID_P]],[1]!B_MSK[N_ID],0))</f>
        <v/>
      </c>
      <c r="D365" s="36">
        <f ca="1">IF(NOTA[[#This Row],[NAMA BARANG]]="","",INDEX(NOTA[ID],MATCH(,INDIRECT(ADDRESS(ROW(NOTA[ID]),COLUMN(NOTA[ID]))&amp;":"&amp;ADDRESS(ROW(),COLUMN(NOTA[ID]))),-1)))</f>
        <v>68</v>
      </c>
      <c r="E365" s="14"/>
      <c r="F365" s="16"/>
      <c r="G365" s="16"/>
      <c r="H365" s="20"/>
      <c r="I365" s="16"/>
      <c r="J365" s="37"/>
      <c r="K365" s="16"/>
      <c r="L365" s="16" t="s">
        <v>566</v>
      </c>
      <c r="M365" s="28">
        <v>1</v>
      </c>
      <c r="N365" s="16">
        <v>60</v>
      </c>
      <c r="O365" s="16" t="s">
        <v>125</v>
      </c>
      <c r="P365" s="35">
        <v>57000</v>
      </c>
      <c r="Q365" s="38"/>
      <c r="R365" s="28" t="s">
        <v>379</v>
      </c>
      <c r="S365" s="39">
        <v>0.05</v>
      </c>
      <c r="T365" s="39">
        <v>0.1</v>
      </c>
      <c r="U365" s="40"/>
      <c r="V365" s="26"/>
      <c r="W365" s="40">
        <f>IF(NOTA[[#This Row],[HARGA/ CTN]]="",NOTA[[#This Row],[JUMLAH_H]],NOTA[[#This Row],[HARGA/ CTN]]*IF(NOTA[[#This Row],[C]]="",0,NOTA[[#This Row],[C]]))</f>
        <v>3420000</v>
      </c>
      <c r="X365" s="40">
        <f>IF(NOTA[[#This Row],[JUMLAH]]="","",NOTA[[#This Row],[JUMLAH]]*NOTA[[#This Row],[DISC 1]])</f>
        <v>171000</v>
      </c>
      <c r="Y365" s="40">
        <f>IF(NOTA[[#This Row],[JUMLAH]]="","",(NOTA[[#This Row],[JUMLAH]]-NOTA[[#This Row],[DISC 1-]])*NOTA[[#This Row],[DISC 2]])</f>
        <v>324900</v>
      </c>
      <c r="Z365" s="40">
        <f>IF(NOTA[[#This Row],[JUMLAH]]="","",NOTA[[#This Row],[DISC 1-]]+NOTA[[#This Row],[DISC 2-]])</f>
        <v>495900</v>
      </c>
      <c r="AA365" s="40">
        <f>IF(NOTA[[#This Row],[JUMLAH]]="","",NOTA[[#This Row],[JUMLAH]]-NOTA[[#This Row],[DISC]])</f>
        <v>2924100</v>
      </c>
      <c r="AB365" s="40"/>
      <c r="AC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3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365" s="40">
        <f>IF(OR(NOTA[[#This Row],[QTY]]="",NOTA[[#This Row],[HARGA SATUAN]]="",),"",NOTA[[#This Row],[QTY]]*NOTA[[#This Row],[HARGA SATUAN]])</f>
        <v>3420000</v>
      </c>
      <c r="AG365" s="37">
        <f ca="1">IF(NOTA[ID_H]="","",INDEX(NOTA[TANGGAL],MATCH(,INDIRECT(ADDRESS(ROW(NOTA[TANGGAL]),COLUMN(NOTA[TANGGAL]))&amp;":"&amp;ADDRESS(ROW(),COLUMN(NOTA[TANGGAL]))),-1)))</f>
        <v>45059</v>
      </c>
      <c r="AH365" s="35" t="str">
        <f ca="1">IF(NOTA[[#This Row],[NAMA BARANG]]="","",INDEX(NOTA[SUPPLIER],MATCH(,INDIRECT(ADDRESS(ROW(NOTA[ID]),COLUMN(NOTA[ID]))&amp;":"&amp;ADDRESS(ROW(),COLUMN(NOTA[ID]))),-1)))</f>
        <v>GUNINDO</v>
      </c>
      <c r="AI365" s="35" t="str">
        <f ca="1">IF(NOTA[[#This Row],[ID_H]]="","",IF(NOTA[[#This Row],[FAKTUR]]="",INDIRECT(ADDRESS(ROW()-1,COLUMN())),NOTA[[#This Row],[FAKTUR]]))</f>
        <v>UNTANA</v>
      </c>
      <c r="AJ365" s="27" t="str">
        <f ca="1">IF(NOTA[[#This Row],[ID]]="","",COUNTIF(NOTA[ID_H],NOTA[[#This Row],[ID_H]]))</f>
        <v/>
      </c>
      <c r="AK365" s="27">
        <f ca="1">IF(NOTA[[#This Row],[TGL.NOTA]]="",IF(NOTA[[#This Row],[SUPPLIER_H]]="","",AK364),MONTH(NOTA[[#This Row],[TGL.NOTA]]))</f>
        <v>5</v>
      </c>
      <c r="AL365" s="27" t="str">
        <f>LOWER(SUBSTITUTE(SUBSTITUTE(SUBSTITUTE(SUBSTITUTE(SUBSTITUTE(SUBSTITUTE(SUBSTITUTE(SUBSTITUTE(SUBSTITUTE(NOTA[NAMA BARANG]," ",),".",""),"-",""),"(",""),")",""),",",""),"/",""),"""",""),"+",""))</f>
        <v>ommgunindo</v>
      </c>
      <c r="AM3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3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3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27" t="str">
        <f>IF(NOTA[[#This Row],[CONCAT4]]="","",_xlfn.IFNA(MATCH(NOTA[[#This Row],[CONCAT4]],[2]!RAW[CONCAT_H],0),FALSE))</f>
        <v/>
      </c>
      <c r="AQ365" s="145">
        <f>IF(NOTA[[#This Row],[CONCAT1]]="","",MATCH(NOTA[[#This Row],[CONCAT1]],[3]!db[NB NOTA_C],0)+1)</f>
        <v>1714</v>
      </c>
    </row>
    <row r="366" spans="1:43" ht="20.100000000000001" customHeight="1" x14ac:dyDescent="0.25">
      <c r="A3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6" t="str">
        <f>IF(NOTA[[#This Row],[ID_P]]="","",MATCH(NOTA[[#This Row],[ID_P]],[1]!B_MSK[N_ID],0))</f>
        <v/>
      </c>
      <c r="D366" s="36">
        <f ca="1">IF(NOTA[[#This Row],[NAMA BARANG]]="","",INDEX(NOTA[ID],MATCH(,INDIRECT(ADDRESS(ROW(NOTA[ID]),COLUMN(NOTA[ID]))&amp;":"&amp;ADDRESS(ROW(),COLUMN(NOTA[ID]))),-1)))</f>
        <v>68</v>
      </c>
      <c r="E366" s="14"/>
      <c r="F366" s="16"/>
      <c r="G366" s="16"/>
      <c r="H366" s="20"/>
      <c r="I366" s="16"/>
      <c r="J366" s="37"/>
      <c r="K366" s="16"/>
      <c r="L366" s="16" t="s">
        <v>567</v>
      </c>
      <c r="M366" s="28">
        <v>1</v>
      </c>
      <c r="N366" s="16">
        <v>60</v>
      </c>
      <c r="O366" s="16" t="s">
        <v>125</v>
      </c>
      <c r="P366" s="35">
        <v>33000</v>
      </c>
      <c r="Q366" s="38"/>
      <c r="R366" s="28" t="s">
        <v>379</v>
      </c>
      <c r="S366" s="39">
        <v>0.05</v>
      </c>
      <c r="T366" s="39">
        <v>0.1</v>
      </c>
      <c r="U366" s="40"/>
      <c r="V366" s="26"/>
      <c r="W366" s="40">
        <f>IF(NOTA[[#This Row],[HARGA/ CTN]]="",NOTA[[#This Row],[JUMLAH_H]],NOTA[[#This Row],[HARGA/ CTN]]*IF(NOTA[[#This Row],[C]]="",0,NOTA[[#This Row],[C]]))</f>
        <v>1980000</v>
      </c>
      <c r="X366" s="40">
        <f>IF(NOTA[[#This Row],[JUMLAH]]="","",NOTA[[#This Row],[JUMLAH]]*NOTA[[#This Row],[DISC 1]])</f>
        <v>99000</v>
      </c>
      <c r="Y366" s="40">
        <f>IF(NOTA[[#This Row],[JUMLAH]]="","",(NOTA[[#This Row],[JUMLAH]]-NOTA[[#This Row],[DISC 1-]])*NOTA[[#This Row],[DISC 2]])</f>
        <v>188100</v>
      </c>
      <c r="Z366" s="40">
        <f>IF(NOTA[[#This Row],[JUMLAH]]="","",NOTA[[#This Row],[DISC 1-]]+NOTA[[#This Row],[DISC 2-]])</f>
        <v>287100</v>
      </c>
      <c r="AA366" s="40">
        <f>IF(NOTA[[#This Row],[JUMLAH]]="","",NOTA[[#This Row],[JUMLAH]]-NOTA[[#This Row],[DISC]])</f>
        <v>1692900</v>
      </c>
      <c r="AB366" s="40"/>
      <c r="AC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3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366" s="40">
        <f>IF(OR(NOTA[[#This Row],[QTY]]="",NOTA[[#This Row],[HARGA SATUAN]]="",),"",NOTA[[#This Row],[QTY]]*NOTA[[#This Row],[HARGA SATUAN]])</f>
        <v>1980000</v>
      </c>
      <c r="AG366" s="37">
        <f ca="1">IF(NOTA[ID_H]="","",INDEX(NOTA[TANGGAL],MATCH(,INDIRECT(ADDRESS(ROW(NOTA[TANGGAL]),COLUMN(NOTA[TANGGAL]))&amp;":"&amp;ADDRESS(ROW(),COLUMN(NOTA[TANGGAL]))),-1)))</f>
        <v>45059</v>
      </c>
      <c r="AH366" s="35" t="str">
        <f ca="1">IF(NOTA[[#This Row],[NAMA BARANG]]="","",INDEX(NOTA[SUPPLIER],MATCH(,INDIRECT(ADDRESS(ROW(NOTA[ID]),COLUMN(NOTA[ID]))&amp;":"&amp;ADDRESS(ROW(),COLUMN(NOTA[ID]))),-1)))</f>
        <v>GUNINDO</v>
      </c>
      <c r="AI366" s="35" t="str">
        <f ca="1">IF(NOTA[[#This Row],[ID_H]]="","",IF(NOTA[[#This Row],[FAKTUR]]="",INDIRECT(ADDRESS(ROW()-1,COLUMN())),NOTA[[#This Row],[FAKTUR]]))</f>
        <v>UNTANA</v>
      </c>
      <c r="AJ366" s="27" t="str">
        <f ca="1">IF(NOTA[[#This Row],[ID]]="","",COUNTIF(NOTA[ID_H],NOTA[[#This Row],[ID_H]]))</f>
        <v/>
      </c>
      <c r="AK366" s="27">
        <f ca="1">IF(NOTA[[#This Row],[TGL.NOTA]]="",IF(NOTA[[#This Row],[SUPPLIER_H]]="","",AK365),MONTH(NOTA[[#This Row],[TGL.NOTA]]))</f>
        <v>5</v>
      </c>
      <c r="AL366" s="27" t="str">
        <f>LOWER(SUBSTITUTE(SUBSTITUTE(SUBSTITUTE(SUBSTITUTE(SUBSTITUTE(SUBSTITUTE(SUBSTITUTE(SUBSTITUTE(SUBSTITUTE(NOTA[NAMA BARANG]," ",),".",""),"-",""),"(",""),")",""),",",""),"/",""),"""",""),"+",""))</f>
        <v>cuttersc9aputih</v>
      </c>
      <c r="AM3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N3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O3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27" t="str">
        <f>IF(NOTA[[#This Row],[CONCAT4]]="","",_xlfn.IFNA(MATCH(NOTA[[#This Row],[CONCAT4]],[2]!RAW[CONCAT_H],0),FALSE))</f>
        <v/>
      </c>
      <c r="AQ366" s="145">
        <f>IF(NOTA[[#This Row],[CONCAT1]]="","",MATCH(NOTA[[#This Row],[CONCAT1]],[3]!db[NB NOTA_C],0)+1)</f>
        <v>623</v>
      </c>
    </row>
    <row r="367" spans="1:43" ht="20.100000000000001" customHeight="1" x14ac:dyDescent="0.25">
      <c r="A3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6" t="str">
        <f>IF(NOTA[[#This Row],[ID_P]]="","",MATCH(NOTA[[#This Row],[ID_P]],[1]!B_MSK[N_ID],0))</f>
        <v/>
      </c>
      <c r="D367" s="36">
        <f ca="1">IF(NOTA[[#This Row],[NAMA BARANG]]="","",INDEX(NOTA[ID],MATCH(,INDIRECT(ADDRESS(ROW(NOTA[ID]),COLUMN(NOTA[ID]))&amp;":"&amp;ADDRESS(ROW(),COLUMN(NOTA[ID]))),-1)))</f>
        <v>68</v>
      </c>
      <c r="E367" s="14"/>
      <c r="F367" s="129"/>
      <c r="G367" s="129"/>
      <c r="H367" s="130"/>
      <c r="I367" s="129"/>
      <c r="J367" s="131"/>
      <c r="K367" s="129"/>
      <c r="L367" s="16" t="s">
        <v>568</v>
      </c>
      <c r="M367" s="132">
        <v>2</v>
      </c>
      <c r="N367" s="129">
        <v>120</v>
      </c>
      <c r="O367" s="16" t="s">
        <v>125</v>
      </c>
      <c r="P367" s="133">
        <v>47500</v>
      </c>
      <c r="Q367" s="134"/>
      <c r="R367" s="28" t="s">
        <v>379</v>
      </c>
      <c r="S367" s="39">
        <v>0.05</v>
      </c>
      <c r="T367" s="39">
        <v>0.1</v>
      </c>
      <c r="U367" s="40"/>
      <c r="V367" s="26"/>
      <c r="W367" s="40">
        <f>IF(NOTA[[#This Row],[HARGA/ CTN]]="",NOTA[[#This Row],[JUMLAH_H]],NOTA[[#This Row],[HARGA/ CTN]]*IF(NOTA[[#This Row],[C]]="",0,NOTA[[#This Row],[C]]))</f>
        <v>5700000</v>
      </c>
      <c r="X367" s="40">
        <f>IF(NOTA[[#This Row],[JUMLAH]]="","",NOTA[[#This Row],[JUMLAH]]*NOTA[[#This Row],[DISC 1]])</f>
        <v>285000</v>
      </c>
      <c r="Y367" s="40">
        <f>IF(NOTA[[#This Row],[JUMLAH]]="","",(NOTA[[#This Row],[JUMLAH]]-NOTA[[#This Row],[DISC 1-]])*NOTA[[#This Row],[DISC 2]])</f>
        <v>541500</v>
      </c>
      <c r="Z367" s="40">
        <f>IF(NOTA[[#This Row],[JUMLAH]]="","",NOTA[[#This Row],[DISC 1-]]+NOTA[[#This Row],[DISC 2-]])</f>
        <v>826500</v>
      </c>
      <c r="AA367" s="40">
        <f>IF(NOTA[[#This Row],[JUMLAH]]="","",NOTA[[#This Row],[JUMLAH]]-NOTA[[#This Row],[DISC]])</f>
        <v>4873500</v>
      </c>
      <c r="AB367" s="40"/>
      <c r="AC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3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367" s="40">
        <f>IF(OR(NOTA[[#This Row],[QTY]]="",NOTA[[#This Row],[HARGA SATUAN]]="",),"",NOTA[[#This Row],[QTY]]*NOTA[[#This Row],[HARGA SATUAN]])</f>
        <v>5700000</v>
      </c>
      <c r="AG367" s="37">
        <f ca="1">IF(NOTA[ID_H]="","",INDEX(NOTA[TANGGAL],MATCH(,INDIRECT(ADDRESS(ROW(NOTA[TANGGAL]),COLUMN(NOTA[TANGGAL]))&amp;":"&amp;ADDRESS(ROW(),COLUMN(NOTA[TANGGAL]))),-1)))</f>
        <v>45059</v>
      </c>
      <c r="AH367" s="35" t="str">
        <f ca="1">IF(NOTA[[#This Row],[NAMA BARANG]]="","",INDEX(NOTA[SUPPLIER],MATCH(,INDIRECT(ADDRESS(ROW(NOTA[ID]),COLUMN(NOTA[ID]))&amp;":"&amp;ADDRESS(ROW(),COLUMN(NOTA[ID]))),-1)))</f>
        <v>GUNINDO</v>
      </c>
      <c r="AI367" s="35" t="str">
        <f ca="1">IF(NOTA[[#This Row],[ID_H]]="","",IF(NOTA[[#This Row],[FAKTUR]]="",INDIRECT(ADDRESS(ROW()-1,COLUMN())),NOTA[[#This Row],[FAKTUR]]))</f>
        <v>UNTANA</v>
      </c>
      <c r="AJ367" s="27" t="str">
        <f ca="1">IF(NOTA[[#This Row],[ID]]="","",COUNTIF(NOTA[ID_H],NOTA[[#This Row],[ID_H]]))</f>
        <v/>
      </c>
      <c r="AK367" s="27">
        <f ca="1">IF(NOTA[[#This Row],[TGL.NOTA]]="",IF(NOTA[[#This Row],[SUPPLIER_H]]="","",AK366),MONTH(NOTA[[#This Row],[TGL.NOTA]]))</f>
        <v>5</v>
      </c>
      <c r="AL367" s="27" t="str">
        <f>LOWER(SUBSTITUTE(SUBSTITUTE(SUBSTITUTE(SUBSTITUTE(SUBSTITUTE(SUBSTITUTE(SUBSTITUTE(SUBSTITUTE(SUBSTITUTE(NOTA[NAMA BARANG]," ",),".",""),"-",""),"(",""),")",""),",",""),"/",""),"""",""),"+",""))</f>
        <v>cuttera18trans</v>
      </c>
      <c r="AM3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3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3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27" t="str">
        <f>IF(NOTA[[#This Row],[CONCAT4]]="","",_xlfn.IFNA(MATCH(NOTA[[#This Row],[CONCAT4]],[2]!RAW[CONCAT_H],0),FALSE))</f>
        <v/>
      </c>
      <c r="AQ367" s="145">
        <f>IF(NOTA[[#This Row],[CONCAT1]]="","",MATCH(NOTA[[#This Row],[CONCAT1]],[3]!db[NB NOTA_C],0)+1)</f>
        <v>608</v>
      </c>
    </row>
    <row r="368" spans="1:43" ht="20.100000000000001" customHeight="1" x14ac:dyDescent="0.25">
      <c r="A36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6" t="str">
        <f>IF(NOTA[[#This Row],[ID_P]]="","",MATCH(NOTA[[#This Row],[ID_P]],[1]!B_MSK[N_ID],0))</f>
        <v/>
      </c>
      <c r="D368" s="36">
        <f ca="1">IF(NOTA[[#This Row],[NAMA BARANG]]="","",INDEX(NOTA[ID],MATCH(,INDIRECT(ADDRESS(ROW(NOTA[ID]),COLUMN(NOTA[ID]))&amp;":"&amp;ADDRESS(ROW(),COLUMN(NOTA[ID]))),-1)))</f>
        <v>68</v>
      </c>
      <c r="E368" s="14"/>
      <c r="F368" s="16"/>
      <c r="G368" s="16"/>
      <c r="H368" s="20"/>
      <c r="I368" s="16"/>
      <c r="J368" s="37"/>
      <c r="K368" s="16"/>
      <c r="L368" s="16" t="s">
        <v>569</v>
      </c>
      <c r="M368" s="28">
        <v>2</v>
      </c>
      <c r="N368" s="16">
        <v>40</v>
      </c>
      <c r="O368" s="16" t="s">
        <v>125</v>
      </c>
      <c r="P368" s="35">
        <v>120000</v>
      </c>
      <c r="Q368" s="38"/>
      <c r="R368" s="28" t="s">
        <v>570</v>
      </c>
      <c r="S368" s="39">
        <v>0.05</v>
      </c>
      <c r="T368" s="39">
        <v>0.1</v>
      </c>
      <c r="U368" s="40"/>
      <c r="V368" s="26"/>
      <c r="W368" s="40">
        <f>IF(NOTA[[#This Row],[HARGA/ CTN]]="",NOTA[[#This Row],[JUMLAH_H]],NOTA[[#This Row],[HARGA/ CTN]]*IF(NOTA[[#This Row],[C]]="",0,NOTA[[#This Row],[C]]))</f>
        <v>4800000</v>
      </c>
      <c r="X368" s="40">
        <f>IF(NOTA[[#This Row],[JUMLAH]]="","",NOTA[[#This Row],[JUMLAH]]*NOTA[[#This Row],[DISC 1]])</f>
        <v>240000</v>
      </c>
      <c r="Y368" s="40">
        <f>IF(NOTA[[#This Row],[JUMLAH]]="","",(NOTA[[#This Row],[JUMLAH]]-NOTA[[#This Row],[DISC 1-]])*NOTA[[#This Row],[DISC 2]])</f>
        <v>456000</v>
      </c>
      <c r="Z368" s="40">
        <f>IF(NOTA[[#This Row],[JUMLAH]]="","",NOTA[[#This Row],[DISC 1-]]+NOTA[[#This Row],[DISC 2-]])</f>
        <v>696000</v>
      </c>
      <c r="AA368" s="40">
        <f>IF(NOTA[[#This Row],[JUMLAH]]="","",NOTA[[#This Row],[JUMLAH]]-NOTA[[#This Row],[DISC]])</f>
        <v>4104000</v>
      </c>
      <c r="AB368" s="40"/>
      <c r="AC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4017660</v>
      </c>
      <c r="AD36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23690340</v>
      </c>
      <c r="AE368" s="3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368" s="40">
        <f>IF(OR(NOTA[[#This Row],[QTY]]="",NOTA[[#This Row],[HARGA SATUAN]]="",),"",NOTA[[#This Row],[QTY]]*NOTA[[#This Row],[HARGA SATUAN]])</f>
        <v>4800000</v>
      </c>
      <c r="AG368" s="37">
        <f ca="1">IF(NOTA[ID_H]="","",INDEX(NOTA[TANGGAL],MATCH(,INDIRECT(ADDRESS(ROW(NOTA[TANGGAL]),COLUMN(NOTA[TANGGAL]))&amp;":"&amp;ADDRESS(ROW(),COLUMN(NOTA[TANGGAL]))),-1)))</f>
        <v>45059</v>
      </c>
      <c r="AH368" s="35" t="str">
        <f ca="1">IF(NOTA[[#This Row],[NAMA BARANG]]="","",INDEX(NOTA[SUPPLIER],MATCH(,INDIRECT(ADDRESS(ROW(NOTA[ID]),COLUMN(NOTA[ID]))&amp;":"&amp;ADDRESS(ROW(),COLUMN(NOTA[ID]))),-1)))</f>
        <v>GUNINDO</v>
      </c>
      <c r="AI368" s="35" t="str">
        <f ca="1">IF(NOTA[[#This Row],[ID_H]]="","",IF(NOTA[[#This Row],[FAKTUR]]="",INDIRECT(ADDRESS(ROW()-1,COLUMN())),NOTA[[#This Row],[FAKTUR]]))</f>
        <v>UNTANA</v>
      </c>
      <c r="AJ368" s="27" t="str">
        <f ca="1">IF(NOTA[[#This Row],[ID]]="","",COUNTIF(NOTA[ID_H],NOTA[[#This Row],[ID_H]]))</f>
        <v/>
      </c>
      <c r="AK368" s="27">
        <f ca="1">IF(NOTA[[#This Row],[TGL.NOTA]]="",IF(NOTA[[#This Row],[SUPPLIER_H]]="","",AK367),MONTH(NOTA[[#This Row],[TGL.NOTA]]))</f>
        <v>5</v>
      </c>
      <c r="AL368" s="27" t="str">
        <f>LOWER(SUBSTITUTE(SUBSTITUTE(SUBSTITUTE(SUBSTITUTE(SUBSTITUTE(SUBSTITUTE(SUBSTITUTE(SUBSTITUTE(SUBSTITUTE(NOTA[NAMA BARANG]," ",),".",""),"-",""),"(",""),")",""),",",""),"/",""),"""",""),"+",""))</f>
        <v>gunindoflcoklat</v>
      </c>
      <c r="AM3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3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3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27" t="str">
        <f>IF(NOTA[[#This Row],[CONCAT4]]="","",_xlfn.IFNA(MATCH(NOTA[[#This Row],[CONCAT4]],[2]!RAW[CONCAT_H],0),FALSE))</f>
        <v/>
      </c>
      <c r="AQ368" s="145">
        <f>IF(NOTA[[#This Row],[CONCAT1]]="","",MATCH(NOTA[[#This Row],[CONCAT1]],[3]!db[NB NOTA_C],0)+1)</f>
        <v>1022</v>
      </c>
    </row>
    <row r="369" spans="1:43" ht="20.100000000000001" customHeight="1" x14ac:dyDescent="0.25">
      <c r="A3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6" t="str">
        <f>IF(NOTA[[#This Row],[ID_P]]="","",MATCH(NOTA[[#This Row],[ID_P]],[1]!B_MSK[N_ID],0))</f>
        <v/>
      </c>
      <c r="D369" s="36" t="str">
        <f ca="1">IF(NOTA[[#This Row],[NAMA BARANG]]="","",INDEX(NOTA[ID],MATCH(,INDIRECT(ADDRESS(ROW(NOTA[ID]),COLUMN(NOTA[ID]))&amp;":"&amp;ADDRESS(ROW(),COLUMN(NOTA[ID]))),-1)))</f>
        <v/>
      </c>
      <c r="E369" s="14"/>
      <c r="F369" s="16"/>
      <c r="G369" s="16"/>
      <c r="H369" s="20"/>
      <c r="I369" s="16"/>
      <c r="J369" s="37"/>
      <c r="K369" s="16"/>
      <c r="L369" s="16"/>
      <c r="M369" s="28"/>
      <c r="N369" s="16"/>
      <c r="O369" s="16"/>
      <c r="P369" s="35"/>
      <c r="Q369" s="38"/>
      <c r="R369" s="28"/>
      <c r="S369" s="39"/>
      <c r="T369" s="39"/>
      <c r="U369" s="40"/>
      <c r="V369" s="26"/>
      <c r="W369" s="40" t="str">
        <f>IF(NOTA[[#This Row],[HARGA/ CTN]]="",NOTA[[#This Row],[JUMLAH_H]],NOTA[[#This Row],[HARGA/ CTN]]*IF(NOTA[[#This Row],[C]]="",0,NOTA[[#This Row],[C]]))</f>
        <v/>
      </c>
      <c r="X369" s="40" t="str">
        <f>IF(NOTA[[#This Row],[JUMLAH]]="","",NOTA[[#This Row],[JUMLAH]]*NOTA[[#This Row],[DISC 1]])</f>
        <v/>
      </c>
      <c r="Y369" s="40" t="str">
        <f>IF(NOTA[[#This Row],[JUMLAH]]="","",(NOTA[[#This Row],[JUMLAH]]-NOTA[[#This Row],[DISC 1-]])*NOTA[[#This Row],[DISC 2]])</f>
        <v/>
      </c>
      <c r="Z369" s="40" t="str">
        <f>IF(NOTA[[#This Row],[JUMLAH]]="","",NOTA[[#This Row],[DISC 1-]]+NOTA[[#This Row],[DISC 2-]])</f>
        <v/>
      </c>
      <c r="AA369" s="40" t="str">
        <f>IF(NOTA[[#This Row],[JUMLAH]]="","",NOTA[[#This Row],[JUMLAH]]-NOTA[[#This Row],[DISC]])</f>
        <v/>
      </c>
      <c r="AB369" s="40"/>
      <c r="AC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40" t="str">
        <f>IF(OR(NOTA[[#This Row],[QTY]]="",NOTA[[#This Row],[HARGA SATUAN]]="",),"",NOTA[[#This Row],[QTY]]*NOTA[[#This Row],[HARGA SATUAN]])</f>
        <v/>
      </c>
      <c r="AG369" s="37" t="str">
        <f ca="1">IF(NOTA[ID_H]="","",INDEX(NOTA[TANGGAL],MATCH(,INDIRECT(ADDRESS(ROW(NOTA[TANGGAL]),COLUMN(NOTA[TANGGAL]))&amp;":"&amp;ADDRESS(ROW(),COLUMN(NOTA[TANGGAL]))),-1)))</f>
        <v/>
      </c>
      <c r="AH369" s="35" t="str">
        <f ca="1">IF(NOTA[[#This Row],[NAMA BARANG]]="","",INDEX(NOTA[SUPPLIER],MATCH(,INDIRECT(ADDRESS(ROW(NOTA[ID]),COLUMN(NOTA[ID]))&amp;":"&amp;ADDRESS(ROW(),COLUMN(NOTA[ID]))),-1)))</f>
        <v/>
      </c>
      <c r="AI369" s="35" t="str">
        <f ca="1">IF(NOTA[[#This Row],[ID_H]]="","",IF(NOTA[[#This Row],[FAKTUR]]="",INDIRECT(ADDRESS(ROW()-1,COLUMN())),NOTA[[#This Row],[FAKTUR]]))</f>
        <v/>
      </c>
      <c r="AJ369" s="27" t="str">
        <f ca="1">IF(NOTA[[#This Row],[ID]]="","",COUNTIF(NOTA[ID_H],NOTA[[#This Row],[ID_H]]))</f>
        <v/>
      </c>
      <c r="AK369" s="27" t="str">
        <f ca="1">IF(NOTA[[#This Row],[TGL.NOTA]]="",IF(NOTA[[#This Row],[SUPPLIER_H]]="","",AK368),MONTH(NOTA[[#This Row],[TGL.NOTA]]))</f>
        <v/>
      </c>
      <c r="AL369" s="27" t="str">
        <f>LOWER(SUBSTITUTE(SUBSTITUTE(SUBSTITUTE(SUBSTITUTE(SUBSTITUTE(SUBSTITUTE(SUBSTITUTE(SUBSTITUTE(SUBSTITUTE(NOTA[NAMA BARANG]," ",),".",""),"-",""),"(",""),")",""),",",""),"/",""),"""",""),"+",""))</f>
        <v/>
      </c>
      <c r="AM3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27" t="str">
        <f>IF(NOTA[[#This Row],[CONCAT4]]="","",_xlfn.IFNA(MATCH(NOTA[[#This Row],[CONCAT4]],[2]!RAW[CONCAT_H],0),FALSE))</f>
        <v/>
      </c>
      <c r="AQ369" s="145" t="str">
        <f>IF(NOTA[[#This Row],[CONCAT1]]="","",MATCH(NOTA[[#This Row],[CONCAT1]],[3]!db[NB NOTA_C],0)+1)</f>
        <v/>
      </c>
    </row>
    <row r="370" spans="1:43" ht="20.100000000000001" customHeight="1" x14ac:dyDescent="0.25">
      <c r="A370" s="35">
        <f ca="1">IF(INDIRECT(ADDRESS(ROW()-1,COLUMN(NOTA[[#Headers],[ID]])))="ID",1,IF(NOTA[[#This Row],[FAKTUR]]="","",COUNT(INDIRECT(ADDRESS(ROW(NOTA[ID]),COLUMN(NOTA[ID]))&amp;":"&amp;ADDRESS(ROW()-1,COLUMN(NOTA[ID]))))+1))</f>
        <v>69</v>
      </c>
      <c r="B37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PAR_1605_-2</v>
      </c>
      <c r="C370" s="36" t="e">
        <f ca="1">IF(NOTA[[#This Row],[ID_P]]="","",MATCH(NOTA[[#This Row],[ID_P]],[1]!B_MSK[N_ID],0))</f>
        <v>#REF!</v>
      </c>
      <c r="D370" s="36">
        <f ca="1">IF(NOTA[[#This Row],[NAMA BARANG]]="","",INDEX(NOTA[ID],MATCH(,INDIRECT(ADDRESS(ROW(NOTA[ID]),COLUMN(NOTA[ID]))&amp;":"&amp;ADDRESS(ROW(),COLUMN(NOTA[ID]))),-1)))</f>
        <v>69</v>
      </c>
      <c r="E370" s="14">
        <v>45062</v>
      </c>
      <c r="F370" s="16" t="s">
        <v>214</v>
      </c>
      <c r="G370" s="16" t="s">
        <v>112</v>
      </c>
      <c r="H370" s="20"/>
      <c r="I370" s="16" t="s">
        <v>572</v>
      </c>
      <c r="J370" s="37">
        <v>45058</v>
      </c>
      <c r="K370" s="16"/>
      <c r="L370" s="16" t="s">
        <v>215</v>
      </c>
      <c r="M370" s="28">
        <v>10</v>
      </c>
      <c r="N370" s="16">
        <v>1800</v>
      </c>
      <c r="O370" s="16" t="s">
        <v>160</v>
      </c>
      <c r="P370" s="35">
        <f>1359900/180</f>
        <v>7555</v>
      </c>
      <c r="Q370" s="38"/>
      <c r="R370" s="28" t="s">
        <v>216</v>
      </c>
      <c r="S370" s="39">
        <v>0.1</v>
      </c>
      <c r="T370" s="39">
        <v>0.1</v>
      </c>
      <c r="U370" s="40"/>
      <c r="V370" s="26"/>
      <c r="W370" s="40">
        <f>IF(NOTA[[#This Row],[HARGA/ CTN]]="",NOTA[[#This Row],[JUMLAH_H]],NOTA[[#This Row],[HARGA/ CTN]]*IF(NOTA[[#This Row],[C]]="",0,NOTA[[#This Row],[C]]))</f>
        <v>13599000</v>
      </c>
      <c r="X370" s="40">
        <f>IF(NOTA[[#This Row],[JUMLAH]]="","",NOTA[[#This Row],[JUMLAH]]*NOTA[[#This Row],[DISC 1]])</f>
        <v>1359900</v>
      </c>
      <c r="Y370" s="40">
        <f>IF(NOTA[[#This Row],[JUMLAH]]="","",(NOTA[[#This Row],[JUMLAH]]-NOTA[[#This Row],[DISC 1-]])*NOTA[[#This Row],[DISC 2]])</f>
        <v>1223910</v>
      </c>
      <c r="Z370" s="40">
        <f>IF(NOTA[[#This Row],[JUMLAH]]="","",NOTA[[#This Row],[DISC 1-]]+NOTA[[#This Row],[DISC 2-]])</f>
        <v>2583810</v>
      </c>
      <c r="AA370" s="40">
        <f>IF(NOTA[[#This Row],[JUMLAH]]="","",NOTA[[#This Row],[JUMLAH]]-NOTA[[#This Row],[DISC]])</f>
        <v>11015190</v>
      </c>
      <c r="AB370" s="40"/>
      <c r="AC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3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370" s="40">
        <f>IF(OR(NOTA[[#This Row],[QTY]]="",NOTA[[#This Row],[HARGA SATUAN]]="",),"",NOTA[[#This Row],[QTY]]*NOTA[[#This Row],[HARGA SATUAN]])</f>
        <v>13599000</v>
      </c>
      <c r="AG370" s="37">
        <f ca="1">IF(NOTA[ID_H]="","",INDEX(NOTA[TANGGAL],MATCH(,INDIRECT(ADDRESS(ROW(NOTA[TANGGAL]),COLUMN(NOTA[TANGGAL]))&amp;":"&amp;ADDRESS(ROW(),COLUMN(NOTA[TANGGAL]))),-1)))</f>
        <v>45062</v>
      </c>
      <c r="AH370" s="35" t="str">
        <f ca="1">IF(NOTA[[#This Row],[NAMA BARANG]]="","",INDEX(NOTA[SUPPLIER],MATCH(,INDIRECT(ADDRESS(ROW(NOTA[ID]),COLUMN(NOTA[ID]))&amp;":"&amp;ADDRESS(ROW(),COLUMN(NOTA[ID]))),-1)))</f>
        <v>PARAMA</v>
      </c>
      <c r="AI370" s="35" t="str">
        <f ca="1">IF(NOTA[[#This Row],[ID_H]]="","",IF(NOTA[[#This Row],[FAKTUR]]="",INDIRECT(ADDRESS(ROW()-1,COLUMN())),NOTA[[#This Row],[FAKTUR]]))</f>
        <v>UNTANA</v>
      </c>
      <c r="AJ370" s="27">
        <f ca="1">IF(NOTA[[#This Row],[ID]]="","",COUNTIF(NOTA[ID_H],NOTA[[#This Row],[ID_H]]))</f>
        <v>2</v>
      </c>
      <c r="AK370" s="27">
        <f>IF(NOTA[[#This Row],[TGL.NOTA]]="",IF(NOTA[[#This Row],[SUPPLIER_H]]="","",AK369),MONTH(NOTA[[#This Row],[TGL.NOTA]]))</f>
        <v>5</v>
      </c>
      <c r="AL370" s="27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3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3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370" s="27" t="str">
        <f>IF(NOTA[[#This Row],[SUPPLIER]]="","",NOTA[[#This Row],[SUPPLIER]]&amp;NOTA[[#This Row],[FAKTUR]]&amp;NOTA[[#This Row],[NO.NOTA]]&amp;NOTA[[#This Row],[NO.SJ]]&amp;NOTA[[#This Row],[TGL.NOTA]]&amp;NOTA[[#This Row],[CONCAT1]])</f>
        <v>PARAMAUNTANASJ NO OP-1645058sampulsamsonboxybatik</v>
      </c>
      <c r="AP370" s="27" t="e">
        <f>IF(NOTA[[#This Row],[CONCAT4]]="","",_xlfn.IFNA(MATCH(NOTA[[#This Row],[CONCAT4]],[2]!RAW[CONCAT_H],0),FALSE))</f>
        <v>#REF!</v>
      </c>
      <c r="AQ370" s="145">
        <f>IF(NOTA[[#This Row],[CONCAT1]]="","",MATCH(NOTA[[#This Row],[CONCAT1]],[3]!db[NB NOTA_C],0)+1)</f>
        <v>2095</v>
      </c>
    </row>
    <row r="371" spans="1:43" ht="20.100000000000001" customHeight="1" x14ac:dyDescent="0.25">
      <c r="A3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6" t="str">
        <f>IF(NOTA[[#This Row],[ID_P]]="","",MATCH(NOTA[[#This Row],[ID_P]],[1]!B_MSK[N_ID],0))</f>
        <v/>
      </c>
      <c r="D371" s="36">
        <f ca="1">IF(NOTA[[#This Row],[NAMA BARANG]]="","",INDEX(NOTA[ID],MATCH(,INDIRECT(ADDRESS(ROW(NOTA[ID]),COLUMN(NOTA[ID]))&amp;":"&amp;ADDRESS(ROW(),COLUMN(NOTA[ID]))),-1)))</f>
        <v>69</v>
      </c>
      <c r="E371" s="14"/>
      <c r="F371" s="16"/>
      <c r="G371" s="16"/>
      <c r="H371" s="20"/>
      <c r="I371" s="16"/>
      <c r="J371" s="37"/>
      <c r="K371" s="16"/>
      <c r="L371" s="16" t="s">
        <v>573</v>
      </c>
      <c r="M371" s="28">
        <v>10</v>
      </c>
      <c r="N371" s="16">
        <v>2400</v>
      </c>
      <c r="O371" s="16" t="s">
        <v>160</v>
      </c>
      <c r="P371" s="35">
        <f>1316400/240</f>
        <v>5485</v>
      </c>
      <c r="Q371" s="38"/>
      <c r="R371" s="28" t="s">
        <v>574</v>
      </c>
      <c r="S371" s="39">
        <v>0.1</v>
      </c>
      <c r="T371" s="39">
        <v>0.1</v>
      </c>
      <c r="U371" s="40"/>
      <c r="V371" s="26"/>
      <c r="W371" s="40">
        <f>IF(NOTA[[#This Row],[HARGA/ CTN]]="",NOTA[[#This Row],[JUMLAH_H]],NOTA[[#This Row],[HARGA/ CTN]]*IF(NOTA[[#This Row],[C]]="",0,NOTA[[#This Row],[C]]))</f>
        <v>13164000</v>
      </c>
      <c r="X371" s="40">
        <f>IF(NOTA[[#This Row],[JUMLAH]]="","",NOTA[[#This Row],[JUMLAH]]*NOTA[[#This Row],[DISC 1]])</f>
        <v>1316400</v>
      </c>
      <c r="Y371" s="40">
        <f>IF(NOTA[[#This Row],[JUMLAH]]="","",(NOTA[[#This Row],[JUMLAH]]-NOTA[[#This Row],[DISC 1-]])*NOTA[[#This Row],[DISC 2]])</f>
        <v>1184760</v>
      </c>
      <c r="Z371" s="40">
        <f>IF(NOTA[[#This Row],[JUMLAH]]="","",NOTA[[#This Row],[DISC 1-]]+NOTA[[#This Row],[DISC 2-]])</f>
        <v>2501160</v>
      </c>
      <c r="AA371" s="40">
        <f>IF(NOTA[[#This Row],[JUMLAH]]="","",NOTA[[#This Row],[JUMLAH]]-NOTA[[#This Row],[DISC]])</f>
        <v>10662840</v>
      </c>
      <c r="AB371" s="40"/>
      <c r="AC3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37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371" s="3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371" s="40">
        <f>IF(OR(NOTA[[#This Row],[QTY]]="",NOTA[[#This Row],[HARGA SATUAN]]="",),"",NOTA[[#This Row],[QTY]]*NOTA[[#This Row],[HARGA SATUAN]])</f>
        <v>13164000</v>
      </c>
      <c r="AG371" s="37">
        <f ca="1">IF(NOTA[ID_H]="","",INDEX(NOTA[TANGGAL],MATCH(,INDIRECT(ADDRESS(ROW(NOTA[TANGGAL]),COLUMN(NOTA[TANGGAL]))&amp;":"&amp;ADDRESS(ROW(),COLUMN(NOTA[TANGGAL]))),-1)))</f>
        <v>45062</v>
      </c>
      <c r="AH371" s="35" t="str">
        <f ca="1">IF(NOTA[[#This Row],[NAMA BARANG]]="","",INDEX(NOTA[SUPPLIER],MATCH(,INDIRECT(ADDRESS(ROW(NOTA[ID]),COLUMN(NOTA[ID]))&amp;":"&amp;ADDRESS(ROW(),COLUMN(NOTA[ID]))),-1)))</f>
        <v>PARAMA</v>
      </c>
      <c r="AI371" s="35" t="str">
        <f ca="1">IF(NOTA[[#This Row],[ID_H]]="","",IF(NOTA[[#This Row],[FAKTUR]]="",INDIRECT(ADDRESS(ROW()-1,COLUMN())),NOTA[[#This Row],[FAKTUR]]))</f>
        <v>UNTANA</v>
      </c>
      <c r="AJ371" s="27" t="str">
        <f ca="1">IF(NOTA[[#This Row],[ID]]="","",COUNTIF(NOTA[ID_H],NOTA[[#This Row],[ID_H]]))</f>
        <v/>
      </c>
      <c r="AK371" s="27">
        <f ca="1">IF(NOTA[[#This Row],[TGL.NOTA]]="",IF(NOTA[[#This Row],[SUPPLIER_H]]="","",AK370),MONTH(NOTA[[#This Row],[TGL.NOTA]]))</f>
        <v>5</v>
      </c>
      <c r="AL371" s="27" t="str">
        <f>LOWER(SUBSTITUTE(SUBSTITUTE(SUBSTITUTE(SUBSTITUTE(SUBSTITUTE(SUBSTITUTE(SUBSTITUTE(SUBSTITUTE(SUBSTITUTE(NOTA[NAMA BARANG]," ",),".",""),"-",""),"(",""),")",""),",",""),"/",""),"""",""),"+",""))</f>
        <v>sampulsamsonkwartofancy</v>
      </c>
      <c r="AM3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sampulsamsonkwartofancy13164000.10.1</v>
      </c>
      <c r="AN3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sampulsamsonkwartofancy13164000.10.1</v>
      </c>
      <c r="AO3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27" t="str">
        <f>IF(NOTA[[#This Row],[CONCAT4]]="","",_xlfn.IFNA(MATCH(NOTA[[#This Row],[CONCAT4]],[2]!RAW[CONCAT_H],0),FALSE))</f>
        <v/>
      </c>
      <c r="AQ371" s="145">
        <f>IF(NOTA[[#This Row],[CONCAT1]]="","",MATCH(NOTA[[#This Row],[CONCAT1]],[3]!db[NB NOTA_C],0)+1)</f>
        <v>2098</v>
      </c>
    </row>
    <row r="372" spans="1:43" ht="20.100000000000001" customHeight="1" x14ac:dyDescent="0.25">
      <c r="A3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6" t="str">
        <f>IF(NOTA[[#This Row],[ID_P]]="","",MATCH(NOTA[[#This Row],[ID_P]],[1]!B_MSK[N_ID],0))</f>
        <v/>
      </c>
      <c r="D372" s="36" t="str">
        <f ca="1">IF(NOTA[[#This Row],[NAMA BARANG]]="","",INDEX(NOTA[ID],MATCH(,INDIRECT(ADDRESS(ROW(NOTA[ID]),COLUMN(NOTA[ID]))&amp;":"&amp;ADDRESS(ROW(),COLUMN(NOTA[ID]))),-1)))</f>
        <v/>
      </c>
      <c r="E372" s="14"/>
      <c r="F372" s="16"/>
      <c r="G372" s="16"/>
      <c r="H372" s="20"/>
      <c r="I372" s="16"/>
      <c r="J372" s="37"/>
      <c r="K372" s="16"/>
      <c r="L372" s="16"/>
      <c r="M372" s="28"/>
      <c r="N372" s="16"/>
      <c r="O372" s="16"/>
      <c r="P372" s="35"/>
      <c r="Q372" s="38"/>
      <c r="R372" s="28"/>
      <c r="S372" s="39"/>
      <c r="T372" s="39"/>
      <c r="U372" s="40"/>
      <c r="V372" s="26"/>
      <c r="W372" s="40" t="str">
        <f>IF(NOTA[[#This Row],[HARGA/ CTN]]="",NOTA[[#This Row],[JUMLAH_H]],NOTA[[#This Row],[HARGA/ CTN]]*IF(NOTA[[#This Row],[C]]="",0,NOTA[[#This Row],[C]]))</f>
        <v/>
      </c>
      <c r="X372" s="40" t="str">
        <f>IF(NOTA[[#This Row],[JUMLAH]]="","",NOTA[[#This Row],[JUMLAH]]*NOTA[[#This Row],[DISC 1]])</f>
        <v/>
      </c>
      <c r="Y372" s="40" t="str">
        <f>IF(NOTA[[#This Row],[JUMLAH]]="","",(NOTA[[#This Row],[JUMLAH]]-NOTA[[#This Row],[DISC 1-]])*NOTA[[#This Row],[DISC 2]])</f>
        <v/>
      </c>
      <c r="Z372" s="40" t="str">
        <f>IF(NOTA[[#This Row],[JUMLAH]]="","",NOTA[[#This Row],[DISC 1-]]+NOTA[[#This Row],[DISC 2-]])</f>
        <v/>
      </c>
      <c r="AA372" s="40" t="str">
        <f>IF(NOTA[[#This Row],[JUMLAH]]="","",NOTA[[#This Row],[JUMLAH]]-NOTA[[#This Row],[DISC]])</f>
        <v/>
      </c>
      <c r="AB372" s="40"/>
      <c r="AC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40" t="str">
        <f>IF(OR(NOTA[[#This Row],[QTY]]="",NOTA[[#This Row],[HARGA SATUAN]]="",),"",NOTA[[#This Row],[QTY]]*NOTA[[#This Row],[HARGA SATUAN]])</f>
        <v/>
      </c>
      <c r="AG372" s="37" t="str">
        <f ca="1">IF(NOTA[ID_H]="","",INDEX(NOTA[TANGGAL],MATCH(,INDIRECT(ADDRESS(ROW(NOTA[TANGGAL]),COLUMN(NOTA[TANGGAL]))&amp;":"&amp;ADDRESS(ROW(),COLUMN(NOTA[TANGGAL]))),-1)))</f>
        <v/>
      </c>
      <c r="AH372" s="35" t="str">
        <f ca="1">IF(NOTA[[#This Row],[NAMA BARANG]]="","",INDEX(NOTA[SUPPLIER],MATCH(,INDIRECT(ADDRESS(ROW(NOTA[ID]),COLUMN(NOTA[ID]))&amp;":"&amp;ADDRESS(ROW(),COLUMN(NOTA[ID]))),-1)))</f>
        <v/>
      </c>
      <c r="AI372" s="35" t="str">
        <f ca="1">IF(NOTA[[#This Row],[ID_H]]="","",IF(NOTA[[#This Row],[FAKTUR]]="",INDIRECT(ADDRESS(ROW()-1,COLUMN())),NOTA[[#This Row],[FAKTUR]]))</f>
        <v/>
      </c>
      <c r="AJ372" s="27" t="str">
        <f ca="1">IF(NOTA[[#This Row],[ID]]="","",COUNTIF(NOTA[ID_H],NOTA[[#This Row],[ID_H]]))</f>
        <v/>
      </c>
      <c r="AK372" s="27" t="str">
        <f ca="1">IF(NOTA[[#This Row],[TGL.NOTA]]="",IF(NOTA[[#This Row],[SUPPLIER_H]]="","",AK371),MONTH(NOTA[[#This Row],[TGL.NOTA]]))</f>
        <v/>
      </c>
      <c r="AL372" s="27" t="str">
        <f>LOWER(SUBSTITUTE(SUBSTITUTE(SUBSTITUTE(SUBSTITUTE(SUBSTITUTE(SUBSTITUTE(SUBSTITUTE(SUBSTITUTE(SUBSTITUTE(NOTA[NAMA BARANG]," ",),".",""),"-",""),"(",""),")",""),",",""),"/",""),"""",""),"+",""))</f>
        <v/>
      </c>
      <c r="AM3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27" t="str">
        <f>IF(NOTA[[#This Row],[CONCAT4]]="","",_xlfn.IFNA(MATCH(NOTA[[#This Row],[CONCAT4]],[2]!RAW[CONCAT_H],0),FALSE))</f>
        <v/>
      </c>
      <c r="AQ372" s="145" t="str">
        <f>IF(NOTA[[#This Row],[CONCAT1]]="","",MATCH(NOTA[[#This Row],[CONCAT1]],[3]!db[NB NOTA_C],0)+1)</f>
        <v/>
      </c>
    </row>
    <row r="373" spans="1:43" ht="20.100000000000001" customHeight="1" x14ac:dyDescent="0.25">
      <c r="A373" s="35">
        <f ca="1">IF(INDIRECT(ADDRESS(ROW()-1,COLUMN(NOTA[[#Headers],[ID]])))="ID",1,IF(NOTA[[#This Row],[FAKTUR]]="","",COUNT(INDIRECT(ADDRESS(ROW(NOTA[ID]),COLUMN(NOTA[ID]))&amp;":"&amp;ADDRESS(ROW()-1,COLUMN(NOTA[ID]))))+1))</f>
        <v>70</v>
      </c>
      <c r="B37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PPW_1505_VW3-1</v>
      </c>
      <c r="C373" s="36" t="e">
        <f ca="1">IF(NOTA[[#This Row],[ID_P]]="","",MATCH(NOTA[[#This Row],[ID_P]],[1]!B_MSK[N_ID],0))</f>
        <v>#REF!</v>
      </c>
      <c r="D373" s="36">
        <f ca="1">IF(NOTA[[#This Row],[NAMA BARANG]]="","",INDEX(NOTA[ID],MATCH(,INDIRECT(ADDRESS(ROW(NOTA[ID]),COLUMN(NOTA[ID]))&amp;":"&amp;ADDRESS(ROW(),COLUMN(NOTA[ID]))),-1)))</f>
        <v>70</v>
      </c>
      <c r="E373" s="14">
        <v>45061</v>
      </c>
      <c r="F373" s="16" t="s">
        <v>382</v>
      </c>
      <c r="G373" s="16" t="s">
        <v>112</v>
      </c>
      <c r="H373" s="20" t="s">
        <v>575</v>
      </c>
      <c r="I373" s="16"/>
      <c r="J373" s="37">
        <v>45058</v>
      </c>
      <c r="K373" s="16"/>
      <c r="L373" s="16" t="s">
        <v>576</v>
      </c>
      <c r="M373" s="28">
        <v>1</v>
      </c>
      <c r="N373" s="16">
        <v>40</v>
      </c>
      <c r="O373" s="16" t="s">
        <v>146</v>
      </c>
      <c r="P373" s="35">
        <v>49000</v>
      </c>
      <c r="Q373" s="38"/>
      <c r="R373" s="28" t="s">
        <v>279</v>
      </c>
      <c r="S373" s="39">
        <v>0.2</v>
      </c>
      <c r="T373" s="39">
        <v>0.04</v>
      </c>
      <c r="U373" s="40"/>
      <c r="V373" s="26"/>
      <c r="W373" s="40">
        <f>IF(NOTA[[#This Row],[HARGA/ CTN]]="",NOTA[[#This Row],[JUMLAH_H]],NOTA[[#This Row],[HARGA/ CTN]]*IF(NOTA[[#This Row],[C]]="",0,NOTA[[#This Row],[C]]))</f>
        <v>1960000</v>
      </c>
      <c r="X373" s="40">
        <f>IF(NOTA[[#This Row],[JUMLAH]]="","",NOTA[[#This Row],[JUMLAH]]*NOTA[[#This Row],[DISC 1]])</f>
        <v>392000</v>
      </c>
      <c r="Y373" s="40">
        <f>IF(NOTA[[#This Row],[JUMLAH]]="","",(NOTA[[#This Row],[JUMLAH]]-NOTA[[#This Row],[DISC 1-]])*NOTA[[#This Row],[DISC 2]])</f>
        <v>62720</v>
      </c>
      <c r="Z373" s="40">
        <f>IF(NOTA[[#This Row],[JUMLAH]]="","",NOTA[[#This Row],[DISC 1-]]+NOTA[[#This Row],[DISC 2-]])</f>
        <v>454720</v>
      </c>
      <c r="AA373" s="40">
        <f>IF(NOTA[[#This Row],[JUMLAH]]="","",NOTA[[#This Row],[JUMLAH]]-NOTA[[#This Row],[DISC]])</f>
        <v>1505280</v>
      </c>
      <c r="AB373" s="40"/>
      <c r="AC3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454720</v>
      </c>
      <c r="AD37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1505280</v>
      </c>
      <c r="AE373" s="35">
        <f>IF(NOTA[[#This Row],[NAMA BARANG]]="","",IF(NOTA[[#This Row],[JUMLAH_H]]="",NOTA[[#This Row],[HARGA/ CTN]],NOTA[[#This Row],[QTY]]*NOTA[[#This Row],[HARGA SATUAN]]/IF(ISNUMBER(NOTA[[#This Row],[C]]),NOTA[[#This Row],[C]],1)))</f>
        <v>1960000</v>
      </c>
      <c r="AF373" s="40">
        <f>IF(OR(NOTA[[#This Row],[QTY]]="",NOTA[[#This Row],[HARGA SATUAN]]="",),"",NOTA[[#This Row],[QTY]]*NOTA[[#This Row],[HARGA SATUAN]])</f>
        <v>1960000</v>
      </c>
      <c r="AG373" s="37">
        <f ca="1">IF(NOTA[ID_H]="","",INDEX(NOTA[TANGGAL],MATCH(,INDIRECT(ADDRESS(ROW(NOTA[TANGGAL]),COLUMN(NOTA[TANGGAL]))&amp;":"&amp;ADDRESS(ROW(),COLUMN(NOTA[TANGGAL]))),-1)))</f>
        <v>45061</v>
      </c>
      <c r="AH373" s="35" t="str">
        <f ca="1">IF(NOTA[[#This Row],[NAMA BARANG]]="","",INDEX(NOTA[SUPPLIER],MATCH(,INDIRECT(ADDRESS(ROW(NOTA[ID]),COLUMN(NOTA[ID]))&amp;":"&amp;ADDRESS(ROW(),COLUMN(NOTA[ID]))),-1)))</f>
        <v>PPW</v>
      </c>
      <c r="AI373" s="35" t="str">
        <f ca="1">IF(NOTA[[#This Row],[ID_H]]="","",IF(NOTA[[#This Row],[FAKTUR]]="",INDIRECT(ADDRESS(ROW()-1,COLUMN())),NOTA[[#This Row],[FAKTUR]]))</f>
        <v>UNTANA</v>
      </c>
      <c r="AJ373" s="27">
        <f ca="1">IF(NOTA[[#This Row],[ID]]="","",COUNTIF(NOTA[ID_H],NOTA[[#This Row],[ID_H]]))</f>
        <v>1</v>
      </c>
      <c r="AK373" s="27">
        <f>IF(NOTA[[#This Row],[TGL.NOTA]]="",IF(NOTA[[#This Row],[SUPPLIER_H]]="","",AK372),MONTH(NOTA[[#This Row],[TGL.NOTA]]))</f>
        <v>5</v>
      </c>
      <c r="AL373" s="27" t="str">
        <f>LOWER(SUBSTITUTE(SUBSTITUTE(SUBSTITUTE(SUBSTITUTE(SUBSTITUTE(SUBSTITUTE(SUBSTITUTE(SUBSTITUTE(SUBSTITUTE(NOTA[NAMA BARANG]," ",),".",""),"-",""),"(",""),")",""),",",""),"/",""),"""",""),"+",""))</f>
        <v>bt9150</v>
      </c>
      <c r="AM3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bt915019600000.20.04</v>
      </c>
      <c r="AN3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bt915019600000.20.04</v>
      </c>
      <c r="AO373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PPWUNTANA091/EPW/V/W345058bt9150</v>
      </c>
      <c r="AP373" s="27" t="e">
        <f>IF(NOTA[[#This Row],[CONCAT4]]="","",_xlfn.IFNA(MATCH(NOTA[[#This Row],[CONCAT4]],[2]!RAW[CONCAT_H],0),FALSE))</f>
        <v>#REF!</v>
      </c>
      <c r="AQ373" s="145" t="e">
        <f>IF(NOTA[[#This Row],[CONCAT1]]="","",MATCH(NOTA[[#This Row],[CONCAT1]],[3]!db[NB NOTA_C],0)+1)</f>
        <v>#N/A</v>
      </c>
    </row>
    <row r="374" spans="1:43" ht="20.100000000000001" customHeight="1" x14ac:dyDescent="0.25">
      <c r="A3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6" t="str">
        <f>IF(NOTA[[#This Row],[ID_P]]="","",MATCH(NOTA[[#This Row],[ID_P]],[1]!B_MSK[N_ID],0))</f>
        <v/>
      </c>
      <c r="D374" s="36" t="str">
        <f ca="1">IF(NOTA[[#This Row],[NAMA BARANG]]="","",INDEX(NOTA[ID],MATCH(,INDIRECT(ADDRESS(ROW(NOTA[ID]),COLUMN(NOTA[ID]))&amp;":"&amp;ADDRESS(ROW(),COLUMN(NOTA[ID]))),-1)))</f>
        <v/>
      </c>
      <c r="E374" s="14"/>
      <c r="F374" s="16"/>
      <c r="G374" s="16"/>
      <c r="H374" s="20"/>
      <c r="I374" s="16"/>
      <c r="J374" s="37"/>
      <c r="K374" s="16"/>
      <c r="L374" s="16"/>
      <c r="M374" s="28"/>
      <c r="N374" s="16"/>
      <c r="O374" s="16"/>
      <c r="P374" s="35"/>
      <c r="Q374" s="38"/>
      <c r="R374" s="28"/>
      <c r="S374" s="39"/>
      <c r="T374" s="39"/>
      <c r="U374" s="40"/>
      <c r="V374" s="26"/>
      <c r="W374" s="40" t="str">
        <f>IF(NOTA[[#This Row],[HARGA/ CTN]]="",NOTA[[#This Row],[JUMLAH_H]],NOTA[[#This Row],[HARGA/ CTN]]*IF(NOTA[[#This Row],[C]]="",0,NOTA[[#This Row],[C]]))</f>
        <v/>
      </c>
      <c r="X374" s="40" t="str">
        <f>IF(NOTA[[#This Row],[JUMLAH]]="","",NOTA[[#This Row],[JUMLAH]]*NOTA[[#This Row],[DISC 1]])</f>
        <v/>
      </c>
      <c r="Y374" s="40" t="str">
        <f>IF(NOTA[[#This Row],[JUMLAH]]="","",(NOTA[[#This Row],[JUMLAH]]-NOTA[[#This Row],[DISC 1-]])*NOTA[[#This Row],[DISC 2]])</f>
        <v/>
      </c>
      <c r="Z374" s="40" t="str">
        <f>IF(NOTA[[#This Row],[JUMLAH]]="","",NOTA[[#This Row],[DISC 1-]]+NOTA[[#This Row],[DISC 2-]])</f>
        <v/>
      </c>
      <c r="AA374" s="40" t="str">
        <f>IF(NOTA[[#This Row],[JUMLAH]]="","",NOTA[[#This Row],[JUMLAH]]-NOTA[[#This Row],[DISC]])</f>
        <v/>
      </c>
      <c r="AB374" s="40"/>
      <c r="AC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4" s="40" t="str">
        <f>IF(OR(NOTA[[#This Row],[QTY]]="",NOTA[[#This Row],[HARGA SATUAN]]="",),"",NOTA[[#This Row],[QTY]]*NOTA[[#This Row],[HARGA SATUAN]])</f>
        <v/>
      </c>
      <c r="AG374" s="37" t="str">
        <f ca="1">IF(NOTA[ID_H]="","",INDEX(NOTA[TANGGAL],MATCH(,INDIRECT(ADDRESS(ROW(NOTA[TANGGAL]),COLUMN(NOTA[TANGGAL]))&amp;":"&amp;ADDRESS(ROW(),COLUMN(NOTA[TANGGAL]))),-1)))</f>
        <v/>
      </c>
      <c r="AH374" s="35" t="str">
        <f ca="1">IF(NOTA[[#This Row],[NAMA BARANG]]="","",INDEX(NOTA[SUPPLIER],MATCH(,INDIRECT(ADDRESS(ROW(NOTA[ID]),COLUMN(NOTA[ID]))&amp;":"&amp;ADDRESS(ROW(),COLUMN(NOTA[ID]))),-1)))</f>
        <v/>
      </c>
      <c r="AI374" s="35" t="str">
        <f ca="1">IF(NOTA[[#This Row],[ID_H]]="","",IF(NOTA[[#This Row],[FAKTUR]]="",INDIRECT(ADDRESS(ROW()-1,COLUMN())),NOTA[[#This Row],[FAKTUR]]))</f>
        <v/>
      </c>
      <c r="AJ374" s="27" t="str">
        <f ca="1">IF(NOTA[[#This Row],[ID]]="","",COUNTIF(NOTA[ID_H],NOTA[[#This Row],[ID_H]]))</f>
        <v/>
      </c>
      <c r="AK374" s="27" t="str">
        <f ca="1">IF(NOTA[[#This Row],[TGL.NOTA]]="",IF(NOTA[[#This Row],[SUPPLIER_H]]="","",AK373),MONTH(NOTA[[#This Row],[TGL.NOTA]]))</f>
        <v/>
      </c>
      <c r="AL374" s="27" t="str">
        <f>LOWER(SUBSTITUTE(SUBSTITUTE(SUBSTITUTE(SUBSTITUTE(SUBSTITUTE(SUBSTITUTE(SUBSTITUTE(SUBSTITUTE(SUBSTITUTE(NOTA[NAMA BARANG]," ",),".",""),"-",""),"(",""),")",""),",",""),"/",""),"""",""),"+",""))</f>
        <v/>
      </c>
      <c r="AM3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27" t="str">
        <f>IF(NOTA[[#This Row],[CONCAT4]]="","",_xlfn.IFNA(MATCH(NOTA[[#This Row],[CONCAT4]],[2]!RAW[CONCAT_H],0),FALSE))</f>
        <v/>
      </c>
      <c r="AQ374" s="145" t="str">
        <f>IF(NOTA[[#This Row],[CONCAT1]]="","",MATCH(NOTA[[#This Row],[CONCAT1]],[3]!db[NB NOTA_C],0)+1)</f>
        <v/>
      </c>
    </row>
    <row r="375" spans="1:43" ht="20.100000000000001" customHeight="1" x14ac:dyDescent="0.25">
      <c r="A375" s="35">
        <f ca="1">IF(INDIRECT(ADDRESS(ROW()-1,COLUMN(NOTA[[#Headers],[ID]])))="ID",1,IF(NOTA[[#This Row],[FAKTUR]]="","",COUNT(INDIRECT(ADDRESS(ROW(NOTA[ID]),COLUMN(NOTA[ID]))&amp;":"&amp;ADDRESS(ROW()-1,COLUMN(NOTA[ID]))))+1))</f>
        <v>71</v>
      </c>
      <c r="B37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GRA_1505_-1</v>
      </c>
      <c r="C375" s="36" t="e">
        <f ca="1">IF(NOTA[[#This Row],[ID_P]]="","",MATCH(NOTA[[#This Row],[ID_P]],[1]!B_MSK[N_ID],0))</f>
        <v>#REF!</v>
      </c>
      <c r="D375" s="36">
        <f ca="1">IF(NOTA[[#This Row],[NAMA BARANG]]="","",INDEX(NOTA[ID],MATCH(,INDIRECT(ADDRESS(ROW(NOTA[ID]),COLUMN(NOTA[ID]))&amp;":"&amp;ADDRESS(ROW(),COLUMN(NOTA[ID]))),-1)))</f>
        <v>71</v>
      </c>
      <c r="E375" s="14"/>
      <c r="F375" s="16" t="s">
        <v>124</v>
      </c>
      <c r="G375" s="16" t="s">
        <v>112</v>
      </c>
      <c r="H375" s="20"/>
      <c r="I375" s="16"/>
      <c r="J375" s="37">
        <v>45057</v>
      </c>
      <c r="K375" s="16"/>
      <c r="L375" s="16" t="s">
        <v>577</v>
      </c>
      <c r="M375" s="28">
        <v>17</v>
      </c>
      <c r="N375" s="16">
        <v>1020</v>
      </c>
      <c r="O375" s="16" t="s">
        <v>125</v>
      </c>
      <c r="P375" s="35">
        <v>9100</v>
      </c>
      <c r="Q375" s="38"/>
      <c r="R375" s="28" t="s">
        <v>379</v>
      </c>
      <c r="S375" s="39"/>
      <c r="T375" s="39"/>
      <c r="U375" s="40"/>
      <c r="V375" s="26"/>
      <c r="W375" s="40">
        <f>IF(NOTA[[#This Row],[HARGA/ CTN]]="",NOTA[[#This Row],[JUMLAH_H]],NOTA[[#This Row],[HARGA/ CTN]]*IF(NOTA[[#This Row],[C]]="",0,NOTA[[#This Row],[C]]))</f>
        <v>9282000</v>
      </c>
      <c r="X375" s="40">
        <f>IF(NOTA[[#This Row],[JUMLAH]]="","",NOTA[[#This Row],[JUMLAH]]*NOTA[[#This Row],[DISC 1]])</f>
        <v>0</v>
      </c>
      <c r="Y375" s="40">
        <f>IF(NOTA[[#This Row],[JUMLAH]]="","",(NOTA[[#This Row],[JUMLAH]]-NOTA[[#This Row],[DISC 1-]])*NOTA[[#This Row],[DISC 2]])</f>
        <v>0</v>
      </c>
      <c r="Z375" s="40">
        <f>IF(NOTA[[#This Row],[JUMLAH]]="","",NOTA[[#This Row],[DISC 1-]]+NOTA[[#This Row],[DISC 2-]])</f>
        <v>0</v>
      </c>
      <c r="AA375" s="40">
        <f>IF(NOTA[[#This Row],[JUMLAH]]="","",NOTA[[#This Row],[JUMLAH]]-NOTA[[#This Row],[DISC]])</f>
        <v>9282000</v>
      </c>
      <c r="AB375" s="40"/>
      <c r="AC37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7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9282000</v>
      </c>
      <c r="AE375" s="3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375" s="40">
        <f>IF(OR(NOTA[[#This Row],[QTY]]="",NOTA[[#This Row],[HARGA SATUAN]]="",),"",NOTA[[#This Row],[QTY]]*NOTA[[#This Row],[HARGA SATUAN]])</f>
        <v>9282000</v>
      </c>
      <c r="AG375" s="37">
        <f ca="1">IF(NOTA[ID_H]="","",INDEX(NOTA[TANGGAL],MATCH(,INDIRECT(ADDRESS(ROW(NOTA[TANGGAL]),COLUMN(NOTA[TANGGAL]))&amp;":"&amp;ADDRESS(ROW(),COLUMN(NOTA[TANGGAL]))),-1)))</f>
        <v>45061</v>
      </c>
      <c r="AH375" s="35" t="str">
        <f ca="1">IF(NOTA[[#This Row],[NAMA BARANG]]="","",INDEX(NOTA[SUPPLIER],MATCH(,INDIRECT(ADDRESS(ROW(NOTA[ID]),COLUMN(NOTA[ID]))&amp;":"&amp;ADDRESS(ROW(),COLUMN(NOTA[ID]))),-1)))</f>
        <v>GRAFINDO</v>
      </c>
      <c r="AI375" s="35" t="str">
        <f ca="1">IF(NOTA[[#This Row],[ID_H]]="","",IF(NOTA[[#This Row],[FAKTUR]]="",INDIRECT(ADDRESS(ROW()-1,COLUMN())),NOTA[[#This Row],[FAKTUR]]))</f>
        <v>UNTANA</v>
      </c>
      <c r="AJ375" s="27">
        <f ca="1">IF(NOTA[[#This Row],[ID]]="","",COUNTIF(NOTA[ID_H],NOTA[[#This Row],[ID_H]]))</f>
        <v>1</v>
      </c>
      <c r="AK375" s="27">
        <f>IF(NOTA[[#This Row],[TGL.NOTA]]="",IF(NOTA[[#This Row],[SUPPLIER_H]]="","",AK374),MONTH(NOTA[[#This Row],[TGL.NOTA]]))</f>
        <v>5</v>
      </c>
      <c r="AL375" s="27" t="str">
        <f>LOWER(SUBSTITUTE(SUBSTITUTE(SUBSTITUTE(SUBSTITUTE(SUBSTITUTE(SUBSTITUTE(SUBSTITUTE(SUBSTITUTE(SUBSTITUTE(NOTA[NAMA BARANG]," ",),".",""),"-",""),"(",""),")",""),",",""),"/",""),"""",""),"+",""))</f>
        <v>clearholderfoliosikaac105f</v>
      </c>
      <c r="AM3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clearholderfoliosikaac105f546000</v>
      </c>
      <c r="AN3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clearholderfoliosikaac105f546000</v>
      </c>
      <c r="AO37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GRAFINDOUNTANA45057clearholderfoliosikaac105f</v>
      </c>
      <c r="AP375" s="27" t="e">
        <f>IF(NOTA[[#This Row],[CONCAT4]]="","",_xlfn.IFNA(MATCH(NOTA[[#This Row],[CONCAT4]],[2]!RAW[CONCAT_H],0),FALSE))</f>
        <v>#REF!</v>
      </c>
      <c r="AQ375" s="145">
        <f>IF(NOTA[[#This Row],[CONCAT1]]="","",MATCH(NOTA[[#This Row],[CONCAT1]],[3]!db[NB NOTA_C],0)+1)</f>
        <v>500</v>
      </c>
    </row>
    <row r="376" spans="1:43" ht="20.100000000000001" customHeight="1" x14ac:dyDescent="0.25">
      <c r="A3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6" t="str">
        <f>IF(NOTA[[#This Row],[ID_P]]="","",MATCH(NOTA[[#This Row],[ID_P]],[1]!B_MSK[N_ID],0))</f>
        <v/>
      </c>
      <c r="D376" s="36" t="str">
        <f ca="1">IF(NOTA[[#This Row],[NAMA BARANG]]="","",INDEX(NOTA[ID],MATCH(,INDIRECT(ADDRESS(ROW(NOTA[ID]),COLUMN(NOTA[ID]))&amp;":"&amp;ADDRESS(ROW(),COLUMN(NOTA[ID]))),-1)))</f>
        <v/>
      </c>
      <c r="E376" s="14"/>
      <c r="F376" s="16"/>
      <c r="G376" s="16"/>
      <c r="H376" s="20"/>
      <c r="I376" s="16"/>
      <c r="J376" s="37"/>
      <c r="K376" s="16"/>
      <c r="L376" s="16"/>
      <c r="M376" s="28"/>
      <c r="N376" s="16"/>
      <c r="O376" s="16"/>
      <c r="P376" s="35"/>
      <c r="Q376" s="38"/>
      <c r="R376" s="28"/>
      <c r="S376" s="39"/>
      <c r="T376" s="39"/>
      <c r="U376" s="40"/>
      <c r="V376" s="26"/>
      <c r="W376" s="40" t="str">
        <f>IF(NOTA[[#This Row],[HARGA/ CTN]]="",NOTA[[#This Row],[JUMLAH_H]],NOTA[[#This Row],[HARGA/ CTN]]*IF(NOTA[[#This Row],[C]]="",0,NOTA[[#This Row],[C]]))</f>
        <v/>
      </c>
      <c r="X376" s="40" t="str">
        <f>IF(NOTA[[#This Row],[JUMLAH]]="","",NOTA[[#This Row],[JUMLAH]]*NOTA[[#This Row],[DISC 1]])</f>
        <v/>
      </c>
      <c r="Y376" s="40" t="str">
        <f>IF(NOTA[[#This Row],[JUMLAH]]="","",(NOTA[[#This Row],[JUMLAH]]-NOTA[[#This Row],[DISC 1-]])*NOTA[[#This Row],[DISC 2]])</f>
        <v/>
      </c>
      <c r="Z376" s="40" t="str">
        <f>IF(NOTA[[#This Row],[JUMLAH]]="","",NOTA[[#This Row],[DISC 1-]]+NOTA[[#This Row],[DISC 2-]])</f>
        <v/>
      </c>
      <c r="AA376" s="40" t="str">
        <f>IF(NOTA[[#This Row],[JUMLAH]]="","",NOTA[[#This Row],[JUMLAH]]-NOTA[[#This Row],[DISC]])</f>
        <v/>
      </c>
      <c r="AB376" s="40"/>
      <c r="AC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6" s="40" t="str">
        <f>IF(OR(NOTA[[#This Row],[QTY]]="",NOTA[[#This Row],[HARGA SATUAN]]="",),"",NOTA[[#This Row],[QTY]]*NOTA[[#This Row],[HARGA SATUAN]])</f>
        <v/>
      </c>
      <c r="AG376" s="37" t="str">
        <f ca="1">IF(NOTA[ID_H]="","",INDEX(NOTA[TANGGAL],MATCH(,INDIRECT(ADDRESS(ROW(NOTA[TANGGAL]),COLUMN(NOTA[TANGGAL]))&amp;":"&amp;ADDRESS(ROW(),COLUMN(NOTA[TANGGAL]))),-1)))</f>
        <v/>
      </c>
      <c r="AH376" s="35" t="str">
        <f ca="1">IF(NOTA[[#This Row],[NAMA BARANG]]="","",INDEX(NOTA[SUPPLIER],MATCH(,INDIRECT(ADDRESS(ROW(NOTA[ID]),COLUMN(NOTA[ID]))&amp;":"&amp;ADDRESS(ROW(),COLUMN(NOTA[ID]))),-1)))</f>
        <v/>
      </c>
      <c r="AI376" s="35" t="str">
        <f ca="1">IF(NOTA[[#This Row],[ID_H]]="","",IF(NOTA[[#This Row],[FAKTUR]]="",INDIRECT(ADDRESS(ROW()-1,COLUMN())),NOTA[[#This Row],[FAKTUR]]))</f>
        <v/>
      </c>
      <c r="AJ376" s="27" t="str">
        <f ca="1">IF(NOTA[[#This Row],[ID]]="","",COUNTIF(NOTA[ID_H],NOTA[[#This Row],[ID_H]]))</f>
        <v/>
      </c>
      <c r="AK376" s="27" t="str">
        <f ca="1">IF(NOTA[[#This Row],[TGL.NOTA]]="",IF(NOTA[[#This Row],[SUPPLIER_H]]="","",AK375),MONTH(NOTA[[#This Row],[TGL.NOTA]]))</f>
        <v/>
      </c>
      <c r="AL376" s="27" t="str">
        <f>LOWER(SUBSTITUTE(SUBSTITUTE(SUBSTITUTE(SUBSTITUTE(SUBSTITUTE(SUBSTITUTE(SUBSTITUTE(SUBSTITUTE(SUBSTITUTE(NOTA[NAMA BARANG]," ",),".",""),"-",""),"(",""),")",""),",",""),"/",""),"""",""),"+",""))</f>
        <v/>
      </c>
      <c r="AM3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27" t="str">
        <f>IF(NOTA[[#This Row],[CONCAT4]]="","",_xlfn.IFNA(MATCH(NOTA[[#This Row],[CONCAT4]],[2]!RAW[CONCAT_H],0),FALSE))</f>
        <v/>
      </c>
      <c r="AQ376" s="145" t="str">
        <f>IF(NOTA[[#This Row],[CONCAT1]]="","",MATCH(NOTA[[#This Row],[CONCAT1]],[3]!db[NB NOTA_C],0)+1)</f>
        <v/>
      </c>
    </row>
    <row r="377" spans="1:43" ht="20.100000000000001" customHeight="1" x14ac:dyDescent="0.25">
      <c r="A377" s="35">
        <f ca="1">IF(INDIRECT(ADDRESS(ROW()-1,COLUMN(NOTA[[#Headers],[ID]])))="ID",1,IF(NOTA[[#This Row],[FAKTUR]]="","",COUNT(INDIRECT(ADDRESS(ROW(NOTA[ID]),COLUMN(NOTA[ID]))&amp;":"&amp;ADDRESS(ROW()-1,COLUMN(NOTA[ID]))))+1))</f>
        <v>72</v>
      </c>
      <c r="B37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AND_1505_008-1</v>
      </c>
      <c r="C377" s="36" t="e">
        <f ca="1">IF(NOTA[[#This Row],[ID_P]]="","",MATCH(NOTA[[#This Row],[ID_P]],[1]!B_MSK[N_ID],0))</f>
        <v>#REF!</v>
      </c>
      <c r="D377" s="36">
        <f ca="1">IF(NOTA[[#This Row],[NAMA BARANG]]="","",INDEX(NOTA[ID],MATCH(,INDIRECT(ADDRESS(ROW(NOTA[ID]),COLUMN(NOTA[ID]))&amp;":"&amp;ADDRESS(ROW(),COLUMN(NOTA[ID]))),-1)))</f>
        <v>72</v>
      </c>
      <c r="E377" s="14"/>
      <c r="F377" s="16" t="s">
        <v>143</v>
      </c>
      <c r="G377" s="16" t="s">
        <v>112</v>
      </c>
      <c r="H377" s="20" t="s">
        <v>578</v>
      </c>
      <c r="I377" s="16"/>
      <c r="J377" s="37">
        <v>45057</v>
      </c>
      <c r="K377" s="16"/>
      <c r="L377" s="16" t="s">
        <v>579</v>
      </c>
      <c r="M377" s="28">
        <v>2</v>
      </c>
      <c r="N377" s="16">
        <v>50</v>
      </c>
      <c r="O377" s="16" t="s">
        <v>146</v>
      </c>
      <c r="P377" s="35">
        <v>39000</v>
      </c>
      <c r="Q377" s="38"/>
      <c r="R377" s="28"/>
      <c r="S377" s="39"/>
      <c r="T377" s="39"/>
      <c r="U377" s="40"/>
      <c r="V377" s="26"/>
      <c r="W377" s="40">
        <f>IF(NOTA[[#This Row],[HARGA/ CTN]]="",NOTA[[#This Row],[JUMLAH_H]],NOTA[[#This Row],[HARGA/ CTN]]*IF(NOTA[[#This Row],[C]]="",0,NOTA[[#This Row],[C]]))</f>
        <v>1950000</v>
      </c>
      <c r="X377" s="40">
        <f>IF(NOTA[[#This Row],[JUMLAH]]="","",NOTA[[#This Row],[JUMLAH]]*NOTA[[#This Row],[DISC 1]])</f>
        <v>0</v>
      </c>
      <c r="Y377" s="40">
        <f>IF(NOTA[[#This Row],[JUMLAH]]="","",(NOTA[[#This Row],[JUMLAH]]-NOTA[[#This Row],[DISC 1-]])*NOTA[[#This Row],[DISC 2]])</f>
        <v>0</v>
      </c>
      <c r="Z377" s="40">
        <f>IF(NOTA[[#This Row],[JUMLAH]]="","",NOTA[[#This Row],[DISC 1-]]+NOTA[[#This Row],[DISC 2-]])</f>
        <v>0</v>
      </c>
      <c r="AA377" s="40">
        <f>IF(NOTA[[#This Row],[JUMLAH]]="","",NOTA[[#This Row],[JUMLAH]]-NOTA[[#This Row],[DISC]])</f>
        <v>1950000</v>
      </c>
      <c r="AB377" s="40"/>
      <c r="AC3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1950000</v>
      </c>
      <c r="AE377" s="35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377" s="40">
        <f>IF(OR(NOTA[[#This Row],[QTY]]="",NOTA[[#This Row],[HARGA SATUAN]]="",),"",NOTA[[#This Row],[QTY]]*NOTA[[#This Row],[HARGA SATUAN]])</f>
        <v>1950000</v>
      </c>
      <c r="AG377" s="37">
        <f ca="1">IF(NOTA[ID_H]="","",INDEX(NOTA[TANGGAL],MATCH(,INDIRECT(ADDRESS(ROW(NOTA[TANGGAL]),COLUMN(NOTA[TANGGAL]))&amp;":"&amp;ADDRESS(ROW(),COLUMN(NOTA[TANGGAL]))),-1)))</f>
        <v>45061</v>
      </c>
      <c r="AH377" s="35" t="str">
        <f ca="1">IF(NOTA[[#This Row],[NAMA BARANG]]="","",INDEX(NOTA[SUPPLIER],MATCH(,INDIRECT(ADDRESS(ROW(NOTA[ID]),COLUMN(NOTA[ID]))&amp;":"&amp;ADDRESS(ROW(),COLUMN(NOTA[ID]))),-1)))</f>
        <v>ANDY</v>
      </c>
      <c r="AI377" s="35" t="str">
        <f ca="1">IF(NOTA[[#This Row],[ID_H]]="","",IF(NOTA[[#This Row],[FAKTUR]]="",INDIRECT(ADDRESS(ROW()-1,COLUMN())),NOTA[[#This Row],[FAKTUR]]))</f>
        <v>UNTANA</v>
      </c>
      <c r="AJ377" s="27">
        <f ca="1">IF(NOTA[[#This Row],[ID]]="","",COUNTIF(NOTA[ID_H],NOTA[[#This Row],[ID_H]]))</f>
        <v>1</v>
      </c>
      <c r="AK377" s="27">
        <f>IF(NOTA[[#This Row],[TGL.NOTA]]="",IF(NOTA[[#This Row],[SUPPLIER_H]]="","",AK376),MONTH(NOTA[[#This Row],[TGL.NOTA]]))</f>
        <v>5</v>
      </c>
      <c r="AL377" s="27" t="str">
        <f>LOWER(SUBSTITUTE(SUBSTITUTE(SUBSTITUTE(SUBSTITUTE(SUBSTITUTE(SUBSTITUTE(SUBSTITUTE(SUBSTITUTE(SUBSTITUTE(NOTA[NAMA BARANG]," ",),".",""),"-",""),"(",""),")",""),",",""),"/",""),"""",""),"+",""))</f>
        <v>garisan50yoekergb50</v>
      </c>
      <c r="AM3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garisan50yoekergb50975000</v>
      </c>
      <c r="AN3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garisan50yoekergb50975000</v>
      </c>
      <c r="AO377" s="27" t="str">
        <f>IF(NOTA[[#This Row],[SUPPLIER]]="","",NOTA[[#This Row],[SUPPLIER]]&amp;NOTA[[#This Row],[FAKTUR]]&amp;NOTA[[#This Row],[NO.NOTA]]&amp;NOTA[[#This Row],[NO.SJ]]&amp;NOTA[[#This Row],[TGL.NOTA]]&amp;NOTA[[#This Row],[CONCAT1]])</f>
        <v>ANDYUNTANASO23/100845057garisan50yoekergb50</v>
      </c>
      <c r="AP377" s="27" t="e">
        <f>IF(NOTA[[#This Row],[CONCAT4]]="","",_xlfn.IFNA(MATCH(NOTA[[#This Row],[CONCAT4]],[2]!RAW[CONCAT_H],0),FALSE))</f>
        <v>#REF!</v>
      </c>
      <c r="AQ377" s="145" t="e">
        <f>IF(NOTA[[#This Row],[CONCAT1]]="","",MATCH(NOTA[[#This Row],[CONCAT1]],[3]!db[NB NOTA_C],0)+1)</f>
        <v>#N/A</v>
      </c>
    </row>
    <row r="378" spans="1:43" ht="20.100000000000001" customHeight="1" x14ac:dyDescent="0.25">
      <c r="A3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6" t="str">
        <f>IF(NOTA[[#This Row],[ID_P]]="","",MATCH(NOTA[[#This Row],[ID_P]],[1]!B_MSK[N_ID],0))</f>
        <v/>
      </c>
      <c r="D378" s="36" t="str">
        <f ca="1">IF(NOTA[[#This Row],[NAMA BARANG]]="","",INDEX(NOTA[ID],MATCH(,INDIRECT(ADDRESS(ROW(NOTA[ID]),COLUMN(NOTA[ID]))&amp;":"&amp;ADDRESS(ROW(),COLUMN(NOTA[ID]))),-1)))</f>
        <v/>
      </c>
      <c r="E378" s="14"/>
      <c r="F378" s="16"/>
      <c r="G378" s="16"/>
      <c r="H378" s="20"/>
      <c r="I378" s="16"/>
      <c r="J378" s="37"/>
      <c r="K378" s="16"/>
      <c r="L378" s="16"/>
      <c r="M378" s="28"/>
      <c r="N378" s="16"/>
      <c r="O378" s="16"/>
      <c r="P378" s="35"/>
      <c r="Q378" s="38"/>
      <c r="R378" s="28"/>
      <c r="S378" s="39"/>
      <c r="T378" s="39"/>
      <c r="U378" s="40"/>
      <c r="V378" s="26"/>
      <c r="W378" s="40" t="str">
        <f>IF(NOTA[[#This Row],[HARGA/ CTN]]="",NOTA[[#This Row],[JUMLAH_H]],NOTA[[#This Row],[HARGA/ CTN]]*IF(NOTA[[#This Row],[C]]="",0,NOTA[[#This Row],[C]]))</f>
        <v/>
      </c>
      <c r="X378" s="40" t="str">
        <f>IF(NOTA[[#This Row],[JUMLAH]]="","",NOTA[[#This Row],[JUMLAH]]*NOTA[[#This Row],[DISC 1]])</f>
        <v/>
      </c>
      <c r="Y378" s="40" t="str">
        <f>IF(NOTA[[#This Row],[JUMLAH]]="","",(NOTA[[#This Row],[JUMLAH]]-NOTA[[#This Row],[DISC 1-]])*NOTA[[#This Row],[DISC 2]])</f>
        <v/>
      </c>
      <c r="Z378" s="40" t="str">
        <f>IF(NOTA[[#This Row],[JUMLAH]]="","",NOTA[[#This Row],[DISC 1-]]+NOTA[[#This Row],[DISC 2-]])</f>
        <v/>
      </c>
      <c r="AA378" s="40" t="str">
        <f>IF(NOTA[[#This Row],[JUMLAH]]="","",NOTA[[#This Row],[JUMLAH]]-NOTA[[#This Row],[DISC]])</f>
        <v/>
      </c>
      <c r="AB378" s="40"/>
      <c r="AC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8" s="40" t="str">
        <f>IF(OR(NOTA[[#This Row],[QTY]]="",NOTA[[#This Row],[HARGA SATUAN]]="",),"",NOTA[[#This Row],[QTY]]*NOTA[[#This Row],[HARGA SATUAN]])</f>
        <v/>
      </c>
      <c r="AG378" s="37" t="str">
        <f ca="1">IF(NOTA[ID_H]="","",INDEX(NOTA[TANGGAL],MATCH(,INDIRECT(ADDRESS(ROW(NOTA[TANGGAL]),COLUMN(NOTA[TANGGAL]))&amp;":"&amp;ADDRESS(ROW(),COLUMN(NOTA[TANGGAL]))),-1)))</f>
        <v/>
      </c>
      <c r="AH378" s="35" t="str">
        <f ca="1">IF(NOTA[[#This Row],[NAMA BARANG]]="","",INDEX(NOTA[SUPPLIER],MATCH(,INDIRECT(ADDRESS(ROW(NOTA[ID]),COLUMN(NOTA[ID]))&amp;":"&amp;ADDRESS(ROW(),COLUMN(NOTA[ID]))),-1)))</f>
        <v/>
      </c>
      <c r="AI378" s="35" t="str">
        <f ca="1">IF(NOTA[[#This Row],[ID_H]]="","",IF(NOTA[[#This Row],[FAKTUR]]="",INDIRECT(ADDRESS(ROW()-1,COLUMN())),NOTA[[#This Row],[FAKTUR]]))</f>
        <v/>
      </c>
      <c r="AJ378" s="27" t="str">
        <f ca="1">IF(NOTA[[#This Row],[ID]]="","",COUNTIF(NOTA[ID_H],NOTA[[#This Row],[ID_H]]))</f>
        <v/>
      </c>
      <c r="AK378" s="27" t="str">
        <f ca="1">IF(NOTA[[#This Row],[TGL.NOTA]]="",IF(NOTA[[#This Row],[SUPPLIER_H]]="","",AK377),MONTH(NOTA[[#This Row],[TGL.NOTA]]))</f>
        <v/>
      </c>
      <c r="AL378" s="27" t="str">
        <f>LOWER(SUBSTITUTE(SUBSTITUTE(SUBSTITUTE(SUBSTITUTE(SUBSTITUTE(SUBSTITUTE(SUBSTITUTE(SUBSTITUTE(SUBSTITUTE(NOTA[NAMA BARANG]," ",),".",""),"-",""),"(",""),")",""),",",""),"/",""),"""",""),"+",""))</f>
        <v/>
      </c>
      <c r="AM3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27" t="str">
        <f>IF(NOTA[[#This Row],[CONCAT4]]="","",_xlfn.IFNA(MATCH(NOTA[[#This Row],[CONCAT4]],[2]!RAW[CONCAT_H],0),FALSE))</f>
        <v/>
      </c>
      <c r="AQ378" s="145" t="str">
        <f>IF(NOTA[[#This Row],[CONCAT1]]="","",MATCH(NOTA[[#This Row],[CONCAT1]],[3]!db[NB NOTA_C],0)+1)</f>
        <v/>
      </c>
    </row>
    <row r="379" spans="1:43" ht="20.100000000000001" customHeight="1" x14ac:dyDescent="0.25">
      <c r="A379" s="35">
        <f ca="1">IF(INDIRECT(ADDRESS(ROW()-1,COLUMN(NOTA[[#Headers],[ID]])))="ID",1,IF(NOTA[[#This Row],[FAKTUR]]="","",COUNT(INDIRECT(ADDRESS(ROW(NOTA[ID]),COLUMN(NOTA[ID]))&amp;":"&amp;ADDRESS(ROW()-1,COLUMN(NOTA[ID]))))+1))</f>
        <v>73</v>
      </c>
      <c r="B37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ETJ_1605_423-2</v>
      </c>
      <c r="C379" s="36" t="e">
        <f ca="1">IF(NOTA[[#This Row],[ID_P]]="","",MATCH(NOTA[[#This Row],[ID_P]],[1]!B_MSK[N_ID],0))</f>
        <v>#REF!</v>
      </c>
      <c r="D379" s="36">
        <f ca="1">IF(NOTA[[#This Row],[NAMA BARANG]]="","",INDEX(NOTA[ID],MATCH(,INDIRECT(ADDRESS(ROW(NOTA[ID]),COLUMN(NOTA[ID]))&amp;":"&amp;ADDRESS(ROW(),COLUMN(NOTA[ID]))),-1)))</f>
        <v>73</v>
      </c>
      <c r="E379" s="14">
        <v>45062</v>
      </c>
      <c r="F379" s="16" t="s">
        <v>331</v>
      </c>
      <c r="G379" s="16" t="s">
        <v>112</v>
      </c>
      <c r="H379" s="20" t="s">
        <v>580</v>
      </c>
      <c r="I379" s="16"/>
      <c r="J379" s="37">
        <v>45057</v>
      </c>
      <c r="K379" s="16"/>
      <c r="L379" s="16" t="s">
        <v>581</v>
      </c>
      <c r="M379" s="28">
        <v>2</v>
      </c>
      <c r="N379" s="16">
        <v>8000</v>
      </c>
      <c r="O379" s="16" t="s">
        <v>160</v>
      </c>
      <c r="P379" s="35">
        <v>700</v>
      </c>
      <c r="Q379" s="38"/>
      <c r="R379" s="28" t="s">
        <v>583</v>
      </c>
      <c r="S379" s="39"/>
      <c r="T379" s="39"/>
      <c r="U379" s="40"/>
      <c r="V379" s="26"/>
      <c r="W379" s="40">
        <f>IF(NOTA[[#This Row],[HARGA/ CTN]]="",NOTA[[#This Row],[JUMLAH_H]],NOTA[[#This Row],[HARGA/ CTN]]*IF(NOTA[[#This Row],[C]]="",0,NOTA[[#This Row],[C]]))</f>
        <v>5600000</v>
      </c>
      <c r="X379" s="40">
        <f>IF(NOTA[[#This Row],[JUMLAH]]="","",NOTA[[#This Row],[JUMLAH]]*NOTA[[#This Row],[DISC 1]])</f>
        <v>0</v>
      </c>
      <c r="Y379" s="40">
        <f>IF(NOTA[[#This Row],[JUMLAH]]="","",(NOTA[[#This Row],[JUMLAH]]-NOTA[[#This Row],[DISC 1-]])*NOTA[[#This Row],[DISC 2]])</f>
        <v>0</v>
      </c>
      <c r="Z379" s="40">
        <f>IF(NOTA[[#This Row],[JUMLAH]]="","",NOTA[[#This Row],[DISC 1-]]+NOTA[[#This Row],[DISC 2-]])</f>
        <v>0</v>
      </c>
      <c r="AA379" s="40">
        <f>IF(NOTA[[#This Row],[JUMLAH]]="","",NOTA[[#This Row],[JUMLAH]]-NOTA[[#This Row],[DISC]])</f>
        <v>5600000</v>
      </c>
      <c r="AB379" s="40"/>
      <c r="AC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35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F379" s="40">
        <f>IF(OR(NOTA[[#This Row],[QTY]]="",NOTA[[#This Row],[HARGA SATUAN]]="",),"",NOTA[[#This Row],[QTY]]*NOTA[[#This Row],[HARGA SATUAN]])</f>
        <v>5600000</v>
      </c>
      <c r="AG379" s="37">
        <f ca="1">IF(NOTA[ID_H]="","",INDEX(NOTA[TANGGAL],MATCH(,INDIRECT(ADDRESS(ROW(NOTA[TANGGAL]),COLUMN(NOTA[TANGGAL]))&amp;":"&amp;ADDRESS(ROW(),COLUMN(NOTA[TANGGAL]))),-1)))</f>
        <v>45062</v>
      </c>
      <c r="AH379" s="35" t="str">
        <f ca="1">IF(NOTA[[#This Row],[NAMA BARANG]]="","",INDEX(NOTA[SUPPLIER],MATCH(,INDIRECT(ADDRESS(ROW(NOTA[ID]),COLUMN(NOTA[ID]))&amp;":"&amp;ADDRESS(ROW(),COLUMN(NOTA[ID]))),-1)))</f>
        <v>ETJ</v>
      </c>
      <c r="AI379" s="35" t="str">
        <f ca="1">IF(NOTA[[#This Row],[ID_H]]="","",IF(NOTA[[#This Row],[FAKTUR]]="",INDIRECT(ADDRESS(ROW()-1,COLUMN())),NOTA[[#This Row],[FAKTUR]]))</f>
        <v>UNTANA</v>
      </c>
      <c r="AJ379" s="27">
        <f ca="1">IF(NOTA[[#This Row],[ID]]="","",COUNTIF(NOTA[ID_H],NOTA[[#This Row],[ID_H]]))</f>
        <v>2</v>
      </c>
      <c r="AK379" s="27">
        <f>IF(NOTA[[#This Row],[TGL.NOTA]]="",IF(NOTA[[#This Row],[SUPPLIER_H]]="","",AK378),MONTH(NOTA[[#This Row],[TGL.NOTA]]))</f>
        <v>5</v>
      </c>
      <c r="AL379" s="27" t="str">
        <f>LOWER(SUBSTITUTE(SUBSTITUTE(SUBSTITUTE(SUBSTITUTE(SUBSTITUTE(SUBSTITUTE(SUBSTITUTE(SUBSTITUTE(SUBSTITUTE(NOTA[NAMA BARANG]," ",),".",""),"-",""),"(",""),")",""),",",""),"/",""),"""",""),"+",""))</f>
        <v>ntagdmerah301</v>
      </c>
      <c r="AM3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ntagdmerah3012800000</v>
      </c>
      <c r="AN3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ntagdmerah3012800000</v>
      </c>
      <c r="AO379" s="27" t="str">
        <f>IF(NOTA[[#This Row],[SUPPLIER]]="","",NOTA[[#This Row],[SUPPLIER]]&amp;NOTA[[#This Row],[FAKTUR]]&amp;NOTA[[#This Row],[NO.NOTA]]&amp;NOTA[[#This Row],[NO.SJ]]&amp;NOTA[[#This Row],[TGL.NOTA]]&amp;NOTA[[#This Row],[CONCAT1]])</f>
        <v>ETJUNTANAGY4.2345057ntagdmerah301</v>
      </c>
      <c r="AP379" s="27" t="e">
        <f>IF(NOTA[[#This Row],[CONCAT4]]="","",_xlfn.IFNA(MATCH(NOTA[[#This Row],[CONCAT4]],[2]!RAW[CONCAT_H],0),FALSE))</f>
        <v>#REF!</v>
      </c>
      <c r="AQ379" s="145" t="e">
        <f>IF(NOTA[[#This Row],[CONCAT1]]="","",MATCH(NOTA[[#This Row],[CONCAT1]],[3]!db[NB NOTA_C],0)+1)</f>
        <v>#N/A</v>
      </c>
    </row>
    <row r="380" spans="1:43" ht="20.100000000000001" customHeight="1" x14ac:dyDescent="0.25">
      <c r="A3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6" t="str">
        <f>IF(NOTA[[#This Row],[ID_P]]="","",MATCH(NOTA[[#This Row],[ID_P]],[1]!B_MSK[N_ID],0))</f>
        <v/>
      </c>
      <c r="D380" s="36">
        <f ca="1">IF(NOTA[[#This Row],[NAMA BARANG]]="","",INDEX(NOTA[ID],MATCH(,INDIRECT(ADDRESS(ROW(NOTA[ID]),COLUMN(NOTA[ID]))&amp;":"&amp;ADDRESS(ROW(),COLUMN(NOTA[ID]))),-1)))</f>
        <v>73</v>
      </c>
      <c r="E380" s="14"/>
      <c r="F380" s="16"/>
      <c r="G380" s="16"/>
      <c r="H380" s="20"/>
      <c r="I380" s="16"/>
      <c r="J380" s="37"/>
      <c r="K380" s="16"/>
      <c r="L380" s="16" t="s">
        <v>582</v>
      </c>
      <c r="M380" s="28">
        <v>3</v>
      </c>
      <c r="N380" s="16">
        <v>30</v>
      </c>
      <c r="O380" s="16" t="s">
        <v>146</v>
      </c>
      <c r="P380" s="35">
        <v>85000</v>
      </c>
      <c r="Q380" s="38"/>
      <c r="R380" s="28" t="s">
        <v>345</v>
      </c>
      <c r="S380" s="39"/>
      <c r="T380" s="39"/>
      <c r="U380" s="40"/>
      <c r="V380" s="26"/>
      <c r="W380" s="40">
        <f>IF(NOTA[[#This Row],[HARGA/ CTN]]="",NOTA[[#This Row],[JUMLAH_H]],NOTA[[#This Row],[HARGA/ CTN]]*IF(NOTA[[#This Row],[C]]="",0,NOTA[[#This Row],[C]]))</f>
        <v>2550000</v>
      </c>
      <c r="X380" s="40">
        <f>IF(NOTA[[#This Row],[JUMLAH]]="","",NOTA[[#This Row],[JUMLAH]]*NOTA[[#This Row],[DISC 1]])</f>
        <v>0</v>
      </c>
      <c r="Y380" s="40">
        <f>IF(NOTA[[#This Row],[JUMLAH]]="","",(NOTA[[#This Row],[JUMLAH]]-NOTA[[#This Row],[DISC 1-]])*NOTA[[#This Row],[DISC 2]])</f>
        <v>0</v>
      </c>
      <c r="Z380" s="40">
        <f>IF(NOTA[[#This Row],[JUMLAH]]="","",NOTA[[#This Row],[DISC 1-]]+NOTA[[#This Row],[DISC 2-]])</f>
        <v>0</v>
      </c>
      <c r="AA380" s="40">
        <f>IF(NOTA[[#This Row],[JUMLAH]]="","",NOTA[[#This Row],[JUMLAH]]-NOTA[[#This Row],[DISC]])</f>
        <v>2550000</v>
      </c>
      <c r="AB380" s="40"/>
      <c r="AC3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8150000</v>
      </c>
      <c r="AE380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380" s="40">
        <f>IF(OR(NOTA[[#This Row],[QTY]]="",NOTA[[#This Row],[HARGA SATUAN]]="",),"",NOTA[[#This Row],[QTY]]*NOTA[[#This Row],[HARGA SATUAN]])</f>
        <v>2550000</v>
      </c>
      <c r="AG380" s="37">
        <f ca="1">IF(NOTA[ID_H]="","",INDEX(NOTA[TANGGAL],MATCH(,INDIRECT(ADDRESS(ROW(NOTA[TANGGAL]),COLUMN(NOTA[TANGGAL]))&amp;":"&amp;ADDRESS(ROW(),COLUMN(NOTA[TANGGAL]))),-1)))</f>
        <v>45062</v>
      </c>
      <c r="AH380" s="35" t="str">
        <f ca="1">IF(NOTA[[#This Row],[NAMA BARANG]]="","",INDEX(NOTA[SUPPLIER],MATCH(,INDIRECT(ADDRESS(ROW(NOTA[ID]),COLUMN(NOTA[ID]))&amp;":"&amp;ADDRESS(ROW(),COLUMN(NOTA[ID]))),-1)))</f>
        <v>ETJ</v>
      </c>
      <c r="AI380" s="35" t="str">
        <f ca="1">IF(NOTA[[#This Row],[ID_H]]="","",IF(NOTA[[#This Row],[FAKTUR]]="",INDIRECT(ADDRESS(ROW()-1,COLUMN())),NOTA[[#This Row],[FAKTUR]]))</f>
        <v>UNTANA</v>
      </c>
      <c r="AJ380" s="27" t="str">
        <f ca="1">IF(NOTA[[#This Row],[ID]]="","",COUNTIF(NOTA[ID_H],NOTA[[#This Row],[ID_H]]))</f>
        <v/>
      </c>
      <c r="AK380" s="27">
        <f ca="1">IF(NOTA[[#This Row],[TGL.NOTA]]="",IF(NOTA[[#This Row],[SUPPLIER_H]]="","",AK379),MONTH(NOTA[[#This Row],[TGL.NOTA]]))</f>
        <v>5</v>
      </c>
      <c r="AL380" s="27" t="str">
        <f>LOWER(SUBSTITUTE(SUBSTITUTE(SUBSTITUTE(SUBSTITUTE(SUBSTITUTE(SUBSTITUTE(SUBSTITUTE(SUBSTITUTE(SUBSTITUTE(NOTA[NAMA BARANG]," ",),".",""),"-",""),"(",""),")",""),",",""),"/",""),"""",""),"+",""))</f>
        <v>btamuspiralbatik</v>
      </c>
      <c r="AM3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btamuspiralbatik850000</v>
      </c>
      <c r="AN3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btamuspiralbatik850000</v>
      </c>
      <c r="AO3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27" t="str">
        <f>IF(NOTA[[#This Row],[CONCAT4]]="","",_xlfn.IFNA(MATCH(NOTA[[#This Row],[CONCAT4]],[2]!RAW[CONCAT_H],0),FALSE))</f>
        <v/>
      </c>
      <c r="AQ380" s="145" t="e">
        <f>IF(NOTA[[#This Row],[CONCAT1]]="","",MATCH(NOTA[[#This Row],[CONCAT1]],[3]!db[NB NOTA_C],0)+1)</f>
        <v>#N/A</v>
      </c>
    </row>
    <row r="381" spans="1:43" ht="20.100000000000001" customHeight="1" x14ac:dyDescent="0.25">
      <c r="A3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6" t="str">
        <f>IF(NOTA[[#This Row],[ID_P]]="","",MATCH(NOTA[[#This Row],[ID_P]],[1]!B_MSK[N_ID],0))</f>
        <v/>
      </c>
      <c r="D381" s="36" t="str">
        <f ca="1">IF(NOTA[[#This Row],[NAMA BARANG]]="","",INDEX(NOTA[ID],MATCH(,INDIRECT(ADDRESS(ROW(NOTA[ID]),COLUMN(NOTA[ID]))&amp;":"&amp;ADDRESS(ROW(),COLUMN(NOTA[ID]))),-1)))</f>
        <v/>
      </c>
      <c r="E381" s="14"/>
      <c r="F381" s="16"/>
      <c r="G381" s="16"/>
      <c r="H381" s="20"/>
      <c r="I381" s="16"/>
      <c r="J381" s="37"/>
      <c r="K381" s="16"/>
      <c r="L381" s="16"/>
      <c r="M381" s="28"/>
      <c r="N381" s="16"/>
      <c r="O381" s="16"/>
      <c r="P381" s="35"/>
      <c r="Q381" s="38"/>
      <c r="R381" s="28"/>
      <c r="S381" s="39"/>
      <c r="T381" s="39"/>
      <c r="U381" s="40"/>
      <c r="V381" s="26"/>
      <c r="W381" s="40" t="str">
        <f>IF(NOTA[[#This Row],[HARGA/ CTN]]="",NOTA[[#This Row],[JUMLAH_H]],NOTA[[#This Row],[HARGA/ CTN]]*IF(NOTA[[#This Row],[C]]="",0,NOTA[[#This Row],[C]]))</f>
        <v/>
      </c>
      <c r="X381" s="40" t="str">
        <f>IF(NOTA[[#This Row],[JUMLAH]]="","",NOTA[[#This Row],[JUMLAH]]*NOTA[[#This Row],[DISC 1]])</f>
        <v/>
      </c>
      <c r="Y381" s="40" t="str">
        <f>IF(NOTA[[#This Row],[JUMLAH]]="","",(NOTA[[#This Row],[JUMLAH]]-NOTA[[#This Row],[DISC 1-]])*NOTA[[#This Row],[DISC 2]])</f>
        <v/>
      </c>
      <c r="Z381" s="40" t="str">
        <f>IF(NOTA[[#This Row],[JUMLAH]]="","",NOTA[[#This Row],[DISC 1-]]+NOTA[[#This Row],[DISC 2-]])</f>
        <v/>
      </c>
      <c r="AA381" s="40" t="str">
        <f>IF(NOTA[[#This Row],[JUMLAH]]="","",NOTA[[#This Row],[JUMLAH]]-NOTA[[#This Row],[DISC]])</f>
        <v/>
      </c>
      <c r="AB381" s="40"/>
      <c r="AC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1" s="40" t="str">
        <f>IF(OR(NOTA[[#This Row],[QTY]]="",NOTA[[#This Row],[HARGA SATUAN]]="",),"",NOTA[[#This Row],[QTY]]*NOTA[[#This Row],[HARGA SATUAN]])</f>
        <v/>
      </c>
      <c r="AG381" s="37" t="str">
        <f ca="1">IF(NOTA[ID_H]="","",INDEX(NOTA[TANGGAL],MATCH(,INDIRECT(ADDRESS(ROW(NOTA[TANGGAL]),COLUMN(NOTA[TANGGAL]))&amp;":"&amp;ADDRESS(ROW(),COLUMN(NOTA[TANGGAL]))),-1)))</f>
        <v/>
      </c>
      <c r="AH381" s="35" t="str">
        <f ca="1">IF(NOTA[[#This Row],[NAMA BARANG]]="","",INDEX(NOTA[SUPPLIER],MATCH(,INDIRECT(ADDRESS(ROW(NOTA[ID]),COLUMN(NOTA[ID]))&amp;":"&amp;ADDRESS(ROW(),COLUMN(NOTA[ID]))),-1)))</f>
        <v/>
      </c>
      <c r="AI381" s="35" t="str">
        <f ca="1">IF(NOTA[[#This Row],[ID_H]]="","",IF(NOTA[[#This Row],[FAKTUR]]="",INDIRECT(ADDRESS(ROW()-1,COLUMN())),NOTA[[#This Row],[FAKTUR]]))</f>
        <v/>
      </c>
      <c r="AJ381" s="27" t="str">
        <f ca="1">IF(NOTA[[#This Row],[ID]]="","",COUNTIF(NOTA[ID_H],NOTA[[#This Row],[ID_H]]))</f>
        <v/>
      </c>
      <c r="AK381" s="27" t="str">
        <f ca="1">IF(NOTA[[#This Row],[TGL.NOTA]]="",IF(NOTA[[#This Row],[SUPPLIER_H]]="","",AK380),MONTH(NOTA[[#This Row],[TGL.NOTA]]))</f>
        <v/>
      </c>
      <c r="AL381" s="27" t="str">
        <f>LOWER(SUBSTITUTE(SUBSTITUTE(SUBSTITUTE(SUBSTITUTE(SUBSTITUTE(SUBSTITUTE(SUBSTITUTE(SUBSTITUTE(SUBSTITUTE(NOTA[NAMA BARANG]," ",),".",""),"-",""),"(",""),")",""),",",""),"/",""),"""",""),"+",""))</f>
        <v/>
      </c>
      <c r="AM3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27" t="str">
        <f>IF(NOTA[[#This Row],[CONCAT4]]="","",_xlfn.IFNA(MATCH(NOTA[[#This Row],[CONCAT4]],[2]!RAW[CONCAT_H],0),FALSE))</f>
        <v/>
      </c>
      <c r="AQ381" s="145" t="str">
        <f>IF(NOTA[[#This Row],[CONCAT1]]="","",MATCH(NOTA[[#This Row],[CONCAT1]],[3]!db[NB NOTA_C],0)+1)</f>
        <v/>
      </c>
    </row>
    <row r="382" spans="1:43" ht="20.100000000000001" customHeight="1" x14ac:dyDescent="0.25">
      <c r="A382" s="35">
        <f ca="1">IF(INDIRECT(ADDRESS(ROW()-1,COLUMN(NOTA[[#Headers],[ID]])))="ID",1,IF(NOTA[[#This Row],[FAKTUR]]="","",COUNT(INDIRECT(ADDRESS(ROW(NOTA[ID]),COLUMN(NOTA[ID]))&amp;":"&amp;ADDRESS(ROW()-1,COLUMN(NOTA[ID]))))+1))</f>
        <v>74</v>
      </c>
      <c r="B38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ATA_1505_405-7</v>
      </c>
      <c r="C382" s="36" t="e">
        <f ca="1">IF(NOTA[[#This Row],[ID_P]]="","",MATCH(NOTA[[#This Row],[ID_P]],[1]!B_MSK[N_ID],0))</f>
        <v>#REF!</v>
      </c>
      <c r="D382" s="36">
        <f ca="1">IF(NOTA[[#This Row],[NAMA BARANG]]="","",INDEX(NOTA[ID],MATCH(,INDIRECT(ADDRESS(ROW(NOTA[ID]),COLUMN(NOTA[ID]))&amp;":"&amp;ADDRESS(ROW(),COLUMN(NOTA[ID]))),-1)))</f>
        <v>74</v>
      </c>
      <c r="E382" s="14">
        <v>45061</v>
      </c>
      <c r="F382" s="16" t="s">
        <v>25</v>
      </c>
      <c r="G382" s="16" t="s">
        <v>24</v>
      </c>
      <c r="H382" s="20" t="s">
        <v>584</v>
      </c>
      <c r="I382" s="16"/>
      <c r="J382" s="37">
        <v>45057</v>
      </c>
      <c r="K382" s="16"/>
      <c r="L382" s="16" t="s">
        <v>594</v>
      </c>
      <c r="M382" s="28">
        <v>3</v>
      </c>
      <c r="N382" s="16">
        <v>108</v>
      </c>
      <c r="O382" s="16" t="s">
        <v>252</v>
      </c>
      <c r="P382" s="35">
        <v>41500</v>
      </c>
      <c r="Q382" s="38"/>
      <c r="R382" s="28" t="s">
        <v>585</v>
      </c>
      <c r="S382" s="39">
        <v>0.125</v>
      </c>
      <c r="T382" s="39">
        <v>0.05</v>
      </c>
      <c r="U382" s="40"/>
      <c r="V382" s="26"/>
      <c r="W382" s="40">
        <f>IF(NOTA[[#This Row],[HARGA/ CTN]]="",NOTA[[#This Row],[JUMLAH_H]],NOTA[[#This Row],[HARGA/ CTN]]*IF(NOTA[[#This Row],[C]]="",0,NOTA[[#This Row],[C]]))</f>
        <v>4482000</v>
      </c>
      <c r="X382" s="40">
        <f>IF(NOTA[[#This Row],[JUMLAH]]="","",NOTA[[#This Row],[JUMLAH]]*NOTA[[#This Row],[DISC 1]])</f>
        <v>560250</v>
      </c>
      <c r="Y382" s="40">
        <f>IF(NOTA[[#This Row],[JUMLAH]]="","",(NOTA[[#This Row],[JUMLAH]]-NOTA[[#This Row],[DISC 1-]])*NOTA[[#This Row],[DISC 2]])</f>
        <v>196087.5</v>
      </c>
      <c r="Z382" s="40">
        <f>IF(NOTA[[#This Row],[JUMLAH]]="","",NOTA[[#This Row],[DISC 1-]]+NOTA[[#This Row],[DISC 2-]])</f>
        <v>756337.5</v>
      </c>
      <c r="AA382" s="40">
        <f>IF(NOTA[[#This Row],[JUMLAH]]="","",NOTA[[#This Row],[JUMLAH]]-NOTA[[#This Row],[DISC]])</f>
        <v>3725662.5</v>
      </c>
      <c r="AB382" s="40"/>
      <c r="AC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3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382" s="40">
        <f>IF(OR(NOTA[[#This Row],[QTY]]="",NOTA[[#This Row],[HARGA SATUAN]]="",),"",NOTA[[#This Row],[QTY]]*NOTA[[#This Row],[HARGA SATUAN]])</f>
        <v>4482000</v>
      </c>
      <c r="AG382" s="37">
        <f ca="1">IF(NOTA[ID_H]="","",INDEX(NOTA[TANGGAL],MATCH(,INDIRECT(ADDRESS(ROW(NOTA[TANGGAL]),COLUMN(NOTA[TANGGAL]))&amp;":"&amp;ADDRESS(ROW(),COLUMN(NOTA[TANGGAL]))),-1)))</f>
        <v>45061</v>
      </c>
      <c r="AH382" s="35" t="str">
        <f ca="1">IF(NOTA[[#This Row],[NAMA BARANG]]="","",INDEX(NOTA[SUPPLIER],MATCH(,INDIRECT(ADDRESS(ROW(NOTA[ID]),COLUMN(NOTA[ID]))&amp;":"&amp;ADDRESS(ROW(),COLUMN(NOTA[ID]))),-1)))</f>
        <v>ATALI MAKMUR</v>
      </c>
      <c r="AI382" s="35" t="str">
        <f ca="1">IF(NOTA[[#This Row],[ID_H]]="","",IF(NOTA[[#This Row],[FAKTUR]]="",INDIRECT(ADDRESS(ROW()-1,COLUMN())),NOTA[[#This Row],[FAKTUR]]))</f>
        <v>ARTO MORO</v>
      </c>
      <c r="AJ382" s="27">
        <f ca="1">IF(NOTA[[#This Row],[ID]]="","",COUNTIF(NOTA[ID_H],NOTA[[#This Row],[ID_H]]))</f>
        <v>7</v>
      </c>
      <c r="AK382" s="27">
        <f>IF(NOTA[[#This Row],[TGL.NOTA]]="",IF(NOTA[[#This Row],[SUPPLIER_H]]="","",AK381),MONTH(NOTA[[#This Row],[TGL.NOTA]]))</f>
        <v>5</v>
      </c>
      <c r="AL382" s="27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3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3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382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MOROSA23050740545057oilpastelop36sppcaseseaworldjk</v>
      </c>
      <c r="AP382" s="27" t="e">
        <f>IF(NOTA[[#This Row],[CONCAT4]]="","",_xlfn.IFNA(MATCH(NOTA[[#This Row],[CONCAT4]],[2]!RAW[CONCAT_H],0),FALSE))</f>
        <v>#REF!</v>
      </c>
      <c r="AQ382" s="145">
        <f>IF(NOTA[[#This Row],[CONCAT1]]="","",MATCH(NOTA[[#This Row],[CONCAT1]],[3]!db[NB NOTA_C],0)+1)</f>
        <v>1707</v>
      </c>
    </row>
    <row r="383" spans="1:43" ht="20.100000000000001" customHeight="1" x14ac:dyDescent="0.25">
      <c r="A3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6" t="str">
        <f>IF(NOTA[[#This Row],[ID_P]]="","",MATCH(NOTA[[#This Row],[ID_P]],[1]!B_MSK[N_ID],0))</f>
        <v/>
      </c>
      <c r="D383" s="36">
        <f ca="1">IF(NOTA[[#This Row],[NAMA BARANG]]="","",INDEX(NOTA[ID],MATCH(,INDIRECT(ADDRESS(ROW(NOTA[ID]),COLUMN(NOTA[ID]))&amp;":"&amp;ADDRESS(ROW(),COLUMN(NOTA[ID]))),-1)))</f>
        <v>74</v>
      </c>
      <c r="E383" s="14"/>
      <c r="F383" s="16"/>
      <c r="G383" s="16"/>
      <c r="H383" s="20"/>
      <c r="I383" s="16"/>
      <c r="J383" s="37"/>
      <c r="K383" s="16"/>
      <c r="L383" s="16" t="s">
        <v>586</v>
      </c>
      <c r="M383" s="28">
        <v>2</v>
      </c>
      <c r="N383" s="16">
        <v>48</v>
      </c>
      <c r="O383" s="16" t="s">
        <v>252</v>
      </c>
      <c r="P383" s="35">
        <v>66900</v>
      </c>
      <c r="Q383" s="38"/>
      <c r="R383" s="28" t="s">
        <v>587</v>
      </c>
      <c r="S383" s="39">
        <v>0.125</v>
      </c>
      <c r="T383" s="39">
        <v>0.05</v>
      </c>
      <c r="U383" s="40"/>
      <c r="V383" s="26"/>
      <c r="W383" s="40">
        <f>IF(NOTA[[#This Row],[HARGA/ CTN]]="",NOTA[[#This Row],[JUMLAH_H]],NOTA[[#This Row],[HARGA/ CTN]]*IF(NOTA[[#This Row],[C]]="",0,NOTA[[#This Row],[C]]))</f>
        <v>3211200</v>
      </c>
      <c r="X383" s="40">
        <f>IF(NOTA[[#This Row],[JUMLAH]]="","",NOTA[[#This Row],[JUMLAH]]*NOTA[[#This Row],[DISC 1]])</f>
        <v>401400</v>
      </c>
      <c r="Y383" s="40">
        <f>IF(NOTA[[#This Row],[JUMLAH]]="","",(NOTA[[#This Row],[JUMLAH]]-NOTA[[#This Row],[DISC 1-]])*NOTA[[#This Row],[DISC 2]])</f>
        <v>140490</v>
      </c>
      <c r="Z383" s="40">
        <f>IF(NOTA[[#This Row],[JUMLAH]]="","",NOTA[[#This Row],[DISC 1-]]+NOTA[[#This Row],[DISC 2-]])</f>
        <v>541890</v>
      </c>
      <c r="AA383" s="40">
        <f>IF(NOTA[[#This Row],[JUMLAH]]="","",NOTA[[#This Row],[JUMLAH]]-NOTA[[#This Row],[DISC]])</f>
        <v>2669310</v>
      </c>
      <c r="AB383" s="40"/>
      <c r="AC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3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383" s="40">
        <f>IF(OR(NOTA[[#This Row],[QTY]]="",NOTA[[#This Row],[HARGA SATUAN]]="",),"",NOTA[[#This Row],[QTY]]*NOTA[[#This Row],[HARGA SATUAN]])</f>
        <v>3211200</v>
      </c>
      <c r="AG383" s="37">
        <f ca="1">IF(NOTA[ID_H]="","",INDEX(NOTA[TANGGAL],MATCH(,INDIRECT(ADDRESS(ROW(NOTA[TANGGAL]),COLUMN(NOTA[TANGGAL]))&amp;":"&amp;ADDRESS(ROW(),COLUMN(NOTA[TANGGAL]))),-1)))</f>
        <v>45061</v>
      </c>
      <c r="AH383" s="35" t="str">
        <f ca="1">IF(NOTA[[#This Row],[NAMA BARANG]]="","",INDEX(NOTA[SUPPLIER],MATCH(,INDIRECT(ADDRESS(ROW(NOTA[ID]),COLUMN(NOTA[ID]))&amp;":"&amp;ADDRESS(ROW(),COLUMN(NOTA[ID]))),-1)))</f>
        <v>ATALI MAKMUR</v>
      </c>
      <c r="AI383" s="35" t="str">
        <f ca="1">IF(NOTA[[#This Row],[ID_H]]="","",IF(NOTA[[#This Row],[FAKTUR]]="",INDIRECT(ADDRESS(ROW()-1,COLUMN())),NOTA[[#This Row],[FAKTUR]]))</f>
        <v>ARTO MORO</v>
      </c>
      <c r="AJ383" s="27" t="str">
        <f ca="1">IF(NOTA[[#This Row],[ID]]="","",COUNTIF(NOTA[ID_H],NOTA[[#This Row],[ID_H]]))</f>
        <v/>
      </c>
      <c r="AK383" s="27">
        <f ca="1">IF(NOTA[[#This Row],[TGL.NOTA]]="",IF(NOTA[[#This Row],[SUPPLIER_H]]="","",AK382),MONTH(NOTA[[#This Row],[TGL.NOTA]]))</f>
        <v>5</v>
      </c>
      <c r="AL383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3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3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3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27" t="str">
        <f>IF(NOTA[[#This Row],[CONCAT4]]="","",_xlfn.IFNA(MATCH(NOTA[[#This Row],[CONCAT4]],[2]!RAW[CONCAT_H],0),FALSE))</f>
        <v/>
      </c>
      <c r="AQ383" s="145">
        <f>IF(NOTA[[#This Row],[CONCAT1]]="","",MATCH(NOTA[[#This Row],[CONCAT1]],[3]!db[NB NOTA_C],0)+1)</f>
        <v>1709</v>
      </c>
    </row>
    <row r="384" spans="1:43" ht="20.100000000000001" customHeight="1" x14ac:dyDescent="0.25">
      <c r="A38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6" t="str">
        <f>IF(NOTA[[#This Row],[ID_P]]="","",MATCH(NOTA[[#This Row],[ID_P]],[1]!B_MSK[N_ID],0))</f>
        <v/>
      </c>
      <c r="D384" s="36">
        <f ca="1">IF(NOTA[[#This Row],[NAMA BARANG]]="","",INDEX(NOTA[ID],MATCH(,INDIRECT(ADDRESS(ROW(NOTA[ID]),COLUMN(NOTA[ID]))&amp;":"&amp;ADDRESS(ROW(),COLUMN(NOTA[ID]))),-1)))</f>
        <v>74</v>
      </c>
      <c r="E384" s="14"/>
      <c r="F384" s="16"/>
      <c r="G384" s="16"/>
      <c r="H384" s="20"/>
      <c r="I384" s="16"/>
      <c r="J384" s="37"/>
      <c r="K384" s="16"/>
      <c r="L384" s="16" t="s">
        <v>588</v>
      </c>
      <c r="M384" s="28"/>
      <c r="N384" s="16">
        <v>72</v>
      </c>
      <c r="O384" s="16" t="s">
        <v>160</v>
      </c>
      <c r="P384" s="35">
        <v>4800</v>
      </c>
      <c r="Q384" s="38"/>
      <c r="R384" s="28" t="s">
        <v>589</v>
      </c>
      <c r="S384" s="39">
        <v>0.125</v>
      </c>
      <c r="T384" s="39">
        <v>0.05</v>
      </c>
      <c r="U384" s="40"/>
      <c r="V384" s="26"/>
      <c r="W384" s="40">
        <f>IF(NOTA[[#This Row],[HARGA/ CTN]]="",NOTA[[#This Row],[JUMLAH_H]],NOTA[[#This Row],[HARGA/ CTN]]*IF(NOTA[[#This Row],[C]]="",0,NOTA[[#This Row],[C]]))</f>
        <v>345600</v>
      </c>
      <c r="X384" s="40">
        <f>IF(NOTA[[#This Row],[JUMLAH]]="","",NOTA[[#This Row],[JUMLAH]]*NOTA[[#This Row],[DISC 1]])</f>
        <v>43200</v>
      </c>
      <c r="Y384" s="40">
        <f>IF(NOTA[[#This Row],[JUMLAH]]="","",(NOTA[[#This Row],[JUMLAH]]-NOTA[[#This Row],[DISC 1-]])*NOTA[[#This Row],[DISC 2]])</f>
        <v>15120</v>
      </c>
      <c r="Z384" s="40">
        <f>IF(NOTA[[#This Row],[JUMLAH]]="","",NOTA[[#This Row],[DISC 1-]]+NOTA[[#This Row],[DISC 2-]])</f>
        <v>58320</v>
      </c>
      <c r="AA384" s="40">
        <f>IF(NOTA[[#This Row],[JUMLAH]]="","",NOTA[[#This Row],[JUMLAH]]-NOTA[[#This Row],[DISC]])</f>
        <v>287280</v>
      </c>
      <c r="AB384" s="40"/>
      <c r="AC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384" s="40">
        <f>IF(OR(NOTA[[#This Row],[QTY]]="",NOTA[[#This Row],[HARGA SATUAN]]="",),"",NOTA[[#This Row],[QTY]]*NOTA[[#This Row],[HARGA SATUAN]])</f>
        <v>345600</v>
      </c>
      <c r="AG384" s="37">
        <f ca="1">IF(NOTA[ID_H]="","",INDEX(NOTA[TANGGAL],MATCH(,INDIRECT(ADDRESS(ROW(NOTA[TANGGAL]),COLUMN(NOTA[TANGGAL]))&amp;":"&amp;ADDRESS(ROW(),COLUMN(NOTA[TANGGAL]))),-1)))</f>
        <v>45061</v>
      </c>
      <c r="AH384" s="35" t="str">
        <f ca="1">IF(NOTA[[#This Row],[NAMA BARANG]]="","",INDEX(NOTA[SUPPLIER],MATCH(,INDIRECT(ADDRESS(ROW(NOTA[ID]),COLUMN(NOTA[ID]))&amp;":"&amp;ADDRESS(ROW(),COLUMN(NOTA[ID]))),-1)))</f>
        <v>ATALI MAKMUR</v>
      </c>
      <c r="AI384" s="35" t="str">
        <f ca="1">IF(NOTA[[#This Row],[ID_H]]="","",IF(NOTA[[#This Row],[FAKTUR]]="",INDIRECT(ADDRESS(ROW()-1,COLUMN())),NOTA[[#This Row],[FAKTUR]]))</f>
        <v>ARTO MORO</v>
      </c>
      <c r="AJ384" s="27" t="str">
        <f ca="1">IF(NOTA[[#This Row],[ID]]="","",COUNTIF(NOTA[ID_H],NOTA[[#This Row],[ID_H]]))</f>
        <v/>
      </c>
      <c r="AK384" s="27">
        <f ca="1">IF(NOTA[[#This Row],[TGL.NOTA]]="",IF(NOTA[[#This Row],[SUPPLIER_H]]="","",AK383),MONTH(NOTA[[#This Row],[TGL.NOTA]]))</f>
        <v>5</v>
      </c>
      <c r="AL384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3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3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38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27" t="str">
        <f>IF(NOTA[[#This Row],[CONCAT4]]="","",_xlfn.IFNA(MATCH(NOTA[[#This Row],[CONCAT4]],[2]!RAW[CONCAT_H],0),FALSE))</f>
        <v/>
      </c>
      <c r="AQ384" s="145">
        <f>IF(NOTA[[#This Row],[CONCAT1]]="","",MATCH(NOTA[[#This Row],[CONCAT1]],[3]!db[NB NOTA_C],0)+1)</f>
        <v>1908</v>
      </c>
    </row>
    <row r="385" spans="1:43" ht="20.100000000000001" customHeight="1" x14ac:dyDescent="0.25">
      <c r="A3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6" t="str">
        <f>IF(NOTA[[#This Row],[ID_P]]="","",MATCH(NOTA[[#This Row],[ID_P]],[1]!B_MSK[N_ID],0))</f>
        <v/>
      </c>
      <c r="D385" s="36">
        <f ca="1">IF(NOTA[[#This Row],[NAMA BARANG]]="","",INDEX(NOTA[ID],MATCH(,INDIRECT(ADDRESS(ROW(NOTA[ID]),COLUMN(NOTA[ID]))&amp;":"&amp;ADDRESS(ROW(),COLUMN(NOTA[ID]))),-1)))</f>
        <v>74</v>
      </c>
      <c r="E385" s="14"/>
      <c r="F385" s="16"/>
      <c r="G385" s="16"/>
      <c r="H385" s="20"/>
      <c r="I385" s="16"/>
      <c r="J385" s="37"/>
      <c r="K385" s="16"/>
      <c r="L385" s="16" t="s">
        <v>590</v>
      </c>
      <c r="M385" s="28"/>
      <c r="N385" s="16">
        <v>72</v>
      </c>
      <c r="O385" s="16" t="s">
        <v>160</v>
      </c>
      <c r="P385" s="35">
        <v>4800</v>
      </c>
      <c r="Q385" s="38"/>
      <c r="R385" s="28" t="s">
        <v>593</v>
      </c>
      <c r="S385" s="39">
        <v>0.125</v>
      </c>
      <c r="T385" s="39">
        <v>0.05</v>
      </c>
      <c r="U385" s="40"/>
      <c r="V385" s="26"/>
      <c r="W385" s="40">
        <f>IF(NOTA[[#This Row],[HARGA/ CTN]]="",NOTA[[#This Row],[JUMLAH_H]],NOTA[[#This Row],[HARGA/ CTN]]*IF(NOTA[[#This Row],[C]]="",0,NOTA[[#This Row],[C]]))</f>
        <v>345600</v>
      </c>
      <c r="X385" s="40">
        <f>IF(NOTA[[#This Row],[JUMLAH]]="","",NOTA[[#This Row],[JUMLAH]]*NOTA[[#This Row],[DISC 1]])</f>
        <v>43200</v>
      </c>
      <c r="Y385" s="40">
        <f>IF(NOTA[[#This Row],[JUMLAH]]="","",(NOTA[[#This Row],[JUMLAH]]-NOTA[[#This Row],[DISC 1-]])*NOTA[[#This Row],[DISC 2]])</f>
        <v>15120</v>
      </c>
      <c r="Z385" s="40">
        <f>IF(NOTA[[#This Row],[JUMLAH]]="","",NOTA[[#This Row],[DISC 1-]]+NOTA[[#This Row],[DISC 2-]])</f>
        <v>58320</v>
      </c>
      <c r="AA385" s="40">
        <f>IF(NOTA[[#This Row],[JUMLAH]]="","",NOTA[[#This Row],[JUMLAH]]-NOTA[[#This Row],[DISC]])</f>
        <v>287280</v>
      </c>
      <c r="AB385" s="40"/>
      <c r="AC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385" s="40">
        <f>IF(OR(NOTA[[#This Row],[QTY]]="",NOTA[[#This Row],[HARGA SATUAN]]="",),"",NOTA[[#This Row],[QTY]]*NOTA[[#This Row],[HARGA SATUAN]])</f>
        <v>345600</v>
      </c>
      <c r="AG385" s="37">
        <f ca="1">IF(NOTA[ID_H]="","",INDEX(NOTA[TANGGAL],MATCH(,INDIRECT(ADDRESS(ROW(NOTA[TANGGAL]),COLUMN(NOTA[TANGGAL]))&amp;":"&amp;ADDRESS(ROW(),COLUMN(NOTA[TANGGAL]))),-1)))</f>
        <v>45061</v>
      </c>
      <c r="AH385" s="35" t="str">
        <f ca="1">IF(NOTA[[#This Row],[NAMA BARANG]]="","",INDEX(NOTA[SUPPLIER],MATCH(,INDIRECT(ADDRESS(ROW(NOTA[ID]),COLUMN(NOTA[ID]))&amp;":"&amp;ADDRESS(ROW(),COLUMN(NOTA[ID]))),-1)))</f>
        <v>ATALI MAKMUR</v>
      </c>
      <c r="AI385" s="35" t="str">
        <f ca="1">IF(NOTA[[#This Row],[ID_H]]="","",IF(NOTA[[#This Row],[FAKTUR]]="",INDIRECT(ADDRESS(ROW()-1,COLUMN())),NOTA[[#This Row],[FAKTUR]]))</f>
        <v>ARTO MORO</v>
      </c>
      <c r="AJ385" s="27" t="str">
        <f ca="1">IF(NOTA[[#This Row],[ID]]="","",COUNTIF(NOTA[ID_H],NOTA[[#This Row],[ID_H]]))</f>
        <v/>
      </c>
      <c r="AK385" s="27">
        <f ca="1">IF(NOTA[[#This Row],[TGL.NOTA]]="",IF(NOTA[[#This Row],[SUPPLIER_H]]="","",AK384),MONTH(NOTA[[#This Row],[TGL.NOTA]]))</f>
        <v>5</v>
      </c>
      <c r="AL385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3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3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3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27" t="str">
        <f>IF(NOTA[[#This Row],[CONCAT4]]="","",_xlfn.IFNA(MATCH(NOTA[[#This Row],[CONCAT4]],[2]!RAW[CONCAT_H],0),FALSE))</f>
        <v/>
      </c>
      <c r="AQ385" s="145">
        <f>IF(NOTA[[#This Row],[CONCAT1]]="","",MATCH(NOTA[[#This Row],[CONCAT1]],[3]!db[NB NOTA_C],0)+1)</f>
        <v>1909</v>
      </c>
    </row>
    <row r="386" spans="1:43" ht="20.100000000000001" customHeight="1" x14ac:dyDescent="0.25">
      <c r="A3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6" t="str">
        <f>IF(NOTA[[#This Row],[ID_P]]="","",MATCH(NOTA[[#This Row],[ID_P]],[1]!B_MSK[N_ID],0))</f>
        <v/>
      </c>
      <c r="D386" s="36">
        <f ca="1">IF(NOTA[[#This Row],[NAMA BARANG]]="","",INDEX(NOTA[ID],MATCH(,INDIRECT(ADDRESS(ROW(NOTA[ID]),COLUMN(NOTA[ID]))&amp;":"&amp;ADDRESS(ROW(),COLUMN(NOTA[ID]))),-1)))</f>
        <v>74</v>
      </c>
      <c r="E386" s="14"/>
      <c r="F386" s="16"/>
      <c r="G386" s="16"/>
      <c r="H386" s="20"/>
      <c r="I386" s="16"/>
      <c r="J386" s="37"/>
      <c r="K386" s="16"/>
      <c r="L386" s="16" t="s">
        <v>591</v>
      </c>
      <c r="M386" s="28"/>
      <c r="N386" s="16">
        <v>72</v>
      </c>
      <c r="O386" s="16" t="s">
        <v>160</v>
      </c>
      <c r="P386" s="35">
        <v>4800</v>
      </c>
      <c r="Q386" s="38"/>
      <c r="R386" s="28" t="s">
        <v>593</v>
      </c>
      <c r="S386" s="39">
        <v>0.125</v>
      </c>
      <c r="T386" s="39">
        <v>0.05</v>
      </c>
      <c r="U386" s="40"/>
      <c r="V386" s="26"/>
      <c r="W386" s="40">
        <f>IF(NOTA[[#This Row],[HARGA/ CTN]]="",NOTA[[#This Row],[JUMLAH_H]],NOTA[[#This Row],[HARGA/ CTN]]*IF(NOTA[[#This Row],[C]]="",0,NOTA[[#This Row],[C]]))</f>
        <v>345600</v>
      </c>
      <c r="X386" s="40">
        <f>IF(NOTA[[#This Row],[JUMLAH]]="","",NOTA[[#This Row],[JUMLAH]]*NOTA[[#This Row],[DISC 1]])</f>
        <v>43200</v>
      </c>
      <c r="Y386" s="40">
        <f>IF(NOTA[[#This Row],[JUMLAH]]="","",(NOTA[[#This Row],[JUMLAH]]-NOTA[[#This Row],[DISC 1-]])*NOTA[[#This Row],[DISC 2]])</f>
        <v>15120</v>
      </c>
      <c r="Z386" s="40">
        <f>IF(NOTA[[#This Row],[JUMLAH]]="","",NOTA[[#This Row],[DISC 1-]]+NOTA[[#This Row],[DISC 2-]])</f>
        <v>58320</v>
      </c>
      <c r="AA386" s="40">
        <f>IF(NOTA[[#This Row],[JUMLAH]]="","",NOTA[[#This Row],[JUMLAH]]-NOTA[[#This Row],[DISC]])</f>
        <v>287280</v>
      </c>
      <c r="AB386" s="40"/>
      <c r="AC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386" s="40">
        <f>IF(OR(NOTA[[#This Row],[QTY]]="",NOTA[[#This Row],[HARGA SATUAN]]="",),"",NOTA[[#This Row],[QTY]]*NOTA[[#This Row],[HARGA SATUAN]])</f>
        <v>345600</v>
      </c>
      <c r="AG386" s="37">
        <f ca="1">IF(NOTA[ID_H]="","",INDEX(NOTA[TANGGAL],MATCH(,INDIRECT(ADDRESS(ROW(NOTA[TANGGAL]),COLUMN(NOTA[TANGGAL]))&amp;":"&amp;ADDRESS(ROW(),COLUMN(NOTA[TANGGAL]))),-1)))</f>
        <v>45061</v>
      </c>
      <c r="AH386" s="35" t="str">
        <f ca="1">IF(NOTA[[#This Row],[NAMA BARANG]]="","",INDEX(NOTA[SUPPLIER],MATCH(,INDIRECT(ADDRESS(ROW(NOTA[ID]),COLUMN(NOTA[ID]))&amp;":"&amp;ADDRESS(ROW(),COLUMN(NOTA[ID]))),-1)))</f>
        <v>ATALI MAKMUR</v>
      </c>
      <c r="AI386" s="35" t="str">
        <f ca="1">IF(NOTA[[#This Row],[ID_H]]="","",IF(NOTA[[#This Row],[FAKTUR]]="",INDIRECT(ADDRESS(ROW()-1,COLUMN())),NOTA[[#This Row],[FAKTUR]]))</f>
        <v>ARTO MORO</v>
      </c>
      <c r="AJ386" s="27" t="str">
        <f ca="1">IF(NOTA[[#This Row],[ID]]="","",COUNTIF(NOTA[ID_H],NOTA[[#This Row],[ID_H]]))</f>
        <v/>
      </c>
      <c r="AK386" s="27">
        <f ca="1">IF(NOTA[[#This Row],[TGL.NOTA]]="",IF(NOTA[[#This Row],[SUPPLIER_H]]="","",AK385),MONTH(NOTA[[#This Row],[TGL.NOTA]]))</f>
        <v>5</v>
      </c>
      <c r="AL386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3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3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3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27" t="str">
        <f>IF(NOTA[[#This Row],[CONCAT4]]="","",_xlfn.IFNA(MATCH(NOTA[[#This Row],[CONCAT4]],[2]!RAW[CONCAT_H],0),FALSE))</f>
        <v/>
      </c>
      <c r="AQ386" s="145">
        <f>IF(NOTA[[#This Row],[CONCAT1]]="","",MATCH(NOTA[[#This Row],[CONCAT1]],[3]!db[NB NOTA_C],0)+1)</f>
        <v>1910</v>
      </c>
    </row>
    <row r="387" spans="1:43" ht="20.100000000000001" customHeight="1" x14ac:dyDescent="0.25">
      <c r="A3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6" t="str">
        <f>IF(NOTA[[#This Row],[ID_P]]="","",MATCH(NOTA[[#This Row],[ID_P]],[1]!B_MSK[N_ID],0))</f>
        <v/>
      </c>
      <c r="D387" s="36">
        <f ca="1">IF(NOTA[[#This Row],[NAMA BARANG]]="","",INDEX(NOTA[ID],MATCH(,INDIRECT(ADDRESS(ROW(NOTA[ID]),COLUMN(NOTA[ID]))&amp;":"&amp;ADDRESS(ROW(),COLUMN(NOTA[ID]))),-1)))</f>
        <v>74</v>
      </c>
      <c r="E387" s="14"/>
      <c r="F387" s="16"/>
      <c r="G387" s="16"/>
      <c r="H387" s="20"/>
      <c r="I387" s="16"/>
      <c r="J387" s="37"/>
      <c r="K387" s="16"/>
      <c r="L387" s="16" t="s">
        <v>592</v>
      </c>
      <c r="M387" s="28"/>
      <c r="N387" s="16">
        <v>72</v>
      </c>
      <c r="O387" s="16" t="s">
        <v>160</v>
      </c>
      <c r="P387" s="35">
        <v>4800</v>
      </c>
      <c r="Q387" s="38"/>
      <c r="R387" s="28" t="s">
        <v>593</v>
      </c>
      <c r="S387" s="39">
        <v>0.125</v>
      </c>
      <c r="T387" s="39">
        <v>0.05</v>
      </c>
      <c r="U387" s="40"/>
      <c r="V387" s="26"/>
      <c r="W387" s="40">
        <f>IF(NOTA[[#This Row],[HARGA/ CTN]]="",NOTA[[#This Row],[JUMLAH_H]],NOTA[[#This Row],[HARGA/ CTN]]*IF(NOTA[[#This Row],[C]]="",0,NOTA[[#This Row],[C]]))</f>
        <v>345600</v>
      </c>
      <c r="X387" s="40">
        <f>IF(NOTA[[#This Row],[JUMLAH]]="","",NOTA[[#This Row],[JUMLAH]]*NOTA[[#This Row],[DISC 1]])</f>
        <v>43200</v>
      </c>
      <c r="Y387" s="40">
        <f>IF(NOTA[[#This Row],[JUMLAH]]="","",(NOTA[[#This Row],[JUMLAH]]-NOTA[[#This Row],[DISC 1-]])*NOTA[[#This Row],[DISC 2]])</f>
        <v>15120</v>
      </c>
      <c r="Z387" s="40">
        <f>IF(NOTA[[#This Row],[JUMLAH]]="","",NOTA[[#This Row],[DISC 1-]]+NOTA[[#This Row],[DISC 2-]])</f>
        <v>58320</v>
      </c>
      <c r="AA387" s="40">
        <f>IF(NOTA[[#This Row],[JUMLAH]]="","",NOTA[[#This Row],[JUMLAH]]-NOTA[[#This Row],[DISC]])</f>
        <v>287280</v>
      </c>
      <c r="AB387" s="40"/>
      <c r="AC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3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387" s="40">
        <f>IF(OR(NOTA[[#This Row],[QTY]]="",NOTA[[#This Row],[HARGA SATUAN]]="",),"",NOTA[[#This Row],[QTY]]*NOTA[[#This Row],[HARGA SATUAN]])</f>
        <v>345600</v>
      </c>
      <c r="AG387" s="37">
        <f ca="1">IF(NOTA[ID_H]="","",INDEX(NOTA[TANGGAL],MATCH(,INDIRECT(ADDRESS(ROW(NOTA[TANGGAL]),COLUMN(NOTA[TANGGAL]))&amp;":"&amp;ADDRESS(ROW(),COLUMN(NOTA[TANGGAL]))),-1)))</f>
        <v>45061</v>
      </c>
      <c r="AH387" s="35" t="str">
        <f ca="1">IF(NOTA[[#This Row],[NAMA BARANG]]="","",INDEX(NOTA[SUPPLIER],MATCH(,INDIRECT(ADDRESS(ROW(NOTA[ID]),COLUMN(NOTA[ID]))&amp;":"&amp;ADDRESS(ROW(),COLUMN(NOTA[ID]))),-1)))</f>
        <v>ATALI MAKMUR</v>
      </c>
      <c r="AI387" s="35" t="str">
        <f ca="1">IF(NOTA[[#This Row],[ID_H]]="","",IF(NOTA[[#This Row],[FAKTUR]]="",INDIRECT(ADDRESS(ROW()-1,COLUMN())),NOTA[[#This Row],[FAKTUR]]))</f>
        <v>ARTO MORO</v>
      </c>
      <c r="AJ387" s="27" t="str">
        <f ca="1">IF(NOTA[[#This Row],[ID]]="","",COUNTIF(NOTA[ID_H],NOTA[[#This Row],[ID_H]]))</f>
        <v/>
      </c>
      <c r="AK387" s="27">
        <f ca="1">IF(NOTA[[#This Row],[TGL.NOTA]]="",IF(NOTA[[#This Row],[SUPPLIER_H]]="","",AK386),MONTH(NOTA[[#This Row],[TGL.NOTA]]))</f>
        <v>5</v>
      </c>
      <c r="AL387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3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3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3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27" t="str">
        <f>IF(NOTA[[#This Row],[CONCAT4]]="","",_xlfn.IFNA(MATCH(NOTA[[#This Row],[CONCAT4]],[2]!RAW[CONCAT_H],0),FALSE))</f>
        <v/>
      </c>
      <c r="AQ387" s="145">
        <f>IF(NOTA[[#This Row],[CONCAT1]]="","",MATCH(NOTA[[#This Row],[CONCAT1]],[3]!db[NB NOTA_C],0)+1)</f>
        <v>1911</v>
      </c>
    </row>
    <row r="388" spans="1:43" ht="20.100000000000001" customHeight="1" x14ac:dyDescent="0.25">
      <c r="A3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6" t="str">
        <f>IF(NOTA[[#This Row],[ID_P]]="","",MATCH(NOTA[[#This Row],[ID_P]],[1]!B_MSK[N_ID],0))</f>
        <v/>
      </c>
      <c r="D388" s="36">
        <f ca="1">IF(NOTA[[#This Row],[NAMA BARANG]]="","",INDEX(NOTA[ID],MATCH(,INDIRECT(ADDRESS(ROW(NOTA[ID]),COLUMN(NOTA[ID]))&amp;":"&amp;ADDRESS(ROW(),COLUMN(NOTA[ID]))),-1)))</f>
        <v>74</v>
      </c>
      <c r="E388" s="14"/>
      <c r="F388" s="16"/>
      <c r="G388" s="16"/>
      <c r="H388" s="20"/>
      <c r="I388" s="16"/>
      <c r="J388" s="37"/>
      <c r="K388" s="16"/>
      <c r="L388" s="16" t="s">
        <v>290</v>
      </c>
      <c r="M388" s="28">
        <v>3</v>
      </c>
      <c r="N388" s="16">
        <v>72</v>
      </c>
      <c r="O388" s="16" t="s">
        <v>160</v>
      </c>
      <c r="P388" s="35">
        <v>19000</v>
      </c>
      <c r="Q388" s="38"/>
      <c r="R388" s="28" t="s">
        <v>236</v>
      </c>
      <c r="S388" s="39">
        <v>0.125</v>
      </c>
      <c r="T388" s="39">
        <v>0.05</v>
      </c>
      <c r="U388" s="40"/>
      <c r="V388" s="26"/>
      <c r="W388" s="40">
        <f>IF(NOTA[[#This Row],[HARGA/ CTN]]="",NOTA[[#This Row],[JUMLAH_H]],NOTA[[#This Row],[HARGA/ CTN]]*IF(NOTA[[#This Row],[C]]="",0,NOTA[[#This Row],[C]]))</f>
        <v>1368000</v>
      </c>
      <c r="X388" s="40">
        <f>IF(NOTA[[#This Row],[JUMLAH]]="","",NOTA[[#This Row],[JUMLAH]]*NOTA[[#This Row],[DISC 1]])</f>
        <v>171000</v>
      </c>
      <c r="Y388" s="40">
        <f>IF(NOTA[[#This Row],[JUMLAH]]="","",(NOTA[[#This Row],[JUMLAH]]-NOTA[[#This Row],[DISC 1-]])*NOTA[[#This Row],[DISC 2]])</f>
        <v>59850</v>
      </c>
      <c r="Z388" s="40">
        <f>IF(NOTA[[#This Row],[JUMLAH]]="","",NOTA[[#This Row],[DISC 1-]]+NOTA[[#This Row],[DISC 2-]])</f>
        <v>230850</v>
      </c>
      <c r="AA388" s="40">
        <f>IF(NOTA[[#This Row],[JUMLAH]]="","",NOTA[[#This Row],[JUMLAH]]-NOTA[[#This Row],[DISC]])</f>
        <v>1137150</v>
      </c>
      <c r="AB388" s="40"/>
      <c r="AC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1762357.5</v>
      </c>
      <c r="AD38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8681242.5</v>
      </c>
      <c r="AE388" s="3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8" s="40">
        <f>IF(OR(NOTA[[#This Row],[QTY]]="",NOTA[[#This Row],[HARGA SATUAN]]="",),"",NOTA[[#This Row],[QTY]]*NOTA[[#This Row],[HARGA SATUAN]])</f>
        <v>1368000</v>
      </c>
      <c r="AG388" s="37">
        <f ca="1">IF(NOTA[ID_H]="","",INDEX(NOTA[TANGGAL],MATCH(,INDIRECT(ADDRESS(ROW(NOTA[TANGGAL]),COLUMN(NOTA[TANGGAL]))&amp;":"&amp;ADDRESS(ROW(),COLUMN(NOTA[TANGGAL]))),-1)))</f>
        <v>45061</v>
      </c>
      <c r="AH388" s="35" t="str">
        <f ca="1">IF(NOTA[[#This Row],[NAMA BARANG]]="","",INDEX(NOTA[SUPPLIER],MATCH(,INDIRECT(ADDRESS(ROW(NOTA[ID]),COLUMN(NOTA[ID]))&amp;":"&amp;ADDRESS(ROW(),COLUMN(NOTA[ID]))),-1)))</f>
        <v>ATALI MAKMUR</v>
      </c>
      <c r="AI388" s="35" t="str">
        <f ca="1">IF(NOTA[[#This Row],[ID_H]]="","",IF(NOTA[[#This Row],[FAKTUR]]="",INDIRECT(ADDRESS(ROW()-1,COLUMN())),NOTA[[#This Row],[FAKTUR]]))</f>
        <v>ARTO MORO</v>
      </c>
      <c r="AJ388" s="27" t="str">
        <f ca="1">IF(NOTA[[#This Row],[ID]]="","",COUNTIF(NOTA[ID_H],NOTA[[#This Row],[ID_H]]))</f>
        <v/>
      </c>
      <c r="AK388" s="27">
        <f ca="1">IF(NOTA[[#This Row],[TGL.NOTA]]="",IF(NOTA[[#This Row],[SUPPLIER_H]]="","",AK387),MONTH(NOTA[[#This Row],[TGL.NOTA]]))</f>
        <v>5</v>
      </c>
      <c r="AL388" s="27" t="str">
        <f>LOWER(SUBSTITUTE(SUBSTITUTE(SUBSTITUTE(SUBSTITUTE(SUBSTITUTE(SUBSTITUTE(SUBSTITUTE(SUBSTITUTE(SUBSTITUTE(NOTA[NAMA BARANG]," ",),".",""),"-",""),"(",""),")",""),",",""),"/",""),"""",""),"+",""))</f>
        <v>tapecuttertd103jk</v>
      </c>
      <c r="AM3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3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3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27" t="str">
        <f>IF(NOTA[[#This Row],[CONCAT4]]="","",_xlfn.IFNA(MATCH(NOTA[[#This Row],[CONCAT4]],[2]!RAW[CONCAT_H],0),FALSE))</f>
        <v/>
      </c>
      <c r="AQ388" s="145">
        <f>IF(NOTA[[#This Row],[CONCAT1]]="","",MATCH(NOTA[[#This Row],[CONCAT1]],[3]!db[NB NOTA_C],0)+1)</f>
        <v>2219</v>
      </c>
    </row>
    <row r="389" spans="1:43" ht="20.100000000000001" customHeight="1" x14ac:dyDescent="0.25">
      <c r="A3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6" t="str">
        <f>IF(NOTA[[#This Row],[ID_P]]="","",MATCH(NOTA[[#This Row],[ID_P]],[1]!B_MSK[N_ID],0))</f>
        <v/>
      </c>
      <c r="D389" s="36" t="str">
        <f ca="1">IF(NOTA[[#This Row],[NAMA BARANG]]="","",INDEX(NOTA[ID],MATCH(,INDIRECT(ADDRESS(ROW(NOTA[ID]),COLUMN(NOTA[ID]))&amp;":"&amp;ADDRESS(ROW(),COLUMN(NOTA[ID]))),-1)))</f>
        <v/>
      </c>
      <c r="E389" s="14"/>
      <c r="F389" s="16"/>
      <c r="G389" s="16"/>
      <c r="H389" s="20"/>
      <c r="I389" s="16"/>
      <c r="J389" s="37"/>
      <c r="K389" s="16"/>
      <c r="L389" s="16"/>
      <c r="M389" s="28"/>
      <c r="N389" s="16"/>
      <c r="O389" s="16"/>
      <c r="P389" s="35"/>
      <c r="Q389" s="38"/>
      <c r="R389" s="28"/>
      <c r="S389" s="39"/>
      <c r="T389" s="39"/>
      <c r="U389" s="40"/>
      <c r="V389" s="26"/>
      <c r="W389" s="40" t="str">
        <f>IF(NOTA[[#This Row],[HARGA/ CTN]]="",NOTA[[#This Row],[JUMLAH_H]],NOTA[[#This Row],[HARGA/ CTN]]*IF(NOTA[[#This Row],[C]]="",0,NOTA[[#This Row],[C]]))</f>
        <v/>
      </c>
      <c r="X389" s="40" t="str">
        <f>IF(NOTA[[#This Row],[JUMLAH]]="","",NOTA[[#This Row],[JUMLAH]]*NOTA[[#This Row],[DISC 1]])</f>
        <v/>
      </c>
      <c r="Y389" s="40" t="str">
        <f>IF(NOTA[[#This Row],[JUMLAH]]="","",(NOTA[[#This Row],[JUMLAH]]-NOTA[[#This Row],[DISC 1-]])*NOTA[[#This Row],[DISC 2]])</f>
        <v/>
      </c>
      <c r="Z389" s="40" t="str">
        <f>IF(NOTA[[#This Row],[JUMLAH]]="","",NOTA[[#This Row],[DISC 1-]]+NOTA[[#This Row],[DISC 2-]])</f>
        <v/>
      </c>
      <c r="AA389" s="40" t="str">
        <f>IF(NOTA[[#This Row],[JUMLAH]]="","",NOTA[[#This Row],[JUMLAH]]-NOTA[[#This Row],[DISC]])</f>
        <v/>
      </c>
      <c r="AB389" s="40"/>
      <c r="AC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40" t="str">
        <f>IF(OR(NOTA[[#This Row],[QTY]]="",NOTA[[#This Row],[HARGA SATUAN]]="",),"",NOTA[[#This Row],[QTY]]*NOTA[[#This Row],[HARGA SATUAN]])</f>
        <v/>
      </c>
      <c r="AG389" s="37" t="str">
        <f ca="1">IF(NOTA[ID_H]="","",INDEX(NOTA[TANGGAL],MATCH(,INDIRECT(ADDRESS(ROW(NOTA[TANGGAL]),COLUMN(NOTA[TANGGAL]))&amp;":"&amp;ADDRESS(ROW(),COLUMN(NOTA[TANGGAL]))),-1)))</f>
        <v/>
      </c>
      <c r="AH389" s="35" t="str">
        <f ca="1">IF(NOTA[[#This Row],[NAMA BARANG]]="","",INDEX(NOTA[SUPPLIER],MATCH(,INDIRECT(ADDRESS(ROW(NOTA[ID]),COLUMN(NOTA[ID]))&amp;":"&amp;ADDRESS(ROW(),COLUMN(NOTA[ID]))),-1)))</f>
        <v/>
      </c>
      <c r="AI389" s="35" t="str">
        <f ca="1">IF(NOTA[[#This Row],[ID_H]]="","",IF(NOTA[[#This Row],[FAKTUR]]="",INDIRECT(ADDRESS(ROW()-1,COLUMN())),NOTA[[#This Row],[FAKTUR]]))</f>
        <v/>
      </c>
      <c r="AJ389" s="27" t="str">
        <f ca="1">IF(NOTA[[#This Row],[ID]]="","",COUNTIF(NOTA[ID_H],NOTA[[#This Row],[ID_H]]))</f>
        <v/>
      </c>
      <c r="AK389" s="27" t="str">
        <f ca="1">IF(NOTA[[#This Row],[TGL.NOTA]]="",IF(NOTA[[#This Row],[SUPPLIER_H]]="","",AK388),MONTH(NOTA[[#This Row],[TGL.NOTA]]))</f>
        <v/>
      </c>
      <c r="AL389" s="27" t="str">
        <f>LOWER(SUBSTITUTE(SUBSTITUTE(SUBSTITUTE(SUBSTITUTE(SUBSTITUTE(SUBSTITUTE(SUBSTITUTE(SUBSTITUTE(SUBSTITUTE(NOTA[NAMA BARANG]," ",),".",""),"-",""),"(",""),")",""),",",""),"/",""),"""",""),"+",""))</f>
        <v/>
      </c>
      <c r="AM3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27" t="str">
        <f>IF(NOTA[[#This Row],[CONCAT4]]="","",_xlfn.IFNA(MATCH(NOTA[[#This Row],[CONCAT4]],[2]!RAW[CONCAT_H],0),FALSE))</f>
        <v/>
      </c>
      <c r="AQ389" s="145" t="str">
        <f>IF(NOTA[[#This Row],[CONCAT1]]="","",MATCH(NOTA[[#This Row],[CONCAT1]],[3]!db[NB NOTA_C],0)+1)</f>
        <v/>
      </c>
    </row>
    <row r="390" spans="1:43" ht="20.100000000000001" customHeight="1" x14ac:dyDescent="0.25">
      <c r="A390" s="35">
        <f ca="1">IF(INDIRECT(ADDRESS(ROW()-1,COLUMN(NOTA[[#Headers],[ID]])))="ID",1,IF(NOTA[[#This Row],[FAKTUR]]="","",COUNT(INDIRECT(ADDRESS(ROW(NOTA[ID]),COLUMN(NOTA[ID]))&amp;":"&amp;ADDRESS(ROW()-1,COLUMN(NOTA[ID]))))+1))</f>
        <v>75</v>
      </c>
      <c r="B39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ATA_1505_301-3</v>
      </c>
      <c r="C390" s="36" t="e">
        <f ca="1">IF(NOTA[[#This Row],[ID_P]]="","",MATCH(NOTA[[#This Row],[ID_P]],[1]!B_MSK[N_ID],0))</f>
        <v>#REF!</v>
      </c>
      <c r="D390" s="36">
        <f ca="1">IF(NOTA[[#This Row],[NAMA BARANG]]="","",INDEX(NOTA[ID],MATCH(,INDIRECT(ADDRESS(ROW(NOTA[ID]),COLUMN(NOTA[ID]))&amp;":"&amp;ADDRESS(ROW(),COLUMN(NOTA[ID]))),-1)))</f>
        <v>75</v>
      </c>
      <c r="E390" s="14"/>
      <c r="F390" s="16" t="s">
        <v>25</v>
      </c>
      <c r="G390" s="16" t="s">
        <v>24</v>
      </c>
      <c r="H390" s="20" t="s">
        <v>595</v>
      </c>
      <c r="I390" s="16"/>
      <c r="J390" s="37">
        <v>45056</v>
      </c>
      <c r="K390" s="16"/>
      <c r="L390" s="16" t="s">
        <v>612</v>
      </c>
      <c r="M390" s="28">
        <v>1</v>
      </c>
      <c r="N390" s="16">
        <v>144</v>
      </c>
      <c r="O390" s="16" t="s">
        <v>146</v>
      </c>
      <c r="P390" s="35">
        <v>27600</v>
      </c>
      <c r="Q390" s="38"/>
      <c r="R390" s="28" t="s">
        <v>293</v>
      </c>
      <c r="S390" s="39">
        <v>0.125</v>
      </c>
      <c r="T390" s="39">
        <v>0.05</v>
      </c>
      <c r="U390" s="40"/>
      <c r="V390" s="26"/>
      <c r="W390" s="40">
        <f>IF(NOTA[[#This Row],[HARGA/ CTN]]="",NOTA[[#This Row],[JUMLAH_H]],NOTA[[#This Row],[HARGA/ CTN]]*IF(NOTA[[#This Row],[C]]="",0,NOTA[[#This Row],[C]]))</f>
        <v>3974400</v>
      </c>
      <c r="X390" s="40">
        <f>IF(NOTA[[#This Row],[JUMLAH]]="","",NOTA[[#This Row],[JUMLAH]]*NOTA[[#This Row],[DISC 1]])</f>
        <v>496800</v>
      </c>
      <c r="Y390" s="40">
        <f>IF(NOTA[[#This Row],[JUMLAH]]="","",(NOTA[[#This Row],[JUMLAH]]-NOTA[[#This Row],[DISC 1-]])*NOTA[[#This Row],[DISC 2]])</f>
        <v>173880</v>
      </c>
      <c r="Z390" s="40">
        <f>IF(NOTA[[#This Row],[JUMLAH]]="","",NOTA[[#This Row],[DISC 1-]]+NOTA[[#This Row],[DISC 2-]])</f>
        <v>670680</v>
      </c>
      <c r="AA390" s="40">
        <f>IF(NOTA[[#This Row],[JUMLAH]]="","",NOTA[[#This Row],[JUMLAH]]-NOTA[[#This Row],[DISC]])</f>
        <v>3303720</v>
      </c>
      <c r="AB390" s="40"/>
      <c r="AC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3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390" s="40">
        <f>IF(OR(NOTA[[#This Row],[QTY]]="",NOTA[[#This Row],[HARGA SATUAN]]="",),"",NOTA[[#This Row],[QTY]]*NOTA[[#This Row],[HARGA SATUAN]])</f>
        <v>3974400</v>
      </c>
      <c r="AG390" s="37">
        <f ca="1">IF(NOTA[ID_H]="","",INDEX(NOTA[TANGGAL],MATCH(,INDIRECT(ADDRESS(ROW(NOTA[TANGGAL]),COLUMN(NOTA[TANGGAL]))&amp;":"&amp;ADDRESS(ROW(),COLUMN(NOTA[TANGGAL]))),-1)))</f>
        <v>45061</v>
      </c>
      <c r="AH390" s="35" t="str">
        <f ca="1">IF(NOTA[[#This Row],[NAMA BARANG]]="","",INDEX(NOTA[SUPPLIER],MATCH(,INDIRECT(ADDRESS(ROW(NOTA[ID]),COLUMN(NOTA[ID]))&amp;":"&amp;ADDRESS(ROW(),COLUMN(NOTA[ID]))),-1)))</f>
        <v>ATALI MAKMUR</v>
      </c>
      <c r="AI390" s="35" t="str">
        <f ca="1">IF(NOTA[[#This Row],[ID_H]]="","",IF(NOTA[[#This Row],[FAKTUR]]="",INDIRECT(ADDRESS(ROW()-1,COLUMN())),NOTA[[#This Row],[FAKTUR]]))</f>
        <v>ARTO MORO</v>
      </c>
      <c r="AJ390" s="27">
        <f ca="1">IF(NOTA[[#This Row],[ID]]="","",COUNTIF(NOTA[ID_H],NOTA[[#This Row],[ID_H]]))</f>
        <v>3</v>
      </c>
      <c r="AK390" s="27">
        <f>IF(NOTA[[#This Row],[TGL.NOTA]]="",IF(NOTA[[#This Row],[SUPPLIER_H]]="","",AK389),MONTH(NOTA[[#This Row],[TGL.NOTA]]))</f>
        <v>5</v>
      </c>
      <c r="AL390" s="27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3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3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39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MOROSA23050730145056gelpengp266itech2blackjk</v>
      </c>
      <c r="AP390" s="27" t="e">
        <f>IF(NOTA[[#This Row],[CONCAT4]]="","",_xlfn.IFNA(MATCH(NOTA[[#This Row],[CONCAT4]],[2]!RAW[CONCAT_H],0),FALSE))</f>
        <v>#REF!</v>
      </c>
      <c r="AQ390" s="145">
        <f>IF(NOTA[[#This Row],[CONCAT1]]="","",MATCH(NOTA[[#This Row],[CONCAT1]],[3]!db[NB NOTA_C],0)+1)</f>
        <v>803</v>
      </c>
    </row>
    <row r="391" spans="1:43" ht="20.100000000000001" customHeight="1" x14ac:dyDescent="0.25">
      <c r="A3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6" t="str">
        <f>IF(NOTA[[#This Row],[ID_P]]="","",MATCH(NOTA[[#This Row],[ID_P]],[1]!B_MSK[N_ID],0))</f>
        <v/>
      </c>
      <c r="D391" s="36">
        <f ca="1">IF(NOTA[[#This Row],[NAMA BARANG]]="","",INDEX(NOTA[ID],MATCH(,INDIRECT(ADDRESS(ROW(NOTA[ID]),COLUMN(NOTA[ID]))&amp;":"&amp;ADDRESS(ROW(),COLUMN(NOTA[ID]))),-1)))</f>
        <v>75</v>
      </c>
      <c r="E391" s="14"/>
      <c r="F391" s="16"/>
      <c r="G391" s="16"/>
      <c r="H391" s="130"/>
      <c r="I391" s="129"/>
      <c r="J391" s="131"/>
      <c r="K391" s="16"/>
      <c r="L391" s="16" t="s">
        <v>613</v>
      </c>
      <c r="M391" s="132">
        <v>1</v>
      </c>
      <c r="N391" s="129">
        <v>288</v>
      </c>
      <c r="O391" s="16" t="s">
        <v>596</v>
      </c>
      <c r="P391" s="133">
        <v>3100</v>
      </c>
      <c r="Q391" s="134"/>
      <c r="R391" s="28" t="s">
        <v>597</v>
      </c>
      <c r="S391" s="39">
        <v>0.125</v>
      </c>
      <c r="T391" s="39">
        <v>0.05</v>
      </c>
      <c r="U391" s="40"/>
      <c r="V391" s="26"/>
      <c r="W391" s="40">
        <f>IF(NOTA[[#This Row],[HARGA/ CTN]]="",NOTA[[#This Row],[JUMLAH_H]],NOTA[[#This Row],[HARGA/ CTN]]*IF(NOTA[[#This Row],[C]]="",0,NOTA[[#This Row],[C]]))</f>
        <v>892800</v>
      </c>
      <c r="X391" s="40">
        <f>IF(NOTA[[#This Row],[JUMLAH]]="","",NOTA[[#This Row],[JUMLAH]]*NOTA[[#This Row],[DISC 1]])</f>
        <v>111600</v>
      </c>
      <c r="Y391" s="40">
        <f>IF(NOTA[[#This Row],[JUMLAH]]="","",(NOTA[[#This Row],[JUMLAH]]-NOTA[[#This Row],[DISC 1-]])*NOTA[[#This Row],[DISC 2]])</f>
        <v>39060</v>
      </c>
      <c r="Z391" s="40">
        <f>IF(NOTA[[#This Row],[JUMLAH]]="","",NOTA[[#This Row],[DISC 1-]]+NOTA[[#This Row],[DISC 2-]])</f>
        <v>150660</v>
      </c>
      <c r="AA391" s="40">
        <f>IF(NOTA[[#This Row],[JUMLAH]]="","",NOTA[[#This Row],[JUMLAH]]-NOTA[[#This Row],[DISC]])</f>
        <v>742140</v>
      </c>
      <c r="AB391" s="40"/>
      <c r="AC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3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91" s="40">
        <f>IF(OR(NOTA[[#This Row],[QTY]]="",NOTA[[#This Row],[HARGA SATUAN]]="",),"",NOTA[[#This Row],[QTY]]*NOTA[[#This Row],[HARGA SATUAN]])</f>
        <v>892800</v>
      </c>
      <c r="AG391" s="37">
        <f ca="1">IF(NOTA[ID_H]="","",INDEX(NOTA[TANGGAL],MATCH(,INDIRECT(ADDRESS(ROW(NOTA[TANGGAL]),COLUMN(NOTA[TANGGAL]))&amp;":"&amp;ADDRESS(ROW(),COLUMN(NOTA[TANGGAL]))),-1)))</f>
        <v>45061</v>
      </c>
      <c r="AH391" s="35" t="str">
        <f ca="1">IF(NOTA[[#This Row],[NAMA BARANG]]="","",INDEX(NOTA[SUPPLIER],MATCH(,INDIRECT(ADDRESS(ROW(NOTA[ID]),COLUMN(NOTA[ID]))&amp;":"&amp;ADDRESS(ROW(),COLUMN(NOTA[ID]))),-1)))</f>
        <v>ATALI MAKMUR</v>
      </c>
      <c r="AI391" s="35" t="str">
        <f ca="1">IF(NOTA[[#This Row],[ID_H]]="","",IF(NOTA[[#This Row],[FAKTUR]]="",INDIRECT(ADDRESS(ROW()-1,COLUMN())),NOTA[[#This Row],[FAKTUR]]))</f>
        <v>ARTO MORO</v>
      </c>
      <c r="AJ391" s="27" t="str">
        <f ca="1">IF(NOTA[[#This Row],[ID]]="","",COUNTIF(NOTA[ID_H],NOTA[[#This Row],[ID_H]]))</f>
        <v/>
      </c>
      <c r="AK391" s="27">
        <f ca="1">IF(NOTA[[#This Row],[TGL.NOTA]]="",IF(NOTA[[#This Row],[SUPPLIER_H]]="","",AK390),MONTH(NOTA[[#This Row],[TGL.NOTA]]))</f>
        <v>5</v>
      </c>
      <c r="AL391" s="27" t="str">
        <f>LOWER(SUBSTITUTE(SUBSTITUTE(SUBSTITUTE(SUBSTITUTE(SUBSTITUTE(SUBSTITUTE(SUBSTITUTE(SUBSTITUTE(SUBSTITUTE(NOTA[NAMA BARANG]," ",),".",""),"-",""),"(",""),")",""),",",""),"/",""),"""",""),"+",""))</f>
        <v>paperclipc3100jk</v>
      </c>
      <c r="AM3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3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3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27" t="str">
        <f>IF(NOTA[[#This Row],[CONCAT4]]="","",_xlfn.IFNA(MATCH(NOTA[[#This Row],[CONCAT4]],[2]!RAW[CONCAT_H],0),FALSE))</f>
        <v/>
      </c>
      <c r="AQ391" s="145">
        <f>IF(NOTA[[#This Row],[CONCAT1]]="","",MATCH(NOTA[[#This Row],[CONCAT1]],[3]!db[NB NOTA_C],0)+1)</f>
        <v>1780</v>
      </c>
    </row>
    <row r="392" spans="1:43" ht="20.100000000000001" customHeight="1" x14ac:dyDescent="0.25">
      <c r="A3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6" t="str">
        <f>IF(NOTA[[#This Row],[ID_P]]="","",MATCH(NOTA[[#This Row],[ID_P]],[1]!B_MSK[N_ID],0))</f>
        <v/>
      </c>
      <c r="D392" s="36">
        <f ca="1">IF(NOTA[[#This Row],[NAMA BARANG]]="","",INDEX(NOTA[ID],MATCH(,INDIRECT(ADDRESS(ROW(NOTA[ID]),COLUMN(NOTA[ID]))&amp;":"&amp;ADDRESS(ROW(),COLUMN(NOTA[ID]))),-1)))</f>
        <v>75</v>
      </c>
      <c r="E392" s="14"/>
      <c r="F392" s="129"/>
      <c r="G392" s="129"/>
      <c r="H392" s="130"/>
      <c r="I392" s="129"/>
      <c r="J392" s="131"/>
      <c r="K392" s="129"/>
      <c r="L392" s="16" t="s">
        <v>598</v>
      </c>
      <c r="M392" s="132">
        <v>1</v>
      </c>
      <c r="N392" s="129">
        <v>25</v>
      </c>
      <c r="O392" s="16" t="s">
        <v>146</v>
      </c>
      <c r="P392" s="133">
        <v>70800</v>
      </c>
      <c r="Q392" s="134"/>
      <c r="R392" s="28" t="s">
        <v>599</v>
      </c>
      <c r="S392" s="39">
        <v>0.125</v>
      </c>
      <c r="T392" s="39">
        <v>0.05</v>
      </c>
      <c r="U392" s="40"/>
      <c r="V392" s="26"/>
      <c r="W392" s="40">
        <f>IF(NOTA[[#This Row],[HARGA/ CTN]]="",NOTA[[#This Row],[JUMLAH_H]],NOTA[[#This Row],[HARGA/ CTN]]*IF(NOTA[[#This Row],[C]]="",0,NOTA[[#This Row],[C]]))</f>
        <v>1770000</v>
      </c>
      <c r="X392" s="40">
        <f>IF(NOTA[[#This Row],[JUMLAH]]="","",NOTA[[#This Row],[JUMLAH]]*NOTA[[#This Row],[DISC 1]])</f>
        <v>221250</v>
      </c>
      <c r="Y392" s="40">
        <f>IF(NOTA[[#This Row],[JUMLAH]]="","",(NOTA[[#This Row],[JUMLAH]]-NOTA[[#This Row],[DISC 1-]])*NOTA[[#This Row],[DISC 2]])</f>
        <v>77437.5</v>
      </c>
      <c r="Z392" s="40">
        <f>IF(NOTA[[#This Row],[JUMLAH]]="","",NOTA[[#This Row],[DISC 1-]]+NOTA[[#This Row],[DISC 2-]])</f>
        <v>298687.5</v>
      </c>
      <c r="AA392" s="40">
        <f>IF(NOTA[[#This Row],[JUMLAH]]="","",NOTA[[#This Row],[JUMLAH]]-NOTA[[#This Row],[DISC]])</f>
        <v>1471312.5</v>
      </c>
      <c r="AB392" s="40"/>
      <c r="AC3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1120027.5</v>
      </c>
      <c r="AD39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5517172.5</v>
      </c>
      <c r="AE392" s="3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392" s="40">
        <f>IF(OR(NOTA[[#This Row],[QTY]]="",NOTA[[#This Row],[HARGA SATUAN]]="",),"",NOTA[[#This Row],[QTY]]*NOTA[[#This Row],[HARGA SATUAN]])</f>
        <v>1770000</v>
      </c>
      <c r="AG392" s="37">
        <f ca="1">IF(NOTA[ID_H]="","",INDEX(NOTA[TANGGAL],MATCH(,INDIRECT(ADDRESS(ROW(NOTA[TANGGAL]),COLUMN(NOTA[TANGGAL]))&amp;":"&amp;ADDRESS(ROW(),COLUMN(NOTA[TANGGAL]))),-1)))</f>
        <v>45061</v>
      </c>
      <c r="AH392" s="35" t="str">
        <f ca="1">IF(NOTA[[#This Row],[NAMA BARANG]]="","",INDEX(NOTA[SUPPLIER],MATCH(,INDIRECT(ADDRESS(ROW(NOTA[ID]),COLUMN(NOTA[ID]))&amp;":"&amp;ADDRESS(ROW(),COLUMN(NOTA[ID]))),-1)))</f>
        <v>ATALI MAKMUR</v>
      </c>
      <c r="AI392" s="35" t="str">
        <f ca="1">IF(NOTA[[#This Row],[ID_H]]="","",IF(NOTA[[#This Row],[FAKTUR]]="",INDIRECT(ADDRESS(ROW()-1,COLUMN())),NOTA[[#This Row],[FAKTUR]]))</f>
        <v>ARTO MORO</v>
      </c>
      <c r="AJ392" s="27" t="str">
        <f ca="1">IF(NOTA[[#This Row],[ID]]="","",COUNTIF(NOTA[ID_H],NOTA[[#This Row],[ID_H]]))</f>
        <v/>
      </c>
      <c r="AK392" s="27">
        <f ca="1">IF(NOTA[[#This Row],[TGL.NOTA]]="",IF(NOTA[[#This Row],[SUPPLIER_H]]="","",AK391),MONTH(NOTA[[#This Row],[TGL.NOTA]]))</f>
        <v>5</v>
      </c>
      <c r="AL392" s="27" t="str">
        <f>LOWER(SUBSTITUTE(SUBSTITUTE(SUBSTITUTE(SUBSTITUTE(SUBSTITUTE(SUBSTITUTE(SUBSTITUTE(SUBSTITUTE(SUBSTITUTE(NOTA[NAMA BARANG]," ",),".",""),"-",""),"(",""),")",""),",",""),"/",""),"""",""),"+",""))</f>
        <v>staplerhd10mjk</v>
      </c>
      <c r="AM3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staplerhd10mjk17700000.1250.05</v>
      </c>
      <c r="AN3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staplerhd10mjk17700000.1250.05</v>
      </c>
      <c r="AO3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27" t="str">
        <f>IF(NOTA[[#This Row],[CONCAT4]]="","",_xlfn.IFNA(MATCH(NOTA[[#This Row],[CONCAT4]],[2]!RAW[CONCAT_H],0),FALSE))</f>
        <v/>
      </c>
      <c r="AQ392" s="145">
        <f>IF(NOTA[[#This Row],[CONCAT1]]="","",MATCH(NOTA[[#This Row],[CONCAT1]],[3]!db[NB NOTA_C],0)+1)</f>
        <v>2173</v>
      </c>
    </row>
    <row r="393" spans="1:43" ht="20.100000000000001" customHeight="1" x14ac:dyDescent="0.25">
      <c r="A3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6" t="str">
        <f>IF(NOTA[[#This Row],[ID_P]]="","",MATCH(NOTA[[#This Row],[ID_P]],[1]!B_MSK[N_ID],0))</f>
        <v/>
      </c>
      <c r="D393" s="36" t="str">
        <f ca="1">IF(NOTA[[#This Row],[NAMA BARANG]]="","",INDEX(NOTA[ID],MATCH(,INDIRECT(ADDRESS(ROW(NOTA[ID]),COLUMN(NOTA[ID]))&amp;":"&amp;ADDRESS(ROW(),COLUMN(NOTA[ID]))),-1)))</f>
        <v/>
      </c>
      <c r="E393" s="14"/>
      <c r="F393" s="16"/>
      <c r="G393" s="16"/>
      <c r="H393" s="20"/>
      <c r="I393" s="16"/>
      <c r="J393" s="37"/>
      <c r="K393" s="16"/>
      <c r="L393" s="16"/>
      <c r="M393" s="28"/>
      <c r="N393" s="16"/>
      <c r="O393" s="16"/>
      <c r="P393" s="35"/>
      <c r="Q393" s="38"/>
      <c r="R393" s="28"/>
      <c r="S393" s="39"/>
      <c r="T393" s="39"/>
      <c r="U393" s="40"/>
      <c r="V393" s="26"/>
      <c r="W393" s="40" t="str">
        <f>IF(NOTA[[#This Row],[HARGA/ CTN]]="",NOTA[[#This Row],[JUMLAH_H]],NOTA[[#This Row],[HARGA/ CTN]]*IF(NOTA[[#This Row],[C]]="",0,NOTA[[#This Row],[C]]))</f>
        <v/>
      </c>
      <c r="X393" s="40" t="str">
        <f>IF(NOTA[[#This Row],[JUMLAH]]="","",NOTA[[#This Row],[JUMLAH]]*NOTA[[#This Row],[DISC 1]])</f>
        <v/>
      </c>
      <c r="Y393" s="40" t="str">
        <f>IF(NOTA[[#This Row],[JUMLAH]]="","",(NOTA[[#This Row],[JUMLAH]]-NOTA[[#This Row],[DISC 1-]])*NOTA[[#This Row],[DISC 2]])</f>
        <v/>
      </c>
      <c r="Z393" s="40" t="str">
        <f>IF(NOTA[[#This Row],[JUMLAH]]="","",NOTA[[#This Row],[DISC 1-]]+NOTA[[#This Row],[DISC 2-]])</f>
        <v/>
      </c>
      <c r="AA393" s="40" t="str">
        <f>IF(NOTA[[#This Row],[JUMLAH]]="","",NOTA[[#This Row],[JUMLAH]]-NOTA[[#This Row],[DISC]])</f>
        <v/>
      </c>
      <c r="AB393" s="40"/>
      <c r="AC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40" t="str">
        <f>IF(OR(NOTA[[#This Row],[QTY]]="",NOTA[[#This Row],[HARGA SATUAN]]="",),"",NOTA[[#This Row],[QTY]]*NOTA[[#This Row],[HARGA SATUAN]])</f>
        <v/>
      </c>
      <c r="AG393" s="37" t="str">
        <f ca="1">IF(NOTA[ID_H]="","",INDEX(NOTA[TANGGAL],MATCH(,INDIRECT(ADDRESS(ROW(NOTA[TANGGAL]),COLUMN(NOTA[TANGGAL]))&amp;":"&amp;ADDRESS(ROW(),COLUMN(NOTA[TANGGAL]))),-1)))</f>
        <v/>
      </c>
      <c r="AH393" s="35" t="str">
        <f ca="1">IF(NOTA[[#This Row],[NAMA BARANG]]="","",INDEX(NOTA[SUPPLIER],MATCH(,INDIRECT(ADDRESS(ROW(NOTA[ID]),COLUMN(NOTA[ID]))&amp;":"&amp;ADDRESS(ROW(),COLUMN(NOTA[ID]))),-1)))</f>
        <v/>
      </c>
      <c r="AI393" s="35" t="str">
        <f ca="1">IF(NOTA[[#This Row],[ID_H]]="","",IF(NOTA[[#This Row],[FAKTUR]]="",INDIRECT(ADDRESS(ROW()-1,COLUMN())),NOTA[[#This Row],[FAKTUR]]))</f>
        <v/>
      </c>
      <c r="AJ393" s="27" t="str">
        <f ca="1">IF(NOTA[[#This Row],[ID]]="","",COUNTIF(NOTA[ID_H],NOTA[[#This Row],[ID_H]]))</f>
        <v/>
      </c>
      <c r="AK393" s="27" t="str">
        <f ca="1">IF(NOTA[[#This Row],[TGL.NOTA]]="",IF(NOTA[[#This Row],[SUPPLIER_H]]="","",AK392),MONTH(NOTA[[#This Row],[TGL.NOTA]]))</f>
        <v/>
      </c>
      <c r="AL393" s="27" t="str">
        <f>LOWER(SUBSTITUTE(SUBSTITUTE(SUBSTITUTE(SUBSTITUTE(SUBSTITUTE(SUBSTITUTE(SUBSTITUTE(SUBSTITUTE(SUBSTITUTE(NOTA[NAMA BARANG]," ",),".",""),"-",""),"(",""),")",""),",",""),"/",""),"""",""),"+",""))</f>
        <v/>
      </c>
      <c r="AM3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27" t="str">
        <f>IF(NOTA[[#This Row],[CONCAT4]]="","",_xlfn.IFNA(MATCH(NOTA[[#This Row],[CONCAT4]],[2]!RAW[CONCAT_H],0),FALSE))</f>
        <v/>
      </c>
      <c r="AQ393" s="145" t="str">
        <f>IF(NOTA[[#This Row],[CONCAT1]]="","",MATCH(NOTA[[#This Row],[CONCAT1]],[3]!db[NB NOTA_C],0)+1)</f>
        <v/>
      </c>
    </row>
    <row r="394" spans="1:43" ht="20.100000000000001" customHeight="1" x14ac:dyDescent="0.25">
      <c r="A394" s="35">
        <f ca="1">IF(INDIRECT(ADDRESS(ROW()-1,COLUMN(NOTA[[#Headers],[ID]])))="ID",1,IF(NOTA[[#This Row],[FAKTUR]]="","",COUNT(INDIRECT(ADDRESS(ROW(NOTA[ID]),COLUMN(NOTA[ID]))&amp;":"&amp;ADDRESS(ROW()-1,COLUMN(NOTA[ID]))))+1))</f>
        <v>76</v>
      </c>
      <c r="B39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ATA_1505_451-11</v>
      </c>
      <c r="C394" s="36" t="e">
        <f ca="1">IF(NOTA[[#This Row],[ID_P]]="","",MATCH(NOTA[[#This Row],[ID_P]],[1]!B_MSK[N_ID],0))</f>
        <v>#REF!</v>
      </c>
      <c r="D394" s="36">
        <f ca="1">IF(NOTA[[#This Row],[NAMA BARANG]]="","",INDEX(NOTA[ID],MATCH(,INDIRECT(ADDRESS(ROW(NOTA[ID]),COLUMN(NOTA[ID]))&amp;":"&amp;ADDRESS(ROW(),COLUMN(NOTA[ID]))),-1)))</f>
        <v>76</v>
      </c>
      <c r="E394" s="14"/>
      <c r="F394" s="16" t="s">
        <v>25</v>
      </c>
      <c r="G394" s="16" t="s">
        <v>24</v>
      </c>
      <c r="H394" s="20" t="s">
        <v>600</v>
      </c>
      <c r="I394" s="16"/>
      <c r="J394" s="37">
        <v>45057</v>
      </c>
      <c r="K394" s="16"/>
      <c r="L394" s="16" t="s">
        <v>633</v>
      </c>
      <c r="M394" s="28">
        <v>1</v>
      </c>
      <c r="N394" s="16">
        <v>60</v>
      </c>
      <c r="O394" s="16" t="s">
        <v>160</v>
      </c>
      <c r="P394" s="35">
        <v>20800</v>
      </c>
      <c r="Q394" s="38"/>
      <c r="R394" s="28" t="s">
        <v>601</v>
      </c>
      <c r="S394" s="39">
        <v>0.125</v>
      </c>
      <c r="T394" s="39">
        <v>0.05</v>
      </c>
      <c r="U394" s="40"/>
      <c r="V394" s="26"/>
      <c r="W394" s="40">
        <f>IF(NOTA[[#This Row],[HARGA/ CTN]]="",NOTA[[#This Row],[JUMLAH_H]],NOTA[[#This Row],[HARGA/ CTN]]*IF(NOTA[[#This Row],[C]]="",0,NOTA[[#This Row],[C]]))</f>
        <v>1248000</v>
      </c>
      <c r="X394" s="40">
        <f>IF(NOTA[[#This Row],[JUMLAH]]="","",NOTA[[#This Row],[JUMLAH]]*NOTA[[#This Row],[DISC 1]])</f>
        <v>156000</v>
      </c>
      <c r="Y394" s="40">
        <f>IF(NOTA[[#This Row],[JUMLAH]]="","",(NOTA[[#This Row],[JUMLAH]]-NOTA[[#This Row],[DISC 1-]])*NOTA[[#This Row],[DISC 2]])</f>
        <v>54600</v>
      </c>
      <c r="Z394" s="40">
        <f>IF(NOTA[[#This Row],[JUMLAH]]="","",NOTA[[#This Row],[DISC 1-]]+NOTA[[#This Row],[DISC 2-]])</f>
        <v>210600</v>
      </c>
      <c r="AA394" s="40">
        <f>IF(NOTA[[#This Row],[JUMLAH]]="","",NOTA[[#This Row],[JUMLAH]]-NOTA[[#This Row],[DISC]])</f>
        <v>1037400</v>
      </c>
      <c r="AB394" s="40"/>
      <c r="AC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35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F394" s="40">
        <f>IF(OR(NOTA[[#This Row],[QTY]]="",NOTA[[#This Row],[HARGA SATUAN]]="",),"",NOTA[[#This Row],[QTY]]*NOTA[[#This Row],[HARGA SATUAN]])</f>
        <v>1248000</v>
      </c>
      <c r="AG394" s="37">
        <f ca="1">IF(NOTA[ID_H]="","",INDEX(NOTA[TANGGAL],MATCH(,INDIRECT(ADDRESS(ROW(NOTA[TANGGAL]),COLUMN(NOTA[TANGGAL]))&amp;":"&amp;ADDRESS(ROW(),COLUMN(NOTA[TANGGAL]))),-1)))</f>
        <v>45061</v>
      </c>
      <c r="AH394" s="35" t="str">
        <f ca="1">IF(NOTA[[#This Row],[NAMA BARANG]]="","",INDEX(NOTA[SUPPLIER],MATCH(,INDIRECT(ADDRESS(ROW(NOTA[ID]),COLUMN(NOTA[ID]))&amp;":"&amp;ADDRESS(ROW(),COLUMN(NOTA[ID]))),-1)))</f>
        <v>ATALI MAKMUR</v>
      </c>
      <c r="AI394" s="35" t="str">
        <f ca="1">IF(NOTA[[#This Row],[ID_H]]="","",IF(NOTA[[#This Row],[FAKTUR]]="",INDIRECT(ADDRESS(ROW()-1,COLUMN())),NOTA[[#This Row],[FAKTUR]]))</f>
        <v>ARTO MORO</v>
      </c>
      <c r="AJ394" s="27">
        <f ca="1">IF(NOTA[[#This Row],[ID]]="","",COUNTIF(NOTA[ID_H],NOTA[[#This Row],[ID_H]]))</f>
        <v>11</v>
      </c>
      <c r="AK394" s="27">
        <f>IF(NOTA[[#This Row],[TGL.NOTA]]="",IF(NOTA[[#This Row],[SUPPLIER_H]]="","",AK393),MONTH(NOTA[[#This Row],[TGL.NOTA]]))</f>
        <v>5</v>
      </c>
      <c r="AL394" s="27" t="str">
        <f>LOWER(SUBSTITUTE(SUBSTITUTE(SUBSTITUTE(SUBSTITUTE(SUBSTITUTE(SUBSTITUTE(SUBSTITUTE(SUBSTITUTE(SUBSTITUTE(NOTA[NAMA BARANG]," ",),".",""),"-",""),"(",""),")",""),",",""),"/",""),"""",""),"+",""))</f>
        <v>bukutamugb2833r5batikjk</v>
      </c>
      <c r="AM3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bukutamugb2833r5batikjk12480000.1250.05</v>
      </c>
      <c r="AN3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bukutamugb2833r5batikjk12480000.1250.05</v>
      </c>
      <c r="AO394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MOROSA23050745145057bukutamugb2833r5batikjk</v>
      </c>
      <c r="AP394" s="27" t="e">
        <f>IF(NOTA[[#This Row],[CONCAT4]]="","",_xlfn.IFNA(MATCH(NOTA[[#This Row],[CONCAT4]],[2]!RAW[CONCAT_H],0),FALSE))</f>
        <v>#REF!</v>
      </c>
      <c r="AQ394" s="145">
        <f>IF(NOTA[[#This Row],[CONCAT1]]="","",MATCH(NOTA[[#This Row],[CONCAT1]],[3]!db[NB NOTA_C],0)+1)</f>
        <v>410</v>
      </c>
    </row>
    <row r="395" spans="1:43" ht="20.100000000000001" customHeight="1" x14ac:dyDescent="0.25">
      <c r="A39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6" t="str">
        <f>IF(NOTA[[#This Row],[ID_P]]="","",MATCH(NOTA[[#This Row],[ID_P]],[1]!B_MSK[N_ID],0))</f>
        <v/>
      </c>
      <c r="D395" s="36">
        <f ca="1">IF(NOTA[[#This Row],[NAMA BARANG]]="","",INDEX(NOTA[ID],MATCH(,INDIRECT(ADDRESS(ROW(NOTA[ID]),COLUMN(NOTA[ID]))&amp;":"&amp;ADDRESS(ROW(),COLUMN(NOTA[ID]))),-1)))</f>
        <v>76</v>
      </c>
      <c r="E395" s="14"/>
      <c r="F395" s="16"/>
      <c r="G395" s="16"/>
      <c r="H395" s="20"/>
      <c r="I395" s="16"/>
      <c r="J395" s="37"/>
      <c r="K395" s="16"/>
      <c r="L395" s="16" t="s">
        <v>602</v>
      </c>
      <c r="M395" s="28">
        <v>1</v>
      </c>
      <c r="N395" s="16">
        <v>144</v>
      </c>
      <c r="O395" s="16" t="s">
        <v>146</v>
      </c>
      <c r="P395" s="35">
        <v>19800</v>
      </c>
      <c r="Q395" s="38"/>
      <c r="R395" s="28" t="s">
        <v>502</v>
      </c>
      <c r="S395" s="39">
        <v>0.125</v>
      </c>
      <c r="T395" s="39">
        <v>0.05</v>
      </c>
      <c r="U395" s="40"/>
      <c r="V395" s="26"/>
      <c r="W395" s="40">
        <f>IF(NOTA[[#This Row],[HARGA/ CTN]]="",NOTA[[#This Row],[JUMLAH_H]],NOTA[[#This Row],[HARGA/ CTN]]*IF(NOTA[[#This Row],[C]]="",0,NOTA[[#This Row],[C]]))</f>
        <v>2851200</v>
      </c>
      <c r="X395" s="40">
        <f>IF(NOTA[[#This Row],[JUMLAH]]="","",NOTA[[#This Row],[JUMLAH]]*NOTA[[#This Row],[DISC 1]])</f>
        <v>356400</v>
      </c>
      <c r="Y395" s="40">
        <f>IF(NOTA[[#This Row],[JUMLAH]]="","",(NOTA[[#This Row],[JUMLAH]]-NOTA[[#This Row],[DISC 1-]])*NOTA[[#This Row],[DISC 2]])</f>
        <v>124740</v>
      </c>
      <c r="Z395" s="40">
        <f>IF(NOTA[[#This Row],[JUMLAH]]="","",NOTA[[#This Row],[DISC 1-]]+NOTA[[#This Row],[DISC 2-]])</f>
        <v>481140</v>
      </c>
      <c r="AA395" s="40">
        <f>IF(NOTA[[#This Row],[JUMLAH]]="","",NOTA[[#This Row],[JUMLAH]]-NOTA[[#This Row],[DISC]])</f>
        <v>2370060</v>
      </c>
      <c r="AB395" s="40"/>
      <c r="AC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3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395" s="40">
        <f>IF(OR(NOTA[[#This Row],[QTY]]="",NOTA[[#This Row],[HARGA SATUAN]]="",),"",NOTA[[#This Row],[QTY]]*NOTA[[#This Row],[HARGA SATUAN]])</f>
        <v>2851200</v>
      </c>
      <c r="AG395" s="37">
        <f ca="1">IF(NOTA[ID_H]="","",INDEX(NOTA[TANGGAL],MATCH(,INDIRECT(ADDRESS(ROW(NOTA[TANGGAL]),COLUMN(NOTA[TANGGAL]))&amp;":"&amp;ADDRESS(ROW(),COLUMN(NOTA[TANGGAL]))),-1)))</f>
        <v>45061</v>
      </c>
      <c r="AH395" s="35" t="str">
        <f ca="1">IF(NOTA[[#This Row],[NAMA BARANG]]="","",INDEX(NOTA[SUPPLIER],MATCH(,INDIRECT(ADDRESS(ROW(NOTA[ID]),COLUMN(NOTA[ID]))&amp;":"&amp;ADDRESS(ROW(),COLUMN(NOTA[ID]))),-1)))</f>
        <v>ATALI MAKMUR</v>
      </c>
      <c r="AI395" s="35" t="str">
        <f ca="1">IF(NOTA[[#This Row],[ID_H]]="","",IF(NOTA[[#This Row],[FAKTUR]]="",INDIRECT(ADDRESS(ROW()-1,COLUMN())),NOTA[[#This Row],[FAKTUR]]))</f>
        <v>ARTO MORO</v>
      </c>
      <c r="AJ395" s="27" t="str">
        <f ca="1">IF(NOTA[[#This Row],[ID]]="","",COUNTIF(NOTA[ID_H],NOTA[[#This Row],[ID_H]]))</f>
        <v/>
      </c>
      <c r="AK395" s="27">
        <f ca="1">IF(NOTA[[#This Row],[TGL.NOTA]]="",IF(NOTA[[#This Row],[SUPPLIER_H]]="","",AK394),MONTH(NOTA[[#This Row],[TGL.NOTA]]))</f>
        <v>5</v>
      </c>
      <c r="AL395" s="27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3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3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3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27" t="str">
        <f>IF(NOTA[[#This Row],[CONCAT4]]="","",_xlfn.IFNA(MATCH(NOTA[[#This Row],[CONCAT4]],[2]!RAW[CONCAT_H],0),FALSE))</f>
        <v/>
      </c>
      <c r="AQ395" s="145">
        <f>IF(NOTA[[#This Row],[CONCAT1]]="","",MATCH(NOTA[[#This Row],[CONCAT1]],[3]!db[NB NOTA_C],0)+1)</f>
        <v>1923</v>
      </c>
    </row>
    <row r="396" spans="1:43" ht="20.100000000000001" customHeight="1" x14ac:dyDescent="0.25">
      <c r="A3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6" t="str">
        <f>IF(NOTA[[#This Row],[ID_P]]="","",MATCH(NOTA[[#This Row],[ID_P]],[1]!B_MSK[N_ID],0))</f>
        <v/>
      </c>
      <c r="D396" s="36">
        <f ca="1">IF(NOTA[[#This Row],[NAMA BARANG]]="","",INDEX(NOTA[ID],MATCH(,INDIRECT(ADDRESS(ROW(NOTA[ID]),COLUMN(NOTA[ID]))&amp;":"&amp;ADDRESS(ROW(),COLUMN(NOTA[ID]))),-1)))</f>
        <v>76</v>
      </c>
      <c r="E396" s="14"/>
      <c r="F396" s="16"/>
      <c r="G396" s="16"/>
      <c r="H396" s="20"/>
      <c r="I396" s="16"/>
      <c r="J396" s="37"/>
      <c r="K396" s="16"/>
      <c r="L396" s="16" t="s">
        <v>514</v>
      </c>
      <c r="M396" s="28">
        <v>1</v>
      </c>
      <c r="N396" s="16">
        <v>144</v>
      </c>
      <c r="O396" s="16" t="s">
        <v>160</v>
      </c>
      <c r="P396" s="35">
        <v>6500</v>
      </c>
      <c r="Q396" s="38"/>
      <c r="R396" s="28" t="s">
        <v>502</v>
      </c>
      <c r="S396" s="39">
        <v>0.125</v>
      </c>
      <c r="T396" s="39">
        <v>0.05</v>
      </c>
      <c r="U396" s="40"/>
      <c r="V396" s="26"/>
      <c r="W396" s="40">
        <f>IF(NOTA[[#This Row],[HARGA/ CTN]]="",NOTA[[#This Row],[JUMLAH_H]],NOTA[[#This Row],[HARGA/ CTN]]*IF(NOTA[[#This Row],[C]]="",0,NOTA[[#This Row],[C]]))</f>
        <v>936000</v>
      </c>
      <c r="X396" s="40">
        <f>IF(NOTA[[#This Row],[JUMLAH]]="","",NOTA[[#This Row],[JUMLAH]]*NOTA[[#This Row],[DISC 1]])</f>
        <v>117000</v>
      </c>
      <c r="Y396" s="40">
        <f>IF(NOTA[[#This Row],[JUMLAH]]="","",(NOTA[[#This Row],[JUMLAH]]-NOTA[[#This Row],[DISC 1-]])*NOTA[[#This Row],[DISC 2]])</f>
        <v>40950</v>
      </c>
      <c r="Z396" s="40">
        <f>IF(NOTA[[#This Row],[JUMLAH]]="","",NOTA[[#This Row],[DISC 1-]]+NOTA[[#This Row],[DISC 2-]])</f>
        <v>157950</v>
      </c>
      <c r="AA396" s="40">
        <f>IF(NOTA[[#This Row],[JUMLAH]]="","",NOTA[[#This Row],[JUMLAH]]-NOTA[[#This Row],[DISC]])</f>
        <v>778050</v>
      </c>
      <c r="AB396" s="40"/>
      <c r="AC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396" s="40">
        <f>IF(OR(NOTA[[#This Row],[QTY]]="",NOTA[[#This Row],[HARGA SATUAN]]="",),"",NOTA[[#This Row],[QTY]]*NOTA[[#This Row],[HARGA SATUAN]])</f>
        <v>936000</v>
      </c>
      <c r="AG396" s="37">
        <f ca="1">IF(NOTA[ID_H]="","",INDEX(NOTA[TANGGAL],MATCH(,INDIRECT(ADDRESS(ROW(NOTA[TANGGAL]),COLUMN(NOTA[TANGGAL]))&amp;":"&amp;ADDRESS(ROW(),COLUMN(NOTA[TANGGAL]))),-1)))</f>
        <v>45061</v>
      </c>
      <c r="AH396" s="35" t="str">
        <f ca="1">IF(NOTA[[#This Row],[NAMA BARANG]]="","",INDEX(NOTA[SUPPLIER],MATCH(,INDIRECT(ADDRESS(ROW(NOTA[ID]),COLUMN(NOTA[ID]))&amp;":"&amp;ADDRESS(ROW(),COLUMN(NOTA[ID]))),-1)))</f>
        <v>ATALI MAKMUR</v>
      </c>
      <c r="AI396" s="35" t="str">
        <f ca="1">IF(NOTA[[#This Row],[ID_H]]="","",IF(NOTA[[#This Row],[FAKTUR]]="",INDIRECT(ADDRESS(ROW()-1,COLUMN())),NOTA[[#This Row],[FAKTUR]]))</f>
        <v>ARTO MORO</v>
      </c>
      <c r="AJ396" s="27" t="str">
        <f ca="1">IF(NOTA[[#This Row],[ID]]="","",COUNTIF(NOTA[ID_H],NOTA[[#This Row],[ID_H]]))</f>
        <v/>
      </c>
      <c r="AK396" s="27">
        <f ca="1">IF(NOTA[[#This Row],[TGL.NOTA]]="",IF(NOTA[[#This Row],[SUPPLIER_H]]="","",AK395),MONTH(NOTA[[#This Row],[TGL.NOTA]]))</f>
        <v>5</v>
      </c>
      <c r="AL396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3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3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3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27" t="str">
        <f>IF(NOTA[[#This Row],[CONCAT4]]="","",_xlfn.IFNA(MATCH(NOTA[[#This Row],[CONCAT4]],[2]!RAW[CONCAT_H],0),FALSE))</f>
        <v/>
      </c>
      <c r="AQ396" s="145">
        <f>IF(NOTA[[#This Row],[CONCAT1]]="","",MATCH(NOTA[[#This Row],[CONCAT1]],[3]!db[NB NOTA_C],0)+1)</f>
        <v>2112</v>
      </c>
    </row>
    <row r="397" spans="1:43" ht="20.100000000000001" customHeight="1" x14ac:dyDescent="0.25">
      <c r="A3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6" t="str">
        <f>IF(NOTA[[#This Row],[ID_P]]="","",MATCH(NOTA[[#This Row],[ID_P]],[1]!B_MSK[N_ID],0))</f>
        <v/>
      </c>
      <c r="D397" s="36">
        <f ca="1">IF(NOTA[[#This Row],[NAMA BARANG]]="","",INDEX(NOTA[ID],MATCH(,INDIRECT(ADDRESS(ROW(NOTA[ID]),COLUMN(NOTA[ID]))&amp;":"&amp;ADDRESS(ROW(),COLUMN(NOTA[ID]))),-1)))</f>
        <v>76</v>
      </c>
      <c r="E397" s="14"/>
      <c r="F397" s="16"/>
      <c r="G397" s="16"/>
      <c r="H397" s="20"/>
      <c r="I397" s="16"/>
      <c r="J397" s="37"/>
      <c r="K397" s="16"/>
      <c r="L397" s="16" t="s">
        <v>611</v>
      </c>
      <c r="M397" s="28">
        <v>2</v>
      </c>
      <c r="N397" s="16">
        <v>72</v>
      </c>
      <c r="O397" s="16" t="s">
        <v>146</v>
      </c>
      <c r="P397" s="35">
        <v>34200</v>
      </c>
      <c r="Q397" s="38"/>
      <c r="R397" s="28" t="s">
        <v>603</v>
      </c>
      <c r="S397" s="39">
        <v>0.125</v>
      </c>
      <c r="T397" s="39">
        <v>0.05</v>
      </c>
      <c r="U397" s="40"/>
      <c r="V397" s="26"/>
      <c r="W397" s="40">
        <f>IF(NOTA[[#This Row],[HARGA/ CTN]]="",NOTA[[#This Row],[JUMLAH_H]],NOTA[[#This Row],[HARGA/ CTN]]*IF(NOTA[[#This Row],[C]]="",0,NOTA[[#This Row],[C]]))</f>
        <v>2462400</v>
      </c>
      <c r="X397" s="40">
        <f>IF(NOTA[[#This Row],[JUMLAH]]="","",NOTA[[#This Row],[JUMLAH]]*NOTA[[#This Row],[DISC 1]])</f>
        <v>307800</v>
      </c>
      <c r="Y397" s="40">
        <f>IF(NOTA[[#This Row],[JUMLAH]]="","",(NOTA[[#This Row],[JUMLAH]]-NOTA[[#This Row],[DISC 1-]])*NOTA[[#This Row],[DISC 2]])</f>
        <v>107730</v>
      </c>
      <c r="Z397" s="40">
        <f>IF(NOTA[[#This Row],[JUMLAH]]="","",NOTA[[#This Row],[DISC 1-]]+NOTA[[#This Row],[DISC 2-]])</f>
        <v>415530</v>
      </c>
      <c r="AA397" s="40">
        <f>IF(NOTA[[#This Row],[JUMLAH]]="","",NOTA[[#This Row],[JUMLAH]]-NOTA[[#This Row],[DISC]])</f>
        <v>2046870</v>
      </c>
      <c r="AB397" s="40"/>
      <c r="AC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3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97" s="40">
        <f>IF(OR(NOTA[[#This Row],[QTY]]="",NOTA[[#This Row],[HARGA SATUAN]]="",),"",NOTA[[#This Row],[QTY]]*NOTA[[#This Row],[HARGA SATUAN]])</f>
        <v>2462400</v>
      </c>
      <c r="AG397" s="37">
        <f ca="1">IF(NOTA[ID_H]="","",INDEX(NOTA[TANGGAL],MATCH(,INDIRECT(ADDRESS(ROW(NOTA[TANGGAL]),COLUMN(NOTA[TANGGAL]))&amp;":"&amp;ADDRESS(ROW(),COLUMN(NOTA[TANGGAL]))),-1)))</f>
        <v>45061</v>
      </c>
      <c r="AH397" s="35" t="str">
        <f ca="1">IF(NOTA[[#This Row],[NAMA BARANG]]="","",INDEX(NOTA[SUPPLIER],MATCH(,INDIRECT(ADDRESS(ROW(NOTA[ID]),COLUMN(NOTA[ID]))&amp;":"&amp;ADDRESS(ROW(),COLUMN(NOTA[ID]))),-1)))</f>
        <v>ATALI MAKMUR</v>
      </c>
      <c r="AI397" s="35" t="str">
        <f ca="1">IF(NOTA[[#This Row],[ID_H]]="","",IF(NOTA[[#This Row],[FAKTUR]]="",INDIRECT(ADDRESS(ROW()-1,COLUMN())),NOTA[[#This Row],[FAKTUR]]))</f>
        <v>ARTO MORO</v>
      </c>
      <c r="AJ397" s="27" t="str">
        <f ca="1">IF(NOTA[[#This Row],[ID]]="","",COUNTIF(NOTA[ID_H],NOTA[[#This Row],[ID_H]]))</f>
        <v/>
      </c>
      <c r="AK397" s="27">
        <f ca="1">IF(NOTA[[#This Row],[TGL.NOTA]]="",IF(NOTA[[#This Row],[SUPPLIER_H]]="","",AK396),MONTH(NOTA[[#This Row],[TGL.NOTA]]))</f>
        <v>5</v>
      </c>
      <c r="AL397" s="27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M3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N3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O3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27" t="str">
        <f>IF(NOTA[[#This Row],[CONCAT4]]="","",_xlfn.IFNA(MATCH(NOTA[[#This Row],[CONCAT4]],[2]!RAW[CONCAT_H],0),FALSE))</f>
        <v/>
      </c>
      <c r="AQ397" s="145">
        <f>IF(NOTA[[#This Row],[CONCAT1]]="","",MATCH(NOTA[[#This Row],[CONCAT1]],[3]!db[NB NOTA_C],0)+1)</f>
        <v>555</v>
      </c>
    </row>
    <row r="398" spans="1:43" ht="20.100000000000001" customHeight="1" x14ac:dyDescent="0.25">
      <c r="A3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6" t="str">
        <f>IF(NOTA[[#This Row],[ID_P]]="","",MATCH(NOTA[[#This Row],[ID_P]],[1]!B_MSK[N_ID],0))</f>
        <v/>
      </c>
      <c r="D398" s="36">
        <f ca="1">IF(NOTA[[#This Row],[NAMA BARANG]]="","",INDEX(NOTA[ID],MATCH(,INDIRECT(ADDRESS(ROW(NOTA[ID]),COLUMN(NOTA[ID]))&amp;":"&amp;ADDRESS(ROW(),COLUMN(NOTA[ID]))),-1)))</f>
        <v>76</v>
      </c>
      <c r="E398" s="14"/>
      <c r="F398" s="16"/>
      <c r="G398" s="16"/>
      <c r="H398" s="20"/>
      <c r="I398" s="16"/>
      <c r="J398" s="37"/>
      <c r="K398" s="16"/>
      <c r="L398" s="16" t="s">
        <v>604</v>
      </c>
      <c r="M398" s="28">
        <v>2</v>
      </c>
      <c r="N398" s="16">
        <v>288</v>
      </c>
      <c r="O398" s="16" t="s">
        <v>252</v>
      </c>
      <c r="P398" s="35">
        <v>10600</v>
      </c>
      <c r="Q398" s="38"/>
      <c r="R398" s="28" t="s">
        <v>273</v>
      </c>
      <c r="S398" s="39">
        <v>0.125</v>
      </c>
      <c r="T398" s="39">
        <v>0.05</v>
      </c>
      <c r="U398" s="40"/>
      <c r="V398" s="26"/>
      <c r="W398" s="40">
        <f>IF(NOTA[[#This Row],[HARGA/ CTN]]="",NOTA[[#This Row],[JUMLAH_H]],NOTA[[#This Row],[HARGA/ CTN]]*IF(NOTA[[#This Row],[C]]="",0,NOTA[[#This Row],[C]]))</f>
        <v>3052800</v>
      </c>
      <c r="X398" s="40">
        <f>IF(NOTA[[#This Row],[JUMLAH]]="","",NOTA[[#This Row],[JUMLAH]]*NOTA[[#This Row],[DISC 1]])</f>
        <v>381600</v>
      </c>
      <c r="Y398" s="40">
        <f>IF(NOTA[[#This Row],[JUMLAH]]="","",(NOTA[[#This Row],[JUMLAH]]-NOTA[[#This Row],[DISC 1-]])*NOTA[[#This Row],[DISC 2]])</f>
        <v>133560</v>
      </c>
      <c r="Z398" s="40">
        <f>IF(NOTA[[#This Row],[JUMLAH]]="","",NOTA[[#This Row],[DISC 1-]]+NOTA[[#This Row],[DISC 2-]])</f>
        <v>515160</v>
      </c>
      <c r="AA398" s="40">
        <f>IF(NOTA[[#This Row],[JUMLAH]]="","",NOTA[[#This Row],[JUMLAH]]-NOTA[[#This Row],[DISC]])</f>
        <v>2537640</v>
      </c>
      <c r="AB398" s="40"/>
      <c r="AC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98" s="40">
        <f>IF(OR(NOTA[[#This Row],[QTY]]="",NOTA[[#This Row],[HARGA SATUAN]]="",),"",NOTA[[#This Row],[QTY]]*NOTA[[#This Row],[HARGA SATUAN]])</f>
        <v>3052800</v>
      </c>
      <c r="AG398" s="37">
        <f ca="1">IF(NOTA[ID_H]="","",INDEX(NOTA[TANGGAL],MATCH(,INDIRECT(ADDRESS(ROW(NOTA[TANGGAL]),COLUMN(NOTA[TANGGAL]))&amp;":"&amp;ADDRESS(ROW(),COLUMN(NOTA[TANGGAL]))),-1)))</f>
        <v>45061</v>
      </c>
      <c r="AH398" s="35" t="str">
        <f ca="1">IF(NOTA[[#This Row],[NAMA BARANG]]="","",INDEX(NOTA[SUPPLIER],MATCH(,INDIRECT(ADDRESS(ROW(NOTA[ID]),COLUMN(NOTA[ID]))&amp;":"&amp;ADDRESS(ROW(),COLUMN(NOTA[ID]))),-1)))</f>
        <v>ATALI MAKMUR</v>
      </c>
      <c r="AI398" s="35" t="str">
        <f ca="1">IF(NOTA[[#This Row],[ID_H]]="","",IF(NOTA[[#This Row],[FAKTUR]]="",INDIRECT(ADDRESS(ROW()-1,COLUMN())),NOTA[[#This Row],[FAKTUR]]))</f>
        <v>ARTO MORO</v>
      </c>
      <c r="AJ398" s="27" t="str">
        <f ca="1">IF(NOTA[[#This Row],[ID]]="","",COUNTIF(NOTA[ID_H],NOTA[[#This Row],[ID_H]]))</f>
        <v/>
      </c>
      <c r="AK398" s="27">
        <f ca="1">IF(NOTA[[#This Row],[TGL.NOTA]]="",IF(NOTA[[#This Row],[SUPPLIER_H]]="","",AK397),MONTH(NOTA[[#This Row],[TGL.NOTA]]))</f>
        <v>5</v>
      </c>
      <c r="AL398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3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3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3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27" t="str">
        <f>IF(NOTA[[#This Row],[CONCAT4]]="","",_xlfn.IFNA(MATCH(NOTA[[#This Row],[CONCAT4]],[2]!RAW[CONCAT_H],0),FALSE))</f>
        <v/>
      </c>
      <c r="AQ398" s="145">
        <f>IF(NOTA[[#This Row],[CONCAT1]]="","",MATCH(NOTA[[#This Row],[CONCAT1]],[3]!db[NB NOTA_C],0)+1)</f>
        <v>530</v>
      </c>
    </row>
    <row r="399" spans="1:43" ht="20.100000000000001" customHeight="1" x14ac:dyDescent="0.25">
      <c r="A3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6" t="str">
        <f>IF(NOTA[[#This Row],[ID_P]]="","",MATCH(NOTA[[#This Row],[ID_P]],[1]!B_MSK[N_ID],0))</f>
        <v/>
      </c>
      <c r="D399" s="36">
        <f ca="1">IF(NOTA[[#This Row],[NAMA BARANG]]="","",INDEX(NOTA[ID],MATCH(,INDIRECT(ADDRESS(ROW(NOTA[ID]),COLUMN(NOTA[ID]))&amp;":"&amp;ADDRESS(ROW(),COLUMN(NOTA[ID]))),-1)))</f>
        <v>76</v>
      </c>
      <c r="E399" s="14"/>
      <c r="F399" s="16"/>
      <c r="G399" s="16"/>
      <c r="H399" s="20"/>
      <c r="I399" s="16"/>
      <c r="J399" s="37"/>
      <c r="K399" s="16"/>
      <c r="L399" s="16" t="s">
        <v>605</v>
      </c>
      <c r="M399" s="28">
        <v>2</v>
      </c>
      <c r="N399" s="16">
        <v>60</v>
      </c>
      <c r="O399" s="16" t="s">
        <v>183</v>
      </c>
      <c r="P399" s="35">
        <v>104400</v>
      </c>
      <c r="Q399" s="38"/>
      <c r="R399" s="28" t="s">
        <v>270</v>
      </c>
      <c r="S399" s="39">
        <v>0.125</v>
      </c>
      <c r="T399" s="39">
        <v>0.05</v>
      </c>
      <c r="U399" s="40"/>
      <c r="V399" s="26"/>
      <c r="W399" s="40">
        <f>IF(NOTA[[#This Row],[HARGA/ CTN]]="",NOTA[[#This Row],[JUMLAH_H]],NOTA[[#This Row],[HARGA/ CTN]]*IF(NOTA[[#This Row],[C]]="",0,NOTA[[#This Row],[C]]))</f>
        <v>6264000</v>
      </c>
      <c r="X399" s="40">
        <f>IF(NOTA[[#This Row],[JUMLAH]]="","",NOTA[[#This Row],[JUMLAH]]*NOTA[[#This Row],[DISC 1]])</f>
        <v>783000</v>
      </c>
      <c r="Y399" s="40">
        <f>IF(NOTA[[#This Row],[JUMLAH]]="","",(NOTA[[#This Row],[JUMLAH]]-NOTA[[#This Row],[DISC 1-]])*NOTA[[#This Row],[DISC 2]])</f>
        <v>274050</v>
      </c>
      <c r="Z399" s="40">
        <f>IF(NOTA[[#This Row],[JUMLAH]]="","",NOTA[[#This Row],[DISC 1-]]+NOTA[[#This Row],[DISC 2-]])</f>
        <v>1057050</v>
      </c>
      <c r="AA399" s="40">
        <f>IF(NOTA[[#This Row],[JUMLAH]]="","",NOTA[[#This Row],[JUMLAH]]-NOTA[[#This Row],[DISC]])</f>
        <v>5206950</v>
      </c>
      <c r="AB399" s="40"/>
      <c r="AC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3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99" s="40">
        <f>IF(OR(NOTA[[#This Row],[QTY]]="",NOTA[[#This Row],[HARGA SATUAN]]="",),"",NOTA[[#This Row],[QTY]]*NOTA[[#This Row],[HARGA SATUAN]])</f>
        <v>6264000</v>
      </c>
      <c r="AG399" s="37">
        <f ca="1">IF(NOTA[ID_H]="","",INDEX(NOTA[TANGGAL],MATCH(,INDIRECT(ADDRESS(ROW(NOTA[TANGGAL]),COLUMN(NOTA[TANGGAL]))&amp;":"&amp;ADDRESS(ROW(),COLUMN(NOTA[TANGGAL]))),-1)))</f>
        <v>45061</v>
      </c>
      <c r="AH399" s="35" t="str">
        <f ca="1">IF(NOTA[[#This Row],[NAMA BARANG]]="","",INDEX(NOTA[SUPPLIER],MATCH(,INDIRECT(ADDRESS(ROW(NOTA[ID]),COLUMN(NOTA[ID]))&amp;":"&amp;ADDRESS(ROW(),COLUMN(NOTA[ID]))),-1)))</f>
        <v>ATALI MAKMUR</v>
      </c>
      <c r="AI399" s="35" t="str">
        <f ca="1">IF(NOTA[[#This Row],[ID_H]]="","",IF(NOTA[[#This Row],[FAKTUR]]="",INDIRECT(ADDRESS(ROW()-1,COLUMN())),NOTA[[#This Row],[FAKTUR]]))</f>
        <v>ARTO MORO</v>
      </c>
      <c r="AJ399" s="27" t="str">
        <f ca="1">IF(NOTA[[#This Row],[ID]]="","",COUNTIF(NOTA[ID_H],NOTA[[#This Row],[ID_H]]))</f>
        <v/>
      </c>
      <c r="AK399" s="27">
        <f ca="1">IF(NOTA[[#This Row],[TGL.NOTA]]="",IF(NOTA[[#This Row],[SUPPLIER_H]]="","",AK398),MONTH(NOTA[[#This Row],[TGL.NOTA]]))</f>
        <v>5</v>
      </c>
      <c r="AL399" s="27" t="str">
        <f>LOWER(SUBSTITUTE(SUBSTITUTE(SUBSTITUTE(SUBSTITUTE(SUBSTITUTE(SUBSTITUTE(SUBSTITUTE(SUBSTITUTE(SUBSTITUTE(NOTA[NAMA BARANG]," ",),".",""),"-",""),"(",""),")",""),",",""),"/",""),"""",""),"+",""))</f>
        <v>pencilp882bjk</v>
      </c>
      <c r="AM3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3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3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27" t="str">
        <f>IF(NOTA[[#This Row],[CONCAT4]]="","",_xlfn.IFNA(MATCH(NOTA[[#This Row],[CONCAT4]],[2]!RAW[CONCAT_H],0),FALSE))</f>
        <v/>
      </c>
      <c r="AQ399" s="145">
        <f>IF(NOTA[[#This Row],[CONCAT1]]="","",MATCH(NOTA[[#This Row],[CONCAT1]],[3]!db[NB NOTA_C],0)+1)</f>
        <v>1927</v>
      </c>
    </row>
    <row r="400" spans="1:43" ht="20.100000000000001" customHeight="1" x14ac:dyDescent="0.25">
      <c r="A4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6" t="str">
        <f>IF(NOTA[[#This Row],[ID_P]]="","",MATCH(NOTA[[#This Row],[ID_P]],[1]!B_MSK[N_ID],0))</f>
        <v/>
      </c>
      <c r="D400" s="36">
        <f ca="1">IF(NOTA[[#This Row],[NAMA BARANG]]="","",INDEX(NOTA[ID],MATCH(,INDIRECT(ADDRESS(ROW(NOTA[ID]),COLUMN(NOTA[ID]))&amp;":"&amp;ADDRESS(ROW(),COLUMN(NOTA[ID]))),-1)))</f>
        <v>76</v>
      </c>
      <c r="E400" s="14"/>
      <c r="F400" s="16"/>
      <c r="G400" s="16"/>
      <c r="H400" s="20"/>
      <c r="I400" s="16"/>
      <c r="J400" s="37"/>
      <c r="K400" s="16"/>
      <c r="L400" s="16" t="s">
        <v>606</v>
      </c>
      <c r="M400" s="28">
        <v>3</v>
      </c>
      <c r="N400" s="16">
        <v>150</v>
      </c>
      <c r="O400" s="16" t="s">
        <v>262</v>
      </c>
      <c r="P400" s="35">
        <v>34100</v>
      </c>
      <c r="Q400" s="38"/>
      <c r="R400" s="28" t="s">
        <v>307</v>
      </c>
      <c r="S400" s="39">
        <v>0.125</v>
      </c>
      <c r="T400" s="39">
        <v>0.05</v>
      </c>
      <c r="U400" s="40"/>
      <c r="V400" s="26"/>
      <c r="W400" s="40">
        <f>IF(NOTA[[#This Row],[HARGA/ CTN]]="",NOTA[[#This Row],[JUMLAH_H]],NOTA[[#This Row],[HARGA/ CTN]]*IF(NOTA[[#This Row],[C]]="",0,NOTA[[#This Row],[C]]))</f>
        <v>5115000</v>
      </c>
      <c r="X400" s="40">
        <f>IF(NOTA[[#This Row],[JUMLAH]]="","",NOTA[[#This Row],[JUMLAH]]*NOTA[[#This Row],[DISC 1]])</f>
        <v>639375</v>
      </c>
      <c r="Y400" s="40">
        <f>IF(NOTA[[#This Row],[JUMLAH]]="","",(NOTA[[#This Row],[JUMLAH]]-NOTA[[#This Row],[DISC 1-]])*NOTA[[#This Row],[DISC 2]])</f>
        <v>223781.25</v>
      </c>
      <c r="Z400" s="40">
        <f>IF(NOTA[[#This Row],[JUMLAH]]="","",NOTA[[#This Row],[DISC 1-]]+NOTA[[#This Row],[DISC 2-]])</f>
        <v>863156.25</v>
      </c>
      <c r="AA400" s="40">
        <f>IF(NOTA[[#This Row],[JUMLAH]]="","",NOTA[[#This Row],[JUMLAH]]-NOTA[[#This Row],[DISC]])</f>
        <v>4251843.75</v>
      </c>
      <c r="AB400" s="40"/>
      <c r="AC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00" s="40">
        <f>IF(OR(NOTA[[#This Row],[QTY]]="",NOTA[[#This Row],[HARGA SATUAN]]="",),"",NOTA[[#This Row],[QTY]]*NOTA[[#This Row],[HARGA SATUAN]])</f>
        <v>5115000</v>
      </c>
      <c r="AG400" s="37">
        <f ca="1">IF(NOTA[ID_H]="","",INDEX(NOTA[TANGGAL],MATCH(,INDIRECT(ADDRESS(ROW(NOTA[TANGGAL]),COLUMN(NOTA[TANGGAL]))&amp;":"&amp;ADDRESS(ROW(),COLUMN(NOTA[TANGGAL]))),-1)))</f>
        <v>45061</v>
      </c>
      <c r="AH400" s="35" t="str">
        <f ca="1">IF(NOTA[[#This Row],[NAMA BARANG]]="","",INDEX(NOTA[SUPPLIER],MATCH(,INDIRECT(ADDRESS(ROW(NOTA[ID]),COLUMN(NOTA[ID]))&amp;":"&amp;ADDRESS(ROW(),COLUMN(NOTA[ID]))),-1)))</f>
        <v>ATALI MAKMUR</v>
      </c>
      <c r="AI400" s="35" t="str">
        <f ca="1">IF(NOTA[[#This Row],[ID_H]]="","",IF(NOTA[[#This Row],[FAKTUR]]="",INDIRECT(ADDRESS(ROW()-1,COLUMN())),NOTA[[#This Row],[FAKTUR]]))</f>
        <v>ARTO MORO</v>
      </c>
      <c r="AJ400" s="27" t="str">
        <f ca="1">IF(NOTA[[#This Row],[ID]]="","",COUNTIF(NOTA[ID_H],NOTA[[#This Row],[ID_H]]))</f>
        <v/>
      </c>
      <c r="AK400" s="27">
        <f ca="1">IF(NOTA[[#This Row],[TGL.NOTA]]="",IF(NOTA[[#This Row],[SUPPLIER_H]]="","",AK399),MONTH(NOTA[[#This Row],[TGL.NOTA]]))</f>
        <v>5</v>
      </c>
      <c r="AL400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27" t="str">
        <f>IF(NOTA[[#This Row],[CONCAT4]]="","",_xlfn.IFNA(MATCH(NOTA[[#This Row],[CONCAT4]],[2]!RAW[CONCAT_H],0),FALSE))</f>
        <v/>
      </c>
      <c r="AQ400" s="145">
        <f>IF(NOTA[[#This Row],[CONCAT1]]="","",MATCH(NOTA[[#This Row],[CONCAT1]],[3]!db[NB NOTA_C],0)+1)</f>
        <v>742</v>
      </c>
    </row>
    <row r="401" spans="1:43" ht="20.100000000000001" customHeight="1" x14ac:dyDescent="0.25">
      <c r="A4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6" t="str">
        <f>IF(NOTA[[#This Row],[ID_P]]="","",MATCH(NOTA[[#This Row],[ID_P]],[1]!B_MSK[N_ID],0))</f>
        <v/>
      </c>
      <c r="D401" s="36">
        <f ca="1">IF(NOTA[[#This Row],[NAMA BARANG]]="","",INDEX(NOTA[ID],MATCH(,INDIRECT(ADDRESS(ROW(NOTA[ID]),COLUMN(NOTA[ID]))&amp;":"&amp;ADDRESS(ROW(),COLUMN(NOTA[ID]))),-1)))</f>
        <v>76</v>
      </c>
      <c r="E401" s="14"/>
      <c r="F401" s="16"/>
      <c r="G401" s="16"/>
      <c r="H401" s="20"/>
      <c r="I401" s="16"/>
      <c r="J401" s="37"/>
      <c r="K401" s="16"/>
      <c r="L401" s="16" t="s">
        <v>607</v>
      </c>
      <c r="M401" s="28">
        <v>1</v>
      </c>
      <c r="N401" s="16">
        <v>288</v>
      </c>
      <c r="O401" s="16" t="s">
        <v>160</v>
      </c>
      <c r="P401" s="35">
        <v>4800</v>
      </c>
      <c r="Q401" s="38"/>
      <c r="R401" s="28" t="s">
        <v>593</v>
      </c>
      <c r="S401" s="39">
        <v>0.125</v>
      </c>
      <c r="T401" s="39">
        <v>0.05</v>
      </c>
      <c r="U401" s="40"/>
      <c r="V401" s="26"/>
      <c r="W401" s="40">
        <f>IF(NOTA[[#This Row],[HARGA/ CTN]]="",NOTA[[#This Row],[JUMLAH_H]],NOTA[[#This Row],[HARGA/ CTN]]*IF(NOTA[[#This Row],[C]]="",0,NOTA[[#This Row],[C]]))</f>
        <v>1382400</v>
      </c>
      <c r="X401" s="40">
        <f>IF(NOTA[[#This Row],[JUMLAH]]="","",NOTA[[#This Row],[JUMLAH]]*NOTA[[#This Row],[DISC 1]])</f>
        <v>172800</v>
      </c>
      <c r="Y401" s="40">
        <f>IF(NOTA[[#This Row],[JUMLAH]]="","",(NOTA[[#This Row],[JUMLAH]]-NOTA[[#This Row],[DISC 1-]])*NOTA[[#This Row],[DISC 2]])</f>
        <v>60480</v>
      </c>
      <c r="Z401" s="40">
        <f>IF(NOTA[[#This Row],[JUMLAH]]="","",NOTA[[#This Row],[DISC 1-]]+NOTA[[#This Row],[DISC 2-]])</f>
        <v>233280</v>
      </c>
      <c r="AA401" s="40">
        <f>IF(NOTA[[#This Row],[JUMLAH]]="","",NOTA[[#This Row],[JUMLAH]]-NOTA[[#This Row],[DISC]])</f>
        <v>1149120</v>
      </c>
      <c r="AB401" s="40"/>
      <c r="AC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01" s="40">
        <f>IF(OR(NOTA[[#This Row],[QTY]]="",NOTA[[#This Row],[HARGA SATUAN]]="",),"",NOTA[[#This Row],[QTY]]*NOTA[[#This Row],[HARGA SATUAN]])</f>
        <v>1382400</v>
      </c>
      <c r="AG401" s="37">
        <f ca="1">IF(NOTA[ID_H]="","",INDEX(NOTA[TANGGAL],MATCH(,INDIRECT(ADDRESS(ROW(NOTA[TANGGAL]),COLUMN(NOTA[TANGGAL]))&amp;":"&amp;ADDRESS(ROW(),COLUMN(NOTA[TANGGAL]))),-1)))</f>
        <v>45061</v>
      </c>
      <c r="AH401" s="35" t="str">
        <f ca="1">IF(NOTA[[#This Row],[NAMA BARANG]]="","",INDEX(NOTA[SUPPLIER],MATCH(,INDIRECT(ADDRESS(ROW(NOTA[ID]),COLUMN(NOTA[ID]))&amp;":"&amp;ADDRESS(ROW(),COLUMN(NOTA[ID]))),-1)))</f>
        <v>ATALI MAKMUR</v>
      </c>
      <c r="AI401" s="35" t="str">
        <f ca="1">IF(NOTA[[#This Row],[ID_H]]="","",IF(NOTA[[#This Row],[FAKTUR]]="",INDIRECT(ADDRESS(ROW()-1,COLUMN())),NOTA[[#This Row],[FAKTUR]]))</f>
        <v>ARTO MORO</v>
      </c>
      <c r="AJ401" s="27" t="str">
        <f ca="1">IF(NOTA[[#This Row],[ID]]="","",COUNTIF(NOTA[ID_H],NOTA[[#This Row],[ID_H]]))</f>
        <v/>
      </c>
      <c r="AK401" s="27">
        <f ca="1">IF(NOTA[[#This Row],[TGL.NOTA]]="",IF(NOTA[[#This Row],[SUPPLIER_H]]="","",AK400),MONTH(NOTA[[#This Row],[TGL.NOTA]]))</f>
        <v>5</v>
      </c>
      <c r="AL401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27" t="str">
        <f>IF(NOTA[[#This Row],[CONCAT4]]="","",_xlfn.IFNA(MATCH(NOTA[[#This Row],[CONCAT4]],[2]!RAW[CONCAT_H],0),FALSE))</f>
        <v/>
      </c>
      <c r="AQ401" s="145">
        <f>IF(NOTA[[#This Row],[CONCAT1]]="","",MATCH(NOTA[[#This Row],[CONCAT1]],[3]!db[NB NOTA_C],0)+1)</f>
        <v>1912</v>
      </c>
    </row>
    <row r="402" spans="1:43" ht="20.100000000000001" customHeight="1" x14ac:dyDescent="0.25">
      <c r="A4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6" t="str">
        <f>IF(NOTA[[#This Row],[ID_P]]="","",MATCH(NOTA[[#This Row],[ID_P]],[1]!B_MSK[N_ID],0))</f>
        <v/>
      </c>
      <c r="D402" s="36">
        <f ca="1">IF(NOTA[[#This Row],[NAMA BARANG]]="","",INDEX(NOTA[ID],MATCH(,INDIRECT(ADDRESS(ROW(NOTA[ID]),COLUMN(NOTA[ID]))&amp;":"&amp;ADDRESS(ROW(),COLUMN(NOTA[ID]))),-1)))</f>
        <v>76</v>
      </c>
      <c r="E402" s="14"/>
      <c r="F402" s="16"/>
      <c r="G402" s="16"/>
      <c r="H402" s="20"/>
      <c r="I402" s="16"/>
      <c r="J402" s="37"/>
      <c r="K402" s="16"/>
      <c r="L402" s="16" t="s">
        <v>608</v>
      </c>
      <c r="M402" s="28">
        <v>1</v>
      </c>
      <c r="N402" s="16">
        <v>288</v>
      </c>
      <c r="O402" s="16" t="s">
        <v>160</v>
      </c>
      <c r="P402" s="35">
        <v>4800</v>
      </c>
      <c r="Q402" s="38"/>
      <c r="R402" s="28" t="s">
        <v>593</v>
      </c>
      <c r="S402" s="39">
        <v>0.125</v>
      </c>
      <c r="T402" s="39">
        <v>0.05</v>
      </c>
      <c r="U402" s="40"/>
      <c r="V402" s="26"/>
      <c r="W402" s="40">
        <f>IF(NOTA[[#This Row],[HARGA/ CTN]]="",NOTA[[#This Row],[JUMLAH_H]],NOTA[[#This Row],[HARGA/ CTN]]*IF(NOTA[[#This Row],[C]]="",0,NOTA[[#This Row],[C]]))</f>
        <v>1382400</v>
      </c>
      <c r="X402" s="40">
        <f>IF(NOTA[[#This Row],[JUMLAH]]="","",NOTA[[#This Row],[JUMLAH]]*NOTA[[#This Row],[DISC 1]])</f>
        <v>172800</v>
      </c>
      <c r="Y402" s="40">
        <f>IF(NOTA[[#This Row],[JUMLAH]]="","",(NOTA[[#This Row],[JUMLAH]]-NOTA[[#This Row],[DISC 1-]])*NOTA[[#This Row],[DISC 2]])</f>
        <v>60480</v>
      </c>
      <c r="Z402" s="40">
        <f>IF(NOTA[[#This Row],[JUMLAH]]="","",NOTA[[#This Row],[DISC 1-]]+NOTA[[#This Row],[DISC 2-]])</f>
        <v>233280</v>
      </c>
      <c r="AA402" s="40">
        <f>IF(NOTA[[#This Row],[JUMLAH]]="","",NOTA[[#This Row],[JUMLAH]]-NOTA[[#This Row],[DISC]])</f>
        <v>1149120</v>
      </c>
      <c r="AB402" s="40"/>
      <c r="AC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02" s="40">
        <f>IF(OR(NOTA[[#This Row],[QTY]]="",NOTA[[#This Row],[HARGA SATUAN]]="",),"",NOTA[[#This Row],[QTY]]*NOTA[[#This Row],[HARGA SATUAN]])</f>
        <v>1382400</v>
      </c>
      <c r="AG402" s="37">
        <f ca="1">IF(NOTA[ID_H]="","",INDEX(NOTA[TANGGAL],MATCH(,INDIRECT(ADDRESS(ROW(NOTA[TANGGAL]),COLUMN(NOTA[TANGGAL]))&amp;":"&amp;ADDRESS(ROW(),COLUMN(NOTA[TANGGAL]))),-1)))</f>
        <v>45061</v>
      </c>
      <c r="AH402" s="35" t="str">
        <f ca="1">IF(NOTA[[#This Row],[NAMA BARANG]]="","",INDEX(NOTA[SUPPLIER],MATCH(,INDIRECT(ADDRESS(ROW(NOTA[ID]),COLUMN(NOTA[ID]))&amp;":"&amp;ADDRESS(ROW(),COLUMN(NOTA[ID]))),-1)))</f>
        <v>ATALI MAKMUR</v>
      </c>
      <c r="AI402" s="35" t="str">
        <f ca="1">IF(NOTA[[#This Row],[ID_H]]="","",IF(NOTA[[#This Row],[FAKTUR]]="",INDIRECT(ADDRESS(ROW()-1,COLUMN())),NOTA[[#This Row],[FAKTUR]]))</f>
        <v>ARTO MORO</v>
      </c>
      <c r="AJ402" s="27" t="str">
        <f ca="1">IF(NOTA[[#This Row],[ID]]="","",COUNTIF(NOTA[ID_H],NOTA[[#This Row],[ID_H]]))</f>
        <v/>
      </c>
      <c r="AK402" s="27">
        <f ca="1">IF(NOTA[[#This Row],[TGL.NOTA]]="",IF(NOTA[[#This Row],[SUPPLIER_H]]="","",AK401),MONTH(NOTA[[#This Row],[TGL.NOTA]]))</f>
        <v>5</v>
      </c>
      <c r="AL402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27" t="str">
        <f>IF(NOTA[[#This Row],[CONCAT4]]="","",_xlfn.IFNA(MATCH(NOTA[[#This Row],[CONCAT4]],[2]!RAW[CONCAT_H],0),FALSE))</f>
        <v/>
      </c>
      <c r="AQ402" s="145">
        <f>IF(NOTA[[#This Row],[CONCAT1]]="","",MATCH(NOTA[[#This Row],[CONCAT1]],[3]!db[NB NOTA_C],0)+1)</f>
        <v>1913</v>
      </c>
    </row>
    <row r="403" spans="1:43" ht="20.100000000000001" customHeight="1" x14ac:dyDescent="0.25">
      <c r="A40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6" t="str">
        <f>IF(NOTA[[#This Row],[ID_P]]="","",MATCH(NOTA[[#This Row],[ID_P]],[1]!B_MSK[N_ID],0))</f>
        <v/>
      </c>
      <c r="D403" s="36">
        <f ca="1">IF(NOTA[[#This Row],[NAMA BARANG]]="","",INDEX(NOTA[ID],MATCH(,INDIRECT(ADDRESS(ROW(NOTA[ID]),COLUMN(NOTA[ID]))&amp;":"&amp;ADDRESS(ROW(),COLUMN(NOTA[ID]))),-1)))</f>
        <v>76</v>
      </c>
      <c r="E403" s="14"/>
      <c r="F403" s="16"/>
      <c r="G403" s="16"/>
      <c r="H403" s="20"/>
      <c r="I403" s="16"/>
      <c r="J403" s="37"/>
      <c r="K403" s="16"/>
      <c r="L403" s="16" t="s">
        <v>609</v>
      </c>
      <c r="M403" s="28">
        <v>1</v>
      </c>
      <c r="N403" s="16">
        <v>288</v>
      </c>
      <c r="O403" s="16" t="s">
        <v>160</v>
      </c>
      <c r="P403" s="35">
        <v>4800</v>
      </c>
      <c r="Q403" s="38"/>
      <c r="R403" s="28" t="s">
        <v>593</v>
      </c>
      <c r="S403" s="39">
        <v>0.125</v>
      </c>
      <c r="T403" s="39">
        <v>0.05</v>
      </c>
      <c r="U403" s="40"/>
      <c r="V403" s="26"/>
      <c r="W403" s="40">
        <f>IF(NOTA[[#This Row],[HARGA/ CTN]]="",NOTA[[#This Row],[JUMLAH_H]],NOTA[[#This Row],[HARGA/ CTN]]*IF(NOTA[[#This Row],[C]]="",0,NOTA[[#This Row],[C]]))</f>
        <v>1382400</v>
      </c>
      <c r="X403" s="40">
        <f>IF(NOTA[[#This Row],[JUMLAH]]="","",NOTA[[#This Row],[JUMLAH]]*NOTA[[#This Row],[DISC 1]])</f>
        <v>172800</v>
      </c>
      <c r="Y403" s="40">
        <f>IF(NOTA[[#This Row],[JUMLAH]]="","",(NOTA[[#This Row],[JUMLAH]]-NOTA[[#This Row],[DISC 1-]])*NOTA[[#This Row],[DISC 2]])</f>
        <v>60480</v>
      </c>
      <c r="Z403" s="40">
        <f>IF(NOTA[[#This Row],[JUMLAH]]="","",NOTA[[#This Row],[DISC 1-]]+NOTA[[#This Row],[DISC 2-]])</f>
        <v>233280</v>
      </c>
      <c r="AA403" s="40">
        <f>IF(NOTA[[#This Row],[JUMLAH]]="","",NOTA[[#This Row],[JUMLAH]]-NOTA[[#This Row],[DISC]])</f>
        <v>1149120</v>
      </c>
      <c r="AB403" s="40"/>
      <c r="AC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03" s="40">
        <f>IF(OR(NOTA[[#This Row],[QTY]]="",NOTA[[#This Row],[HARGA SATUAN]]="",),"",NOTA[[#This Row],[QTY]]*NOTA[[#This Row],[HARGA SATUAN]])</f>
        <v>1382400</v>
      </c>
      <c r="AG403" s="37">
        <f ca="1">IF(NOTA[ID_H]="","",INDEX(NOTA[TANGGAL],MATCH(,INDIRECT(ADDRESS(ROW(NOTA[TANGGAL]),COLUMN(NOTA[TANGGAL]))&amp;":"&amp;ADDRESS(ROW(),COLUMN(NOTA[TANGGAL]))),-1)))</f>
        <v>45061</v>
      </c>
      <c r="AH403" s="35" t="str">
        <f ca="1">IF(NOTA[[#This Row],[NAMA BARANG]]="","",INDEX(NOTA[SUPPLIER],MATCH(,INDIRECT(ADDRESS(ROW(NOTA[ID]),COLUMN(NOTA[ID]))&amp;":"&amp;ADDRESS(ROW(),COLUMN(NOTA[ID]))),-1)))</f>
        <v>ATALI MAKMUR</v>
      </c>
      <c r="AI403" s="35" t="str">
        <f ca="1">IF(NOTA[[#This Row],[ID_H]]="","",IF(NOTA[[#This Row],[FAKTUR]]="",INDIRECT(ADDRESS(ROW()-1,COLUMN())),NOTA[[#This Row],[FAKTUR]]))</f>
        <v>ARTO MORO</v>
      </c>
      <c r="AJ403" s="27" t="str">
        <f ca="1">IF(NOTA[[#This Row],[ID]]="","",COUNTIF(NOTA[ID_H],NOTA[[#This Row],[ID_H]]))</f>
        <v/>
      </c>
      <c r="AK403" s="27">
        <f ca="1">IF(NOTA[[#This Row],[TGL.NOTA]]="",IF(NOTA[[#This Row],[SUPPLIER_H]]="","",AK402),MONTH(NOTA[[#This Row],[TGL.NOTA]]))</f>
        <v>5</v>
      </c>
      <c r="AL403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27" t="str">
        <f>IF(NOTA[[#This Row],[CONCAT4]]="","",_xlfn.IFNA(MATCH(NOTA[[#This Row],[CONCAT4]],[2]!RAW[CONCAT_H],0),FALSE))</f>
        <v/>
      </c>
      <c r="AQ403" s="145">
        <f>IF(NOTA[[#This Row],[CONCAT1]]="","",MATCH(NOTA[[#This Row],[CONCAT1]],[3]!db[NB NOTA_C],0)+1)</f>
        <v>1914</v>
      </c>
    </row>
    <row r="404" spans="1:43" ht="20.100000000000001" customHeight="1" x14ac:dyDescent="0.25">
      <c r="A4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6" t="str">
        <f>IF(NOTA[[#This Row],[ID_P]]="","",MATCH(NOTA[[#This Row],[ID_P]],[1]!B_MSK[N_ID],0))</f>
        <v/>
      </c>
      <c r="D404" s="36">
        <f ca="1">IF(NOTA[[#This Row],[NAMA BARANG]]="","",INDEX(NOTA[ID],MATCH(,INDIRECT(ADDRESS(ROW(NOTA[ID]),COLUMN(NOTA[ID]))&amp;":"&amp;ADDRESS(ROW(),COLUMN(NOTA[ID]))),-1)))</f>
        <v>76</v>
      </c>
      <c r="E404" s="14"/>
      <c r="F404" s="129"/>
      <c r="G404" s="129"/>
      <c r="H404" s="130"/>
      <c r="I404" s="129"/>
      <c r="J404" s="131"/>
      <c r="K404" s="129"/>
      <c r="L404" s="16" t="s">
        <v>610</v>
      </c>
      <c r="M404" s="28">
        <v>1</v>
      </c>
      <c r="N404" s="16">
        <v>288</v>
      </c>
      <c r="O404" s="16" t="s">
        <v>160</v>
      </c>
      <c r="P404" s="35">
        <v>4800</v>
      </c>
      <c r="Q404" s="38"/>
      <c r="R404" s="28" t="s">
        <v>593</v>
      </c>
      <c r="S404" s="39">
        <v>0.125</v>
      </c>
      <c r="T404" s="39">
        <v>0.05</v>
      </c>
      <c r="U404" s="40"/>
      <c r="V404" s="26"/>
      <c r="W404" s="40">
        <f>IF(NOTA[[#This Row],[HARGA/ CTN]]="",NOTA[[#This Row],[JUMLAH_H]],NOTA[[#This Row],[HARGA/ CTN]]*IF(NOTA[[#This Row],[C]]="",0,NOTA[[#This Row],[C]]))</f>
        <v>1382400</v>
      </c>
      <c r="X404" s="40">
        <f>IF(NOTA[[#This Row],[JUMLAH]]="","",NOTA[[#This Row],[JUMLAH]]*NOTA[[#This Row],[DISC 1]])</f>
        <v>172800</v>
      </c>
      <c r="Y404" s="40">
        <f>IF(NOTA[[#This Row],[JUMLAH]]="","",(NOTA[[#This Row],[JUMLAH]]-NOTA[[#This Row],[DISC 1-]])*NOTA[[#This Row],[DISC 2]])</f>
        <v>60480</v>
      </c>
      <c r="Z404" s="40">
        <f>IF(NOTA[[#This Row],[JUMLAH]]="","",NOTA[[#This Row],[DISC 1-]]+NOTA[[#This Row],[DISC 2-]])</f>
        <v>233280</v>
      </c>
      <c r="AA404" s="40">
        <f>IF(NOTA[[#This Row],[JUMLAH]]="","",NOTA[[#This Row],[JUMLAH]]-NOTA[[#This Row],[DISC]])</f>
        <v>1149120</v>
      </c>
      <c r="AB404" s="40"/>
      <c r="AC4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4633706.25</v>
      </c>
      <c r="AD40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22825293.75</v>
      </c>
      <c r="AE40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04" s="40">
        <f>IF(OR(NOTA[[#This Row],[QTY]]="",NOTA[[#This Row],[HARGA SATUAN]]="",),"",NOTA[[#This Row],[QTY]]*NOTA[[#This Row],[HARGA SATUAN]])</f>
        <v>1382400</v>
      </c>
      <c r="AG404" s="37">
        <f ca="1">IF(NOTA[ID_H]="","",INDEX(NOTA[TANGGAL],MATCH(,INDIRECT(ADDRESS(ROW(NOTA[TANGGAL]),COLUMN(NOTA[TANGGAL]))&amp;":"&amp;ADDRESS(ROW(),COLUMN(NOTA[TANGGAL]))),-1)))</f>
        <v>45061</v>
      </c>
      <c r="AH404" s="35" t="str">
        <f ca="1">IF(NOTA[[#This Row],[NAMA BARANG]]="","",INDEX(NOTA[SUPPLIER],MATCH(,INDIRECT(ADDRESS(ROW(NOTA[ID]),COLUMN(NOTA[ID]))&amp;":"&amp;ADDRESS(ROW(),COLUMN(NOTA[ID]))),-1)))</f>
        <v>ATALI MAKMUR</v>
      </c>
      <c r="AI404" s="35" t="str">
        <f ca="1">IF(NOTA[[#This Row],[ID_H]]="","",IF(NOTA[[#This Row],[FAKTUR]]="",INDIRECT(ADDRESS(ROW()-1,COLUMN())),NOTA[[#This Row],[FAKTUR]]))</f>
        <v>ARTO MORO</v>
      </c>
      <c r="AJ404" s="27" t="str">
        <f ca="1">IF(NOTA[[#This Row],[ID]]="","",COUNTIF(NOTA[ID_H],NOTA[[#This Row],[ID_H]]))</f>
        <v/>
      </c>
      <c r="AK404" s="27">
        <f ca="1">IF(NOTA[[#This Row],[TGL.NOTA]]="",IF(NOTA[[#This Row],[SUPPLIER_H]]="","",AK403),MONTH(NOTA[[#This Row],[TGL.NOTA]]))</f>
        <v>5</v>
      </c>
      <c r="AL404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27" t="str">
        <f>IF(NOTA[[#This Row],[CONCAT4]]="","",_xlfn.IFNA(MATCH(NOTA[[#This Row],[CONCAT4]],[2]!RAW[CONCAT_H],0),FALSE))</f>
        <v/>
      </c>
      <c r="AQ404" s="145">
        <f>IF(NOTA[[#This Row],[CONCAT1]]="","",MATCH(NOTA[[#This Row],[CONCAT1]],[3]!db[NB NOTA_C],0)+1)</f>
        <v>1915</v>
      </c>
    </row>
    <row r="405" spans="1:43" ht="20.100000000000001" customHeight="1" x14ac:dyDescent="0.25">
      <c r="A4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6" t="str">
        <f>IF(NOTA[[#This Row],[ID_P]]="","",MATCH(NOTA[[#This Row],[ID_P]],[1]!B_MSK[N_ID],0))</f>
        <v/>
      </c>
      <c r="D405" s="36" t="str">
        <f ca="1">IF(NOTA[[#This Row],[NAMA BARANG]]="","",INDEX(NOTA[ID],MATCH(,INDIRECT(ADDRESS(ROW(NOTA[ID]),COLUMN(NOTA[ID]))&amp;":"&amp;ADDRESS(ROW(),COLUMN(NOTA[ID]))),-1)))</f>
        <v/>
      </c>
      <c r="E405" s="14"/>
      <c r="F405" s="129"/>
      <c r="G405" s="129"/>
      <c r="H405" s="130"/>
      <c r="I405" s="129"/>
      <c r="J405" s="131"/>
      <c r="K405" s="129"/>
      <c r="L405" s="16"/>
      <c r="M405" s="132"/>
      <c r="N405" s="129"/>
      <c r="O405" s="16"/>
      <c r="P405" s="133"/>
      <c r="Q405" s="134"/>
      <c r="R405" s="28"/>
      <c r="S405" s="39"/>
      <c r="T405" s="39"/>
      <c r="U405" s="40"/>
      <c r="V405" s="26"/>
      <c r="W405" s="40" t="str">
        <f>IF(NOTA[[#This Row],[HARGA/ CTN]]="",NOTA[[#This Row],[JUMLAH_H]],NOTA[[#This Row],[HARGA/ CTN]]*IF(NOTA[[#This Row],[C]]="",0,NOTA[[#This Row],[C]]))</f>
        <v/>
      </c>
      <c r="X405" s="40" t="str">
        <f>IF(NOTA[[#This Row],[JUMLAH]]="","",NOTA[[#This Row],[JUMLAH]]*NOTA[[#This Row],[DISC 1]])</f>
        <v/>
      </c>
      <c r="Y405" s="40" t="str">
        <f>IF(NOTA[[#This Row],[JUMLAH]]="","",(NOTA[[#This Row],[JUMLAH]]-NOTA[[#This Row],[DISC 1-]])*NOTA[[#This Row],[DISC 2]])</f>
        <v/>
      </c>
      <c r="Z405" s="40" t="str">
        <f>IF(NOTA[[#This Row],[JUMLAH]]="","",NOTA[[#This Row],[DISC 1-]]+NOTA[[#This Row],[DISC 2-]])</f>
        <v/>
      </c>
      <c r="AA405" s="40" t="str">
        <f>IF(NOTA[[#This Row],[JUMLAH]]="","",NOTA[[#This Row],[JUMLAH]]-NOTA[[#This Row],[DISC]])</f>
        <v/>
      </c>
      <c r="AB405" s="40"/>
      <c r="AC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5" s="40" t="str">
        <f>IF(OR(NOTA[[#This Row],[QTY]]="",NOTA[[#This Row],[HARGA SATUAN]]="",),"",NOTA[[#This Row],[QTY]]*NOTA[[#This Row],[HARGA SATUAN]])</f>
        <v/>
      </c>
      <c r="AG405" s="37" t="str">
        <f ca="1">IF(NOTA[ID_H]="","",INDEX(NOTA[TANGGAL],MATCH(,INDIRECT(ADDRESS(ROW(NOTA[TANGGAL]),COLUMN(NOTA[TANGGAL]))&amp;":"&amp;ADDRESS(ROW(),COLUMN(NOTA[TANGGAL]))),-1)))</f>
        <v/>
      </c>
      <c r="AH405" s="35" t="str">
        <f ca="1">IF(NOTA[[#This Row],[NAMA BARANG]]="","",INDEX(NOTA[SUPPLIER],MATCH(,INDIRECT(ADDRESS(ROW(NOTA[ID]),COLUMN(NOTA[ID]))&amp;":"&amp;ADDRESS(ROW(),COLUMN(NOTA[ID]))),-1)))</f>
        <v/>
      </c>
      <c r="AI405" s="35" t="str">
        <f ca="1">IF(NOTA[[#This Row],[ID_H]]="","",IF(NOTA[[#This Row],[FAKTUR]]="",INDIRECT(ADDRESS(ROW()-1,COLUMN())),NOTA[[#This Row],[FAKTUR]]))</f>
        <v/>
      </c>
      <c r="AJ405" s="27" t="str">
        <f ca="1">IF(NOTA[[#This Row],[ID]]="","",COUNTIF(NOTA[ID_H],NOTA[[#This Row],[ID_H]]))</f>
        <v/>
      </c>
      <c r="AK405" s="27" t="str">
        <f ca="1">IF(NOTA[[#This Row],[TGL.NOTA]]="",IF(NOTA[[#This Row],[SUPPLIER_H]]="","",AK404),MONTH(NOTA[[#This Row],[TGL.NOTA]]))</f>
        <v/>
      </c>
      <c r="AL405" s="27" t="str">
        <f>LOWER(SUBSTITUTE(SUBSTITUTE(SUBSTITUTE(SUBSTITUTE(SUBSTITUTE(SUBSTITUTE(SUBSTITUTE(SUBSTITUTE(SUBSTITUTE(NOTA[NAMA BARANG]," ",),".",""),"-",""),"(",""),")",""),",",""),"/",""),"""",""),"+",""))</f>
        <v/>
      </c>
      <c r="AM4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27" t="str">
        <f>IF(NOTA[[#This Row],[CONCAT4]]="","",_xlfn.IFNA(MATCH(NOTA[[#This Row],[CONCAT4]],[2]!RAW[CONCAT_H],0),FALSE))</f>
        <v/>
      </c>
      <c r="AQ405" s="145" t="str">
        <f>IF(NOTA[[#This Row],[CONCAT1]]="","",MATCH(NOTA[[#This Row],[CONCAT1]],[3]!db[NB NOTA_C],0)+1)</f>
        <v/>
      </c>
    </row>
    <row r="406" spans="1:43" ht="20.100000000000001" customHeight="1" x14ac:dyDescent="0.25">
      <c r="A406" s="3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ATA_1505_475-8</v>
      </c>
      <c r="C406" s="36" t="e">
        <f ca="1">IF(NOTA[[#This Row],[ID_P]]="","",MATCH(NOTA[[#This Row],[ID_P]],[1]!B_MSK[N_ID],0))</f>
        <v>#REF!</v>
      </c>
      <c r="D406" s="36">
        <f ca="1">IF(NOTA[[#This Row],[NAMA BARANG]]="","",INDEX(NOTA[ID],MATCH(,INDIRECT(ADDRESS(ROW(NOTA[ID]),COLUMN(NOTA[ID]))&amp;":"&amp;ADDRESS(ROW(),COLUMN(NOTA[ID]))),-1)))</f>
        <v>77</v>
      </c>
      <c r="E406" s="14"/>
      <c r="F406" s="16" t="s">
        <v>25</v>
      </c>
      <c r="G406" s="16" t="s">
        <v>24</v>
      </c>
      <c r="H406" s="20" t="s">
        <v>614</v>
      </c>
      <c r="I406" s="129"/>
      <c r="J406" s="131">
        <v>45057</v>
      </c>
      <c r="K406" s="129"/>
      <c r="L406" s="16" t="s">
        <v>615</v>
      </c>
      <c r="M406" s="132">
        <v>1</v>
      </c>
      <c r="N406" s="129">
        <v>36</v>
      </c>
      <c r="O406" s="16" t="s">
        <v>146</v>
      </c>
      <c r="P406" s="133">
        <v>41400</v>
      </c>
      <c r="Q406" s="134"/>
      <c r="R406" s="28" t="s">
        <v>603</v>
      </c>
      <c r="S406" s="39">
        <v>0.125</v>
      </c>
      <c r="T406" s="39">
        <v>0.05</v>
      </c>
      <c r="U406" s="40"/>
      <c r="V406" s="26"/>
      <c r="W406" s="40">
        <f>IF(NOTA[[#This Row],[HARGA/ CTN]]="",NOTA[[#This Row],[JUMLAH_H]],NOTA[[#This Row],[HARGA/ CTN]]*IF(NOTA[[#This Row],[C]]="",0,NOTA[[#This Row],[C]]))</f>
        <v>1490400</v>
      </c>
      <c r="X406" s="40">
        <f>IF(NOTA[[#This Row],[JUMLAH]]="","",NOTA[[#This Row],[JUMLAH]]*NOTA[[#This Row],[DISC 1]])</f>
        <v>186300</v>
      </c>
      <c r="Y406" s="40">
        <f>IF(NOTA[[#This Row],[JUMLAH]]="","",(NOTA[[#This Row],[JUMLAH]]-NOTA[[#This Row],[DISC 1-]])*NOTA[[#This Row],[DISC 2]])</f>
        <v>65205</v>
      </c>
      <c r="Z406" s="40">
        <f>IF(NOTA[[#This Row],[JUMLAH]]="","",NOTA[[#This Row],[DISC 1-]]+NOTA[[#This Row],[DISC 2-]])</f>
        <v>251505</v>
      </c>
      <c r="AA406" s="40">
        <f>IF(NOTA[[#This Row],[JUMLAH]]="","",NOTA[[#This Row],[JUMLAH]]-NOTA[[#This Row],[DISC]])</f>
        <v>1238895</v>
      </c>
      <c r="AB406" s="40"/>
      <c r="AC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06" s="40">
        <f>IF(OR(NOTA[[#This Row],[QTY]]="",NOTA[[#This Row],[HARGA SATUAN]]="",),"",NOTA[[#This Row],[QTY]]*NOTA[[#This Row],[HARGA SATUAN]])</f>
        <v>1490400</v>
      </c>
      <c r="AG406" s="37">
        <f ca="1">IF(NOTA[ID_H]="","",INDEX(NOTA[TANGGAL],MATCH(,INDIRECT(ADDRESS(ROW(NOTA[TANGGAL]),COLUMN(NOTA[TANGGAL]))&amp;":"&amp;ADDRESS(ROW(),COLUMN(NOTA[TANGGAL]))),-1)))</f>
        <v>45061</v>
      </c>
      <c r="AH406" s="35" t="str">
        <f ca="1">IF(NOTA[[#This Row],[NAMA BARANG]]="","",INDEX(NOTA[SUPPLIER],MATCH(,INDIRECT(ADDRESS(ROW(NOTA[ID]),COLUMN(NOTA[ID]))&amp;":"&amp;ADDRESS(ROW(),COLUMN(NOTA[ID]))),-1)))</f>
        <v>ATALI MAKMUR</v>
      </c>
      <c r="AI406" s="35" t="str">
        <f ca="1">IF(NOTA[[#This Row],[ID_H]]="","",IF(NOTA[[#This Row],[FAKTUR]]="",INDIRECT(ADDRESS(ROW()-1,COLUMN())),NOTA[[#This Row],[FAKTUR]]))</f>
        <v>ARTO MORO</v>
      </c>
      <c r="AJ406" s="27">
        <f ca="1">IF(NOTA[[#This Row],[ID]]="","",COUNTIF(NOTA[ID_H],NOTA[[#This Row],[ID_H]]))</f>
        <v>8</v>
      </c>
      <c r="AK406" s="27">
        <f>IF(NOTA[[#This Row],[TGL.NOTA]]="",IF(NOTA[[#This Row],[SUPPLIER_H]]="","",AK405),MONTH(NOTA[[#This Row],[TGL.NOTA]]))</f>
        <v>5</v>
      </c>
      <c r="AL406" s="27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4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4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40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MOROSA23050747545057correctionfluidcfs209jk</v>
      </c>
      <c r="AP406" s="27" t="e">
        <f>IF(NOTA[[#This Row],[CONCAT4]]="","",_xlfn.IFNA(MATCH(NOTA[[#This Row],[CONCAT4]],[2]!RAW[CONCAT_H],0),FALSE))</f>
        <v>#REF!</v>
      </c>
      <c r="AQ406" s="145">
        <f>IF(NOTA[[#This Row],[CONCAT1]]="","",MATCH(NOTA[[#This Row],[CONCAT1]],[3]!db[NB NOTA_C],0)+1)</f>
        <v>551</v>
      </c>
    </row>
    <row r="407" spans="1:43" ht="20.100000000000001" customHeight="1" x14ac:dyDescent="0.25">
      <c r="A4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6" t="str">
        <f>IF(NOTA[[#This Row],[ID_P]]="","",MATCH(NOTA[[#This Row],[ID_P]],[1]!B_MSK[N_ID],0))</f>
        <v/>
      </c>
      <c r="D407" s="36">
        <f ca="1">IF(NOTA[[#This Row],[NAMA BARANG]]="","",INDEX(NOTA[ID],MATCH(,INDIRECT(ADDRESS(ROW(NOTA[ID]),COLUMN(NOTA[ID]))&amp;":"&amp;ADDRESS(ROW(),COLUMN(NOTA[ID]))),-1)))</f>
        <v>77</v>
      </c>
      <c r="E407" s="14"/>
      <c r="F407" s="16"/>
      <c r="G407" s="16"/>
      <c r="H407" s="20"/>
      <c r="I407" s="16"/>
      <c r="J407" s="37"/>
      <c r="K407" s="16"/>
      <c r="L407" s="16" t="s">
        <v>623</v>
      </c>
      <c r="M407" s="28">
        <v>1</v>
      </c>
      <c r="N407" s="16">
        <v>36</v>
      </c>
      <c r="O407" s="16" t="s">
        <v>146</v>
      </c>
      <c r="P407" s="35">
        <v>41400</v>
      </c>
      <c r="Q407" s="38"/>
      <c r="R407" s="28" t="s">
        <v>603</v>
      </c>
      <c r="S407" s="39">
        <v>0.125</v>
      </c>
      <c r="T407" s="39">
        <v>0.05</v>
      </c>
      <c r="U407" s="40"/>
      <c r="V407" s="26"/>
      <c r="W407" s="40">
        <f>IF(NOTA[[#This Row],[HARGA/ CTN]]="",NOTA[[#This Row],[JUMLAH_H]],NOTA[[#This Row],[HARGA/ CTN]]*IF(NOTA[[#This Row],[C]]="",0,NOTA[[#This Row],[C]]))</f>
        <v>1490400</v>
      </c>
      <c r="X407" s="40">
        <f>IF(NOTA[[#This Row],[JUMLAH]]="","",NOTA[[#This Row],[JUMLAH]]*NOTA[[#This Row],[DISC 1]])</f>
        <v>186300</v>
      </c>
      <c r="Y407" s="40">
        <f>IF(NOTA[[#This Row],[JUMLAH]]="","",(NOTA[[#This Row],[JUMLAH]]-NOTA[[#This Row],[DISC 1-]])*NOTA[[#This Row],[DISC 2]])</f>
        <v>65205</v>
      </c>
      <c r="Z407" s="40">
        <f>IF(NOTA[[#This Row],[JUMLAH]]="","",NOTA[[#This Row],[DISC 1-]]+NOTA[[#This Row],[DISC 2-]])</f>
        <v>251505</v>
      </c>
      <c r="AA407" s="40">
        <f>IF(NOTA[[#This Row],[JUMLAH]]="","",NOTA[[#This Row],[JUMLAH]]-NOTA[[#This Row],[DISC]])</f>
        <v>1238895</v>
      </c>
      <c r="AB407" s="40"/>
      <c r="AC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3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407" s="40">
        <f>IF(OR(NOTA[[#This Row],[QTY]]="",NOTA[[#This Row],[HARGA SATUAN]]="",),"",NOTA[[#This Row],[QTY]]*NOTA[[#This Row],[HARGA SATUAN]])</f>
        <v>1490400</v>
      </c>
      <c r="AG407" s="37">
        <f ca="1">IF(NOTA[ID_H]="","",INDEX(NOTA[TANGGAL],MATCH(,INDIRECT(ADDRESS(ROW(NOTA[TANGGAL]),COLUMN(NOTA[TANGGAL]))&amp;":"&amp;ADDRESS(ROW(),COLUMN(NOTA[TANGGAL]))),-1)))</f>
        <v>45061</v>
      </c>
      <c r="AH407" s="35" t="str">
        <f ca="1">IF(NOTA[[#This Row],[NAMA BARANG]]="","",INDEX(NOTA[SUPPLIER],MATCH(,INDIRECT(ADDRESS(ROW(NOTA[ID]),COLUMN(NOTA[ID]))&amp;":"&amp;ADDRESS(ROW(),COLUMN(NOTA[ID]))),-1)))</f>
        <v>ATALI MAKMUR</v>
      </c>
      <c r="AI407" s="35" t="str">
        <f ca="1">IF(NOTA[[#This Row],[ID_H]]="","",IF(NOTA[[#This Row],[FAKTUR]]="",INDIRECT(ADDRESS(ROW()-1,COLUMN())),NOTA[[#This Row],[FAKTUR]]))</f>
        <v>ARTO MORO</v>
      </c>
      <c r="AJ407" s="27" t="str">
        <f ca="1">IF(NOTA[[#This Row],[ID]]="","",COUNTIF(NOTA[ID_H],NOTA[[#This Row],[ID_H]]))</f>
        <v/>
      </c>
      <c r="AK407" s="27">
        <f ca="1">IF(NOTA[[#This Row],[TGL.NOTA]]="",IF(NOTA[[#This Row],[SUPPLIER_H]]="","",AK406),MONTH(NOTA[[#This Row],[TGL.NOTA]]))</f>
        <v>5</v>
      </c>
      <c r="AL407" s="27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4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4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4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27" t="str">
        <f>IF(NOTA[[#This Row],[CONCAT4]]="","",_xlfn.IFNA(MATCH(NOTA[[#This Row],[CONCAT4]],[2]!RAW[CONCAT_H],0),FALSE))</f>
        <v/>
      </c>
      <c r="AQ407" s="145">
        <f>IF(NOTA[[#This Row],[CONCAT1]]="","",MATCH(NOTA[[#This Row],[CONCAT1]],[3]!db[NB NOTA_C],0)+1)</f>
        <v>550</v>
      </c>
    </row>
    <row r="408" spans="1:43" ht="20.100000000000001" customHeight="1" x14ac:dyDescent="0.25">
      <c r="A4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6" t="str">
        <f>IF(NOTA[[#This Row],[ID_P]]="","",MATCH(NOTA[[#This Row],[ID_P]],[1]!B_MSK[N_ID],0))</f>
        <v/>
      </c>
      <c r="D408" s="36">
        <f ca="1">IF(NOTA[[#This Row],[NAMA BARANG]]="","",INDEX(NOTA[ID],MATCH(,INDIRECT(ADDRESS(ROW(NOTA[ID]),COLUMN(NOTA[ID]))&amp;":"&amp;ADDRESS(ROW(),COLUMN(NOTA[ID]))),-1)))</f>
        <v>77</v>
      </c>
      <c r="E408" s="14"/>
      <c r="F408" s="16"/>
      <c r="G408" s="16"/>
      <c r="H408" s="20"/>
      <c r="I408" s="16"/>
      <c r="J408" s="37"/>
      <c r="K408" s="16"/>
      <c r="L408" s="16" t="s">
        <v>604</v>
      </c>
      <c r="M408" s="28">
        <v>1</v>
      </c>
      <c r="N408" s="16">
        <v>144</v>
      </c>
      <c r="O408" s="16" t="s">
        <v>252</v>
      </c>
      <c r="P408" s="35">
        <v>10600</v>
      </c>
      <c r="Q408" s="38"/>
      <c r="R408" s="28" t="s">
        <v>273</v>
      </c>
      <c r="S408" s="39">
        <v>0.125</v>
      </c>
      <c r="T408" s="39">
        <v>0.05</v>
      </c>
      <c r="U408" s="40"/>
      <c r="V408" s="26"/>
      <c r="W408" s="40">
        <f>IF(NOTA[[#This Row],[HARGA/ CTN]]="",NOTA[[#This Row],[JUMLAH_H]],NOTA[[#This Row],[HARGA/ CTN]]*IF(NOTA[[#This Row],[C]]="",0,NOTA[[#This Row],[C]]))</f>
        <v>1526400</v>
      </c>
      <c r="X408" s="40">
        <f>IF(NOTA[[#This Row],[JUMLAH]]="","",NOTA[[#This Row],[JUMLAH]]*NOTA[[#This Row],[DISC 1]])</f>
        <v>190800</v>
      </c>
      <c r="Y408" s="40">
        <f>IF(NOTA[[#This Row],[JUMLAH]]="","",(NOTA[[#This Row],[JUMLAH]]-NOTA[[#This Row],[DISC 1-]])*NOTA[[#This Row],[DISC 2]])</f>
        <v>66780</v>
      </c>
      <c r="Z408" s="40">
        <f>IF(NOTA[[#This Row],[JUMLAH]]="","",NOTA[[#This Row],[DISC 1-]]+NOTA[[#This Row],[DISC 2-]])</f>
        <v>257580</v>
      </c>
      <c r="AA408" s="40">
        <f>IF(NOTA[[#This Row],[JUMLAH]]="","",NOTA[[#This Row],[JUMLAH]]-NOTA[[#This Row],[DISC]])</f>
        <v>1268820</v>
      </c>
      <c r="AB408" s="40"/>
      <c r="AC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08" s="40">
        <f>IF(OR(NOTA[[#This Row],[QTY]]="",NOTA[[#This Row],[HARGA SATUAN]]="",),"",NOTA[[#This Row],[QTY]]*NOTA[[#This Row],[HARGA SATUAN]])</f>
        <v>1526400</v>
      </c>
      <c r="AG408" s="37">
        <f ca="1">IF(NOTA[ID_H]="","",INDEX(NOTA[TANGGAL],MATCH(,INDIRECT(ADDRESS(ROW(NOTA[TANGGAL]),COLUMN(NOTA[TANGGAL]))&amp;":"&amp;ADDRESS(ROW(),COLUMN(NOTA[TANGGAL]))),-1)))</f>
        <v>45061</v>
      </c>
      <c r="AH408" s="35" t="str">
        <f ca="1">IF(NOTA[[#This Row],[NAMA BARANG]]="","",INDEX(NOTA[SUPPLIER],MATCH(,INDIRECT(ADDRESS(ROW(NOTA[ID]),COLUMN(NOTA[ID]))&amp;":"&amp;ADDRESS(ROW(),COLUMN(NOTA[ID]))),-1)))</f>
        <v>ATALI MAKMUR</v>
      </c>
      <c r="AI408" s="35" t="str">
        <f ca="1">IF(NOTA[[#This Row],[ID_H]]="","",IF(NOTA[[#This Row],[FAKTUR]]="",INDIRECT(ADDRESS(ROW()-1,COLUMN())),NOTA[[#This Row],[FAKTUR]]))</f>
        <v>ARTO MORO</v>
      </c>
      <c r="AJ408" s="27" t="str">
        <f ca="1">IF(NOTA[[#This Row],[ID]]="","",COUNTIF(NOTA[ID_H],NOTA[[#This Row],[ID_H]]))</f>
        <v/>
      </c>
      <c r="AK408" s="27">
        <f ca="1">IF(NOTA[[#This Row],[TGL.NOTA]]="",IF(NOTA[[#This Row],[SUPPLIER_H]]="","",AK407),MONTH(NOTA[[#This Row],[TGL.NOTA]]))</f>
        <v>5</v>
      </c>
      <c r="AL408" s="27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4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4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4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27" t="str">
        <f>IF(NOTA[[#This Row],[CONCAT4]]="","",_xlfn.IFNA(MATCH(NOTA[[#This Row],[CONCAT4]],[2]!RAW[CONCAT_H],0),FALSE))</f>
        <v/>
      </c>
      <c r="AQ408" s="145">
        <f>IF(NOTA[[#This Row],[CONCAT1]]="","",MATCH(NOTA[[#This Row],[CONCAT1]],[3]!db[NB NOTA_C],0)+1)</f>
        <v>530</v>
      </c>
    </row>
    <row r="409" spans="1:43" ht="20.100000000000001" customHeight="1" x14ac:dyDescent="0.25">
      <c r="A4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6" t="str">
        <f>IF(NOTA[[#This Row],[ID_P]]="","",MATCH(NOTA[[#This Row],[ID_P]],[1]!B_MSK[N_ID],0))</f>
        <v/>
      </c>
      <c r="D409" s="36">
        <f ca="1">IF(NOTA[[#This Row],[NAMA BARANG]]="","",INDEX(NOTA[ID],MATCH(,INDIRECT(ADDRESS(ROW(NOTA[ID]),COLUMN(NOTA[ID]))&amp;":"&amp;ADDRESS(ROW(),COLUMN(NOTA[ID]))),-1)))</f>
        <v>77</v>
      </c>
      <c r="E409" s="14"/>
      <c r="F409" s="16"/>
      <c r="G409" s="16"/>
      <c r="H409" s="20"/>
      <c r="I409" s="16"/>
      <c r="J409" s="37"/>
      <c r="K409" s="16"/>
      <c r="L409" s="16" t="s">
        <v>616</v>
      </c>
      <c r="M409" s="28">
        <v>1</v>
      </c>
      <c r="N409" s="16">
        <v>72</v>
      </c>
      <c r="O409" s="16" t="s">
        <v>252</v>
      </c>
      <c r="P409" s="35">
        <v>21200</v>
      </c>
      <c r="Q409" s="38"/>
      <c r="R409" s="28" t="s">
        <v>617</v>
      </c>
      <c r="S409" s="39">
        <v>0.125</v>
      </c>
      <c r="T409" s="39">
        <v>0.05</v>
      </c>
      <c r="U409" s="40"/>
      <c r="V409" s="26"/>
      <c r="W409" s="40">
        <f>IF(NOTA[[#This Row],[HARGA/ CTN]]="",NOTA[[#This Row],[JUMLAH_H]],NOTA[[#This Row],[HARGA/ CTN]]*IF(NOTA[[#This Row],[C]]="",0,NOTA[[#This Row],[C]]))</f>
        <v>1526400</v>
      </c>
      <c r="X409" s="40">
        <f>IF(NOTA[[#This Row],[JUMLAH]]="","",NOTA[[#This Row],[JUMLAH]]*NOTA[[#This Row],[DISC 1]])</f>
        <v>190800</v>
      </c>
      <c r="Y409" s="40">
        <f>IF(NOTA[[#This Row],[JUMLAH]]="","",(NOTA[[#This Row],[JUMLAH]]-NOTA[[#This Row],[DISC 1-]])*NOTA[[#This Row],[DISC 2]])</f>
        <v>66780</v>
      </c>
      <c r="Z409" s="40">
        <f>IF(NOTA[[#This Row],[JUMLAH]]="","",NOTA[[#This Row],[DISC 1-]]+NOTA[[#This Row],[DISC 2-]])</f>
        <v>257580</v>
      </c>
      <c r="AA409" s="40">
        <f>IF(NOTA[[#This Row],[JUMLAH]]="","",NOTA[[#This Row],[JUMLAH]]-NOTA[[#This Row],[DISC]])</f>
        <v>1268820</v>
      </c>
      <c r="AB409" s="40"/>
      <c r="AC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3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409" s="40">
        <f>IF(OR(NOTA[[#This Row],[QTY]]="",NOTA[[#This Row],[HARGA SATUAN]]="",),"",NOTA[[#This Row],[QTY]]*NOTA[[#This Row],[HARGA SATUAN]])</f>
        <v>1526400</v>
      </c>
      <c r="AG409" s="37">
        <f ca="1">IF(NOTA[ID_H]="","",INDEX(NOTA[TANGGAL],MATCH(,INDIRECT(ADDRESS(ROW(NOTA[TANGGAL]),COLUMN(NOTA[TANGGAL]))&amp;":"&amp;ADDRESS(ROW(),COLUMN(NOTA[TANGGAL]))),-1)))</f>
        <v>45061</v>
      </c>
      <c r="AH409" s="35" t="str">
        <f ca="1">IF(NOTA[[#This Row],[NAMA BARANG]]="","",INDEX(NOTA[SUPPLIER],MATCH(,INDIRECT(ADDRESS(ROW(NOTA[ID]),COLUMN(NOTA[ID]))&amp;":"&amp;ADDRESS(ROW(),COLUMN(NOTA[ID]))),-1)))</f>
        <v>ATALI MAKMUR</v>
      </c>
      <c r="AI409" s="35" t="str">
        <f ca="1">IF(NOTA[[#This Row],[ID_H]]="","",IF(NOTA[[#This Row],[FAKTUR]]="",INDIRECT(ADDRESS(ROW()-1,COLUMN())),NOTA[[#This Row],[FAKTUR]]))</f>
        <v>ARTO MORO</v>
      </c>
      <c r="AJ409" s="27" t="str">
        <f ca="1">IF(NOTA[[#This Row],[ID]]="","",COUNTIF(NOTA[ID_H],NOTA[[#This Row],[ID_H]]))</f>
        <v/>
      </c>
      <c r="AK409" s="27">
        <f ca="1">IF(NOTA[[#This Row],[TGL.NOTA]]="",IF(NOTA[[#This Row],[SUPPLIER_H]]="","",AK408),MONTH(NOTA[[#This Row],[TGL.NOTA]]))</f>
        <v>5</v>
      </c>
      <c r="AL409" s="27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4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4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4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27" t="str">
        <f>IF(NOTA[[#This Row],[CONCAT4]]="","",_xlfn.IFNA(MATCH(NOTA[[#This Row],[CONCAT4]],[2]!RAW[CONCAT_H],0),FALSE))</f>
        <v/>
      </c>
      <c r="AQ409" s="145">
        <f>IF(NOTA[[#This Row],[CONCAT1]]="","",MATCH(NOTA[[#This Row],[CONCAT1]],[3]!db[NB NOTA_C],0)+1)</f>
        <v>532</v>
      </c>
    </row>
    <row r="410" spans="1:43" ht="20.100000000000001" customHeight="1" x14ac:dyDescent="0.25">
      <c r="A4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6" t="str">
        <f>IF(NOTA[[#This Row],[ID_P]]="","",MATCH(NOTA[[#This Row],[ID_P]],[1]!B_MSK[N_ID],0))</f>
        <v/>
      </c>
      <c r="D410" s="36">
        <f ca="1">IF(NOTA[[#This Row],[NAMA BARANG]]="","",INDEX(NOTA[ID],MATCH(,INDIRECT(ADDRESS(ROW(NOTA[ID]),COLUMN(NOTA[ID]))&amp;":"&amp;ADDRESS(ROW(),COLUMN(NOTA[ID]))),-1)))</f>
        <v>77</v>
      </c>
      <c r="E410" s="14"/>
      <c r="F410" s="16"/>
      <c r="G410" s="16"/>
      <c r="H410" s="20"/>
      <c r="I410" s="16"/>
      <c r="J410" s="37"/>
      <c r="K410" s="16"/>
      <c r="L410" s="16" t="s">
        <v>618</v>
      </c>
      <c r="M410" s="28">
        <v>1</v>
      </c>
      <c r="N410" s="16">
        <v>144</v>
      </c>
      <c r="O410" s="16" t="s">
        <v>160</v>
      </c>
      <c r="P410" s="35">
        <v>4350</v>
      </c>
      <c r="Q410" s="38"/>
      <c r="R410" s="28" t="s">
        <v>502</v>
      </c>
      <c r="S410" s="39">
        <v>0.125</v>
      </c>
      <c r="T410" s="39">
        <v>0.05</v>
      </c>
      <c r="U410" s="40"/>
      <c r="V410" s="26"/>
      <c r="W410" s="40">
        <f>IF(NOTA[[#This Row],[HARGA/ CTN]]="",NOTA[[#This Row],[JUMLAH_H]],NOTA[[#This Row],[HARGA/ CTN]]*IF(NOTA[[#This Row],[C]]="",0,NOTA[[#This Row],[C]]))</f>
        <v>626400</v>
      </c>
      <c r="X410" s="40">
        <f>IF(NOTA[[#This Row],[JUMLAH]]="","",NOTA[[#This Row],[JUMLAH]]*NOTA[[#This Row],[DISC 1]])</f>
        <v>78300</v>
      </c>
      <c r="Y410" s="40">
        <f>IF(NOTA[[#This Row],[JUMLAH]]="","",(NOTA[[#This Row],[JUMLAH]]-NOTA[[#This Row],[DISC 1-]])*NOTA[[#This Row],[DISC 2]])</f>
        <v>27405</v>
      </c>
      <c r="Z410" s="40">
        <f>IF(NOTA[[#This Row],[JUMLAH]]="","",NOTA[[#This Row],[DISC 1-]]+NOTA[[#This Row],[DISC 2-]])</f>
        <v>105705</v>
      </c>
      <c r="AA410" s="40">
        <f>IF(NOTA[[#This Row],[JUMLAH]]="","",NOTA[[#This Row],[JUMLAH]]-NOTA[[#This Row],[DISC]])</f>
        <v>520695</v>
      </c>
      <c r="AB410" s="40"/>
      <c r="AC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3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10" s="40">
        <f>IF(OR(NOTA[[#This Row],[QTY]]="",NOTA[[#This Row],[HARGA SATUAN]]="",),"",NOTA[[#This Row],[QTY]]*NOTA[[#This Row],[HARGA SATUAN]])</f>
        <v>626400</v>
      </c>
      <c r="AG410" s="37">
        <f ca="1">IF(NOTA[ID_H]="","",INDEX(NOTA[TANGGAL],MATCH(,INDIRECT(ADDRESS(ROW(NOTA[TANGGAL]),COLUMN(NOTA[TANGGAL]))&amp;":"&amp;ADDRESS(ROW(),COLUMN(NOTA[TANGGAL]))),-1)))</f>
        <v>45061</v>
      </c>
      <c r="AH410" s="35" t="str">
        <f ca="1">IF(NOTA[[#This Row],[NAMA BARANG]]="","",INDEX(NOTA[SUPPLIER],MATCH(,INDIRECT(ADDRESS(ROW(NOTA[ID]),COLUMN(NOTA[ID]))&amp;":"&amp;ADDRESS(ROW(),COLUMN(NOTA[ID]))),-1)))</f>
        <v>ATALI MAKMUR</v>
      </c>
      <c r="AI410" s="35" t="str">
        <f ca="1">IF(NOTA[[#This Row],[ID_H]]="","",IF(NOTA[[#This Row],[FAKTUR]]="",INDIRECT(ADDRESS(ROW()-1,COLUMN())),NOTA[[#This Row],[FAKTUR]]))</f>
        <v>ARTO MORO</v>
      </c>
      <c r="AJ410" s="27" t="str">
        <f ca="1">IF(NOTA[[#This Row],[ID]]="","",COUNTIF(NOTA[ID_H],NOTA[[#This Row],[ID_H]]))</f>
        <v/>
      </c>
      <c r="AK410" s="27">
        <f ca="1">IF(NOTA[[#This Row],[TGL.NOTA]]="",IF(NOTA[[#This Row],[SUPPLIER_H]]="","",AK409),MONTH(NOTA[[#This Row],[TGL.NOTA]]))</f>
        <v>5</v>
      </c>
      <c r="AL410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4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27" t="str">
        <f>IF(NOTA[[#This Row],[CONCAT4]]="","",_xlfn.IFNA(MATCH(NOTA[[#This Row],[CONCAT4]],[2]!RAW[CONCAT_H],0),FALSE))</f>
        <v/>
      </c>
      <c r="AQ410" s="145">
        <f>IF(NOTA[[#This Row],[CONCAT1]]="","",MATCH(NOTA[[#This Row],[CONCAT1]],[3]!db[NB NOTA_C],0)+1)</f>
        <v>2111</v>
      </c>
    </row>
    <row r="411" spans="1:43" ht="20.100000000000001" customHeight="1" x14ac:dyDescent="0.25">
      <c r="A4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6" t="str">
        <f>IF(NOTA[[#This Row],[ID_P]]="","",MATCH(NOTA[[#This Row],[ID_P]],[1]!B_MSK[N_ID],0))</f>
        <v/>
      </c>
      <c r="D411" s="36">
        <f ca="1">IF(NOTA[[#This Row],[NAMA BARANG]]="","",INDEX(NOTA[ID],MATCH(,INDIRECT(ADDRESS(ROW(NOTA[ID]),COLUMN(NOTA[ID]))&amp;":"&amp;ADDRESS(ROW(),COLUMN(NOTA[ID]))),-1)))</f>
        <v>77</v>
      </c>
      <c r="E411" s="14"/>
      <c r="F411" s="16"/>
      <c r="G411" s="16"/>
      <c r="H411" s="20"/>
      <c r="I411" s="16"/>
      <c r="J411" s="37"/>
      <c r="K411" s="16"/>
      <c r="L411" s="16" t="s">
        <v>619</v>
      </c>
      <c r="M411" s="28">
        <v>1</v>
      </c>
      <c r="N411" s="16">
        <v>144</v>
      </c>
      <c r="O411" s="16" t="s">
        <v>160</v>
      </c>
      <c r="P411" s="35">
        <v>6500</v>
      </c>
      <c r="Q411" s="38"/>
      <c r="R411" s="28" t="s">
        <v>502</v>
      </c>
      <c r="S411" s="39">
        <v>0.125</v>
      </c>
      <c r="T411" s="39">
        <v>0.05</v>
      </c>
      <c r="U411" s="40"/>
      <c r="V411" s="26"/>
      <c r="W411" s="40">
        <f>IF(NOTA[[#This Row],[HARGA/ CTN]]="",NOTA[[#This Row],[JUMLAH_H]],NOTA[[#This Row],[HARGA/ CTN]]*IF(NOTA[[#This Row],[C]]="",0,NOTA[[#This Row],[C]]))</f>
        <v>936000</v>
      </c>
      <c r="X411" s="40">
        <f>IF(NOTA[[#This Row],[JUMLAH]]="","",NOTA[[#This Row],[JUMLAH]]*NOTA[[#This Row],[DISC 1]])</f>
        <v>117000</v>
      </c>
      <c r="Y411" s="40">
        <f>IF(NOTA[[#This Row],[JUMLAH]]="","",(NOTA[[#This Row],[JUMLAH]]-NOTA[[#This Row],[DISC 1-]])*NOTA[[#This Row],[DISC 2]])</f>
        <v>40950</v>
      </c>
      <c r="Z411" s="40">
        <f>IF(NOTA[[#This Row],[JUMLAH]]="","",NOTA[[#This Row],[DISC 1-]]+NOTA[[#This Row],[DISC 2-]])</f>
        <v>157950</v>
      </c>
      <c r="AA411" s="40">
        <f>IF(NOTA[[#This Row],[JUMLAH]]="","",NOTA[[#This Row],[JUMLAH]]-NOTA[[#This Row],[DISC]])</f>
        <v>778050</v>
      </c>
      <c r="AB411" s="40"/>
      <c r="AC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1" s="3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11" s="40">
        <f>IF(OR(NOTA[[#This Row],[QTY]]="",NOTA[[#This Row],[HARGA SATUAN]]="",),"",NOTA[[#This Row],[QTY]]*NOTA[[#This Row],[HARGA SATUAN]])</f>
        <v>936000</v>
      </c>
      <c r="AG411" s="37">
        <f ca="1">IF(NOTA[ID_H]="","",INDEX(NOTA[TANGGAL],MATCH(,INDIRECT(ADDRESS(ROW(NOTA[TANGGAL]),COLUMN(NOTA[TANGGAL]))&amp;":"&amp;ADDRESS(ROW(),COLUMN(NOTA[TANGGAL]))),-1)))</f>
        <v>45061</v>
      </c>
      <c r="AH411" s="35" t="str">
        <f ca="1">IF(NOTA[[#This Row],[NAMA BARANG]]="","",INDEX(NOTA[SUPPLIER],MATCH(,INDIRECT(ADDRESS(ROW(NOTA[ID]),COLUMN(NOTA[ID]))&amp;":"&amp;ADDRESS(ROW(),COLUMN(NOTA[ID]))),-1)))</f>
        <v>ATALI MAKMUR</v>
      </c>
      <c r="AI411" s="35" t="str">
        <f ca="1">IF(NOTA[[#This Row],[ID_H]]="","",IF(NOTA[[#This Row],[FAKTUR]]="",INDIRECT(ADDRESS(ROW()-1,COLUMN())),NOTA[[#This Row],[FAKTUR]]))</f>
        <v>ARTO MORO</v>
      </c>
      <c r="AJ411" s="27" t="str">
        <f ca="1">IF(NOTA[[#This Row],[ID]]="","",COUNTIF(NOTA[ID_H],NOTA[[#This Row],[ID_H]]))</f>
        <v/>
      </c>
      <c r="AK411" s="27">
        <f ca="1">IF(NOTA[[#This Row],[TGL.NOTA]]="",IF(NOTA[[#This Row],[SUPPLIER_H]]="","",AK410),MONTH(NOTA[[#This Row],[TGL.NOTA]]))</f>
        <v>5</v>
      </c>
      <c r="AL411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4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27" t="str">
        <f>IF(NOTA[[#This Row],[CONCAT4]]="","",_xlfn.IFNA(MATCH(NOTA[[#This Row],[CONCAT4]],[2]!RAW[CONCAT_H],0),FALSE))</f>
        <v/>
      </c>
      <c r="AQ411" s="145">
        <f>IF(NOTA[[#This Row],[CONCAT1]]="","",MATCH(NOTA[[#This Row],[CONCAT1]],[3]!db[NB NOTA_C],0)+1)</f>
        <v>2112</v>
      </c>
    </row>
    <row r="412" spans="1:43" ht="20.100000000000001" customHeight="1" x14ac:dyDescent="0.25">
      <c r="A4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6" t="str">
        <f>IF(NOTA[[#This Row],[ID_P]]="","",MATCH(NOTA[[#This Row],[ID_P]],[1]!B_MSK[N_ID],0))</f>
        <v/>
      </c>
      <c r="D412" s="36">
        <f ca="1">IF(NOTA[[#This Row],[NAMA BARANG]]="","",INDEX(NOTA[ID],MATCH(,INDIRECT(ADDRESS(ROW(NOTA[ID]),COLUMN(NOTA[ID]))&amp;":"&amp;ADDRESS(ROW(),COLUMN(NOTA[ID]))),-1)))</f>
        <v>77</v>
      </c>
      <c r="E412" s="14"/>
      <c r="F412" s="16"/>
      <c r="G412" s="16"/>
      <c r="H412" s="20"/>
      <c r="I412" s="16"/>
      <c r="J412" s="37"/>
      <c r="K412" s="16"/>
      <c r="L412" s="16" t="s">
        <v>620</v>
      </c>
      <c r="M412" s="28">
        <v>1</v>
      </c>
      <c r="N412" s="16">
        <v>144</v>
      </c>
      <c r="O412" s="16" t="s">
        <v>160</v>
      </c>
      <c r="P412" s="35">
        <v>17700</v>
      </c>
      <c r="Q412" s="38"/>
      <c r="R412" s="28" t="s">
        <v>502</v>
      </c>
      <c r="S412" s="39">
        <v>0.125</v>
      </c>
      <c r="T412" s="39">
        <v>0.05</v>
      </c>
      <c r="U412" s="40"/>
      <c r="V412" s="26"/>
      <c r="W412" s="40">
        <f>IF(NOTA[[#This Row],[HARGA/ CTN]]="",NOTA[[#This Row],[JUMLAH_H]],NOTA[[#This Row],[HARGA/ CTN]]*IF(NOTA[[#This Row],[C]]="",0,NOTA[[#This Row],[C]]))</f>
        <v>2548800</v>
      </c>
      <c r="X412" s="40">
        <f>IF(NOTA[[#This Row],[JUMLAH]]="","",NOTA[[#This Row],[JUMLAH]]*NOTA[[#This Row],[DISC 1]])</f>
        <v>318600</v>
      </c>
      <c r="Y412" s="40">
        <f>IF(NOTA[[#This Row],[JUMLAH]]="","",(NOTA[[#This Row],[JUMLAH]]-NOTA[[#This Row],[DISC 1-]])*NOTA[[#This Row],[DISC 2]])</f>
        <v>111510</v>
      </c>
      <c r="Z412" s="40">
        <f>IF(NOTA[[#This Row],[JUMLAH]]="","",NOTA[[#This Row],[DISC 1-]]+NOTA[[#This Row],[DISC 2-]])</f>
        <v>430110</v>
      </c>
      <c r="AA412" s="40">
        <f>IF(NOTA[[#This Row],[JUMLAH]]="","",NOTA[[#This Row],[JUMLAH]]-NOTA[[#This Row],[DISC]])</f>
        <v>2118690</v>
      </c>
      <c r="AB412" s="40"/>
      <c r="AC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35">
        <f>IF(NOTA[[#This Row],[NAMA BARANG]]="","",IF(NOTA[[#This Row],[JUMLAH_H]]="",NOTA[[#This Row],[HARGA/ CTN]],NOTA[[#This Row],[QTY]]*NOTA[[#This Row],[HARGA SATUAN]]/IF(ISNUMBER(NOTA[[#This Row],[C]]),NOTA[[#This Row],[C]],1)))</f>
        <v>2548800</v>
      </c>
      <c r="AF412" s="40">
        <f>IF(OR(NOTA[[#This Row],[QTY]]="",NOTA[[#This Row],[HARGA SATUAN]]="",),"",NOTA[[#This Row],[QTY]]*NOTA[[#This Row],[HARGA SATUAN]])</f>
        <v>2548800</v>
      </c>
      <c r="AG412" s="37">
        <f ca="1">IF(NOTA[ID_H]="","",INDEX(NOTA[TANGGAL],MATCH(,INDIRECT(ADDRESS(ROW(NOTA[TANGGAL]),COLUMN(NOTA[TANGGAL]))&amp;":"&amp;ADDRESS(ROW(),COLUMN(NOTA[TANGGAL]))),-1)))</f>
        <v>45061</v>
      </c>
      <c r="AH412" s="35" t="str">
        <f ca="1">IF(NOTA[[#This Row],[NAMA BARANG]]="","",INDEX(NOTA[SUPPLIER],MATCH(,INDIRECT(ADDRESS(ROW(NOTA[ID]),COLUMN(NOTA[ID]))&amp;":"&amp;ADDRESS(ROW(),COLUMN(NOTA[ID]))),-1)))</f>
        <v>ATALI MAKMUR</v>
      </c>
      <c r="AI412" s="35" t="str">
        <f ca="1">IF(NOTA[[#This Row],[ID_H]]="","",IF(NOTA[[#This Row],[FAKTUR]]="",INDIRECT(ADDRESS(ROW()-1,COLUMN())),NOTA[[#This Row],[FAKTUR]]))</f>
        <v>ARTO MORO</v>
      </c>
      <c r="AJ412" s="27" t="str">
        <f ca="1">IF(NOTA[[#This Row],[ID]]="","",COUNTIF(NOTA[ID_H],NOTA[[#This Row],[ID_H]]))</f>
        <v/>
      </c>
      <c r="AK412" s="27">
        <f ca="1">IF(NOTA[[#This Row],[TGL.NOTA]]="",IF(NOTA[[#This Row],[SUPPLIER_H]]="","",AK411),MONTH(NOTA[[#This Row],[TGL.NOTA]]))</f>
        <v>5</v>
      </c>
      <c r="AL412" s="27" t="str">
        <f>LOWER(SUBSTITUTE(SUBSTITUTE(SUBSTITUTE(SUBSTITUTE(SUBSTITUTE(SUBSTITUTE(SUBSTITUTE(SUBSTITUTE(SUBSTITUTE(NOTA[NAMA BARANG]," ",),".",""),"-",""),"(",""),")",""),",",""),"/",""),"""",""),"+",""))</f>
        <v>scissorssc858jk</v>
      </c>
      <c r="AM4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scissorssc858jk25488000.1250.05</v>
      </c>
      <c r="AN4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scissorssc858jk25488000.1250.05</v>
      </c>
      <c r="AO4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27" t="str">
        <f>IF(NOTA[[#This Row],[CONCAT4]]="","",_xlfn.IFNA(MATCH(NOTA[[#This Row],[CONCAT4]],[2]!RAW[CONCAT_H],0),FALSE))</f>
        <v/>
      </c>
      <c r="AQ412" s="145">
        <f>IF(NOTA[[#This Row],[CONCAT1]]="","",MATCH(NOTA[[#This Row],[CONCAT1]],[3]!db[NB NOTA_C],0)+1)</f>
        <v>2115</v>
      </c>
    </row>
    <row r="413" spans="1:43" ht="20.100000000000001" customHeight="1" x14ac:dyDescent="0.25">
      <c r="A4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6" t="str">
        <f>IF(NOTA[[#This Row],[ID_P]]="","",MATCH(NOTA[[#This Row],[ID_P]],[1]!B_MSK[N_ID],0))</f>
        <v/>
      </c>
      <c r="D413" s="36">
        <f ca="1">IF(NOTA[[#This Row],[NAMA BARANG]]="","",INDEX(NOTA[ID],MATCH(,INDIRECT(ADDRESS(ROW(NOTA[ID]),COLUMN(NOTA[ID]))&amp;":"&amp;ADDRESS(ROW(),COLUMN(NOTA[ID]))),-1)))</f>
        <v>77</v>
      </c>
      <c r="E413" s="14"/>
      <c r="F413" s="16"/>
      <c r="G413" s="16"/>
      <c r="H413" s="20"/>
      <c r="I413" s="16"/>
      <c r="J413" s="37"/>
      <c r="K413" s="16"/>
      <c r="L413" s="16" t="s">
        <v>621</v>
      </c>
      <c r="M413" s="28">
        <v>1</v>
      </c>
      <c r="N413" s="16">
        <v>216</v>
      </c>
      <c r="O413" s="16" t="s">
        <v>160</v>
      </c>
      <c r="P413" s="35">
        <v>4900</v>
      </c>
      <c r="Q413" s="38"/>
      <c r="R413" s="28" t="s">
        <v>622</v>
      </c>
      <c r="S413" s="39">
        <v>0.125</v>
      </c>
      <c r="T413" s="39">
        <v>0.05</v>
      </c>
      <c r="U413" s="40"/>
      <c r="V413" s="26"/>
      <c r="W413" s="40">
        <f>IF(NOTA[[#This Row],[HARGA/ CTN]]="",NOTA[[#This Row],[JUMLAH_H]],NOTA[[#This Row],[HARGA/ CTN]]*IF(NOTA[[#This Row],[C]]="",0,NOTA[[#This Row],[C]]))</f>
        <v>1058400</v>
      </c>
      <c r="X413" s="40">
        <f>IF(NOTA[[#This Row],[JUMLAH]]="","",NOTA[[#This Row],[JUMLAH]]*NOTA[[#This Row],[DISC 1]])</f>
        <v>132300</v>
      </c>
      <c r="Y413" s="40">
        <f>IF(NOTA[[#This Row],[JUMLAH]]="","",(NOTA[[#This Row],[JUMLAH]]-NOTA[[#This Row],[DISC 1-]])*NOTA[[#This Row],[DISC 2]])</f>
        <v>46305</v>
      </c>
      <c r="Z413" s="40">
        <f>IF(NOTA[[#This Row],[JUMLAH]]="","",NOTA[[#This Row],[DISC 1-]]+NOTA[[#This Row],[DISC 2-]])</f>
        <v>178605</v>
      </c>
      <c r="AA413" s="40">
        <f>IF(NOTA[[#This Row],[JUMLAH]]="","",NOTA[[#This Row],[JUMLAH]]-NOTA[[#This Row],[DISC]])</f>
        <v>879795</v>
      </c>
      <c r="AB413" s="40"/>
      <c r="AC41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1890540</v>
      </c>
      <c r="AD41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9312660</v>
      </c>
      <c r="AE413" s="35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413" s="40">
        <f>IF(OR(NOTA[[#This Row],[QTY]]="",NOTA[[#This Row],[HARGA SATUAN]]="",),"",NOTA[[#This Row],[QTY]]*NOTA[[#This Row],[HARGA SATUAN]])</f>
        <v>1058400</v>
      </c>
      <c r="AG413" s="37">
        <f ca="1">IF(NOTA[ID_H]="","",INDEX(NOTA[TANGGAL],MATCH(,INDIRECT(ADDRESS(ROW(NOTA[TANGGAL]),COLUMN(NOTA[TANGGAL]))&amp;":"&amp;ADDRESS(ROW(),COLUMN(NOTA[TANGGAL]))),-1)))</f>
        <v>45061</v>
      </c>
      <c r="AH413" s="35" t="str">
        <f ca="1">IF(NOTA[[#This Row],[NAMA BARANG]]="","",INDEX(NOTA[SUPPLIER],MATCH(,INDIRECT(ADDRESS(ROW(NOTA[ID]),COLUMN(NOTA[ID]))&amp;":"&amp;ADDRESS(ROW(),COLUMN(NOTA[ID]))),-1)))</f>
        <v>ATALI MAKMUR</v>
      </c>
      <c r="AI413" s="35" t="str">
        <f ca="1">IF(NOTA[[#This Row],[ID_H]]="","",IF(NOTA[[#This Row],[FAKTUR]]="",INDIRECT(ADDRESS(ROW()-1,COLUMN())),NOTA[[#This Row],[FAKTUR]]))</f>
        <v>ARTO MORO</v>
      </c>
      <c r="AJ413" s="27" t="str">
        <f ca="1">IF(NOTA[[#This Row],[ID]]="","",COUNTIF(NOTA[ID_H],NOTA[[#This Row],[ID_H]]))</f>
        <v/>
      </c>
      <c r="AK413" s="27">
        <f ca="1">IF(NOTA[[#This Row],[TGL.NOTA]]="",IF(NOTA[[#This Row],[SUPPLIER_H]]="","",AK412),MONTH(NOTA[[#This Row],[TGL.NOTA]]))</f>
        <v>5</v>
      </c>
      <c r="AL413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4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4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4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3" s="27" t="str">
        <f>IF(NOTA[[#This Row],[CONCAT4]]="","",_xlfn.IFNA(MATCH(NOTA[[#This Row],[CONCAT4]],[2]!RAW[CONCAT_H],0),FALSE))</f>
        <v/>
      </c>
      <c r="AQ413" s="145">
        <f>IF(NOTA[[#This Row],[CONCAT1]]="","",MATCH(NOTA[[#This Row],[CONCAT1]],[3]!db[NB NOTA_C],0)+1)</f>
        <v>2170</v>
      </c>
    </row>
    <row r="414" spans="1:43" ht="20.100000000000001" customHeight="1" x14ac:dyDescent="0.25">
      <c r="A41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6" t="str">
        <f>IF(NOTA[[#This Row],[ID_P]]="","",MATCH(NOTA[[#This Row],[ID_P]],[1]!B_MSK[N_ID],0))</f>
        <v/>
      </c>
      <c r="D414" s="36" t="str">
        <f ca="1">IF(NOTA[[#This Row],[NAMA BARANG]]="","",INDEX(NOTA[ID],MATCH(,INDIRECT(ADDRESS(ROW(NOTA[ID]),COLUMN(NOTA[ID]))&amp;":"&amp;ADDRESS(ROW(),COLUMN(NOTA[ID]))),-1)))</f>
        <v/>
      </c>
      <c r="E414" s="14"/>
      <c r="F414" s="16"/>
      <c r="G414" s="16"/>
      <c r="H414" s="20"/>
      <c r="I414" s="16"/>
      <c r="J414" s="37"/>
      <c r="K414" s="16"/>
      <c r="L414" s="16"/>
      <c r="M414" s="28"/>
      <c r="N414" s="16"/>
      <c r="O414" s="16"/>
      <c r="P414" s="35"/>
      <c r="Q414" s="38"/>
      <c r="R414" s="28"/>
      <c r="S414" s="39"/>
      <c r="T414" s="39"/>
      <c r="U414" s="40"/>
      <c r="V414" s="26"/>
      <c r="W414" s="40" t="str">
        <f>IF(NOTA[[#This Row],[HARGA/ CTN]]="",NOTA[[#This Row],[JUMLAH_H]],NOTA[[#This Row],[HARGA/ CTN]]*IF(NOTA[[#This Row],[C]]="",0,NOTA[[#This Row],[C]]))</f>
        <v/>
      </c>
      <c r="X414" s="40" t="str">
        <f>IF(NOTA[[#This Row],[JUMLAH]]="","",NOTA[[#This Row],[JUMLAH]]*NOTA[[#This Row],[DISC 1]])</f>
        <v/>
      </c>
      <c r="Y414" s="40" t="str">
        <f>IF(NOTA[[#This Row],[JUMLAH]]="","",(NOTA[[#This Row],[JUMLAH]]-NOTA[[#This Row],[DISC 1-]])*NOTA[[#This Row],[DISC 2]])</f>
        <v/>
      </c>
      <c r="Z414" s="40" t="str">
        <f>IF(NOTA[[#This Row],[JUMLAH]]="","",NOTA[[#This Row],[DISC 1-]]+NOTA[[#This Row],[DISC 2-]])</f>
        <v/>
      </c>
      <c r="AA414" s="40" t="str">
        <f>IF(NOTA[[#This Row],[JUMLAH]]="","",NOTA[[#This Row],[JUMLAH]]-NOTA[[#This Row],[DISC]])</f>
        <v/>
      </c>
      <c r="AB414" s="40"/>
      <c r="AC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40" t="str">
        <f>IF(OR(NOTA[[#This Row],[QTY]]="",NOTA[[#This Row],[HARGA SATUAN]]="",),"",NOTA[[#This Row],[QTY]]*NOTA[[#This Row],[HARGA SATUAN]])</f>
        <v/>
      </c>
      <c r="AG414" s="37" t="str">
        <f ca="1">IF(NOTA[ID_H]="","",INDEX(NOTA[TANGGAL],MATCH(,INDIRECT(ADDRESS(ROW(NOTA[TANGGAL]),COLUMN(NOTA[TANGGAL]))&amp;":"&amp;ADDRESS(ROW(),COLUMN(NOTA[TANGGAL]))),-1)))</f>
        <v/>
      </c>
      <c r="AH414" s="35" t="str">
        <f ca="1">IF(NOTA[[#This Row],[NAMA BARANG]]="","",INDEX(NOTA[SUPPLIER],MATCH(,INDIRECT(ADDRESS(ROW(NOTA[ID]),COLUMN(NOTA[ID]))&amp;":"&amp;ADDRESS(ROW(),COLUMN(NOTA[ID]))),-1)))</f>
        <v/>
      </c>
      <c r="AI414" s="35" t="str">
        <f ca="1">IF(NOTA[[#This Row],[ID_H]]="","",IF(NOTA[[#This Row],[FAKTUR]]="",INDIRECT(ADDRESS(ROW()-1,COLUMN())),NOTA[[#This Row],[FAKTUR]]))</f>
        <v/>
      </c>
      <c r="AJ414" s="27" t="str">
        <f ca="1">IF(NOTA[[#This Row],[ID]]="","",COUNTIF(NOTA[ID_H],NOTA[[#This Row],[ID_H]]))</f>
        <v/>
      </c>
      <c r="AK414" s="27" t="str">
        <f ca="1">IF(NOTA[[#This Row],[TGL.NOTA]]="",IF(NOTA[[#This Row],[SUPPLIER_H]]="","",AK413),MONTH(NOTA[[#This Row],[TGL.NOTA]]))</f>
        <v/>
      </c>
      <c r="AL414" s="27" t="str">
        <f>LOWER(SUBSTITUTE(SUBSTITUTE(SUBSTITUTE(SUBSTITUTE(SUBSTITUTE(SUBSTITUTE(SUBSTITUTE(SUBSTITUTE(SUBSTITUTE(NOTA[NAMA BARANG]," ",),".",""),"-",""),"(",""),")",""),",",""),"/",""),"""",""),"+",""))</f>
        <v/>
      </c>
      <c r="AM4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27" t="str">
        <f>IF(NOTA[[#This Row],[CONCAT4]]="","",_xlfn.IFNA(MATCH(NOTA[[#This Row],[CONCAT4]],[2]!RAW[CONCAT_H],0),FALSE))</f>
        <v/>
      </c>
      <c r="AQ414" s="145" t="str">
        <f>IF(NOTA[[#This Row],[CONCAT1]]="","",MATCH(NOTA[[#This Row],[CONCAT1]],[3]!db[NB NOTA_C],0)+1)</f>
        <v/>
      </c>
    </row>
    <row r="415" spans="1:43" ht="20.100000000000001" customHeight="1" x14ac:dyDescent="0.25">
      <c r="A415" s="3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GRA_1605_207-1</v>
      </c>
      <c r="C415" s="36" t="e">
        <f ca="1">IF(NOTA[[#This Row],[ID_P]]="","",MATCH(NOTA[[#This Row],[ID_P]],[1]!B_MSK[N_ID],0))</f>
        <v>#REF!</v>
      </c>
      <c r="D415" s="36">
        <f ca="1">IF(NOTA[[#This Row],[NAMA BARANG]]="","",INDEX(NOTA[ID],MATCH(,INDIRECT(ADDRESS(ROW(NOTA[ID]),COLUMN(NOTA[ID]))&amp;":"&amp;ADDRESS(ROW(),COLUMN(NOTA[ID]))),-1)))</f>
        <v>78</v>
      </c>
      <c r="E415" s="14">
        <v>45062</v>
      </c>
      <c r="F415" s="16" t="s">
        <v>124</v>
      </c>
      <c r="G415" s="16" t="s">
        <v>112</v>
      </c>
      <c r="H415" s="20" t="s">
        <v>624</v>
      </c>
      <c r="I415" s="16"/>
      <c r="J415" s="37">
        <v>45058</v>
      </c>
      <c r="K415" s="16"/>
      <c r="L415" s="16" t="s">
        <v>127</v>
      </c>
      <c r="M415" s="28">
        <v>12</v>
      </c>
      <c r="N415" s="16">
        <v>600</v>
      </c>
      <c r="O415" s="16" t="s">
        <v>125</v>
      </c>
      <c r="P415" s="35">
        <v>16000</v>
      </c>
      <c r="Q415" s="38"/>
      <c r="R415" s="28" t="s">
        <v>137</v>
      </c>
      <c r="S415" s="39"/>
      <c r="T415" s="39"/>
      <c r="U415" s="40"/>
      <c r="V415" s="26"/>
      <c r="W415" s="40">
        <f>IF(NOTA[[#This Row],[HARGA/ CTN]]="",NOTA[[#This Row],[JUMLAH_H]],NOTA[[#This Row],[HARGA/ CTN]]*IF(NOTA[[#This Row],[C]]="",0,NOTA[[#This Row],[C]]))</f>
        <v>9600000</v>
      </c>
      <c r="X415" s="40">
        <f>IF(NOTA[[#This Row],[JUMLAH]]="","",NOTA[[#This Row],[JUMLAH]]*NOTA[[#This Row],[DISC 1]])</f>
        <v>0</v>
      </c>
      <c r="Y415" s="40">
        <f>IF(NOTA[[#This Row],[JUMLAH]]="","",(NOTA[[#This Row],[JUMLAH]]-NOTA[[#This Row],[DISC 1-]])*NOTA[[#This Row],[DISC 2]])</f>
        <v>0</v>
      </c>
      <c r="Z415" s="40">
        <f>IF(NOTA[[#This Row],[JUMLAH]]="","",NOTA[[#This Row],[DISC 1-]]+NOTA[[#This Row],[DISC 2-]])</f>
        <v>0</v>
      </c>
      <c r="AA415" s="40">
        <f>IF(NOTA[[#This Row],[JUMLAH]]="","",NOTA[[#This Row],[JUMLAH]]-NOTA[[#This Row],[DISC]])</f>
        <v>9600000</v>
      </c>
      <c r="AB415" s="40"/>
      <c r="AC41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E41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15" s="40">
        <f>IF(OR(NOTA[[#This Row],[QTY]]="",NOTA[[#This Row],[HARGA SATUAN]]="",),"",NOTA[[#This Row],[QTY]]*NOTA[[#This Row],[HARGA SATUAN]])</f>
        <v>9600000</v>
      </c>
      <c r="AG415" s="37">
        <f ca="1">IF(NOTA[ID_H]="","",INDEX(NOTA[TANGGAL],MATCH(,INDIRECT(ADDRESS(ROW(NOTA[TANGGAL]),COLUMN(NOTA[TANGGAL]))&amp;":"&amp;ADDRESS(ROW(),COLUMN(NOTA[TANGGAL]))),-1)))</f>
        <v>45062</v>
      </c>
      <c r="AH415" s="35" t="str">
        <f ca="1">IF(NOTA[[#This Row],[NAMA BARANG]]="","",INDEX(NOTA[SUPPLIER],MATCH(,INDIRECT(ADDRESS(ROW(NOTA[ID]),COLUMN(NOTA[ID]))&amp;":"&amp;ADDRESS(ROW(),COLUMN(NOTA[ID]))),-1)))</f>
        <v>GRAFINDO</v>
      </c>
      <c r="AI415" s="35" t="str">
        <f ca="1">IF(NOTA[[#This Row],[ID_H]]="","",IF(NOTA[[#This Row],[FAKTUR]]="",INDIRECT(ADDRESS(ROW()-1,COLUMN())),NOTA[[#This Row],[FAKTUR]]))</f>
        <v>UNTANA</v>
      </c>
      <c r="AJ415" s="27">
        <f ca="1">IF(NOTA[[#This Row],[ID]]="","",COUNTIF(NOTA[ID_H],NOTA[[#This Row],[ID_H]]))</f>
        <v>1</v>
      </c>
      <c r="AK415" s="27">
        <f>IF(NOTA[[#This Row],[TGL.NOTA]]="",IF(NOTA[[#This Row],[SUPPLIER_H]]="","",AK414),MONTH(NOTA[[#This Row],[TGL.NOTA]]))</f>
        <v>5</v>
      </c>
      <c r="AL415" s="27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M4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mapkancingsikaac05biru800000</v>
      </c>
      <c r="AN4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mapkancingsikaac05biru800000</v>
      </c>
      <c r="AO415" s="27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GRAFINDOUNTANAGA-23/05/020745058mapkancingsikaac05biru</v>
      </c>
      <c r="AP415" s="27" t="e">
        <f>IF(NOTA[[#This Row],[CONCAT4]]="","",_xlfn.IFNA(MATCH(NOTA[[#This Row],[CONCAT4]],[2]!RAW[CONCAT_H],0),FALSE))</f>
        <v>#REF!</v>
      </c>
      <c r="AQ415" s="145">
        <f>IF(NOTA[[#This Row],[CONCAT1]]="","",MATCH(NOTA[[#This Row],[CONCAT1]],[3]!db[NB NOTA_C],0)+1)</f>
        <v>1571</v>
      </c>
    </row>
    <row r="416" spans="1:43" ht="20.100000000000001" customHeight="1" x14ac:dyDescent="0.25">
      <c r="A4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6" t="str">
        <f>IF(NOTA[[#This Row],[ID_P]]="","",MATCH(NOTA[[#This Row],[ID_P]],[1]!B_MSK[N_ID],0))</f>
        <v/>
      </c>
      <c r="D416" s="36" t="str">
        <f ca="1">IF(NOTA[[#This Row],[NAMA BARANG]]="","",INDEX(NOTA[ID],MATCH(,INDIRECT(ADDRESS(ROW(NOTA[ID]),COLUMN(NOTA[ID]))&amp;":"&amp;ADDRESS(ROW(),COLUMN(NOTA[ID]))),-1)))</f>
        <v/>
      </c>
      <c r="E416" s="14"/>
      <c r="F416" s="16"/>
      <c r="G416" s="16"/>
      <c r="H416" s="20"/>
      <c r="I416" s="16"/>
      <c r="J416" s="37"/>
      <c r="K416" s="16"/>
      <c r="L416" s="16"/>
      <c r="M416" s="28"/>
      <c r="N416" s="16"/>
      <c r="O416" s="16"/>
      <c r="P416" s="35"/>
      <c r="Q416" s="38"/>
      <c r="R416" s="28"/>
      <c r="S416" s="39"/>
      <c r="T416" s="39"/>
      <c r="U416" s="40"/>
      <c r="V416" s="26"/>
      <c r="W416" s="40" t="str">
        <f>IF(NOTA[[#This Row],[HARGA/ CTN]]="",NOTA[[#This Row],[JUMLAH_H]],NOTA[[#This Row],[HARGA/ CTN]]*IF(NOTA[[#This Row],[C]]="",0,NOTA[[#This Row],[C]]))</f>
        <v/>
      </c>
      <c r="X416" s="40" t="str">
        <f>IF(NOTA[[#This Row],[JUMLAH]]="","",NOTA[[#This Row],[JUMLAH]]*NOTA[[#This Row],[DISC 1]])</f>
        <v/>
      </c>
      <c r="Y416" s="40" t="str">
        <f>IF(NOTA[[#This Row],[JUMLAH]]="","",(NOTA[[#This Row],[JUMLAH]]-NOTA[[#This Row],[DISC 1-]])*NOTA[[#This Row],[DISC 2]])</f>
        <v/>
      </c>
      <c r="Z416" s="40" t="str">
        <f>IF(NOTA[[#This Row],[JUMLAH]]="","",NOTA[[#This Row],[DISC 1-]]+NOTA[[#This Row],[DISC 2-]])</f>
        <v/>
      </c>
      <c r="AA416" s="40" t="str">
        <f>IF(NOTA[[#This Row],[JUMLAH]]="","",NOTA[[#This Row],[JUMLAH]]-NOTA[[#This Row],[DISC]])</f>
        <v/>
      </c>
      <c r="AB416" s="40"/>
      <c r="AC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6" s="40" t="str">
        <f>IF(OR(NOTA[[#This Row],[QTY]]="",NOTA[[#This Row],[HARGA SATUAN]]="",),"",NOTA[[#This Row],[QTY]]*NOTA[[#This Row],[HARGA SATUAN]])</f>
        <v/>
      </c>
      <c r="AG416" s="37" t="str">
        <f ca="1">IF(NOTA[ID_H]="","",INDEX(NOTA[TANGGAL],MATCH(,INDIRECT(ADDRESS(ROW(NOTA[TANGGAL]),COLUMN(NOTA[TANGGAL]))&amp;":"&amp;ADDRESS(ROW(),COLUMN(NOTA[TANGGAL]))),-1)))</f>
        <v/>
      </c>
      <c r="AH416" s="35" t="str">
        <f ca="1">IF(NOTA[[#This Row],[NAMA BARANG]]="","",INDEX(NOTA[SUPPLIER],MATCH(,INDIRECT(ADDRESS(ROW(NOTA[ID]),COLUMN(NOTA[ID]))&amp;":"&amp;ADDRESS(ROW(),COLUMN(NOTA[ID]))),-1)))</f>
        <v/>
      </c>
      <c r="AI416" s="35" t="str">
        <f ca="1">IF(NOTA[[#This Row],[ID_H]]="","",IF(NOTA[[#This Row],[FAKTUR]]="",INDIRECT(ADDRESS(ROW()-1,COLUMN())),NOTA[[#This Row],[FAKTUR]]))</f>
        <v/>
      </c>
      <c r="AJ416" s="27" t="str">
        <f ca="1">IF(NOTA[[#This Row],[ID]]="","",COUNTIF(NOTA[ID_H],NOTA[[#This Row],[ID_H]]))</f>
        <v/>
      </c>
      <c r="AK416" s="27" t="str">
        <f ca="1">IF(NOTA[[#This Row],[TGL.NOTA]]="",IF(NOTA[[#This Row],[SUPPLIER_H]]="","",AK415),MONTH(NOTA[[#This Row],[TGL.NOTA]]))</f>
        <v/>
      </c>
      <c r="AL416" s="27" t="str">
        <f>LOWER(SUBSTITUTE(SUBSTITUTE(SUBSTITUTE(SUBSTITUTE(SUBSTITUTE(SUBSTITUTE(SUBSTITUTE(SUBSTITUTE(SUBSTITUTE(NOTA[NAMA BARANG]," ",),".",""),"-",""),"(",""),")",""),",",""),"/",""),"""",""),"+",""))</f>
        <v/>
      </c>
      <c r="AM4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27" t="str">
        <f>IF(NOTA[[#This Row],[CONCAT4]]="","",_xlfn.IFNA(MATCH(NOTA[[#This Row],[CONCAT4]],[2]!RAW[CONCAT_H],0),FALSE))</f>
        <v/>
      </c>
      <c r="AQ416" s="145" t="str">
        <f>IF(NOTA[[#This Row],[CONCAT1]]="","",MATCH(NOTA[[#This Row],[CONCAT1]],[3]!db[NB NOTA_C],0)+1)</f>
        <v/>
      </c>
    </row>
    <row r="417" spans="1:43" ht="20.100000000000001" customHeight="1" x14ac:dyDescent="0.25">
      <c r="A417" s="3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DUT_1605_23C-2</v>
      </c>
      <c r="C417" s="36" t="e">
        <f ca="1">IF(NOTA[[#This Row],[ID_P]]="","",MATCH(NOTA[[#This Row],[ID_P]],[1]!B_MSK[N_ID],0))</f>
        <v>#REF!</v>
      </c>
      <c r="D417" s="36">
        <f ca="1">IF(NOTA[[#This Row],[NAMA BARANG]]="","",INDEX(NOTA[ID],MATCH(,INDIRECT(ADDRESS(ROW(NOTA[ID]),COLUMN(NOTA[ID]))&amp;":"&amp;ADDRESS(ROW(),COLUMN(NOTA[ID]))),-1)))</f>
        <v>79</v>
      </c>
      <c r="E417" s="14"/>
      <c r="F417" s="16" t="s">
        <v>625</v>
      </c>
      <c r="G417" s="16" t="s">
        <v>112</v>
      </c>
      <c r="H417" s="20" t="s">
        <v>626</v>
      </c>
      <c r="I417" s="16"/>
      <c r="J417" s="37">
        <v>45059</v>
      </c>
      <c r="K417" s="16"/>
      <c r="L417" s="16" t="s">
        <v>627</v>
      </c>
      <c r="M417" s="28">
        <v>6</v>
      </c>
      <c r="N417" s="16">
        <v>3456</v>
      </c>
      <c r="O417" s="16" t="s">
        <v>628</v>
      </c>
      <c r="P417" s="35">
        <v>4750</v>
      </c>
      <c r="Q417" s="38"/>
      <c r="R417" s="28" t="s">
        <v>629</v>
      </c>
      <c r="S417" s="39">
        <v>2.5000000000000001E-2</v>
      </c>
      <c r="T417" s="39"/>
      <c r="U417" s="40"/>
      <c r="V417" s="26" t="s">
        <v>632</v>
      </c>
      <c r="W417" s="40">
        <f>IF(NOTA[[#This Row],[HARGA/ CTN]]="",NOTA[[#This Row],[JUMLAH_H]],NOTA[[#This Row],[HARGA/ CTN]]*IF(NOTA[[#This Row],[C]]="",0,NOTA[[#This Row],[C]]))</f>
        <v>16416000</v>
      </c>
      <c r="X417" s="40">
        <f>IF(NOTA[[#This Row],[JUMLAH]]="","",NOTA[[#This Row],[JUMLAH]]*NOTA[[#This Row],[DISC 1]])</f>
        <v>410400</v>
      </c>
      <c r="Y417" s="40">
        <f>IF(NOTA[[#This Row],[JUMLAH]]="","",(NOTA[[#This Row],[JUMLAH]]-NOTA[[#This Row],[DISC 1-]])*NOTA[[#This Row],[DISC 2]])</f>
        <v>0</v>
      </c>
      <c r="Z417" s="40">
        <f>IF(NOTA[[#This Row],[JUMLAH]]="","",NOTA[[#This Row],[DISC 1-]]+NOTA[[#This Row],[DISC 2-]])</f>
        <v>410400</v>
      </c>
      <c r="AA417" s="40">
        <f>IF(NOTA[[#This Row],[JUMLAH]]="","",NOTA[[#This Row],[JUMLAH]]-NOTA[[#This Row],[DISC]])</f>
        <v>16005600</v>
      </c>
      <c r="AB417" s="40"/>
      <c r="AC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35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417" s="40">
        <f>IF(OR(NOTA[[#This Row],[QTY]]="",NOTA[[#This Row],[HARGA SATUAN]]="",),"",NOTA[[#This Row],[QTY]]*NOTA[[#This Row],[HARGA SATUAN]])</f>
        <v>16416000</v>
      </c>
      <c r="AG417" s="37">
        <f ca="1">IF(NOTA[ID_H]="","",INDEX(NOTA[TANGGAL],MATCH(,INDIRECT(ADDRESS(ROW(NOTA[TANGGAL]),COLUMN(NOTA[TANGGAL]))&amp;":"&amp;ADDRESS(ROW(),COLUMN(NOTA[TANGGAL]))),-1)))</f>
        <v>45062</v>
      </c>
      <c r="AH417" s="35" t="str">
        <f ca="1">IF(NOTA[[#This Row],[NAMA BARANG]]="","",INDEX(NOTA[SUPPLIER],MATCH(,INDIRECT(ADDRESS(ROW(NOTA[ID]),COLUMN(NOTA[ID]))&amp;":"&amp;ADDRESS(ROW(),COLUMN(NOTA[ID]))),-1)))</f>
        <v>DUTA BAHAGIA</v>
      </c>
      <c r="AI417" s="35" t="str">
        <f ca="1">IF(NOTA[[#This Row],[ID_H]]="","",IF(NOTA[[#This Row],[FAKTUR]]="",INDIRECT(ADDRESS(ROW()-1,COLUMN())),NOTA[[#This Row],[FAKTUR]]))</f>
        <v>UNTANA</v>
      </c>
      <c r="AJ417" s="27">
        <f ca="1">IF(NOTA[[#This Row],[ID]]="","",COUNTIF(NOTA[ID_H],NOTA[[#This Row],[ID_H]]))</f>
        <v>2</v>
      </c>
      <c r="AK417" s="27">
        <f>IF(NOTA[[#This Row],[TGL.NOTA]]="",IF(NOTA[[#This Row],[SUPPLIER_H]]="","",AK416),MONTH(NOTA[[#This Row],[TGL.NOTA]]))</f>
        <v>5</v>
      </c>
      <c r="AL417" s="27" t="str">
        <f>LOWER(SUBSTITUTE(SUBSTITUTE(SUBSTITUTE(SUBSTITUTE(SUBSTITUTE(SUBSTITUTE(SUBSTITUTE(SUBSTITUTE(SUBSTITUTE(NOTA[NAMA BARANG]," ",),".",""),"-",""),"(",""),")",""),",",""),"/",""),"""",""),"+",""))</f>
        <v>isigelgr089d1090</v>
      </c>
      <c r="AM4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isigelgr089d109027360000.025</v>
      </c>
      <c r="AN4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isigelgr089d109027360000.025</v>
      </c>
      <c r="AO417" s="27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BAHAGIAUNTANADHM/052/05-23C45059isigelgr089d1090</v>
      </c>
      <c r="AP417" s="27" t="e">
        <f>IF(NOTA[[#This Row],[CONCAT4]]="","",_xlfn.IFNA(MATCH(NOTA[[#This Row],[CONCAT4]],[2]!RAW[CONCAT_H],0),FALSE))</f>
        <v>#REF!</v>
      </c>
      <c r="AQ417" s="145" t="e">
        <f>IF(NOTA[[#This Row],[CONCAT1]]="","",MATCH(NOTA[[#This Row],[CONCAT1]],[3]!db[NB NOTA_C],0)+1)</f>
        <v>#N/A</v>
      </c>
    </row>
    <row r="418" spans="1:43" ht="20.100000000000001" customHeight="1" x14ac:dyDescent="0.25">
      <c r="A4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6" t="str">
        <f>IF(NOTA[[#This Row],[ID_P]]="","",MATCH(NOTA[[#This Row],[ID_P]],[1]!B_MSK[N_ID],0))</f>
        <v/>
      </c>
      <c r="D418" s="36">
        <f ca="1">IF(NOTA[[#This Row],[NAMA BARANG]]="","",INDEX(NOTA[ID],MATCH(,INDIRECT(ADDRESS(ROW(NOTA[ID]),COLUMN(NOTA[ID]))&amp;":"&amp;ADDRESS(ROW(),COLUMN(NOTA[ID]))),-1)))</f>
        <v>79</v>
      </c>
      <c r="E418" s="14"/>
      <c r="F418" s="16"/>
      <c r="G418" s="16"/>
      <c r="H418" s="20"/>
      <c r="I418" s="16"/>
      <c r="J418" s="37"/>
      <c r="K418" s="16"/>
      <c r="L418" s="16" t="s">
        <v>630</v>
      </c>
      <c r="M418" s="28">
        <v>6</v>
      </c>
      <c r="N418" s="16">
        <v>3456</v>
      </c>
      <c r="O418" s="16" t="s">
        <v>628</v>
      </c>
      <c r="P418" s="35">
        <v>7250</v>
      </c>
      <c r="Q418" s="38"/>
      <c r="R418" s="28" t="s">
        <v>629</v>
      </c>
      <c r="S418" s="39">
        <v>2.5000000000000001E-2</v>
      </c>
      <c r="T418" s="39"/>
      <c r="U418" s="40"/>
      <c r="V418" s="26" t="s">
        <v>631</v>
      </c>
      <c r="W418" s="40">
        <f>IF(NOTA[[#This Row],[HARGA/ CTN]]="",NOTA[[#This Row],[JUMLAH_H]],NOTA[[#This Row],[HARGA/ CTN]]*IF(NOTA[[#This Row],[C]]="",0,NOTA[[#This Row],[C]]))</f>
        <v>25056000</v>
      </c>
      <c r="X418" s="40">
        <f>IF(NOTA[[#This Row],[JUMLAH]]="","",NOTA[[#This Row],[JUMLAH]]*NOTA[[#This Row],[DISC 1]])</f>
        <v>626400</v>
      </c>
      <c r="Y418" s="40">
        <f>IF(NOTA[[#This Row],[JUMLAH]]="","",(NOTA[[#This Row],[JUMLAH]]-NOTA[[#This Row],[DISC 1-]])*NOTA[[#This Row],[DISC 2]])</f>
        <v>0</v>
      </c>
      <c r="Z418" s="40">
        <f>IF(NOTA[[#This Row],[JUMLAH]]="","",NOTA[[#This Row],[DISC 1-]]+NOTA[[#This Row],[DISC 2-]])</f>
        <v>626400</v>
      </c>
      <c r="AA418" s="40">
        <f>IF(NOTA[[#This Row],[JUMLAH]]="","",NOTA[[#This Row],[JUMLAH]]-NOTA[[#This Row],[DISC]])</f>
        <v>24429600</v>
      </c>
      <c r="AB418" s="40"/>
      <c r="AC4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1036800</v>
      </c>
      <c r="AD41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40435200</v>
      </c>
      <c r="AE418" s="3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18" s="40">
        <f>IF(OR(NOTA[[#This Row],[QTY]]="",NOTA[[#This Row],[HARGA SATUAN]]="",),"",NOTA[[#This Row],[QTY]]*NOTA[[#This Row],[HARGA SATUAN]])</f>
        <v>25056000</v>
      </c>
      <c r="AG418" s="37">
        <f ca="1">IF(NOTA[ID_H]="","",INDEX(NOTA[TANGGAL],MATCH(,INDIRECT(ADDRESS(ROW(NOTA[TANGGAL]),COLUMN(NOTA[TANGGAL]))&amp;":"&amp;ADDRESS(ROW(),COLUMN(NOTA[TANGGAL]))),-1)))</f>
        <v>45062</v>
      </c>
      <c r="AH418" s="35" t="str">
        <f ca="1">IF(NOTA[[#This Row],[NAMA BARANG]]="","",INDEX(NOTA[SUPPLIER],MATCH(,INDIRECT(ADDRESS(ROW(NOTA[ID]),COLUMN(NOTA[ID]))&amp;":"&amp;ADDRESS(ROW(),COLUMN(NOTA[ID]))),-1)))</f>
        <v>DUTA BAHAGIA</v>
      </c>
      <c r="AI418" s="35" t="str">
        <f ca="1">IF(NOTA[[#This Row],[ID_H]]="","",IF(NOTA[[#This Row],[FAKTUR]]="",INDIRECT(ADDRESS(ROW()-1,COLUMN())),NOTA[[#This Row],[FAKTUR]]))</f>
        <v>UNTANA</v>
      </c>
      <c r="AJ418" s="27" t="str">
        <f ca="1">IF(NOTA[[#This Row],[ID]]="","",COUNTIF(NOTA[ID_H],NOTA[[#This Row],[ID_H]]))</f>
        <v/>
      </c>
      <c r="AK418" s="27">
        <f ca="1">IF(NOTA[[#This Row],[TGL.NOTA]]="",IF(NOTA[[#This Row],[SUPPLIER_H]]="","",AK417),MONTH(NOTA[[#This Row],[TGL.NOTA]]))</f>
        <v>5</v>
      </c>
      <c r="AL418" s="27" t="str">
        <f>LOWER(SUBSTITUTE(SUBSTITUTE(SUBSTITUTE(SUBSTITUTE(SUBSTITUTE(SUBSTITUTE(SUBSTITUTE(SUBSTITUTE(SUBSTITUTE(NOTA[NAMA BARANG]," ",),".",""),"-",""),"(",""),")",""),",",""),"/",""),"""",""),"+",""))</f>
        <v>isigelgr090d1090</v>
      </c>
      <c r="AM4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isigelgr090d109041760000.025</v>
      </c>
      <c r="AN4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isigelgr090d109041760000.025</v>
      </c>
      <c r="AO4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27" t="str">
        <f>IF(NOTA[[#This Row],[CONCAT4]]="","",_xlfn.IFNA(MATCH(NOTA[[#This Row],[CONCAT4]],[2]!RAW[CONCAT_H],0),FALSE))</f>
        <v/>
      </c>
      <c r="AQ418" s="145" t="e">
        <f>IF(NOTA[[#This Row],[CONCAT1]]="","",MATCH(NOTA[[#This Row],[CONCAT1]],[3]!db[NB NOTA_C],0)+1)</f>
        <v>#N/A</v>
      </c>
    </row>
    <row r="419" spans="1:43" ht="20.100000000000001" customHeight="1" x14ac:dyDescent="0.25">
      <c r="A4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6" t="str">
        <f>IF(NOTA[[#This Row],[ID_P]]="","",MATCH(NOTA[[#This Row],[ID_P]],[1]!B_MSK[N_ID],0))</f>
        <v/>
      </c>
      <c r="D419" s="36" t="str">
        <f ca="1">IF(NOTA[[#This Row],[NAMA BARANG]]="","",INDEX(NOTA[ID],MATCH(,INDIRECT(ADDRESS(ROW(NOTA[ID]),COLUMN(NOTA[ID]))&amp;":"&amp;ADDRESS(ROW(),COLUMN(NOTA[ID]))),-1)))</f>
        <v/>
      </c>
      <c r="E419" s="14"/>
      <c r="F419" s="16"/>
      <c r="G419" s="16"/>
      <c r="H419" s="20"/>
      <c r="I419" s="16"/>
      <c r="J419" s="37"/>
      <c r="K419" s="16"/>
      <c r="L419" s="16"/>
      <c r="M419" s="28"/>
      <c r="N419" s="16"/>
      <c r="O419" s="16"/>
      <c r="P419" s="35"/>
      <c r="Q419" s="38"/>
      <c r="R419" s="28"/>
      <c r="S419" s="39"/>
      <c r="T419" s="39"/>
      <c r="U419" s="40"/>
      <c r="V419" s="26"/>
      <c r="W419" s="40" t="str">
        <f>IF(NOTA[[#This Row],[HARGA/ CTN]]="",NOTA[[#This Row],[JUMLAH_H]],NOTA[[#This Row],[HARGA/ CTN]]*IF(NOTA[[#This Row],[C]]="",0,NOTA[[#This Row],[C]]))</f>
        <v/>
      </c>
      <c r="X419" s="40" t="str">
        <f>IF(NOTA[[#This Row],[JUMLAH]]="","",NOTA[[#This Row],[JUMLAH]]*NOTA[[#This Row],[DISC 1]])</f>
        <v/>
      </c>
      <c r="Y419" s="40" t="str">
        <f>IF(NOTA[[#This Row],[JUMLAH]]="","",(NOTA[[#This Row],[JUMLAH]]-NOTA[[#This Row],[DISC 1-]])*NOTA[[#This Row],[DISC 2]])</f>
        <v/>
      </c>
      <c r="Z419" s="40" t="str">
        <f>IF(NOTA[[#This Row],[JUMLAH]]="","",NOTA[[#This Row],[DISC 1-]]+NOTA[[#This Row],[DISC 2-]])</f>
        <v/>
      </c>
      <c r="AA419" s="40" t="str">
        <f>IF(NOTA[[#This Row],[JUMLAH]]="","",NOTA[[#This Row],[JUMLAH]]-NOTA[[#This Row],[DISC]])</f>
        <v/>
      </c>
      <c r="AB419" s="40"/>
      <c r="AC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40" t="str">
        <f>IF(OR(NOTA[[#This Row],[QTY]]="",NOTA[[#This Row],[HARGA SATUAN]]="",),"",NOTA[[#This Row],[QTY]]*NOTA[[#This Row],[HARGA SATUAN]])</f>
        <v/>
      </c>
      <c r="AG419" s="37" t="str">
        <f ca="1">IF(NOTA[ID_H]="","",INDEX(NOTA[TANGGAL],MATCH(,INDIRECT(ADDRESS(ROW(NOTA[TANGGAL]),COLUMN(NOTA[TANGGAL]))&amp;":"&amp;ADDRESS(ROW(),COLUMN(NOTA[TANGGAL]))),-1)))</f>
        <v/>
      </c>
      <c r="AH419" s="35" t="str">
        <f ca="1">IF(NOTA[[#This Row],[NAMA BARANG]]="","",INDEX(NOTA[SUPPLIER],MATCH(,INDIRECT(ADDRESS(ROW(NOTA[ID]),COLUMN(NOTA[ID]))&amp;":"&amp;ADDRESS(ROW(),COLUMN(NOTA[ID]))),-1)))</f>
        <v/>
      </c>
      <c r="AI419" s="35" t="str">
        <f ca="1">IF(NOTA[[#This Row],[ID_H]]="","",IF(NOTA[[#This Row],[FAKTUR]]="",INDIRECT(ADDRESS(ROW()-1,COLUMN())),NOTA[[#This Row],[FAKTUR]]))</f>
        <v/>
      </c>
      <c r="AJ419" s="27" t="str">
        <f ca="1">IF(NOTA[[#This Row],[ID]]="","",COUNTIF(NOTA[ID_H],NOTA[[#This Row],[ID_H]]))</f>
        <v/>
      </c>
      <c r="AK419" s="27" t="str">
        <f ca="1">IF(NOTA[[#This Row],[TGL.NOTA]]="",IF(NOTA[[#This Row],[SUPPLIER_H]]="","",AK418),MONTH(NOTA[[#This Row],[TGL.NOTA]]))</f>
        <v/>
      </c>
      <c r="AL419" s="27" t="str">
        <f>LOWER(SUBSTITUTE(SUBSTITUTE(SUBSTITUTE(SUBSTITUTE(SUBSTITUTE(SUBSTITUTE(SUBSTITUTE(SUBSTITUTE(SUBSTITUTE(NOTA[NAMA BARANG]," ",),".",""),"-",""),"(",""),")",""),",",""),"/",""),"""",""),"+",""))</f>
        <v/>
      </c>
      <c r="AM4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27" t="str">
        <f>IF(NOTA[[#This Row],[CONCAT4]]="","",_xlfn.IFNA(MATCH(NOTA[[#This Row],[CONCAT4]],[2]!RAW[CONCAT_H],0),FALSE))</f>
        <v/>
      </c>
      <c r="AQ419" s="145" t="str">
        <f>IF(NOTA[[#This Row],[CONCAT1]]="","",MATCH(NOTA[[#This Row],[CONCAT1]],[3]!db[NB NOTA_C],0)+1)</f>
        <v/>
      </c>
    </row>
    <row r="420" spans="1:43" ht="20.100000000000001" customHeight="1" x14ac:dyDescent="0.25">
      <c r="A420" s="35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ATA_1905_504-10</v>
      </c>
      <c r="C420" s="36" t="e">
        <f ca="1">IF(NOTA[[#This Row],[ID_P]]="","",MATCH(NOTA[[#This Row],[ID_P]],[1]!B_MSK[N_ID],0))</f>
        <v>#REF!</v>
      </c>
      <c r="D420" s="36">
        <f ca="1">IF(NOTA[[#This Row],[NAMA BARANG]]="","",INDEX(NOTA[ID],MATCH(,INDIRECT(ADDRESS(ROW(NOTA[ID]),COLUMN(NOTA[ID]))&amp;":"&amp;ADDRESS(ROW(),COLUMN(NOTA[ID]))),-1)))</f>
        <v>80</v>
      </c>
      <c r="E420" s="14">
        <v>45065</v>
      </c>
      <c r="F420" s="16" t="s">
        <v>25</v>
      </c>
      <c r="G420" s="16" t="s">
        <v>24</v>
      </c>
      <c r="H420" s="20" t="s">
        <v>634</v>
      </c>
      <c r="I420" s="16"/>
      <c r="J420" s="37">
        <v>45058</v>
      </c>
      <c r="K420" s="16"/>
      <c r="L420" s="16" t="s">
        <v>635</v>
      </c>
      <c r="M420" s="28">
        <v>2</v>
      </c>
      <c r="N420" s="16">
        <v>100</v>
      </c>
      <c r="O420" s="16" t="s">
        <v>262</v>
      </c>
      <c r="P420" s="35">
        <v>28300</v>
      </c>
      <c r="Q420" s="38"/>
      <c r="R420" s="28" t="s">
        <v>302</v>
      </c>
      <c r="S420" s="39">
        <v>0.125</v>
      </c>
      <c r="T420" s="39">
        <v>0.05</v>
      </c>
      <c r="U420" s="40"/>
      <c r="V420" s="26"/>
      <c r="W420" s="40">
        <f>IF(NOTA[[#This Row],[HARGA/ CTN]]="",NOTA[[#This Row],[JUMLAH_H]],NOTA[[#This Row],[HARGA/ CTN]]*IF(NOTA[[#This Row],[C]]="",0,NOTA[[#This Row],[C]]))</f>
        <v>2830000</v>
      </c>
      <c r="X420" s="40">
        <f>IF(NOTA[[#This Row],[JUMLAH]]="","",NOTA[[#This Row],[JUMLAH]]*NOTA[[#This Row],[DISC 1]])</f>
        <v>353750</v>
      </c>
      <c r="Y420" s="40">
        <f>IF(NOTA[[#This Row],[JUMLAH]]="","",(NOTA[[#This Row],[JUMLAH]]-NOTA[[#This Row],[DISC 1-]])*NOTA[[#This Row],[DISC 2]])</f>
        <v>123812.5</v>
      </c>
      <c r="Z420" s="40">
        <f>IF(NOTA[[#This Row],[JUMLAH]]="","",NOTA[[#This Row],[DISC 1-]]+NOTA[[#This Row],[DISC 2-]])</f>
        <v>477562.5</v>
      </c>
      <c r="AA420" s="40">
        <f>IF(NOTA[[#This Row],[JUMLAH]]="","",NOTA[[#This Row],[JUMLAH]]-NOTA[[#This Row],[DISC]])</f>
        <v>2352437.5</v>
      </c>
      <c r="AB420" s="40"/>
      <c r="AC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3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420" s="40">
        <f>IF(OR(NOTA[[#This Row],[QTY]]="",NOTA[[#This Row],[HARGA SATUAN]]="",),"",NOTA[[#This Row],[QTY]]*NOTA[[#This Row],[HARGA SATUAN]])</f>
        <v>2830000</v>
      </c>
      <c r="AG420" s="37">
        <f ca="1">IF(NOTA[ID_H]="","",INDEX(NOTA[TANGGAL],MATCH(,INDIRECT(ADDRESS(ROW(NOTA[TANGGAL]),COLUMN(NOTA[TANGGAL]))&amp;":"&amp;ADDRESS(ROW(),COLUMN(NOTA[TANGGAL]))),-1)))</f>
        <v>45065</v>
      </c>
      <c r="AH420" s="35" t="str">
        <f ca="1">IF(NOTA[[#This Row],[NAMA BARANG]]="","",INDEX(NOTA[SUPPLIER],MATCH(,INDIRECT(ADDRESS(ROW(NOTA[ID]),COLUMN(NOTA[ID]))&amp;":"&amp;ADDRESS(ROW(),COLUMN(NOTA[ID]))),-1)))</f>
        <v>ATALI MAKMUR</v>
      </c>
      <c r="AI420" s="35" t="str">
        <f ca="1">IF(NOTA[[#This Row],[ID_H]]="","",IF(NOTA[[#This Row],[FAKTUR]]="",INDIRECT(ADDRESS(ROW()-1,COLUMN())),NOTA[[#This Row],[FAKTUR]]))</f>
        <v>ARTO MORO</v>
      </c>
      <c r="AJ420" s="27">
        <f ca="1">IF(NOTA[[#This Row],[ID]]="","",COUNTIF(NOTA[ID_H],NOTA[[#This Row],[ID_H]]))</f>
        <v>10</v>
      </c>
      <c r="AK420" s="27">
        <f>IF(NOTA[[#This Row],[TGL.NOTA]]="",IF(NOTA[[#This Row],[SUPPLIER_H]]="","",AK419),MONTH(NOTA[[#This Row],[TGL.NOTA]]))</f>
        <v>5</v>
      </c>
      <c r="AL420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4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4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42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MOROSA23050750445058eraser526b40pjk</v>
      </c>
      <c r="AP420" s="27" t="e">
        <f>IF(NOTA[[#This Row],[CONCAT4]]="","",_xlfn.IFNA(MATCH(NOTA[[#This Row],[CONCAT4]],[2]!RAW[CONCAT_H],0),FALSE))</f>
        <v>#REF!</v>
      </c>
      <c r="AQ420" s="145">
        <f>IF(NOTA[[#This Row],[CONCAT1]]="","",MATCH(NOTA[[#This Row],[CONCAT1]],[3]!db[NB NOTA_C],0)+1)</f>
        <v>745</v>
      </c>
    </row>
    <row r="421" spans="1:43" ht="20.100000000000001" customHeight="1" x14ac:dyDescent="0.25">
      <c r="A4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6" t="str">
        <f>IF(NOTA[[#This Row],[ID_P]]="","",MATCH(NOTA[[#This Row],[ID_P]],[1]!B_MSK[N_ID],0))</f>
        <v/>
      </c>
      <c r="D421" s="36">
        <f ca="1">IF(NOTA[[#This Row],[NAMA BARANG]]="","",INDEX(NOTA[ID],MATCH(,INDIRECT(ADDRESS(ROW(NOTA[ID]),COLUMN(NOTA[ID]))&amp;":"&amp;ADDRESS(ROW(),COLUMN(NOTA[ID]))),-1)))</f>
        <v>80</v>
      </c>
      <c r="E421" s="14"/>
      <c r="F421" s="16"/>
      <c r="G421" s="16"/>
      <c r="H421" s="20"/>
      <c r="I421" s="16"/>
      <c r="J421" s="37"/>
      <c r="K421" s="16"/>
      <c r="L421" s="16" t="s">
        <v>636</v>
      </c>
      <c r="M421" s="28">
        <v>1</v>
      </c>
      <c r="N421" s="16">
        <v>50</v>
      </c>
      <c r="O421" s="16" t="s">
        <v>262</v>
      </c>
      <c r="P421" s="35">
        <v>34100</v>
      </c>
      <c r="Q421" s="38"/>
      <c r="R421" s="28" t="s">
        <v>307</v>
      </c>
      <c r="S421" s="39">
        <v>0.125</v>
      </c>
      <c r="T421" s="39">
        <v>0.05</v>
      </c>
      <c r="U421" s="40"/>
      <c r="V421" s="26"/>
      <c r="W421" s="40">
        <f>IF(NOTA[[#This Row],[HARGA/ CTN]]="",NOTA[[#This Row],[JUMLAH_H]],NOTA[[#This Row],[HARGA/ CTN]]*IF(NOTA[[#This Row],[C]]="",0,NOTA[[#This Row],[C]]))</f>
        <v>1705000</v>
      </c>
      <c r="X421" s="40">
        <f>IF(NOTA[[#This Row],[JUMLAH]]="","",NOTA[[#This Row],[JUMLAH]]*NOTA[[#This Row],[DISC 1]])</f>
        <v>213125</v>
      </c>
      <c r="Y421" s="40">
        <f>IF(NOTA[[#This Row],[JUMLAH]]="","",(NOTA[[#This Row],[JUMLAH]]-NOTA[[#This Row],[DISC 1-]])*NOTA[[#This Row],[DISC 2]])</f>
        <v>74593.75</v>
      </c>
      <c r="Z421" s="40">
        <f>IF(NOTA[[#This Row],[JUMLAH]]="","",NOTA[[#This Row],[DISC 1-]]+NOTA[[#This Row],[DISC 2-]])</f>
        <v>287718.75</v>
      </c>
      <c r="AA421" s="40">
        <f>IF(NOTA[[#This Row],[JUMLAH]]="","",NOTA[[#This Row],[JUMLAH]]-NOTA[[#This Row],[DISC]])</f>
        <v>1417281.25</v>
      </c>
      <c r="AB421" s="40"/>
      <c r="AC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3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421" s="40">
        <f>IF(OR(NOTA[[#This Row],[QTY]]="",NOTA[[#This Row],[HARGA SATUAN]]="",),"",NOTA[[#This Row],[QTY]]*NOTA[[#This Row],[HARGA SATUAN]])</f>
        <v>1705000</v>
      </c>
      <c r="AG421" s="37">
        <f ca="1">IF(NOTA[ID_H]="","",INDEX(NOTA[TANGGAL],MATCH(,INDIRECT(ADDRESS(ROW(NOTA[TANGGAL]),COLUMN(NOTA[TANGGAL]))&amp;":"&amp;ADDRESS(ROW(),COLUMN(NOTA[TANGGAL]))),-1)))</f>
        <v>45065</v>
      </c>
      <c r="AH421" s="35" t="str">
        <f ca="1">IF(NOTA[[#This Row],[NAMA BARANG]]="","",INDEX(NOTA[SUPPLIER],MATCH(,INDIRECT(ADDRESS(ROW(NOTA[ID]),COLUMN(NOTA[ID]))&amp;":"&amp;ADDRESS(ROW(),COLUMN(NOTA[ID]))),-1)))</f>
        <v>ATALI MAKMUR</v>
      </c>
      <c r="AI421" s="35" t="str">
        <f ca="1">IF(NOTA[[#This Row],[ID_H]]="","",IF(NOTA[[#This Row],[FAKTUR]]="",INDIRECT(ADDRESS(ROW()-1,COLUMN())),NOTA[[#This Row],[FAKTUR]]))</f>
        <v>ARTO MORO</v>
      </c>
      <c r="AJ421" s="27" t="str">
        <f ca="1">IF(NOTA[[#This Row],[ID]]="","",COUNTIF(NOTA[ID_H],NOTA[[#This Row],[ID_H]]))</f>
        <v/>
      </c>
      <c r="AK421" s="27">
        <f ca="1">IF(NOTA[[#This Row],[TGL.NOTA]]="",IF(NOTA[[#This Row],[SUPPLIER_H]]="","",AK420),MONTH(NOTA[[#This Row],[TGL.NOTA]]))</f>
        <v>5</v>
      </c>
      <c r="AL421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4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4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4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27" t="str">
        <f>IF(NOTA[[#This Row],[CONCAT4]]="","",_xlfn.IFNA(MATCH(NOTA[[#This Row],[CONCAT4]],[2]!RAW[CONCAT_H],0),FALSE))</f>
        <v/>
      </c>
      <c r="AQ421" s="145">
        <f>IF(NOTA[[#This Row],[CONCAT1]]="","",MATCH(NOTA[[#This Row],[CONCAT1]],[3]!db[NB NOTA_C],0)+1)</f>
        <v>742</v>
      </c>
    </row>
    <row r="422" spans="1:43" ht="20.100000000000001" customHeight="1" x14ac:dyDescent="0.25">
      <c r="A4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6" t="str">
        <f>IF(NOTA[[#This Row],[ID_P]]="","",MATCH(NOTA[[#This Row],[ID_P]],[1]!B_MSK[N_ID],0))</f>
        <v/>
      </c>
      <c r="D422" s="36">
        <f ca="1">IF(NOTA[[#This Row],[NAMA BARANG]]="","",INDEX(NOTA[ID],MATCH(,INDIRECT(ADDRESS(ROW(NOTA[ID]),COLUMN(NOTA[ID]))&amp;":"&amp;ADDRESS(ROW(),COLUMN(NOTA[ID]))),-1)))</f>
        <v>80</v>
      </c>
      <c r="E422" s="14"/>
      <c r="F422" s="16"/>
      <c r="G422" s="16"/>
      <c r="H422" s="20"/>
      <c r="I422" s="16"/>
      <c r="J422" s="37"/>
      <c r="K422" s="16"/>
      <c r="L422" s="16" t="s">
        <v>637</v>
      </c>
      <c r="M422" s="28">
        <v>5</v>
      </c>
      <c r="N422" s="16">
        <v>120</v>
      </c>
      <c r="O422" s="16" t="s">
        <v>146</v>
      </c>
      <c r="P422" s="35">
        <v>89400</v>
      </c>
      <c r="Q422" s="38"/>
      <c r="R422" s="28" t="s">
        <v>277</v>
      </c>
      <c r="S422" s="39">
        <v>0.125</v>
      </c>
      <c r="T422" s="39">
        <v>0.05</v>
      </c>
      <c r="U422" s="40"/>
      <c r="V422" s="26"/>
      <c r="W422" s="40">
        <f>IF(NOTA[[#This Row],[HARGA/ CTN]]="",NOTA[[#This Row],[JUMLAH_H]],NOTA[[#This Row],[HARGA/ CTN]]*IF(NOTA[[#This Row],[C]]="",0,NOTA[[#This Row],[C]]))</f>
        <v>10728000</v>
      </c>
      <c r="X422" s="40">
        <f>IF(NOTA[[#This Row],[JUMLAH]]="","",NOTA[[#This Row],[JUMLAH]]*NOTA[[#This Row],[DISC 1]])</f>
        <v>1341000</v>
      </c>
      <c r="Y422" s="40">
        <f>IF(NOTA[[#This Row],[JUMLAH]]="","",(NOTA[[#This Row],[JUMLAH]]-NOTA[[#This Row],[DISC 1-]])*NOTA[[#This Row],[DISC 2]])</f>
        <v>469350</v>
      </c>
      <c r="Z422" s="40">
        <f>IF(NOTA[[#This Row],[JUMLAH]]="","",NOTA[[#This Row],[DISC 1-]]+NOTA[[#This Row],[DISC 2-]])</f>
        <v>1810350</v>
      </c>
      <c r="AA422" s="40">
        <f>IF(NOTA[[#This Row],[JUMLAH]]="","",NOTA[[#This Row],[JUMLAH]]-NOTA[[#This Row],[DISC]])</f>
        <v>8917650</v>
      </c>
      <c r="AB422" s="40"/>
      <c r="AC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22" s="40">
        <f>IF(OR(NOTA[[#This Row],[QTY]]="",NOTA[[#This Row],[HARGA SATUAN]]="",),"",NOTA[[#This Row],[QTY]]*NOTA[[#This Row],[HARGA SATUAN]])</f>
        <v>10728000</v>
      </c>
      <c r="AG422" s="37">
        <f ca="1">IF(NOTA[ID_H]="","",INDEX(NOTA[TANGGAL],MATCH(,INDIRECT(ADDRESS(ROW(NOTA[TANGGAL]),COLUMN(NOTA[TANGGAL]))&amp;":"&amp;ADDRESS(ROW(),COLUMN(NOTA[TANGGAL]))),-1)))</f>
        <v>45065</v>
      </c>
      <c r="AH422" s="35" t="str">
        <f ca="1">IF(NOTA[[#This Row],[NAMA BARANG]]="","",INDEX(NOTA[SUPPLIER],MATCH(,INDIRECT(ADDRESS(ROW(NOTA[ID]),COLUMN(NOTA[ID]))&amp;":"&amp;ADDRESS(ROW(),COLUMN(NOTA[ID]))),-1)))</f>
        <v>ATALI MAKMUR</v>
      </c>
      <c r="AI422" s="35" t="str">
        <f ca="1">IF(NOTA[[#This Row],[ID_H]]="","",IF(NOTA[[#This Row],[FAKTUR]]="",INDIRECT(ADDRESS(ROW()-1,COLUMN())),NOTA[[#This Row],[FAKTUR]]))</f>
        <v>ARTO MORO</v>
      </c>
      <c r="AJ422" s="27" t="str">
        <f ca="1">IF(NOTA[[#This Row],[ID]]="","",COUNTIF(NOTA[ID_H],NOTA[[#This Row],[ID_H]]))</f>
        <v/>
      </c>
      <c r="AK422" s="27">
        <f ca="1">IF(NOTA[[#This Row],[TGL.NOTA]]="",IF(NOTA[[#This Row],[SUPPLIER_H]]="","",AK421),MONTH(NOTA[[#This Row],[TGL.NOTA]]))</f>
        <v>5</v>
      </c>
      <c r="AL422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4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4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4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27" t="str">
        <f>IF(NOTA[[#This Row],[CONCAT4]]="","",_xlfn.IFNA(MATCH(NOTA[[#This Row],[CONCAT4]],[2]!RAW[CONCAT_H],0),FALSE))</f>
        <v/>
      </c>
      <c r="AQ422" s="145">
        <f>IF(NOTA[[#This Row],[CONCAT1]]="","",MATCH(NOTA[[#This Row],[CONCAT1]],[3]!db[NB NOTA_C],0)+1)</f>
        <v>1620</v>
      </c>
    </row>
    <row r="423" spans="1:43" ht="20.100000000000001" customHeight="1" x14ac:dyDescent="0.25">
      <c r="A4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6" t="str">
        <f>IF(NOTA[[#This Row],[ID_P]]="","",MATCH(NOTA[[#This Row],[ID_P]],[1]!B_MSK[N_ID],0))</f>
        <v/>
      </c>
      <c r="D423" s="36">
        <f ca="1">IF(NOTA[[#This Row],[NAMA BARANG]]="","",INDEX(NOTA[ID],MATCH(,INDIRECT(ADDRESS(ROW(NOTA[ID]),COLUMN(NOTA[ID]))&amp;":"&amp;ADDRESS(ROW(),COLUMN(NOTA[ID]))),-1)))</f>
        <v>80</v>
      </c>
      <c r="E423" s="14"/>
      <c r="F423" s="16"/>
      <c r="G423" s="16"/>
      <c r="H423" s="20"/>
      <c r="I423" s="16"/>
      <c r="J423" s="37"/>
      <c r="K423" s="16"/>
      <c r="L423" s="16" t="s">
        <v>638</v>
      </c>
      <c r="M423" s="28">
        <v>2</v>
      </c>
      <c r="N423" s="16">
        <v>48</v>
      </c>
      <c r="O423" s="16" t="s">
        <v>146</v>
      </c>
      <c r="P423" s="35">
        <v>89400</v>
      </c>
      <c r="Q423" s="38"/>
      <c r="R423" s="28" t="s">
        <v>277</v>
      </c>
      <c r="S423" s="39">
        <v>0.125</v>
      </c>
      <c r="T423" s="39">
        <v>0.05</v>
      </c>
      <c r="U423" s="40"/>
      <c r="V423" s="26"/>
      <c r="W423" s="40">
        <f>IF(NOTA[[#This Row],[HARGA/ CTN]]="",NOTA[[#This Row],[JUMLAH_H]],NOTA[[#This Row],[HARGA/ CTN]]*IF(NOTA[[#This Row],[C]]="",0,NOTA[[#This Row],[C]]))</f>
        <v>4291200</v>
      </c>
      <c r="X423" s="40">
        <f>IF(NOTA[[#This Row],[JUMLAH]]="","",NOTA[[#This Row],[JUMLAH]]*NOTA[[#This Row],[DISC 1]])</f>
        <v>536400</v>
      </c>
      <c r="Y423" s="40">
        <f>IF(NOTA[[#This Row],[JUMLAH]]="","",(NOTA[[#This Row],[JUMLAH]]-NOTA[[#This Row],[DISC 1-]])*NOTA[[#This Row],[DISC 2]])</f>
        <v>187740</v>
      </c>
      <c r="Z423" s="40">
        <f>IF(NOTA[[#This Row],[JUMLAH]]="","",NOTA[[#This Row],[DISC 1-]]+NOTA[[#This Row],[DISC 2-]])</f>
        <v>724140</v>
      </c>
      <c r="AA423" s="40">
        <f>IF(NOTA[[#This Row],[JUMLAH]]="","",NOTA[[#This Row],[JUMLAH]]-NOTA[[#This Row],[DISC]])</f>
        <v>3567060</v>
      </c>
      <c r="AB423" s="40"/>
      <c r="AC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3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23" s="40">
        <f>IF(OR(NOTA[[#This Row],[QTY]]="",NOTA[[#This Row],[HARGA SATUAN]]="",),"",NOTA[[#This Row],[QTY]]*NOTA[[#This Row],[HARGA SATUAN]])</f>
        <v>4291200</v>
      </c>
      <c r="AG423" s="37">
        <f ca="1">IF(NOTA[ID_H]="","",INDEX(NOTA[TANGGAL],MATCH(,INDIRECT(ADDRESS(ROW(NOTA[TANGGAL]),COLUMN(NOTA[TANGGAL]))&amp;":"&amp;ADDRESS(ROW(),COLUMN(NOTA[TANGGAL]))),-1)))</f>
        <v>45065</v>
      </c>
      <c r="AH423" s="35" t="str">
        <f ca="1">IF(NOTA[[#This Row],[NAMA BARANG]]="","",INDEX(NOTA[SUPPLIER],MATCH(,INDIRECT(ADDRESS(ROW(NOTA[ID]),COLUMN(NOTA[ID]))&amp;":"&amp;ADDRESS(ROW(),COLUMN(NOTA[ID]))),-1)))</f>
        <v>ATALI MAKMUR</v>
      </c>
      <c r="AI423" s="35" t="str">
        <f ca="1">IF(NOTA[[#This Row],[ID_H]]="","",IF(NOTA[[#This Row],[FAKTUR]]="",INDIRECT(ADDRESS(ROW()-1,COLUMN())),NOTA[[#This Row],[FAKTUR]]))</f>
        <v>ARTO MORO</v>
      </c>
      <c r="AJ423" s="27" t="str">
        <f ca="1">IF(NOTA[[#This Row],[ID]]="","",COUNTIF(NOTA[ID_H],NOTA[[#This Row],[ID_H]]))</f>
        <v/>
      </c>
      <c r="AK423" s="27">
        <f ca="1">IF(NOTA[[#This Row],[TGL.NOTA]]="",IF(NOTA[[#This Row],[SUPPLIER_H]]="","",AK422),MONTH(NOTA[[#This Row],[TGL.NOTA]]))</f>
        <v>5</v>
      </c>
      <c r="AL423" s="27" t="str">
        <f>LOWER(SUBSTITUTE(SUBSTITUTE(SUBSTITUTE(SUBSTITUTE(SUBSTITUTE(SUBSTITUTE(SUBSTITUTE(SUBSTITUTE(SUBSTITUTE(NOTA[NAMA BARANG]," ",),".",""),"-",""),"(",""),")",""),",",""),"/",""),"""",""),"+",""))</f>
        <v>mathsetms25jk</v>
      </c>
      <c r="AM4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4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4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27" t="str">
        <f>IF(NOTA[[#This Row],[CONCAT4]]="","",_xlfn.IFNA(MATCH(NOTA[[#This Row],[CONCAT4]],[2]!RAW[CONCAT_H],0),FALSE))</f>
        <v/>
      </c>
      <c r="AQ423" s="145">
        <f>IF(NOTA[[#This Row],[CONCAT1]]="","",MATCH(NOTA[[#This Row],[CONCAT1]],[3]!db[NB NOTA_C],0)+1)</f>
        <v>1616</v>
      </c>
    </row>
    <row r="424" spans="1:43" ht="20.100000000000001" customHeight="1" x14ac:dyDescent="0.25">
      <c r="A4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6" t="str">
        <f>IF(NOTA[[#This Row],[ID_P]]="","",MATCH(NOTA[[#This Row],[ID_P]],[1]!B_MSK[N_ID],0))</f>
        <v/>
      </c>
      <c r="D424" s="36">
        <f ca="1">IF(NOTA[[#This Row],[NAMA BARANG]]="","",INDEX(NOTA[ID],MATCH(,INDIRECT(ADDRESS(ROW(NOTA[ID]),COLUMN(NOTA[ID]))&amp;":"&amp;ADDRESS(ROW(),COLUMN(NOTA[ID]))),-1)))</f>
        <v>80</v>
      </c>
      <c r="E424" s="14"/>
      <c r="F424" s="16"/>
      <c r="G424" s="16"/>
      <c r="H424" s="20"/>
      <c r="I424" s="16"/>
      <c r="J424" s="37"/>
      <c r="K424" s="16"/>
      <c r="L424" s="16" t="s">
        <v>639</v>
      </c>
      <c r="M424" s="28">
        <v>1</v>
      </c>
      <c r="N424" s="16">
        <v>144</v>
      </c>
      <c r="O424" s="16" t="s">
        <v>252</v>
      </c>
      <c r="P424" s="35">
        <v>18600</v>
      </c>
      <c r="Q424" s="38"/>
      <c r="R424" s="28" t="s">
        <v>273</v>
      </c>
      <c r="S424" s="39">
        <v>0.125</v>
      </c>
      <c r="T424" s="39">
        <v>0.05</v>
      </c>
      <c r="U424" s="40"/>
      <c r="V424" s="26"/>
      <c r="W424" s="40">
        <f>IF(NOTA[[#This Row],[HARGA/ CTN]]="",NOTA[[#This Row],[JUMLAH_H]],NOTA[[#This Row],[HARGA/ CTN]]*IF(NOTA[[#This Row],[C]]="",0,NOTA[[#This Row],[C]]))</f>
        <v>2678400</v>
      </c>
      <c r="X424" s="40">
        <f>IF(NOTA[[#This Row],[JUMLAH]]="","",NOTA[[#This Row],[JUMLAH]]*NOTA[[#This Row],[DISC 1]])</f>
        <v>334800</v>
      </c>
      <c r="Y424" s="40">
        <f>IF(NOTA[[#This Row],[JUMLAH]]="","",(NOTA[[#This Row],[JUMLAH]]-NOTA[[#This Row],[DISC 1-]])*NOTA[[#This Row],[DISC 2]])</f>
        <v>117180</v>
      </c>
      <c r="Z424" s="40">
        <f>IF(NOTA[[#This Row],[JUMLAH]]="","",NOTA[[#This Row],[DISC 1-]]+NOTA[[#This Row],[DISC 2-]])</f>
        <v>451980</v>
      </c>
      <c r="AA424" s="40">
        <f>IF(NOTA[[#This Row],[JUMLAH]]="","",NOTA[[#This Row],[JUMLAH]]-NOTA[[#This Row],[DISC]])</f>
        <v>2226420</v>
      </c>
      <c r="AB424" s="40"/>
      <c r="AC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3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24" s="40">
        <f>IF(OR(NOTA[[#This Row],[QTY]]="",NOTA[[#This Row],[HARGA SATUAN]]="",),"",NOTA[[#This Row],[QTY]]*NOTA[[#This Row],[HARGA SATUAN]])</f>
        <v>2678400</v>
      </c>
      <c r="AG424" s="37">
        <f ca="1">IF(NOTA[ID_H]="","",INDEX(NOTA[TANGGAL],MATCH(,INDIRECT(ADDRESS(ROW(NOTA[TANGGAL]),COLUMN(NOTA[TANGGAL]))&amp;":"&amp;ADDRESS(ROW(),COLUMN(NOTA[TANGGAL]))),-1)))</f>
        <v>45065</v>
      </c>
      <c r="AH424" s="35" t="str">
        <f ca="1">IF(NOTA[[#This Row],[NAMA BARANG]]="","",INDEX(NOTA[SUPPLIER],MATCH(,INDIRECT(ADDRESS(ROW(NOTA[ID]),COLUMN(NOTA[ID]))&amp;":"&amp;ADDRESS(ROW(),COLUMN(NOTA[ID]))),-1)))</f>
        <v>ATALI MAKMUR</v>
      </c>
      <c r="AI424" s="35" t="str">
        <f ca="1">IF(NOTA[[#This Row],[ID_H]]="","",IF(NOTA[[#This Row],[FAKTUR]]="",INDIRECT(ADDRESS(ROW()-1,COLUMN())),NOTA[[#This Row],[FAKTUR]]))</f>
        <v>ARTO MORO</v>
      </c>
      <c r="AJ424" s="27" t="str">
        <f ca="1">IF(NOTA[[#This Row],[ID]]="","",COUNTIF(NOTA[ID_H],NOTA[[#This Row],[ID_H]]))</f>
        <v/>
      </c>
      <c r="AK424" s="27">
        <f ca="1">IF(NOTA[[#This Row],[TGL.NOTA]]="",IF(NOTA[[#This Row],[SUPPLIER_H]]="","",AK423),MONTH(NOTA[[#This Row],[TGL.NOTA]]))</f>
        <v>5</v>
      </c>
      <c r="AL424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4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4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4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27" t="str">
        <f>IF(NOTA[[#This Row],[CONCAT4]]="","",_xlfn.IFNA(MATCH(NOTA[[#This Row],[CONCAT4]],[2]!RAW[CONCAT_H],0),FALSE))</f>
        <v/>
      </c>
      <c r="AQ424" s="145">
        <f>IF(NOTA[[#This Row],[CONCAT1]]="","",MATCH(NOTA[[#This Row],[CONCAT1]],[3]!db[NB NOTA_C],0)+1)</f>
        <v>601</v>
      </c>
    </row>
    <row r="425" spans="1:43" ht="20.100000000000001" customHeight="1" x14ac:dyDescent="0.25">
      <c r="A42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6" t="str">
        <f>IF(NOTA[[#This Row],[ID_P]]="","",MATCH(NOTA[[#This Row],[ID_P]],[1]!B_MSK[N_ID],0))</f>
        <v/>
      </c>
      <c r="D425" s="36">
        <f ca="1">IF(NOTA[[#This Row],[NAMA BARANG]]="","",INDEX(NOTA[ID],MATCH(,INDIRECT(ADDRESS(ROW(NOTA[ID]),COLUMN(NOTA[ID]))&amp;":"&amp;ADDRESS(ROW(),COLUMN(NOTA[ID]))),-1)))</f>
        <v>80</v>
      </c>
      <c r="E425" s="14"/>
      <c r="F425" s="16"/>
      <c r="G425" s="16"/>
      <c r="H425" s="20"/>
      <c r="I425" s="16"/>
      <c r="J425" s="37"/>
      <c r="K425" s="16"/>
      <c r="L425" s="16" t="s">
        <v>640</v>
      </c>
      <c r="M425" s="28"/>
      <c r="N425" s="16">
        <v>180</v>
      </c>
      <c r="O425" s="16" t="s">
        <v>160</v>
      </c>
      <c r="P425" s="35">
        <v>3700</v>
      </c>
      <c r="Q425" s="38"/>
      <c r="R425" s="28" t="s">
        <v>641</v>
      </c>
      <c r="S425" s="39">
        <v>0.125</v>
      </c>
      <c r="T425" s="39">
        <v>0.05</v>
      </c>
      <c r="U425" s="40"/>
      <c r="V425" s="26"/>
      <c r="W425" s="40">
        <f>IF(NOTA[[#This Row],[HARGA/ CTN]]="",NOTA[[#This Row],[JUMLAH_H]],NOTA[[#This Row],[HARGA/ CTN]]*IF(NOTA[[#This Row],[C]]="",0,NOTA[[#This Row],[C]]))</f>
        <v>666000</v>
      </c>
      <c r="X425" s="40">
        <f>IF(NOTA[[#This Row],[JUMLAH]]="","",NOTA[[#This Row],[JUMLAH]]*NOTA[[#This Row],[DISC 1]])</f>
        <v>83250</v>
      </c>
      <c r="Y425" s="40">
        <f>IF(NOTA[[#This Row],[JUMLAH]]="","",(NOTA[[#This Row],[JUMLAH]]-NOTA[[#This Row],[DISC 1-]])*NOTA[[#This Row],[DISC 2]])</f>
        <v>29137.5</v>
      </c>
      <c r="Z425" s="40">
        <f>IF(NOTA[[#This Row],[JUMLAH]]="","",NOTA[[#This Row],[DISC 1-]]+NOTA[[#This Row],[DISC 2-]])</f>
        <v>112387.5</v>
      </c>
      <c r="AA425" s="40">
        <f>IF(NOTA[[#This Row],[JUMLAH]]="","",NOTA[[#This Row],[JUMLAH]]-NOTA[[#This Row],[DISC]])</f>
        <v>553612.5</v>
      </c>
      <c r="AB425" s="40"/>
      <c r="AC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425" s="40">
        <f>IF(OR(NOTA[[#This Row],[QTY]]="",NOTA[[#This Row],[HARGA SATUAN]]="",),"",NOTA[[#This Row],[QTY]]*NOTA[[#This Row],[HARGA SATUAN]])</f>
        <v>666000</v>
      </c>
      <c r="AG425" s="37">
        <f ca="1">IF(NOTA[ID_H]="","",INDEX(NOTA[TANGGAL],MATCH(,INDIRECT(ADDRESS(ROW(NOTA[TANGGAL]),COLUMN(NOTA[TANGGAL]))&amp;":"&amp;ADDRESS(ROW(),COLUMN(NOTA[TANGGAL]))),-1)))</f>
        <v>45065</v>
      </c>
      <c r="AH425" s="35" t="str">
        <f ca="1">IF(NOTA[[#This Row],[NAMA BARANG]]="","",INDEX(NOTA[SUPPLIER],MATCH(,INDIRECT(ADDRESS(ROW(NOTA[ID]),COLUMN(NOTA[ID]))&amp;":"&amp;ADDRESS(ROW(),COLUMN(NOTA[ID]))),-1)))</f>
        <v>ATALI MAKMUR</v>
      </c>
      <c r="AI425" s="35" t="str">
        <f ca="1">IF(NOTA[[#This Row],[ID_H]]="","",IF(NOTA[[#This Row],[FAKTUR]]="",INDIRECT(ADDRESS(ROW()-1,COLUMN())),NOTA[[#This Row],[FAKTUR]]))</f>
        <v>ARTO MORO</v>
      </c>
      <c r="AJ425" s="27" t="str">
        <f ca="1">IF(NOTA[[#This Row],[ID]]="","",COUNTIF(NOTA[ID_H],NOTA[[#This Row],[ID_H]]))</f>
        <v/>
      </c>
      <c r="AK425" s="27">
        <f ca="1">IF(NOTA[[#This Row],[TGL.NOTA]]="",IF(NOTA[[#This Row],[SUPPLIER_H]]="","",AK424),MONTH(NOTA[[#This Row],[TGL.NOTA]]))</f>
        <v>5</v>
      </c>
      <c r="AL425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4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4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4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27" t="str">
        <f>IF(NOTA[[#This Row],[CONCAT4]]="","",_xlfn.IFNA(MATCH(NOTA[[#This Row],[CONCAT4]],[2]!RAW[CONCAT_H],0),FALSE))</f>
        <v/>
      </c>
      <c r="AQ425" s="145">
        <f>IF(NOTA[[#This Row],[CONCAT1]]="","",MATCH(NOTA[[#This Row],[CONCAT1]],[3]!db[NB NOTA_C],0)+1)</f>
        <v>1058</v>
      </c>
    </row>
    <row r="426" spans="1:43" ht="20.100000000000001" customHeight="1" x14ac:dyDescent="0.25">
      <c r="A4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6" t="str">
        <f>IF(NOTA[[#This Row],[ID_P]]="","",MATCH(NOTA[[#This Row],[ID_P]],[1]!B_MSK[N_ID],0))</f>
        <v/>
      </c>
      <c r="D426" s="36">
        <f ca="1">IF(NOTA[[#This Row],[NAMA BARANG]]="","",INDEX(NOTA[ID],MATCH(,INDIRECT(ADDRESS(ROW(NOTA[ID]),COLUMN(NOTA[ID]))&amp;":"&amp;ADDRESS(ROW(),COLUMN(NOTA[ID]))),-1)))</f>
        <v>80</v>
      </c>
      <c r="E426" s="14"/>
      <c r="F426" s="16"/>
      <c r="G426" s="16"/>
      <c r="H426" s="20"/>
      <c r="I426" s="16"/>
      <c r="J426" s="37"/>
      <c r="K426" s="16"/>
      <c r="L426" s="16" t="s">
        <v>642</v>
      </c>
      <c r="M426" s="28"/>
      <c r="N426" s="16">
        <v>180</v>
      </c>
      <c r="O426" s="16" t="s">
        <v>160</v>
      </c>
      <c r="P426" s="35">
        <v>3700</v>
      </c>
      <c r="Q426" s="38"/>
      <c r="R426" s="28" t="s">
        <v>641</v>
      </c>
      <c r="S426" s="39">
        <v>0.125</v>
      </c>
      <c r="T426" s="39">
        <v>0.05</v>
      </c>
      <c r="U426" s="40"/>
      <c r="V426" s="26"/>
      <c r="W426" s="40">
        <f>IF(NOTA[[#This Row],[HARGA/ CTN]]="",NOTA[[#This Row],[JUMLAH_H]],NOTA[[#This Row],[HARGA/ CTN]]*IF(NOTA[[#This Row],[C]]="",0,NOTA[[#This Row],[C]]))</f>
        <v>666000</v>
      </c>
      <c r="X426" s="40">
        <f>IF(NOTA[[#This Row],[JUMLAH]]="","",NOTA[[#This Row],[JUMLAH]]*NOTA[[#This Row],[DISC 1]])</f>
        <v>83250</v>
      </c>
      <c r="Y426" s="40">
        <f>IF(NOTA[[#This Row],[JUMLAH]]="","",(NOTA[[#This Row],[JUMLAH]]-NOTA[[#This Row],[DISC 1-]])*NOTA[[#This Row],[DISC 2]])</f>
        <v>29137.5</v>
      </c>
      <c r="Z426" s="40">
        <f>IF(NOTA[[#This Row],[JUMLAH]]="","",NOTA[[#This Row],[DISC 1-]]+NOTA[[#This Row],[DISC 2-]])</f>
        <v>112387.5</v>
      </c>
      <c r="AA426" s="40">
        <f>IF(NOTA[[#This Row],[JUMLAH]]="","",NOTA[[#This Row],[JUMLAH]]-NOTA[[#This Row],[DISC]])</f>
        <v>553612.5</v>
      </c>
      <c r="AB426" s="40"/>
      <c r="AC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3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426" s="40">
        <f>IF(OR(NOTA[[#This Row],[QTY]]="",NOTA[[#This Row],[HARGA SATUAN]]="",),"",NOTA[[#This Row],[QTY]]*NOTA[[#This Row],[HARGA SATUAN]])</f>
        <v>666000</v>
      </c>
      <c r="AG426" s="37">
        <f ca="1">IF(NOTA[ID_H]="","",INDEX(NOTA[TANGGAL],MATCH(,INDIRECT(ADDRESS(ROW(NOTA[TANGGAL]),COLUMN(NOTA[TANGGAL]))&amp;":"&amp;ADDRESS(ROW(),COLUMN(NOTA[TANGGAL]))),-1)))</f>
        <v>45065</v>
      </c>
      <c r="AH426" s="35" t="str">
        <f ca="1">IF(NOTA[[#This Row],[NAMA BARANG]]="","",INDEX(NOTA[SUPPLIER],MATCH(,INDIRECT(ADDRESS(ROW(NOTA[ID]),COLUMN(NOTA[ID]))&amp;":"&amp;ADDRESS(ROW(),COLUMN(NOTA[ID]))),-1)))</f>
        <v>ATALI MAKMUR</v>
      </c>
      <c r="AI426" s="35" t="str">
        <f ca="1">IF(NOTA[[#This Row],[ID_H]]="","",IF(NOTA[[#This Row],[FAKTUR]]="",INDIRECT(ADDRESS(ROW()-1,COLUMN())),NOTA[[#This Row],[FAKTUR]]))</f>
        <v>ARTO MORO</v>
      </c>
      <c r="AJ426" s="27" t="str">
        <f ca="1">IF(NOTA[[#This Row],[ID]]="","",COUNTIF(NOTA[ID_H],NOTA[[#This Row],[ID_H]]))</f>
        <v/>
      </c>
      <c r="AK426" s="27">
        <f ca="1">IF(NOTA[[#This Row],[TGL.NOTA]]="",IF(NOTA[[#This Row],[SUPPLIER_H]]="","",AK425),MONTH(NOTA[[#This Row],[TGL.NOTA]]))</f>
        <v>5</v>
      </c>
      <c r="AL426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4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4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4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27" t="str">
        <f>IF(NOTA[[#This Row],[CONCAT4]]="","",_xlfn.IFNA(MATCH(NOTA[[#This Row],[CONCAT4]],[2]!RAW[CONCAT_H],0),FALSE))</f>
        <v/>
      </c>
      <c r="AQ426" s="145">
        <f>IF(NOTA[[#This Row],[CONCAT1]]="","",MATCH(NOTA[[#This Row],[CONCAT1]],[3]!db[NB NOTA_C],0)+1)</f>
        <v>1059</v>
      </c>
    </row>
    <row r="427" spans="1:43" ht="20.100000000000001" customHeight="1" x14ac:dyDescent="0.25">
      <c r="A4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6" t="str">
        <f>IF(NOTA[[#This Row],[ID_P]]="","",MATCH(NOTA[[#This Row],[ID_P]],[1]!B_MSK[N_ID],0))</f>
        <v/>
      </c>
      <c r="D427" s="36">
        <f ca="1">IF(NOTA[[#This Row],[NAMA BARANG]]="","",INDEX(NOTA[ID],MATCH(,INDIRECT(ADDRESS(ROW(NOTA[ID]),COLUMN(NOTA[ID]))&amp;":"&amp;ADDRESS(ROW(),COLUMN(NOTA[ID]))),-1)))</f>
        <v>80</v>
      </c>
      <c r="E427" s="14"/>
      <c r="F427" s="16"/>
      <c r="G427" s="16"/>
      <c r="H427" s="20"/>
      <c r="I427" s="16"/>
      <c r="J427" s="37"/>
      <c r="K427" s="16"/>
      <c r="L427" s="16" t="s">
        <v>643</v>
      </c>
      <c r="M427" s="28"/>
      <c r="N427" s="16">
        <v>120</v>
      </c>
      <c r="O427" s="16" t="s">
        <v>160</v>
      </c>
      <c r="P427" s="35">
        <v>3700</v>
      </c>
      <c r="Q427" s="38"/>
      <c r="R427" s="28" t="s">
        <v>641</v>
      </c>
      <c r="S427" s="39">
        <v>0.125</v>
      </c>
      <c r="T427" s="39">
        <v>0.05</v>
      </c>
      <c r="U427" s="40"/>
      <c r="V427" s="26"/>
      <c r="W427" s="40">
        <f>IF(NOTA[[#This Row],[HARGA/ CTN]]="",NOTA[[#This Row],[JUMLAH_H]],NOTA[[#This Row],[HARGA/ CTN]]*IF(NOTA[[#This Row],[C]]="",0,NOTA[[#This Row],[C]]))</f>
        <v>444000</v>
      </c>
      <c r="X427" s="40">
        <f>IF(NOTA[[#This Row],[JUMLAH]]="","",NOTA[[#This Row],[JUMLAH]]*NOTA[[#This Row],[DISC 1]])</f>
        <v>55500</v>
      </c>
      <c r="Y427" s="40">
        <f>IF(NOTA[[#This Row],[JUMLAH]]="","",(NOTA[[#This Row],[JUMLAH]]-NOTA[[#This Row],[DISC 1-]])*NOTA[[#This Row],[DISC 2]])</f>
        <v>19425</v>
      </c>
      <c r="Z427" s="40">
        <f>IF(NOTA[[#This Row],[JUMLAH]]="","",NOTA[[#This Row],[DISC 1-]]+NOTA[[#This Row],[DISC 2-]])</f>
        <v>74925</v>
      </c>
      <c r="AA427" s="40">
        <f>IF(NOTA[[#This Row],[JUMLAH]]="","",NOTA[[#This Row],[JUMLAH]]-NOTA[[#This Row],[DISC]])</f>
        <v>369075</v>
      </c>
      <c r="AB427" s="40"/>
      <c r="AC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27" s="40">
        <f>IF(OR(NOTA[[#This Row],[QTY]]="",NOTA[[#This Row],[HARGA SATUAN]]="",),"",NOTA[[#This Row],[QTY]]*NOTA[[#This Row],[HARGA SATUAN]])</f>
        <v>444000</v>
      </c>
      <c r="AG427" s="37">
        <f ca="1">IF(NOTA[ID_H]="","",INDEX(NOTA[TANGGAL],MATCH(,INDIRECT(ADDRESS(ROW(NOTA[TANGGAL]),COLUMN(NOTA[TANGGAL]))&amp;":"&amp;ADDRESS(ROW(),COLUMN(NOTA[TANGGAL]))),-1)))</f>
        <v>45065</v>
      </c>
      <c r="AH427" s="35" t="str">
        <f ca="1">IF(NOTA[[#This Row],[NAMA BARANG]]="","",INDEX(NOTA[SUPPLIER],MATCH(,INDIRECT(ADDRESS(ROW(NOTA[ID]),COLUMN(NOTA[ID]))&amp;":"&amp;ADDRESS(ROW(),COLUMN(NOTA[ID]))),-1)))</f>
        <v>ATALI MAKMUR</v>
      </c>
      <c r="AI427" s="35" t="str">
        <f ca="1">IF(NOTA[[#This Row],[ID_H]]="","",IF(NOTA[[#This Row],[FAKTUR]]="",INDIRECT(ADDRESS(ROW()-1,COLUMN())),NOTA[[#This Row],[FAKTUR]]))</f>
        <v>ARTO MORO</v>
      </c>
      <c r="AJ427" s="27" t="str">
        <f ca="1">IF(NOTA[[#This Row],[ID]]="","",COUNTIF(NOTA[ID_H],NOTA[[#This Row],[ID_H]]))</f>
        <v/>
      </c>
      <c r="AK427" s="27">
        <f ca="1">IF(NOTA[[#This Row],[TGL.NOTA]]="",IF(NOTA[[#This Row],[SUPPLIER_H]]="","",AK426),MONTH(NOTA[[#This Row],[TGL.NOTA]]))</f>
        <v>5</v>
      </c>
      <c r="AL427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4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4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4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27" t="str">
        <f>IF(NOTA[[#This Row],[CONCAT4]]="","",_xlfn.IFNA(MATCH(NOTA[[#This Row],[CONCAT4]],[2]!RAW[CONCAT_H],0),FALSE))</f>
        <v/>
      </c>
      <c r="AQ427" s="145">
        <f>IF(NOTA[[#This Row],[CONCAT1]]="","",MATCH(NOTA[[#This Row],[CONCAT1]],[3]!db[NB NOTA_C],0)+1)</f>
        <v>1060</v>
      </c>
    </row>
    <row r="428" spans="1:43" ht="20.100000000000001" customHeight="1" x14ac:dyDescent="0.25">
      <c r="A42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6" t="str">
        <f>IF(NOTA[[#This Row],[ID_P]]="","",MATCH(NOTA[[#This Row],[ID_P]],[1]!B_MSK[N_ID],0))</f>
        <v/>
      </c>
      <c r="D428" s="36">
        <f ca="1">IF(NOTA[[#This Row],[NAMA BARANG]]="","",INDEX(NOTA[ID],MATCH(,INDIRECT(ADDRESS(ROW(NOTA[ID]),COLUMN(NOTA[ID]))&amp;":"&amp;ADDRESS(ROW(),COLUMN(NOTA[ID]))),-1)))</f>
        <v>80</v>
      </c>
      <c r="E428" s="14"/>
      <c r="F428" s="16"/>
      <c r="G428" s="16"/>
      <c r="H428" s="20"/>
      <c r="I428" s="16"/>
      <c r="J428" s="37"/>
      <c r="K428" s="16"/>
      <c r="L428" s="16" t="s">
        <v>644</v>
      </c>
      <c r="M428" s="28"/>
      <c r="N428" s="16">
        <v>120</v>
      </c>
      <c r="O428" s="16" t="s">
        <v>160</v>
      </c>
      <c r="P428" s="35">
        <v>3700</v>
      </c>
      <c r="Q428" s="38"/>
      <c r="R428" s="28" t="s">
        <v>641</v>
      </c>
      <c r="S428" s="39">
        <v>0.125</v>
      </c>
      <c r="T428" s="39">
        <v>0.05</v>
      </c>
      <c r="U428" s="40"/>
      <c r="V428" s="26"/>
      <c r="W428" s="40">
        <f>IF(NOTA[[#This Row],[HARGA/ CTN]]="",NOTA[[#This Row],[JUMLAH_H]],NOTA[[#This Row],[HARGA/ CTN]]*IF(NOTA[[#This Row],[C]]="",0,NOTA[[#This Row],[C]]))</f>
        <v>444000</v>
      </c>
      <c r="X428" s="40">
        <f>IF(NOTA[[#This Row],[JUMLAH]]="","",NOTA[[#This Row],[JUMLAH]]*NOTA[[#This Row],[DISC 1]])</f>
        <v>55500</v>
      </c>
      <c r="Y428" s="40">
        <f>IF(NOTA[[#This Row],[JUMLAH]]="","",(NOTA[[#This Row],[JUMLAH]]-NOTA[[#This Row],[DISC 1-]])*NOTA[[#This Row],[DISC 2]])</f>
        <v>19425</v>
      </c>
      <c r="Z428" s="40">
        <f>IF(NOTA[[#This Row],[JUMLAH]]="","",NOTA[[#This Row],[DISC 1-]]+NOTA[[#This Row],[DISC 2-]])</f>
        <v>74925</v>
      </c>
      <c r="AA428" s="40">
        <f>IF(NOTA[[#This Row],[JUMLAH]]="","",NOTA[[#This Row],[JUMLAH]]-NOTA[[#This Row],[DISC]])</f>
        <v>369075</v>
      </c>
      <c r="AB428" s="40"/>
      <c r="AC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28" s="40">
        <f>IF(OR(NOTA[[#This Row],[QTY]]="",NOTA[[#This Row],[HARGA SATUAN]]="",),"",NOTA[[#This Row],[QTY]]*NOTA[[#This Row],[HARGA SATUAN]])</f>
        <v>444000</v>
      </c>
      <c r="AG428" s="37">
        <f ca="1">IF(NOTA[ID_H]="","",INDEX(NOTA[TANGGAL],MATCH(,INDIRECT(ADDRESS(ROW(NOTA[TANGGAL]),COLUMN(NOTA[TANGGAL]))&amp;":"&amp;ADDRESS(ROW(),COLUMN(NOTA[TANGGAL]))),-1)))</f>
        <v>45065</v>
      </c>
      <c r="AH428" s="35" t="str">
        <f ca="1">IF(NOTA[[#This Row],[NAMA BARANG]]="","",INDEX(NOTA[SUPPLIER],MATCH(,INDIRECT(ADDRESS(ROW(NOTA[ID]),COLUMN(NOTA[ID]))&amp;":"&amp;ADDRESS(ROW(),COLUMN(NOTA[ID]))),-1)))</f>
        <v>ATALI MAKMUR</v>
      </c>
      <c r="AI428" s="35" t="str">
        <f ca="1">IF(NOTA[[#This Row],[ID_H]]="","",IF(NOTA[[#This Row],[FAKTUR]]="",INDIRECT(ADDRESS(ROW()-1,COLUMN())),NOTA[[#This Row],[FAKTUR]]))</f>
        <v>ARTO MORO</v>
      </c>
      <c r="AJ428" s="27" t="str">
        <f ca="1">IF(NOTA[[#This Row],[ID]]="","",COUNTIF(NOTA[ID_H],NOTA[[#This Row],[ID_H]]))</f>
        <v/>
      </c>
      <c r="AK428" s="27">
        <f ca="1">IF(NOTA[[#This Row],[TGL.NOTA]]="",IF(NOTA[[#This Row],[SUPPLIER_H]]="","",AK427),MONTH(NOTA[[#This Row],[TGL.NOTA]]))</f>
        <v>5</v>
      </c>
      <c r="AL428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4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4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42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27" t="str">
        <f>IF(NOTA[[#This Row],[CONCAT4]]="","",_xlfn.IFNA(MATCH(NOTA[[#This Row],[CONCAT4]],[2]!RAW[CONCAT_H],0),FALSE))</f>
        <v/>
      </c>
      <c r="AQ428" s="145">
        <f>IF(NOTA[[#This Row],[CONCAT1]]="","",MATCH(NOTA[[#This Row],[CONCAT1]],[3]!db[NB NOTA_C],0)+1)</f>
        <v>1061</v>
      </c>
    </row>
    <row r="429" spans="1:43" ht="20.100000000000001" customHeight="1" x14ac:dyDescent="0.25">
      <c r="A4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6" t="str">
        <f>IF(NOTA[[#This Row],[ID_P]]="","",MATCH(NOTA[[#This Row],[ID_P]],[1]!B_MSK[N_ID],0))</f>
        <v/>
      </c>
      <c r="D429" s="36">
        <f ca="1">IF(NOTA[[#This Row],[NAMA BARANG]]="","",INDEX(NOTA[ID],MATCH(,INDIRECT(ADDRESS(ROW(NOTA[ID]),COLUMN(NOTA[ID]))&amp;":"&amp;ADDRESS(ROW(),COLUMN(NOTA[ID]))),-1)))</f>
        <v>80</v>
      </c>
      <c r="E429" s="14"/>
      <c r="F429" s="16"/>
      <c r="G429" s="16"/>
      <c r="H429" s="20"/>
      <c r="I429" s="16"/>
      <c r="J429" s="37"/>
      <c r="K429" s="16"/>
      <c r="L429" s="16" t="s">
        <v>645</v>
      </c>
      <c r="M429" s="28"/>
      <c r="N429" s="16">
        <v>120</v>
      </c>
      <c r="O429" s="16" t="s">
        <v>160</v>
      </c>
      <c r="P429" s="35">
        <v>3700</v>
      </c>
      <c r="Q429" s="38"/>
      <c r="R429" s="28" t="s">
        <v>641</v>
      </c>
      <c r="S429" s="39">
        <v>0.125</v>
      </c>
      <c r="T429" s="39">
        <v>0.05</v>
      </c>
      <c r="U429" s="40"/>
      <c r="V429" s="26"/>
      <c r="W429" s="40">
        <f>IF(NOTA[[#This Row],[HARGA/ CTN]]="",NOTA[[#This Row],[JUMLAH_H]],NOTA[[#This Row],[HARGA/ CTN]]*IF(NOTA[[#This Row],[C]]="",0,NOTA[[#This Row],[C]]))</f>
        <v>444000</v>
      </c>
      <c r="X429" s="40">
        <f>IF(NOTA[[#This Row],[JUMLAH]]="","",NOTA[[#This Row],[JUMLAH]]*NOTA[[#This Row],[DISC 1]])</f>
        <v>55500</v>
      </c>
      <c r="Y429" s="40">
        <f>IF(NOTA[[#This Row],[JUMLAH]]="","",(NOTA[[#This Row],[JUMLAH]]-NOTA[[#This Row],[DISC 1-]])*NOTA[[#This Row],[DISC 2]])</f>
        <v>19425</v>
      </c>
      <c r="Z429" s="40">
        <f>IF(NOTA[[#This Row],[JUMLAH]]="","",NOTA[[#This Row],[DISC 1-]]+NOTA[[#This Row],[DISC 2-]])</f>
        <v>74925</v>
      </c>
      <c r="AA429" s="40">
        <f>IF(NOTA[[#This Row],[JUMLAH]]="","",NOTA[[#This Row],[JUMLAH]]-NOTA[[#This Row],[DISC]])</f>
        <v>369075</v>
      </c>
      <c r="AB429" s="40"/>
      <c r="AC4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4201301.25</v>
      </c>
      <c r="AD42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20695298.75</v>
      </c>
      <c r="AE429" s="3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29" s="40">
        <f>IF(OR(NOTA[[#This Row],[QTY]]="",NOTA[[#This Row],[HARGA SATUAN]]="",),"",NOTA[[#This Row],[QTY]]*NOTA[[#This Row],[HARGA SATUAN]])</f>
        <v>444000</v>
      </c>
      <c r="AG429" s="37">
        <f ca="1">IF(NOTA[ID_H]="","",INDEX(NOTA[TANGGAL],MATCH(,INDIRECT(ADDRESS(ROW(NOTA[TANGGAL]),COLUMN(NOTA[TANGGAL]))&amp;":"&amp;ADDRESS(ROW(),COLUMN(NOTA[TANGGAL]))),-1)))</f>
        <v>45065</v>
      </c>
      <c r="AH429" s="35" t="str">
        <f ca="1">IF(NOTA[[#This Row],[NAMA BARANG]]="","",INDEX(NOTA[SUPPLIER],MATCH(,INDIRECT(ADDRESS(ROW(NOTA[ID]),COLUMN(NOTA[ID]))&amp;":"&amp;ADDRESS(ROW(),COLUMN(NOTA[ID]))),-1)))</f>
        <v>ATALI MAKMUR</v>
      </c>
      <c r="AI429" s="35" t="str">
        <f ca="1">IF(NOTA[[#This Row],[ID_H]]="","",IF(NOTA[[#This Row],[FAKTUR]]="",INDIRECT(ADDRESS(ROW()-1,COLUMN())),NOTA[[#This Row],[FAKTUR]]))</f>
        <v>ARTO MORO</v>
      </c>
      <c r="AJ429" s="27" t="str">
        <f ca="1">IF(NOTA[[#This Row],[ID]]="","",COUNTIF(NOTA[ID_H],NOTA[[#This Row],[ID_H]]))</f>
        <v/>
      </c>
      <c r="AK429" s="27">
        <f ca="1">IF(NOTA[[#This Row],[TGL.NOTA]]="",IF(NOTA[[#This Row],[SUPPLIER_H]]="","",AK428),MONTH(NOTA[[#This Row],[TGL.NOTA]]))</f>
        <v>5</v>
      </c>
      <c r="AL429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4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4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4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27" t="str">
        <f>IF(NOTA[[#This Row],[CONCAT4]]="","",_xlfn.IFNA(MATCH(NOTA[[#This Row],[CONCAT4]],[2]!RAW[CONCAT_H],0),FALSE))</f>
        <v/>
      </c>
      <c r="AQ429" s="145">
        <f>IF(NOTA[[#This Row],[CONCAT1]]="","",MATCH(NOTA[[#This Row],[CONCAT1]],[3]!db[NB NOTA_C],0)+1)</f>
        <v>1062</v>
      </c>
    </row>
    <row r="430" spans="1:43" ht="20.100000000000001" customHeight="1" x14ac:dyDescent="0.25">
      <c r="A43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6" t="str">
        <f>IF(NOTA[[#This Row],[ID_P]]="","",MATCH(NOTA[[#This Row],[ID_P]],[1]!B_MSK[N_ID],0))</f>
        <v/>
      </c>
      <c r="D430" s="36" t="str">
        <f ca="1">IF(NOTA[[#This Row],[NAMA BARANG]]="","",INDEX(NOTA[ID],MATCH(,INDIRECT(ADDRESS(ROW(NOTA[ID]),COLUMN(NOTA[ID]))&amp;":"&amp;ADDRESS(ROW(),COLUMN(NOTA[ID]))),-1)))</f>
        <v/>
      </c>
      <c r="E430" s="14"/>
      <c r="F430" s="16"/>
      <c r="G430" s="16"/>
      <c r="H430" s="20"/>
      <c r="I430" s="16"/>
      <c r="J430" s="37"/>
      <c r="K430" s="16"/>
      <c r="L430" s="16"/>
      <c r="M430" s="28"/>
      <c r="N430" s="16"/>
      <c r="O430" s="16"/>
      <c r="P430" s="35"/>
      <c r="Q430" s="38"/>
      <c r="R430" s="28"/>
      <c r="S430" s="39"/>
      <c r="T430" s="39"/>
      <c r="U430" s="40"/>
      <c r="V430" s="26"/>
      <c r="W430" s="40" t="str">
        <f>IF(NOTA[[#This Row],[HARGA/ CTN]]="",NOTA[[#This Row],[JUMLAH_H]],NOTA[[#This Row],[HARGA/ CTN]]*IF(NOTA[[#This Row],[C]]="",0,NOTA[[#This Row],[C]]))</f>
        <v/>
      </c>
      <c r="X430" s="40" t="str">
        <f>IF(NOTA[[#This Row],[JUMLAH]]="","",NOTA[[#This Row],[JUMLAH]]*NOTA[[#This Row],[DISC 1]])</f>
        <v/>
      </c>
      <c r="Y430" s="40" t="str">
        <f>IF(NOTA[[#This Row],[JUMLAH]]="","",(NOTA[[#This Row],[JUMLAH]]-NOTA[[#This Row],[DISC 1-]])*NOTA[[#This Row],[DISC 2]])</f>
        <v/>
      </c>
      <c r="Z430" s="40" t="str">
        <f>IF(NOTA[[#This Row],[JUMLAH]]="","",NOTA[[#This Row],[DISC 1-]]+NOTA[[#This Row],[DISC 2-]])</f>
        <v/>
      </c>
      <c r="AA430" s="40" t="str">
        <f>IF(NOTA[[#This Row],[JUMLAH]]="","",NOTA[[#This Row],[JUMLAH]]-NOTA[[#This Row],[DISC]])</f>
        <v/>
      </c>
      <c r="AB430" s="40"/>
      <c r="AC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0" s="40" t="str">
        <f>IF(OR(NOTA[[#This Row],[QTY]]="",NOTA[[#This Row],[HARGA SATUAN]]="",),"",NOTA[[#This Row],[QTY]]*NOTA[[#This Row],[HARGA SATUAN]])</f>
        <v/>
      </c>
      <c r="AG430" s="37" t="str">
        <f ca="1">IF(NOTA[ID_H]="","",INDEX(NOTA[TANGGAL],MATCH(,INDIRECT(ADDRESS(ROW(NOTA[TANGGAL]),COLUMN(NOTA[TANGGAL]))&amp;":"&amp;ADDRESS(ROW(),COLUMN(NOTA[TANGGAL]))),-1)))</f>
        <v/>
      </c>
      <c r="AH430" s="35" t="str">
        <f ca="1">IF(NOTA[[#This Row],[NAMA BARANG]]="","",INDEX(NOTA[SUPPLIER],MATCH(,INDIRECT(ADDRESS(ROW(NOTA[ID]),COLUMN(NOTA[ID]))&amp;":"&amp;ADDRESS(ROW(),COLUMN(NOTA[ID]))),-1)))</f>
        <v/>
      </c>
      <c r="AI430" s="35" t="str">
        <f ca="1">IF(NOTA[[#This Row],[ID_H]]="","",IF(NOTA[[#This Row],[FAKTUR]]="",INDIRECT(ADDRESS(ROW()-1,COLUMN())),NOTA[[#This Row],[FAKTUR]]))</f>
        <v/>
      </c>
      <c r="AJ430" s="27" t="str">
        <f ca="1">IF(NOTA[[#This Row],[ID]]="","",COUNTIF(NOTA[ID_H],NOTA[[#This Row],[ID_H]]))</f>
        <v/>
      </c>
      <c r="AK430" s="27" t="str">
        <f ca="1">IF(NOTA[[#This Row],[TGL.NOTA]]="",IF(NOTA[[#This Row],[SUPPLIER_H]]="","",AK429),MONTH(NOTA[[#This Row],[TGL.NOTA]]))</f>
        <v/>
      </c>
      <c r="AL430" s="27" t="str">
        <f>LOWER(SUBSTITUTE(SUBSTITUTE(SUBSTITUTE(SUBSTITUTE(SUBSTITUTE(SUBSTITUTE(SUBSTITUTE(SUBSTITUTE(SUBSTITUTE(NOTA[NAMA BARANG]," ",),".",""),"-",""),"(",""),")",""),",",""),"/",""),"""",""),"+",""))</f>
        <v/>
      </c>
      <c r="AM4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27" t="str">
        <f>IF(NOTA[[#This Row],[CONCAT4]]="","",_xlfn.IFNA(MATCH(NOTA[[#This Row],[CONCAT4]],[2]!RAW[CONCAT_H],0),FALSE))</f>
        <v/>
      </c>
      <c r="AQ430" s="145" t="str">
        <f>IF(NOTA[[#This Row],[CONCAT1]]="","",MATCH(NOTA[[#This Row],[CONCAT1]],[3]!db[NB NOTA_C],0)+1)</f>
        <v/>
      </c>
    </row>
    <row r="431" spans="1:43" ht="20.100000000000001" customHeight="1" x14ac:dyDescent="0.25">
      <c r="A431" s="35">
        <f ca="1">IF(INDIRECT(ADDRESS(ROW()-1,COLUMN(NOTA[[#Headers],[ID]])))="ID",1,IF(NOTA[[#This Row],[FAKTUR]]="","",COUNT(INDIRECT(ADDRESS(ROW(NOTA[ID]),COLUMN(NOTA[ID]))&amp;":"&amp;ADDRESS(ROW()-1,COLUMN(NOTA[ID]))))+1))</f>
        <v>81</v>
      </c>
      <c r="B43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ATA_1905_505-7</v>
      </c>
      <c r="C431" s="36" t="e">
        <f ca="1">IF(NOTA[[#This Row],[ID_P]]="","",MATCH(NOTA[[#This Row],[ID_P]],[1]!B_MSK[N_ID],0))</f>
        <v>#REF!</v>
      </c>
      <c r="D431" s="36">
        <f ca="1">IF(NOTA[[#This Row],[NAMA BARANG]]="","",INDEX(NOTA[ID],MATCH(,INDIRECT(ADDRESS(ROW(NOTA[ID]),COLUMN(NOTA[ID]))&amp;":"&amp;ADDRESS(ROW(),COLUMN(NOTA[ID]))),-1)))</f>
        <v>81</v>
      </c>
      <c r="E431" s="14"/>
      <c r="F431" s="16" t="s">
        <v>25</v>
      </c>
      <c r="G431" s="16" t="s">
        <v>24</v>
      </c>
      <c r="H431" s="20" t="s">
        <v>646</v>
      </c>
      <c r="I431" s="16"/>
      <c r="J431" s="37">
        <v>45058</v>
      </c>
      <c r="K431" s="16"/>
      <c r="L431" s="16" t="s">
        <v>648</v>
      </c>
      <c r="M431" s="28">
        <v>1</v>
      </c>
      <c r="N431" s="16">
        <v>288</v>
      </c>
      <c r="O431" s="16" t="s">
        <v>160</v>
      </c>
      <c r="P431" s="35">
        <v>4800</v>
      </c>
      <c r="Q431" s="38"/>
      <c r="R431" s="28" t="s">
        <v>647</v>
      </c>
      <c r="S431" s="39">
        <v>0.125</v>
      </c>
      <c r="T431" s="39">
        <v>0.05</v>
      </c>
      <c r="U431" s="40"/>
      <c r="V431" s="26"/>
      <c r="W431" s="40">
        <f>IF(NOTA[[#This Row],[HARGA/ CTN]]="",NOTA[[#This Row],[JUMLAH_H]],NOTA[[#This Row],[HARGA/ CTN]]*IF(NOTA[[#This Row],[C]]="",0,NOTA[[#This Row],[C]]))</f>
        <v>1382400</v>
      </c>
      <c r="X431" s="40">
        <f>IF(NOTA[[#This Row],[JUMLAH]]="","",NOTA[[#This Row],[JUMLAH]]*NOTA[[#This Row],[DISC 1]])</f>
        <v>172800</v>
      </c>
      <c r="Y431" s="40">
        <f>IF(NOTA[[#This Row],[JUMLAH]]="","",(NOTA[[#This Row],[JUMLAH]]-NOTA[[#This Row],[DISC 1-]])*NOTA[[#This Row],[DISC 2]])</f>
        <v>60480</v>
      </c>
      <c r="Z431" s="40">
        <f>IF(NOTA[[#This Row],[JUMLAH]]="","",NOTA[[#This Row],[DISC 1-]]+NOTA[[#This Row],[DISC 2-]])</f>
        <v>233280</v>
      </c>
      <c r="AA431" s="40">
        <f>IF(NOTA[[#This Row],[JUMLAH]]="","",NOTA[[#This Row],[JUMLAH]]-NOTA[[#This Row],[DISC]])</f>
        <v>1149120</v>
      </c>
      <c r="AB431" s="40"/>
      <c r="AC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31" s="40">
        <f>IF(OR(NOTA[[#This Row],[QTY]]="",NOTA[[#This Row],[HARGA SATUAN]]="",),"",NOTA[[#This Row],[QTY]]*NOTA[[#This Row],[HARGA SATUAN]])</f>
        <v>1382400</v>
      </c>
      <c r="AG431" s="37">
        <f ca="1">IF(NOTA[ID_H]="","",INDEX(NOTA[TANGGAL],MATCH(,INDIRECT(ADDRESS(ROW(NOTA[TANGGAL]),COLUMN(NOTA[TANGGAL]))&amp;":"&amp;ADDRESS(ROW(),COLUMN(NOTA[TANGGAL]))),-1)))</f>
        <v>45065</v>
      </c>
      <c r="AH431" s="35" t="str">
        <f ca="1">IF(NOTA[[#This Row],[NAMA BARANG]]="","",INDEX(NOTA[SUPPLIER],MATCH(,INDIRECT(ADDRESS(ROW(NOTA[ID]),COLUMN(NOTA[ID]))&amp;":"&amp;ADDRESS(ROW(),COLUMN(NOTA[ID]))),-1)))</f>
        <v>ATALI MAKMUR</v>
      </c>
      <c r="AI431" s="35" t="str">
        <f ca="1">IF(NOTA[[#This Row],[ID_H]]="","",IF(NOTA[[#This Row],[FAKTUR]]="",INDIRECT(ADDRESS(ROW()-1,COLUMN())),NOTA[[#This Row],[FAKTUR]]))</f>
        <v>ARTO MORO</v>
      </c>
      <c r="AJ431" s="27">
        <f ca="1">IF(NOTA[[#This Row],[ID]]="","",COUNTIF(NOTA[ID_H],NOTA[[#This Row],[ID_H]]))</f>
        <v>7</v>
      </c>
      <c r="AK431" s="27">
        <f>IF(NOTA[[#This Row],[TGL.NOTA]]="",IF(NOTA[[#This Row],[SUPPLIER_H]]="","",AK430),MONTH(NOTA[[#This Row],[TGL.NOTA]]))</f>
        <v>5</v>
      </c>
      <c r="AL431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4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431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MOROSA23050750545058pencilcasepc0719ac36afanimalcalenderjk</v>
      </c>
      <c r="AP431" s="27" t="e">
        <f>IF(NOTA[[#This Row],[CONCAT4]]="","",_xlfn.IFNA(MATCH(NOTA[[#This Row],[CONCAT4]],[2]!RAW[CONCAT_H],0),FALSE))</f>
        <v>#REF!</v>
      </c>
      <c r="AQ431" s="145">
        <f>IF(NOTA[[#This Row],[CONCAT1]]="","",MATCH(NOTA[[#This Row],[CONCAT1]],[3]!db[NB NOTA_C],0)+1)</f>
        <v>1905</v>
      </c>
    </row>
    <row r="432" spans="1:43" ht="20.100000000000001" customHeight="1" x14ac:dyDescent="0.25">
      <c r="A4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6" t="str">
        <f>IF(NOTA[[#This Row],[ID_P]]="","",MATCH(NOTA[[#This Row],[ID_P]],[1]!B_MSK[N_ID],0))</f>
        <v/>
      </c>
      <c r="D432" s="36">
        <f ca="1">IF(NOTA[[#This Row],[NAMA BARANG]]="","",INDEX(NOTA[ID],MATCH(,INDIRECT(ADDRESS(ROW(NOTA[ID]),COLUMN(NOTA[ID]))&amp;":"&amp;ADDRESS(ROW(),COLUMN(NOTA[ID]))),-1)))</f>
        <v>81</v>
      </c>
      <c r="E432" s="14"/>
      <c r="F432" s="16"/>
      <c r="G432" s="16"/>
      <c r="H432" s="20"/>
      <c r="I432" s="16"/>
      <c r="J432" s="37"/>
      <c r="K432" s="16"/>
      <c r="L432" s="16" t="s">
        <v>649</v>
      </c>
      <c r="M432" s="28">
        <v>1</v>
      </c>
      <c r="N432" s="16">
        <v>288</v>
      </c>
      <c r="O432" s="16" t="s">
        <v>160</v>
      </c>
      <c r="P432" s="35">
        <v>4800</v>
      </c>
      <c r="Q432" s="38"/>
      <c r="R432" s="28" t="s">
        <v>371</v>
      </c>
      <c r="S432" s="39">
        <v>0.125</v>
      </c>
      <c r="T432" s="39">
        <v>0.05</v>
      </c>
      <c r="U432" s="40"/>
      <c r="V432" s="26"/>
      <c r="W432" s="40">
        <f>IF(NOTA[[#This Row],[HARGA/ CTN]]="",NOTA[[#This Row],[JUMLAH_H]],NOTA[[#This Row],[HARGA/ CTN]]*IF(NOTA[[#This Row],[C]]="",0,NOTA[[#This Row],[C]]))</f>
        <v>1382400</v>
      </c>
      <c r="X432" s="40">
        <f>IF(NOTA[[#This Row],[JUMLAH]]="","",NOTA[[#This Row],[JUMLAH]]*NOTA[[#This Row],[DISC 1]])</f>
        <v>172800</v>
      </c>
      <c r="Y432" s="40">
        <f>IF(NOTA[[#This Row],[JUMLAH]]="","",(NOTA[[#This Row],[JUMLAH]]-NOTA[[#This Row],[DISC 1-]])*NOTA[[#This Row],[DISC 2]])</f>
        <v>60480</v>
      </c>
      <c r="Z432" s="40">
        <f>IF(NOTA[[#This Row],[JUMLAH]]="","",NOTA[[#This Row],[DISC 1-]]+NOTA[[#This Row],[DISC 2-]])</f>
        <v>233280</v>
      </c>
      <c r="AA432" s="40">
        <f>IF(NOTA[[#This Row],[JUMLAH]]="","",NOTA[[#This Row],[JUMLAH]]-NOTA[[#This Row],[DISC]])</f>
        <v>1149120</v>
      </c>
      <c r="AB432" s="40"/>
      <c r="AC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32" s="40">
        <f>IF(OR(NOTA[[#This Row],[QTY]]="",NOTA[[#This Row],[HARGA SATUAN]]="",),"",NOTA[[#This Row],[QTY]]*NOTA[[#This Row],[HARGA SATUAN]])</f>
        <v>1382400</v>
      </c>
      <c r="AG432" s="37">
        <f ca="1">IF(NOTA[ID_H]="","",INDEX(NOTA[TANGGAL],MATCH(,INDIRECT(ADDRESS(ROW(NOTA[TANGGAL]),COLUMN(NOTA[TANGGAL]))&amp;":"&amp;ADDRESS(ROW(),COLUMN(NOTA[TANGGAL]))),-1)))</f>
        <v>45065</v>
      </c>
      <c r="AH432" s="35" t="str">
        <f ca="1">IF(NOTA[[#This Row],[NAMA BARANG]]="","",INDEX(NOTA[SUPPLIER],MATCH(,INDIRECT(ADDRESS(ROW(NOTA[ID]),COLUMN(NOTA[ID]))&amp;":"&amp;ADDRESS(ROW(),COLUMN(NOTA[ID]))),-1)))</f>
        <v>ATALI MAKMUR</v>
      </c>
      <c r="AI432" s="35" t="str">
        <f ca="1">IF(NOTA[[#This Row],[ID_H]]="","",IF(NOTA[[#This Row],[FAKTUR]]="",INDIRECT(ADDRESS(ROW()-1,COLUMN())),NOTA[[#This Row],[FAKTUR]]))</f>
        <v>ARTO MORO</v>
      </c>
      <c r="AJ432" s="27" t="str">
        <f ca="1">IF(NOTA[[#This Row],[ID]]="","",COUNTIF(NOTA[ID_H],NOTA[[#This Row],[ID_H]]))</f>
        <v/>
      </c>
      <c r="AK432" s="27">
        <f ca="1">IF(NOTA[[#This Row],[TGL.NOTA]]="",IF(NOTA[[#This Row],[SUPPLIER_H]]="","",AK431),MONTH(NOTA[[#This Row],[TGL.NOTA]]))</f>
        <v>5</v>
      </c>
      <c r="AL432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4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4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4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27" t="str">
        <f>IF(NOTA[[#This Row],[CONCAT4]]="","",_xlfn.IFNA(MATCH(NOTA[[#This Row],[CONCAT4]],[2]!RAW[CONCAT_H],0),FALSE))</f>
        <v/>
      </c>
      <c r="AQ432" s="145">
        <f>IF(NOTA[[#This Row],[CONCAT1]]="","",MATCH(NOTA[[#This Row],[CONCAT1]],[3]!db[NB NOTA_C],0)+1)</f>
        <v>1917</v>
      </c>
    </row>
    <row r="433" spans="1:43" ht="20.100000000000001" customHeight="1" x14ac:dyDescent="0.25">
      <c r="A43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6" t="str">
        <f>IF(NOTA[[#This Row],[ID_P]]="","",MATCH(NOTA[[#This Row],[ID_P]],[1]!B_MSK[N_ID],0))</f>
        <v/>
      </c>
      <c r="D433" s="36">
        <f ca="1">IF(NOTA[[#This Row],[NAMA BARANG]]="","",INDEX(NOTA[ID],MATCH(,INDIRECT(ADDRESS(ROW(NOTA[ID]),COLUMN(NOTA[ID]))&amp;":"&amp;ADDRESS(ROW(),COLUMN(NOTA[ID]))),-1)))</f>
        <v>81</v>
      </c>
      <c r="E433" s="14"/>
      <c r="F433" s="16"/>
      <c r="G433" s="16"/>
      <c r="H433" s="20"/>
      <c r="I433" s="16"/>
      <c r="J433" s="37"/>
      <c r="K433" s="16"/>
      <c r="L433" s="16" t="s">
        <v>650</v>
      </c>
      <c r="M433" s="28">
        <v>1</v>
      </c>
      <c r="N433" s="16">
        <v>288</v>
      </c>
      <c r="O433" s="16" t="s">
        <v>160</v>
      </c>
      <c r="P433" s="35">
        <v>4800</v>
      </c>
      <c r="Q433" s="38"/>
      <c r="R433" s="28" t="s">
        <v>371</v>
      </c>
      <c r="S433" s="39">
        <v>0.125</v>
      </c>
      <c r="T433" s="39">
        <v>0.05</v>
      </c>
      <c r="U433" s="40"/>
      <c r="V433" s="26"/>
      <c r="W433" s="40">
        <f>IF(NOTA[[#This Row],[HARGA/ CTN]]="",NOTA[[#This Row],[JUMLAH_H]],NOTA[[#This Row],[HARGA/ CTN]]*IF(NOTA[[#This Row],[C]]="",0,NOTA[[#This Row],[C]]))</f>
        <v>1382400</v>
      </c>
      <c r="X433" s="40">
        <f>IF(NOTA[[#This Row],[JUMLAH]]="","",NOTA[[#This Row],[JUMLAH]]*NOTA[[#This Row],[DISC 1]])</f>
        <v>172800</v>
      </c>
      <c r="Y433" s="40">
        <f>IF(NOTA[[#This Row],[JUMLAH]]="","",(NOTA[[#This Row],[JUMLAH]]-NOTA[[#This Row],[DISC 1-]])*NOTA[[#This Row],[DISC 2]])</f>
        <v>60480</v>
      </c>
      <c r="Z433" s="40">
        <f>IF(NOTA[[#This Row],[JUMLAH]]="","",NOTA[[#This Row],[DISC 1-]]+NOTA[[#This Row],[DISC 2-]])</f>
        <v>233280</v>
      </c>
      <c r="AA433" s="40">
        <f>IF(NOTA[[#This Row],[JUMLAH]]="","",NOTA[[#This Row],[JUMLAH]]-NOTA[[#This Row],[DISC]])</f>
        <v>1149120</v>
      </c>
      <c r="AB433" s="40"/>
      <c r="AC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33" s="40">
        <f>IF(OR(NOTA[[#This Row],[QTY]]="",NOTA[[#This Row],[HARGA SATUAN]]="",),"",NOTA[[#This Row],[QTY]]*NOTA[[#This Row],[HARGA SATUAN]])</f>
        <v>1382400</v>
      </c>
      <c r="AG433" s="37">
        <f ca="1">IF(NOTA[ID_H]="","",INDEX(NOTA[TANGGAL],MATCH(,INDIRECT(ADDRESS(ROW(NOTA[TANGGAL]),COLUMN(NOTA[TANGGAL]))&amp;":"&amp;ADDRESS(ROW(),COLUMN(NOTA[TANGGAL]))),-1)))</f>
        <v>45065</v>
      </c>
      <c r="AH433" s="35" t="str">
        <f ca="1">IF(NOTA[[#This Row],[NAMA BARANG]]="","",INDEX(NOTA[SUPPLIER],MATCH(,INDIRECT(ADDRESS(ROW(NOTA[ID]),COLUMN(NOTA[ID]))&amp;":"&amp;ADDRESS(ROW(),COLUMN(NOTA[ID]))),-1)))</f>
        <v>ATALI MAKMUR</v>
      </c>
      <c r="AI433" s="35" t="str">
        <f ca="1">IF(NOTA[[#This Row],[ID_H]]="","",IF(NOTA[[#This Row],[FAKTUR]]="",INDIRECT(ADDRESS(ROW()-1,COLUMN())),NOTA[[#This Row],[FAKTUR]]))</f>
        <v>ARTO MORO</v>
      </c>
      <c r="AJ433" s="27" t="str">
        <f ca="1">IF(NOTA[[#This Row],[ID]]="","",COUNTIF(NOTA[ID_H],NOTA[[#This Row],[ID_H]]))</f>
        <v/>
      </c>
      <c r="AK433" s="27">
        <f ca="1">IF(NOTA[[#This Row],[TGL.NOTA]]="",IF(NOTA[[#This Row],[SUPPLIER_H]]="","",AK432),MONTH(NOTA[[#This Row],[TGL.NOTA]]))</f>
        <v>5</v>
      </c>
      <c r="AL433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4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4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43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27" t="str">
        <f>IF(NOTA[[#This Row],[CONCAT4]]="","",_xlfn.IFNA(MATCH(NOTA[[#This Row],[CONCAT4]],[2]!RAW[CONCAT_H],0),FALSE))</f>
        <v/>
      </c>
      <c r="AQ433" s="145">
        <f>IF(NOTA[[#This Row],[CONCAT1]]="","",MATCH(NOTA[[#This Row],[CONCAT1]],[3]!db[NB NOTA_C],0)+1)</f>
        <v>1906</v>
      </c>
    </row>
    <row r="434" spans="1:43" ht="20.100000000000001" customHeight="1" x14ac:dyDescent="0.25">
      <c r="A4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6" t="str">
        <f>IF(NOTA[[#This Row],[ID_P]]="","",MATCH(NOTA[[#This Row],[ID_P]],[1]!B_MSK[N_ID],0))</f>
        <v/>
      </c>
      <c r="D434" s="36">
        <f ca="1">IF(NOTA[[#This Row],[NAMA BARANG]]="","",INDEX(NOTA[ID],MATCH(,INDIRECT(ADDRESS(ROW(NOTA[ID]),COLUMN(NOTA[ID]))&amp;":"&amp;ADDRESS(ROW(),COLUMN(NOTA[ID]))),-1)))</f>
        <v>81</v>
      </c>
      <c r="E434" s="14"/>
      <c r="F434" s="16"/>
      <c r="G434" s="16"/>
      <c r="H434" s="20"/>
      <c r="I434" s="16"/>
      <c r="J434" s="37"/>
      <c r="K434" s="16"/>
      <c r="L434" s="16" t="s">
        <v>651</v>
      </c>
      <c r="M434" s="28">
        <v>1</v>
      </c>
      <c r="N434" s="16">
        <v>288</v>
      </c>
      <c r="O434" s="16" t="s">
        <v>160</v>
      </c>
      <c r="P434" s="35">
        <v>4800</v>
      </c>
      <c r="Q434" s="38"/>
      <c r="R434" s="28" t="s">
        <v>593</v>
      </c>
      <c r="S434" s="39">
        <v>0.125</v>
      </c>
      <c r="T434" s="39">
        <v>0.05</v>
      </c>
      <c r="U434" s="40"/>
      <c r="V434" s="26"/>
      <c r="W434" s="40">
        <f>IF(NOTA[[#This Row],[HARGA/ CTN]]="",NOTA[[#This Row],[JUMLAH_H]],NOTA[[#This Row],[HARGA/ CTN]]*IF(NOTA[[#This Row],[C]]="",0,NOTA[[#This Row],[C]]))</f>
        <v>1382400</v>
      </c>
      <c r="X434" s="40">
        <f>IF(NOTA[[#This Row],[JUMLAH]]="","",NOTA[[#This Row],[JUMLAH]]*NOTA[[#This Row],[DISC 1]])</f>
        <v>172800</v>
      </c>
      <c r="Y434" s="40">
        <f>IF(NOTA[[#This Row],[JUMLAH]]="","",(NOTA[[#This Row],[JUMLAH]]-NOTA[[#This Row],[DISC 1-]])*NOTA[[#This Row],[DISC 2]])</f>
        <v>60480</v>
      </c>
      <c r="Z434" s="40">
        <f>IF(NOTA[[#This Row],[JUMLAH]]="","",NOTA[[#This Row],[DISC 1-]]+NOTA[[#This Row],[DISC 2-]])</f>
        <v>233280</v>
      </c>
      <c r="AA434" s="40">
        <f>IF(NOTA[[#This Row],[JUMLAH]]="","",NOTA[[#This Row],[JUMLAH]]-NOTA[[#This Row],[DISC]])</f>
        <v>1149120</v>
      </c>
      <c r="AB434" s="40"/>
      <c r="AC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34" s="40">
        <f>IF(OR(NOTA[[#This Row],[QTY]]="",NOTA[[#This Row],[HARGA SATUAN]]="",),"",NOTA[[#This Row],[QTY]]*NOTA[[#This Row],[HARGA SATUAN]])</f>
        <v>1382400</v>
      </c>
      <c r="AG434" s="37">
        <f ca="1">IF(NOTA[ID_H]="","",INDEX(NOTA[TANGGAL],MATCH(,INDIRECT(ADDRESS(ROW(NOTA[TANGGAL]),COLUMN(NOTA[TANGGAL]))&amp;":"&amp;ADDRESS(ROW(),COLUMN(NOTA[TANGGAL]))),-1)))</f>
        <v>45065</v>
      </c>
      <c r="AH434" s="35" t="str">
        <f ca="1">IF(NOTA[[#This Row],[NAMA BARANG]]="","",INDEX(NOTA[SUPPLIER],MATCH(,INDIRECT(ADDRESS(ROW(NOTA[ID]),COLUMN(NOTA[ID]))&amp;":"&amp;ADDRESS(ROW(),COLUMN(NOTA[ID]))),-1)))</f>
        <v>ATALI MAKMUR</v>
      </c>
      <c r="AI434" s="35" t="str">
        <f ca="1">IF(NOTA[[#This Row],[ID_H]]="","",IF(NOTA[[#This Row],[FAKTUR]]="",INDIRECT(ADDRESS(ROW()-1,COLUMN())),NOTA[[#This Row],[FAKTUR]]))</f>
        <v>ARTO MORO</v>
      </c>
      <c r="AJ434" s="27" t="str">
        <f ca="1">IF(NOTA[[#This Row],[ID]]="","",COUNTIF(NOTA[ID_H],NOTA[[#This Row],[ID_H]]))</f>
        <v/>
      </c>
      <c r="AK434" s="27">
        <f ca="1">IF(NOTA[[#This Row],[TGL.NOTA]]="",IF(NOTA[[#This Row],[SUPPLIER_H]]="","",AK433),MONTH(NOTA[[#This Row],[TGL.NOTA]]))</f>
        <v>5</v>
      </c>
      <c r="AL434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27" t="str">
        <f>IF(NOTA[[#This Row],[CONCAT4]]="","",_xlfn.IFNA(MATCH(NOTA[[#This Row],[CONCAT4]],[2]!RAW[CONCAT_H],0),FALSE))</f>
        <v/>
      </c>
      <c r="AQ434" s="145">
        <f>IF(NOTA[[#This Row],[CONCAT1]]="","",MATCH(NOTA[[#This Row],[CONCAT1]],[3]!db[NB NOTA_C],0)+1)</f>
        <v>1912</v>
      </c>
    </row>
    <row r="435" spans="1:43" ht="20.100000000000001" customHeight="1" x14ac:dyDescent="0.25">
      <c r="A43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6" t="str">
        <f>IF(NOTA[[#This Row],[ID_P]]="","",MATCH(NOTA[[#This Row],[ID_P]],[1]!B_MSK[N_ID],0))</f>
        <v/>
      </c>
      <c r="D435" s="36">
        <f ca="1">IF(NOTA[[#This Row],[NAMA BARANG]]="","",INDEX(NOTA[ID],MATCH(,INDIRECT(ADDRESS(ROW(NOTA[ID]),COLUMN(NOTA[ID]))&amp;":"&amp;ADDRESS(ROW(),COLUMN(NOTA[ID]))),-1)))</f>
        <v>81</v>
      </c>
      <c r="E435" s="14"/>
      <c r="F435" s="16"/>
      <c r="G435" s="16"/>
      <c r="H435" s="20"/>
      <c r="I435" s="16"/>
      <c r="J435" s="37"/>
      <c r="K435" s="16"/>
      <c r="L435" s="16" t="s">
        <v>652</v>
      </c>
      <c r="M435" s="28">
        <v>1</v>
      </c>
      <c r="N435" s="16">
        <v>288</v>
      </c>
      <c r="O435" s="16" t="s">
        <v>160</v>
      </c>
      <c r="P435" s="35">
        <v>4800</v>
      </c>
      <c r="Q435" s="38"/>
      <c r="R435" s="28" t="s">
        <v>593</v>
      </c>
      <c r="S435" s="39">
        <v>0.125</v>
      </c>
      <c r="T435" s="39">
        <v>0.05</v>
      </c>
      <c r="U435" s="40"/>
      <c r="V435" s="26"/>
      <c r="W435" s="40">
        <f>IF(NOTA[[#This Row],[HARGA/ CTN]]="",NOTA[[#This Row],[JUMLAH_H]],NOTA[[#This Row],[HARGA/ CTN]]*IF(NOTA[[#This Row],[C]]="",0,NOTA[[#This Row],[C]]))</f>
        <v>1382400</v>
      </c>
      <c r="X435" s="40">
        <f>IF(NOTA[[#This Row],[JUMLAH]]="","",NOTA[[#This Row],[JUMLAH]]*NOTA[[#This Row],[DISC 1]])</f>
        <v>172800</v>
      </c>
      <c r="Y435" s="40">
        <f>IF(NOTA[[#This Row],[JUMLAH]]="","",(NOTA[[#This Row],[JUMLAH]]-NOTA[[#This Row],[DISC 1-]])*NOTA[[#This Row],[DISC 2]])</f>
        <v>60480</v>
      </c>
      <c r="Z435" s="40">
        <f>IF(NOTA[[#This Row],[JUMLAH]]="","",NOTA[[#This Row],[DISC 1-]]+NOTA[[#This Row],[DISC 2-]])</f>
        <v>233280</v>
      </c>
      <c r="AA435" s="40">
        <f>IF(NOTA[[#This Row],[JUMLAH]]="","",NOTA[[#This Row],[JUMLAH]]-NOTA[[#This Row],[DISC]])</f>
        <v>1149120</v>
      </c>
      <c r="AB435" s="40"/>
      <c r="AC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35" s="40">
        <f>IF(OR(NOTA[[#This Row],[QTY]]="",NOTA[[#This Row],[HARGA SATUAN]]="",),"",NOTA[[#This Row],[QTY]]*NOTA[[#This Row],[HARGA SATUAN]])</f>
        <v>1382400</v>
      </c>
      <c r="AG435" s="37">
        <f ca="1">IF(NOTA[ID_H]="","",INDEX(NOTA[TANGGAL],MATCH(,INDIRECT(ADDRESS(ROW(NOTA[TANGGAL]),COLUMN(NOTA[TANGGAL]))&amp;":"&amp;ADDRESS(ROW(),COLUMN(NOTA[TANGGAL]))),-1)))</f>
        <v>45065</v>
      </c>
      <c r="AH435" s="35" t="str">
        <f ca="1">IF(NOTA[[#This Row],[NAMA BARANG]]="","",INDEX(NOTA[SUPPLIER],MATCH(,INDIRECT(ADDRESS(ROW(NOTA[ID]),COLUMN(NOTA[ID]))&amp;":"&amp;ADDRESS(ROW(),COLUMN(NOTA[ID]))),-1)))</f>
        <v>ATALI MAKMUR</v>
      </c>
      <c r="AI435" s="35" t="str">
        <f ca="1">IF(NOTA[[#This Row],[ID_H]]="","",IF(NOTA[[#This Row],[FAKTUR]]="",INDIRECT(ADDRESS(ROW()-1,COLUMN())),NOTA[[#This Row],[FAKTUR]]))</f>
        <v>ARTO MORO</v>
      </c>
      <c r="AJ435" s="27" t="str">
        <f ca="1">IF(NOTA[[#This Row],[ID]]="","",COUNTIF(NOTA[ID_H],NOTA[[#This Row],[ID_H]]))</f>
        <v/>
      </c>
      <c r="AK435" s="27">
        <f ca="1">IF(NOTA[[#This Row],[TGL.NOTA]]="",IF(NOTA[[#This Row],[SUPPLIER_H]]="","",AK434),MONTH(NOTA[[#This Row],[TGL.NOTA]]))</f>
        <v>5</v>
      </c>
      <c r="AL435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3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27" t="str">
        <f>IF(NOTA[[#This Row],[CONCAT4]]="","",_xlfn.IFNA(MATCH(NOTA[[#This Row],[CONCAT4]],[2]!RAW[CONCAT_H],0),FALSE))</f>
        <v/>
      </c>
      <c r="AQ435" s="145">
        <f>IF(NOTA[[#This Row],[CONCAT1]]="","",MATCH(NOTA[[#This Row],[CONCAT1]],[3]!db[NB NOTA_C],0)+1)</f>
        <v>1913</v>
      </c>
    </row>
    <row r="436" spans="1:43" ht="20.100000000000001" customHeight="1" x14ac:dyDescent="0.25">
      <c r="A4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6" t="str">
        <f>IF(NOTA[[#This Row],[ID_P]]="","",MATCH(NOTA[[#This Row],[ID_P]],[1]!B_MSK[N_ID],0))</f>
        <v/>
      </c>
      <c r="D436" s="36">
        <f ca="1">IF(NOTA[[#This Row],[NAMA BARANG]]="","",INDEX(NOTA[ID],MATCH(,INDIRECT(ADDRESS(ROW(NOTA[ID]),COLUMN(NOTA[ID]))&amp;":"&amp;ADDRESS(ROW(),COLUMN(NOTA[ID]))),-1)))</f>
        <v>81</v>
      </c>
      <c r="E436" s="14"/>
      <c r="F436" s="16"/>
      <c r="G436" s="16"/>
      <c r="H436" s="20"/>
      <c r="I436" s="16"/>
      <c r="J436" s="37"/>
      <c r="K436" s="16"/>
      <c r="L436" s="16" t="s">
        <v>653</v>
      </c>
      <c r="M436" s="28">
        <v>1</v>
      </c>
      <c r="N436" s="16">
        <v>288</v>
      </c>
      <c r="O436" s="16" t="s">
        <v>160</v>
      </c>
      <c r="P436" s="35">
        <v>4800</v>
      </c>
      <c r="Q436" s="38"/>
      <c r="R436" s="28" t="s">
        <v>593</v>
      </c>
      <c r="S436" s="39">
        <v>0.125</v>
      </c>
      <c r="T436" s="39">
        <v>0.05</v>
      </c>
      <c r="U436" s="40"/>
      <c r="V436" s="26"/>
      <c r="W436" s="40">
        <f>IF(NOTA[[#This Row],[HARGA/ CTN]]="",NOTA[[#This Row],[JUMLAH_H]],NOTA[[#This Row],[HARGA/ CTN]]*IF(NOTA[[#This Row],[C]]="",0,NOTA[[#This Row],[C]]))</f>
        <v>1382400</v>
      </c>
      <c r="X436" s="40">
        <f>IF(NOTA[[#This Row],[JUMLAH]]="","",NOTA[[#This Row],[JUMLAH]]*NOTA[[#This Row],[DISC 1]])</f>
        <v>172800</v>
      </c>
      <c r="Y436" s="40">
        <f>IF(NOTA[[#This Row],[JUMLAH]]="","",(NOTA[[#This Row],[JUMLAH]]-NOTA[[#This Row],[DISC 1-]])*NOTA[[#This Row],[DISC 2]])</f>
        <v>60480</v>
      </c>
      <c r="Z436" s="40">
        <f>IF(NOTA[[#This Row],[JUMLAH]]="","",NOTA[[#This Row],[DISC 1-]]+NOTA[[#This Row],[DISC 2-]])</f>
        <v>233280</v>
      </c>
      <c r="AA436" s="40">
        <f>IF(NOTA[[#This Row],[JUMLAH]]="","",NOTA[[#This Row],[JUMLAH]]-NOTA[[#This Row],[DISC]])</f>
        <v>1149120</v>
      </c>
      <c r="AB436" s="40"/>
      <c r="AC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36" s="40">
        <f>IF(OR(NOTA[[#This Row],[QTY]]="",NOTA[[#This Row],[HARGA SATUAN]]="",),"",NOTA[[#This Row],[QTY]]*NOTA[[#This Row],[HARGA SATUAN]])</f>
        <v>1382400</v>
      </c>
      <c r="AG436" s="37">
        <f ca="1">IF(NOTA[ID_H]="","",INDEX(NOTA[TANGGAL],MATCH(,INDIRECT(ADDRESS(ROW(NOTA[TANGGAL]),COLUMN(NOTA[TANGGAL]))&amp;":"&amp;ADDRESS(ROW(),COLUMN(NOTA[TANGGAL]))),-1)))</f>
        <v>45065</v>
      </c>
      <c r="AH436" s="35" t="str">
        <f ca="1">IF(NOTA[[#This Row],[NAMA BARANG]]="","",INDEX(NOTA[SUPPLIER],MATCH(,INDIRECT(ADDRESS(ROW(NOTA[ID]),COLUMN(NOTA[ID]))&amp;":"&amp;ADDRESS(ROW(),COLUMN(NOTA[ID]))),-1)))</f>
        <v>ATALI MAKMUR</v>
      </c>
      <c r="AI436" s="35" t="str">
        <f ca="1">IF(NOTA[[#This Row],[ID_H]]="","",IF(NOTA[[#This Row],[FAKTUR]]="",INDIRECT(ADDRESS(ROW()-1,COLUMN())),NOTA[[#This Row],[FAKTUR]]))</f>
        <v>ARTO MORO</v>
      </c>
      <c r="AJ436" s="27" t="str">
        <f ca="1">IF(NOTA[[#This Row],[ID]]="","",COUNTIF(NOTA[ID_H],NOTA[[#This Row],[ID_H]]))</f>
        <v/>
      </c>
      <c r="AK436" s="27">
        <f ca="1">IF(NOTA[[#This Row],[TGL.NOTA]]="",IF(NOTA[[#This Row],[SUPPLIER_H]]="","",AK435),MONTH(NOTA[[#This Row],[TGL.NOTA]]))</f>
        <v>5</v>
      </c>
      <c r="AL436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27" t="str">
        <f>IF(NOTA[[#This Row],[CONCAT4]]="","",_xlfn.IFNA(MATCH(NOTA[[#This Row],[CONCAT4]],[2]!RAW[CONCAT_H],0),FALSE))</f>
        <v/>
      </c>
      <c r="AQ436" s="145">
        <f>IF(NOTA[[#This Row],[CONCAT1]]="","",MATCH(NOTA[[#This Row],[CONCAT1]],[3]!db[NB NOTA_C],0)+1)</f>
        <v>1914</v>
      </c>
    </row>
    <row r="437" spans="1:43" ht="20.100000000000001" customHeight="1" x14ac:dyDescent="0.25">
      <c r="A4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6" t="str">
        <f>IF(NOTA[[#This Row],[ID_P]]="","",MATCH(NOTA[[#This Row],[ID_P]],[1]!B_MSK[N_ID],0))</f>
        <v/>
      </c>
      <c r="D437" s="36">
        <f ca="1">IF(NOTA[[#This Row],[NAMA BARANG]]="","",INDEX(NOTA[ID],MATCH(,INDIRECT(ADDRESS(ROW(NOTA[ID]),COLUMN(NOTA[ID]))&amp;":"&amp;ADDRESS(ROW(),COLUMN(NOTA[ID]))),-1)))</f>
        <v>81</v>
      </c>
      <c r="E437" s="14"/>
      <c r="F437" s="16"/>
      <c r="G437" s="16"/>
      <c r="H437" s="20"/>
      <c r="I437" s="16"/>
      <c r="J437" s="37"/>
      <c r="K437" s="16"/>
      <c r="L437" s="16" t="s">
        <v>654</v>
      </c>
      <c r="M437" s="28">
        <v>1</v>
      </c>
      <c r="N437" s="16">
        <v>288</v>
      </c>
      <c r="O437" s="16" t="s">
        <v>160</v>
      </c>
      <c r="P437" s="35">
        <v>4800</v>
      </c>
      <c r="Q437" s="38"/>
      <c r="R437" s="28" t="s">
        <v>593</v>
      </c>
      <c r="S437" s="39">
        <v>0.125</v>
      </c>
      <c r="T437" s="39">
        <v>0.05</v>
      </c>
      <c r="U437" s="40"/>
      <c r="V437" s="26"/>
      <c r="W437" s="40">
        <f>IF(NOTA[[#This Row],[HARGA/ CTN]]="",NOTA[[#This Row],[JUMLAH_H]],NOTA[[#This Row],[HARGA/ CTN]]*IF(NOTA[[#This Row],[C]]="",0,NOTA[[#This Row],[C]]))</f>
        <v>1382400</v>
      </c>
      <c r="X437" s="40">
        <f>IF(NOTA[[#This Row],[JUMLAH]]="","",NOTA[[#This Row],[JUMLAH]]*NOTA[[#This Row],[DISC 1]])</f>
        <v>172800</v>
      </c>
      <c r="Y437" s="40">
        <f>IF(NOTA[[#This Row],[JUMLAH]]="","",(NOTA[[#This Row],[JUMLAH]]-NOTA[[#This Row],[DISC 1-]])*NOTA[[#This Row],[DISC 2]])</f>
        <v>60480</v>
      </c>
      <c r="Z437" s="40">
        <f>IF(NOTA[[#This Row],[JUMLAH]]="","",NOTA[[#This Row],[DISC 1-]]+NOTA[[#This Row],[DISC 2-]])</f>
        <v>233280</v>
      </c>
      <c r="AA437" s="40">
        <f>IF(NOTA[[#This Row],[JUMLAH]]="","",NOTA[[#This Row],[JUMLAH]]-NOTA[[#This Row],[DISC]])</f>
        <v>1149120</v>
      </c>
      <c r="AB437" s="40"/>
      <c r="AC43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1632960</v>
      </c>
      <c r="AD43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8043840</v>
      </c>
      <c r="AE437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37" s="40">
        <f>IF(OR(NOTA[[#This Row],[QTY]]="",NOTA[[#This Row],[HARGA SATUAN]]="",),"",NOTA[[#This Row],[QTY]]*NOTA[[#This Row],[HARGA SATUAN]])</f>
        <v>1382400</v>
      </c>
      <c r="AG437" s="37">
        <f ca="1">IF(NOTA[ID_H]="","",INDEX(NOTA[TANGGAL],MATCH(,INDIRECT(ADDRESS(ROW(NOTA[TANGGAL]),COLUMN(NOTA[TANGGAL]))&amp;":"&amp;ADDRESS(ROW(),COLUMN(NOTA[TANGGAL]))),-1)))</f>
        <v>45065</v>
      </c>
      <c r="AH437" s="35" t="str">
        <f ca="1">IF(NOTA[[#This Row],[NAMA BARANG]]="","",INDEX(NOTA[SUPPLIER],MATCH(,INDIRECT(ADDRESS(ROW(NOTA[ID]),COLUMN(NOTA[ID]))&amp;":"&amp;ADDRESS(ROW(),COLUMN(NOTA[ID]))),-1)))</f>
        <v>ATALI MAKMUR</v>
      </c>
      <c r="AI437" s="35" t="str">
        <f ca="1">IF(NOTA[[#This Row],[ID_H]]="","",IF(NOTA[[#This Row],[FAKTUR]]="",INDIRECT(ADDRESS(ROW()-1,COLUMN())),NOTA[[#This Row],[FAKTUR]]))</f>
        <v>ARTO MORO</v>
      </c>
      <c r="AJ437" s="27" t="str">
        <f ca="1">IF(NOTA[[#This Row],[ID]]="","",COUNTIF(NOTA[ID_H],NOTA[[#This Row],[ID_H]]))</f>
        <v/>
      </c>
      <c r="AK437" s="27">
        <f ca="1">IF(NOTA[[#This Row],[TGL.NOTA]]="",IF(NOTA[[#This Row],[SUPPLIER_H]]="","",AK436),MONTH(NOTA[[#This Row],[TGL.NOTA]]))</f>
        <v>5</v>
      </c>
      <c r="AL437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27" t="str">
        <f>IF(NOTA[[#This Row],[CONCAT4]]="","",_xlfn.IFNA(MATCH(NOTA[[#This Row],[CONCAT4]],[2]!RAW[CONCAT_H],0),FALSE))</f>
        <v/>
      </c>
      <c r="AQ437" s="145">
        <f>IF(NOTA[[#This Row],[CONCAT1]]="","",MATCH(NOTA[[#This Row],[CONCAT1]],[3]!db[NB NOTA_C],0)+1)</f>
        <v>1915</v>
      </c>
    </row>
    <row r="438" spans="1:43" ht="20.100000000000001" customHeight="1" x14ac:dyDescent="0.25">
      <c r="A4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6" t="str">
        <f>IF(NOTA[[#This Row],[ID_P]]="","",MATCH(NOTA[[#This Row],[ID_P]],[1]!B_MSK[N_ID],0))</f>
        <v/>
      </c>
      <c r="D438" s="36" t="str">
        <f ca="1">IF(NOTA[[#This Row],[NAMA BARANG]]="","",INDEX(NOTA[ID],MATCH(,INDIRECT(ADDRESS(ROW(NOTA[ID]),COLUMN(NOTA[ID]))&amp;":"&amp;ADDRESS(ROW(),COLUMN(NOTA[ID]))),-1)))</f>
        <v/>
      </c>
      <c r="E438" s="14"/>
      <c r="F438" s="16"/>
      <c r="G438" s="16"/>
      <c r="H438" s="20"/>
      <c r="I438" s="16"/>
      <c r="J438" s="37"/>
      <c r="K438" s="16"/>
      <c r="L438" s="16"/>
      <c r="M438" s="28"/>
      <c r="N438" s="16"/>
      <c r="O438" s="16"/>
      <c r="P438" s="35"/>
      <c r="Q438" s="38"/>
      <c r="R438" s="28"/>
      <c r="S438" s="39"/>
      <c r="T438" s="39"/>
      <c r="U438" s="40"/>
      <c r="V438" s="26"/>
      <c r="W438" s="40" t="str">
        <f>IF(NOTA[[#This Row],[HARGA/ CTN]]="",NOTA[[#This Row],[JUMLAH_H]],NOTA[[#This Row],[HARGA/ CTN]]*IF(NOTA[[#This Row],[C]]="",0,NOTA[[#This Row],[C]]))</f>
        <v/>
      </c>
      <c r="X438" s="40" t="str">
        <f>IF(NOTA[[#This Row],[JUMLAH]]="","",NOTA[[#This Row],[JUMLAH]]*NOTA[[#This Row],[DISC 1]])</f>
        <v/>
      </c>
      <c r="Y438" s="40" t="str">
        <f>IF(NOTA[[#This Row],[JUMLAH]]="","",(NOTA[[#This Row],[JUMLAH]]-NOTA[[#This Row],[DISC 1-]])*NOTA[[#This Row],[DISC 2]])</f>
        <v/>
      </c>
      <c r="Z438" s="40" t="str">
        <f>IF(NOTA[[#This Row],[JUMLAH]]="","",NOTA[[#This Row],[DISC 1-]]+NOTA[[#This Row],[DISC 2-]])</f>
        <v/>
      </c>
      <c r="AA438" s="40" t="str">
        <f>IF(NOTA[[#This Row],[JUMLAH]]="","",NOTA[[#This Row],[JUMLAH]]-NOTA[[#This Row],[DISC]])</f>
        <v/>
      </c>
      <c r="AB438" s="40"/>
      <c r="AC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8" s="40" t="str">
        <f>IF(OR(NOTA[[#This Row],[QTY]]="",NOTA[[#This Row],[HARGA SATUAN]]="",),"",NOTA[[#This Row],[QTY]]*NOTA[[#This Row],[HARGA SATUAN]])</f>
        <v/>
      </c>
      <c r="AG438" s="37" t="str">
        <f ca="1">IF(NOTA[ID_H]="","",INDEX(NOTA[TANGGAL],MATCH(,INDIRECT(ADDRESS(ROW(NOTA[TANGGAL]),COLUMN(NOTA[TANGGAL]))&amp;":"&amp;ADDRESS(ROW(),COLUMN(NOTA[TANGGAL]))),-1)))</f>
        <v/>
      </c>
      <c r="AH438" s="35" t="str">
        <f ca="1">IF(NOTA[[#This Row],[NAMA BARANG]]="","",INDEX(NOTA[SUPPLIER],MATCH(,INDIRECT(ADDRESS(ROW(NOTA[ID]),COLUMN(NOTA[ID]))&amp;":"&amp;ADDRESS(ROW(),COLUMN(NOTA[ID]))),-1)))</f>
        <v/>
      </c>
      <c r="AI438" s="35" t="str">
        <f ca="1">IF(NOTA[[#This Row],[ID_H]]="","",IF(NOTA[[#This Row],[FAKTUR]]="",INDIRECT(ADDRESS(ROW()-1,COLUMN())),NOTA[[#This Row],[FAKTUR]]))</f>
        <v/>
      </c>
      <c r="AJ438" s="27" t="str">
        <f ca="1">IF(NOTA[[#This Row],[ID]]="","",COUNTIF(NOTA[ID_H],NOTA[[#This Row],[ID_H]]))</f>
        <v/>
      </c>
      <c r="AK438" s="27" t="str">
        <f ca="1">IF(NOTA[[#This Row],[TGL.NOTA]]="",IF(NOTA[[#This Row],[SUPPLIER_H]]="","",AK437),MONTH(NOTA[[#This Row],[TGL.NOTA]]))</f>
        <v/>
      </c>
      <c r="AL438" s="27" t="str">
        <f>LOWER(SUBSTITUTE(SUBSTITUTE(SUBSTITUTE(SUBSTITUTE(SUBSTITUTE(SUBSTITUTE(SUBSTITUTE(SUBSTITUTE(SUBSTITUTE(NOTA[NAMA BARANG]," ",),".",""),"-",""),"(",""),")",""),",",""),"/",""),"""",""),"+",""))</f>
        <v/>
      </c>
      <c r="AM4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27" t="str">
        <f>IF(NOTA[[#This Row],[CONCAT4]]="","",_xlfn.IFNA(MATCH(NOTA[[#This Row],[CONCAT4]],[2]!RAW[CONCAT_H],0),FALSE))</f>
        <v/>
      </c>
      <c r="AQ438" s="145" t="str">
        <f>IF(NOTA[[#This Row],[CONCAT1]]="","",MATCH(NOTA[[#This Row],[CONCAT1]],[3]!db[NB NOTA_C],0)+1)</f>
        <v/>
      </c>
    </row>
    <row r="439" spans="1:43" ht="20.100000000000001" customHeight="1" x14ac:dyDescent="0.25">
      <c r="A439" s="35">
        <f ca="1">IF(INDIRECT(ADDRESS(ROW()-1,COLUMN(NOTA[[#Headers],[ID]])))="ID",1,IF(NOTA[[#This Row],[FAKTUR]]="","",COUNT(INDIRECT(ADDRESS(ROW(NOTA[ID]),COLUMN(NOTA[ID]))&amp;":"&amp;ADDRESS(ROW()-1,COLUMN(NOTA[ID]))))+1))</f>
        <v>82</v>
      </c>
      <c r="B43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ATA_1905_564-6</v>
      </c>
      <c r="C439" s="36" t="e">
        <f ca="1">IF(NOTA[[#This Row],[ID_P]]="","",MATCH(NOTA[[#This Row],[ID_P]],[1]!B_MSK[N_ID],0))</f>
        <v>#REF!</v>
      </c>
      <c r="D439" s="36">
        <f ca="1">IF(NOTA[[#This Row],[NAMA BARANG]]="","",INDEX(NOTA[ID],MATCH(,INDIRECT(ADDRESS(ROW(NOTA[ID]),COLUMN(NOTA[ID]))&amp;":"&amp;ADDRESS(ROW(),COLUMN(NOTA[ID]))),-1)))</f>
        <v>82</v>
      </c>
      <c r="E439" s="14"/>
      <c r="F439" s="16" t="s">
        <v>25</v>
      </c>
      <c r="G439" s="16" t="s">
        <v>24</v>
      </c>
      <c r="H439" s="20" t="s">
        <v>655</v>
      </c>
      <c r="I439" s="16"/>
      <c r="J439" s="37">
        <v>45058</v>
      </c>
      <c r="K439" s="16"/>
      <c r="L439" s="16" t="s">
        <v>651</v>
      </c>
      <c r="M439" s="28">
        <v>1</v>
      </c>
      <c r="N439" s="16">
        <v>288</v>
      </c>
      <c r="O439" s="16" t="s">
        <v>160</v>
      </c>
      <c r="P439" s="35">
        <v>4800</v>
      </c>
      <c r="Q439" s="38"/>
      <c r="R439" s="28" t="s">
        <v>593</v>
      </c>
      <c r="S439" s="39">
        <v>0.125</v>
      </c>
      <c r="T439" s="39">
        <v>0.05</v>
      </c>
      <c r="U439" s="40"/>
      <c r="V439" s="26"/>
      <c r="W439" s="40">
        <f>IF(NOTA[[#This Row],[HARGA/ CTN]]="",NOTA[[#This Row],[JUMLAH_H]],NOTA[[#This Row],[HARGA/ CTN]]*IF(NOTA[[#This Row],[C]]="",0,NOTA[[#This Row],[C]]))</f>
        <v>1382400</v>
      </c>
      <c r="X439" s="40">
        <f>IF(NOTA[[#This Row],[JUMLAH]]="","",NOTA[[#This Row],[JUMLAH]]*NOTA[[#This Row],[DISC 1]])</f>
        <v>172800</v>
      </c>
      <c r="Y439" s="40">
        <f>IF(NOTA[[#This Row],[JUMLAH]]="","",(NOTA[[#This Row],[JUMLAH]]-NOTA[[#This Row],[DISC 1-]])*NOTA[[#This Row],[DISC 2]])</f>
        <v>60480</v>
      </c>
      <c r="Z439" s="40">
        <f>IF(NOTA[[#This Row],[JUMLAH]]="","",NOTA[[#This Row],[DISC 1-]]+NOTA[[#This Row],[DISC 2-]])</f>
        <v>233280</v>
      </c>
      <c r="AA439" s="40">
        <f>IF(NOTA[[#This Row],[JUMLAH]]="","",NOTA[[#This Row],[JUMLAH]]-NOTA[[#This Row],[DISC]])</f>
        <v>1149120</v>
      </c>
      <c r="AB439" s="40"/>
      <c r="AC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39" s="40">
        <f>IF(OR(NOTA[[#This Row],[QTY]]="",NOTA[[#This Row],[HARGA SATUAN]]="",),"",NOTA[[#This Row],[QTY]]*NOTA[[#This Row],[HARGA SATUAN]])</f>
        <v>1382400</v>
      </c>
      <c r="AG439" s="37">
        <f ca="1">IF(NOTA[ID_H]="","",INDEX(NOTA[TANGGAL],MATCH(,INDIRECT(ADDRESS(ROW(NOTA[TANGGAL]),COLUMN(NOTA[TANGGAL]))&amp;":"&amp;ADDRESS(ROW(),COLUMN(NOTA[TANGGAL]))),-1)))</f>
        <v>45065</v>
      </c>
      <c r="AH439" s="35" t="str">
        <f ca="1">IF(NOTA[[#This Row],[NAMA BARANG]]="","",INDEX(NOTA[SUPPLIER],MATCH(,INDIRECT(ADDRESS(ROW(NOTA[ID]),COLUMN(NOTA[ID]))&amp;":"&amp;ADDRESS(ROW(),COLUMN(NOTA[ID]))),-1)))</f>
        <v>ATALI MAKMUR</v>
      </c>
      <c r="AI439" s="35" t="str">
        <f ca="1">IF(NOTA[[#This Row],[ID_H]]="","",IF(NOTA[[#This Row],[FAKTUR]]="",INDIRECT(ADDRESS(ROW()-1,COLUMN())),NOTA[[#This Row],[FAKTUR]]))</f>
        <v>ARTO MORO</v>
      </c>
      <c r="AJ439" s="27">
        <f ca="1">IF(NOTA[[#This Row],[ID]]="","",COUNTIF(NOTA[ID_H],NOTA[[#This Row],[ID_H]]))</f>
        <v>6</v>
      </c>
      <c r="AK439" s="27">
        <f>IF(NOTA[[#This Row],[TGL.NOTA]]="",IF(NOTA[[#This Row],[SUPPLIER_H]]="","",AK438),MONTH(NOTA[[#This Row],[TGL.NOTA]]))</f>
        <v>5</v>
      </c>
      <c r="AL439" s="27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M4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N4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pencilcasepc0719pstl35bluejk13824000.1250.05</v>
      </c>
      <c r="AO439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MOROSA23050756445058pencilcasepc0719pstl35bluejk</v>
      </c>
      <c r="AP439" s="27" t="e">
        <f>IF(NOTA[[#This Row],[CONCAT4]]="","",_xlfn.IFNA(MATCH(NOTA[[#This Row],[CONCAT4]],[2]!RAW[CONCAT_H],0),FALSE))</f>
        <v>#REF!</v>
      </c>
      <c r="AQ439" s="145">
        <f>IF(NOTA[[#This Row],[CONCAT1]]="","",MATCH(NOTA[[#This Row],[CONCAT1]],[3]!db[NB NOTA_C],0)+1)</f>
        <v>1912</v>
      </c>
    </row>
    <row r="440" spans="1:43" ht="20.100000000000001" customHeight="1" x14ac:dyDescent="0.25">
      <c r="A4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6" t="str">
        <f>IF(NOTA[[#This Row],[ID_P]]="","",MATCH(NOTA[[#This Row],[ID_P]],[1]!B_MSK[N_ID],0))</f>
        <v/>
      </c>
      <c r="D440" s="36">
        <f ca="1">IF(NOTA[[#This Row],[NAMA BARANG]]="","",INDEX(NOTA[ID],MATCH(,INDIRECT(ADDRESS(ROW(NOTA[ID]),COLUMN(NOTA[ID]))&amp;":"&amp;ADDRESS(ROW(),COLUMN(NOTA[ID]))),-1)))</f>
        <v>82</v>
      </c>
      <c r="E440" s="14"/>
      <c r="F440" s="16"/>
      <c r="G440" s="16"/>
      <c r="H440" s="20"/>
      <c r="I440" s="16"/>
      <c r="J440" s="37"/>
      <c r="K440" s="16"/>
      <c r="L440" s="16" t="s">
        <v>652</v>
      </c>
      <c r="M440" s="28">
        <v>1</v>
      </c>
      <c r="N440" s="16">
        <v>288</v>
      </c>
      <c r="O440" s="16" t="s">
        <v>160</v>
      </c>
      <c r="P440" s="35">
        <v>4800</v>
      </c>
      <c r="Q440" s="38"/>
      <c r="R440" s="28" t="s">
        <v>593</v>
      </c>
      <c r="S440" s="39">
        <v>0.125</v>
      </c>
      <c r="T440" s="39">
        <v>0.05</v>
      </c>
      <c r="U440" s="40"/>
      <c r="V440" s="26"/>
      <c r="W440" s="40">
        <f>IF(NOTA[[#This Row],[HARGA/ CTN]]="",NOTA[[#This Row],[JUMLAH_H]],NOTA[[#This Row],[HARGA/ CTN]]*IF(NOTA[[#This Row],[C]]="",0,NOTA[[#This Row],[C]]))</f>
        <v>1382400</v>
      </c>
      <c r="X440" s="40">
        <f>IF(NOTA[[#This Row],[JUMLAH]]="","",NOTA[[#This Row],[JUMLAH]]*NOTA[[#This Row],[DISC 1]])</f>
        <v>172800</v>
      </c>
      <c r="Y440" s="40">
        <f>IF(NOTA[[#This Row],[JUMLAH]]="","",(NOTA[[#This Row],[JUMLAH]]-NOTA[[#This Row],[DISC 1-]])*NOTA[[#This Row],[DISC 2]])</f>
        <v>60480</v>
      </c>
      <c r="Z440" s="40">
        <f>IF(NOTA[[#This Row],[JUMLAH]]="","",NOTA[[#This Row],[DISC 1-]]+NOTA[[#This Row],[DISC 2-]])</f>
        <v>233280</v>
      </c>
      <c r="AA440" s="40">
        <f>IF(NOTA[[#This Row],[JUMLAH]]="","",NOTA[[#This Row],[JUMLAH]]-NOTA[[#This Row],[DISC]])</f>
        <v>1149120</v>
      </c>
      <c r="AB440" s="40"/>
      <c r="AC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0" s="40">
        <f>IF(OR(NOTA[[#This Row],[QTY]]="",NOTA[[#This Row],[HARGA SATUAN]]="",),"",NOTA[[#This Row],[QTY]]*NOTA[[#This Row],[HARGA SATUAN]])</f>
        <v>1382400</v>
      </c>
      <c r="AG440" s="37">
        <f ca="1">IF(NOTA[ID_H]="","",INDEX(NOTA[TANGGAL],MATCH(,INDIRECT(ADDRESS(ROW(NOTA[TANGGAL]),COLUMN(NOTA[TANGGAL]))&amp;":"&amp;ADDRESS(ROW(),COLUMN(NOTA[TANGGAL]))),-1)))</f>
        <v>45065</v>
      </c>
      <c r="AH440" s="35" t="str">
        <f ca="1">IF(NOTA[[#This Row],[NAMA BARANG]]="","",INDEX(NOTA[SUPPLIER],MATCH(,INDIRECT(ADDRESS(ROW(NOTA[ID]),COLUMN(NOTA[ID]))&amp;":"&amp;ADDRESS(ROW(),COLUMN(NOTA[ID]))),-1)))</f>
        <v>ATALI MAKMUR</v>
      </c>
      <c r="AI440" s="35" t="str">
        <f ca="1">IF(NOTA[[#This Row],[ID_H]]="","",IF(NOTA[[#This Row],[FAKTUR]]="",INDIRECT(ADDRESS(ROW()-1,COLUMN())),NOTA[[#This Row],[FAKTUR]]))</f>
        <v>ARTO MORO</v>
      </c>
      <c r="AJ440" s="27" t="str">
        <f ca="1">IF(NOTA[[#This Row],[ID]]="","",COUNTIF(NOTA[ID_H],NOTA[[#This Row],[ID_H]]))</f>
        <v/>
      </c>
      <c r="AK440" s="27">
        <f ca="1">IF(NOTA[[#This Row],[TGL.NOTA]]="",IF(NOTA[[#This Row],[SUPPLIER_H]]="","",AK439),MONTH(NOTA[[#This Row],[TGL.NOTA]]))</f>
        <v>5</v>
      </c>
      <c r="AL440" s="27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M4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N4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pencilcasepc0719pstl35greenjk13824000.1250.05</v>
      </c>
      <c r="AO4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27" t="str">
        <f>IF(NOTA[[#This Row],[CONCAT4]]="","",_xlfn.IFNA(MATCH(NOTA[[#This Row],[CONCAT4]],[2]!RAW[CONCAT_H],0),FALSE))</f>
        <v/>
      </c>
      <c r="AQ440" s="145">
        <f>IF(NOTA[[#This Row],[CONCAT1]]="","",MATCH(NOTA[[#This Row],[CONCAT1]],[3]!db[NB NOTA_C],0)+1)</f>
        <v>1913</v>
      </c>
    </row>
    <row r="441" spans="1:43" ht="20.100000000000001" customHeight="1" x14ac:dyDescent="0.25">
      <c r="A44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6" t="str">
        <f>IF(NOTA[[#This Row],[ID_P]]="","",MATCH(NOTA[[#This Row],[ID_P]],[1]!B_MSK[N_ID],0))</f>
        <v/>
      </c>
      <c r="D441" s="36">
        <f ca="1">IF(NOTA[[#This Row],[NAMA BARANG]]="","",INDEX(NOTA[ID],MATCH(,INDIRECT(ADDRESS(ROW(NOTA[ID]),COLUMN(NOTA[ID]))&amp;":"&amp;ADDRESS(ROW(),COLUMN(NOTA[ID]))),-1)))</f>
        <v>82</v>
      </c>
      <c r="E441" s="14"/>
      <c r="F441" s="16"/>
      <c r="G441" s="16"/>
      <c r="H441" s="20"/>
      <c r="I441" s="16"/>
      <c r="J441" s="37"/>
      <c r="K441" s="16"/>
      <c r="L441" s="16" t="s">
        <v>653</v>
      </c>
      <c r="M441" s="28">
        <v>1</v>
      </c>
      <c r="N441" s="16">
        <v>288</v>
      </c>
      <c r="O441" s="16" t="s">
        <v>160</v>
      </c>
      <c r="P441" s="35">
        <v>4800</v>
      </c>
      <c r="Q441" s="38"/>
      <c r="R441" s="28" t="s">
        <v>593</v>
      </c>
      <c r="S441" s="39">
        <v>0.125</v>
      </c>
      <c r="T441" s="39">
        <v>0.05</v>
      </c>
      <c r="U441" s="40"/>
      <c r="V441" s="26"/>
      <c r="W441" s="40">
        <f>IF(NOTA[[#This Row],[HARGA/ CTN]]="",NOTA[[#This Row],[JUMLAH_H]],NOTA[[#This Row],[HARGA/ CTN]]*IF(NOTA[[#This Row],[C]]="",0,NOTA[[#This Row],[C]]))</f>
        <v>1382400</v>
      </c>
      <c r="X441" s="40">
        <f>IF(NOTA[[#This Row],[JUMLAH]]="","",NOTA[[#This Row],[JUMLAH]]*NOTA[[#This Row],[DISC 1]])</f>
        <v>172800</v>
      </c>
      <c r="Y441" s="40">
        <f>IF(NOTA[[#This Row],[JUMLAH]]="","",(NOTA[[#This Row],[JUMLAH]]-NOTA[[#This Row],[DISC 1-]])*NOTA[[#This Row],[DISC 2]])</f>
        <v>60480</v>
      </c>
      <c r="Z441" s="40">
        <f>IF(NOTA[[#This Row],[JUMLAH]]="","",NOTA[[#This Row],[DISC 1-]]+NOTA[[#This Row],[DISC 2-]])</f>
        <v>233280</v>
      </c>
      <c r="AA441" s="40">
        <f>IF(NOTA[[#This Row],[JUMLAH]]="","",NOTA[[#This Row],[JUMLAH]]-NOTA[[#This Row],[DISC]])</f>
        <v>1149120</v>
      </c>
      <c r="AB441" s="40"/>
      <c r="AC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1" s="40">
        <f>IF(OR(NOTA[[#This Row],[QTY]]="",NOTA[[#This Row],[HARGA SATUAN]]="",),"",NOTA[[#This Row],[QTY]]*NOTA[[#This Row],[HARGA SATUAN]])</f>
        <v>1382400</v>
      </c>
      <c r="AG441" s="37">
        <f ca="1">IF(NOTA[ID_H]="","",INDEX(NOTA[TANGGAL],MATCH(,INDIRECT(ADDRESS(ROW(NOTA[TANGGAL]),COLUMN(NOTA[TANGGAL]))&amp;":"&amp;ADDRESS(ROW(),COLUMN(NOTA[TANGGAL]))),-1)))</f>
        <v>45065</v>
      </c>
      <c r="AH441" s="35" t="str">
        <f ca="1">IF(NOTA[[#This Row],[NAMA BARANG]]="","",INDEX(NOTA[SUPPLIER],MATCH(,INDIRECT(ADDRESS(ROW(NOTA[ID]),COLUMN(NOTA[ID]))&amp;":"&amp;ADDRESS(ROW(),COLUMN(NOTA[ID]))),-1)))</f>
        <v>ATALI MAKMUR</v>
      </c>
      <c r="AI441" s="35" t="str">
        <f ca="1">IF(NOTA[[#This Row],[ID_H]]="","",IF(NOTA[[#This Row],[FAKTUR]]="",INDIRECT(ADDRESS(ROW()-1,COLUMN())),NOTA[[#This Row],[FAKTUR]]))</f>
        <v>ARTO MORO</v>
      </c>
      <c r="AJ441" s="27" t="str">
        <f ca="1">IF(NOTA[[#This Row],[ID]]="","",COUNTIF(NOTA[ID_H],NOTA[[#This Row],[ID_H]]))</f>
        <v/>
      </c>
      <c r="AK441" s="27">
        <f ca="1">IF(NOTA[[#This Row],[TGL.NOTA]]="",IF(NOTA[[#This Row],[SUPPLIER_H]]="","",AK440),MONTH(NOTA[[#This Row],[TGL.NOTA]]))</f>
        <v>5</v>
      </c>
      <c r="AL441" s="27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M4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N4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pencilcasepc0719pstl35pinkjk13824000.1250.05</v>
      </c>
      <c r="AO44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27" t="str">
        <f>IF(NOTA[[#This Row],[CONCAT4]]="","",_xlfn.IFNA(MATCH(NOTA[[#This Row],[CONCAT4]],[2]!RAW[CONCAT_H],0),FALSE))</f>
        <v/>
      </c>
      <c r="AQ441" s="145">
        <f>IF(NOTA[[#This Row],[CONCAT1]]="","",MATCH(NOTA[[#This Row],[CONCAT1]],[3]!db[NB NOTA_C],0)+1)</f>
        <v>1914</v>
      </c>
    </row>
    <row r="442" spans="1:43" ht="20.100000000000001" customHeight="1" x14ac:dyDescent="0.25">
      <c r="A4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6" t="str">
        <f>IF(NOTA[[#This Row],[ID_P]]="","",MATCH(NOTA[[#This Row],[ID_P]],[1]!B_MSK[N_ID],0))</f>
        <v/>
      </c>
      <c r="D442" s="36">
        <f ca="1">IF(NOTA[[#This Row],[NAMA BARANG]]="","",INDEX(NOTA[ID],MATCH(,INDIRECT(ADDRESS(ROW(NOTA[ID]),COLUMN(NOTA[ID]))&amp;":"&amp;ADDRESS(ROW(),COLUMN(NOTA[ID]))),-1)))</f>
        <v>82</v>
      </c>
      <c r="E442" s="14"/>
      <c r="F442" s="16"/>
      <c r="G442" s="16"/>
      <c r="H442" s="20"/>
      <c r="I442" s="16"/>
      <c r="J442" s="37"/>
      <c r="K442" s="16"/>
      <c r="L442" s="16" t="s">
        <v>654</v>
      </c>
      <c r="M442" s="28">
        <v>1</v>
      </c>
      <c r="N442" s="16">
        <v>288</v>
      </c>
      <c r="O442" s="16" t="s">
        <v>160</v>
      </c>
      <c r="P442" s="35">
        <v>4800</v>
      </c>
      <c r="Q442" s="38"/>
      <c r="R442" s="28" t="s">
        <v>593</v>
      </c>
      <c r="S442" s="39">
        <v>0.125</v>
      </c>
      <c r="T442" s="39">
        <v>0.05</v>
      </c>
      <c r="U442" s="40"/>
      <c r="V442" s="26"/>
      <c r="W442" s="40">
        <f>IF(NOTA[[#This Row],[HARGA/ CTN]]="",NOTA[[#This Row],[JUMLAH_H]],NOTA[[#This Row],[HARGA/ CTN]]*IF(NOTA[[#This Row],[C]]="",0,NOTA[[#This Row],[C]]))</f>
        <v>1382400</v>
      </c>
      <c r="X442" s="40">
        <f>IF(NOTA[[#This Row],[JUMLAH]]="","",NOTA[[#This Row],[JUMLAH]]*NOTA[[#This Row],[DISC 1]])</f>
        <v>172800</v>
      </c>
      <c r="Y442" s="40">
        <f>IF(NOTA[[#This Row],[JUMLAH]]="","",(NOTA[[#This Row],[JUMLAH]]-NOTA[[#This Row],[DISC 1-]])*NOTA[[#This Row],[DISC 2]])</f>
        <v>60480</v>
      </c>
      <c r="Z442" s="40">
        <f>IF(NOTA[[#This Row],[JUMLAH]]="","",NOTA[[#This Row],[DISC 1-]]+NOTA[[#This Row],[DISC 2-]])</f>
        <v>233280</v>
      </c>
      <c r="AA442" s="40">
        <f>IF(NOTA[[#This Row],[JUMLAH]]="","",NOTA[[#This Row],[JUMLAH]]-NOTA[[#This Row],[DISC]])</f>
        <v>1149120</v>
      </c>
      <c r="AB442" s="40"/>
      <c r="AC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2" s="40">
        <f>IF(OR(NOTA[[#This Row],[QTY]]="",NOTA[[#This Row],[HARGA SATUAN]]="",),"",NOTA[[#This Row],[QTY]]*NOTA[[#This Row],[HARGA SATUAN]])</f>
        <v>1382400</v>
      </c>
      <c r="AG442" s="37">
        <f ca="1">IF(NOTA[ID_H]="","",INDEX(NOTA[TANGGAL],MATCH(,INDIRECT(ADDRESS(ROW(NOTA[TANGGAL]),COLUMN(NOTA[TANGGAL]))&amp;":"&amp;ADDRESS(ROW(),COLUMN(NOTA[TANGGAL]))),-1)))</f>
        <v>45065</v>
      </c>
      <c r="AH442" s="35" t="str">
        <f ca="1">IF(NOTA[[#This Row],[NAMA BARANG]]="","",INDEX(NOTA[SUPPLIER],MATCH(,INDIRECT(ADDRESS(ROW(NOTA[ID]),COLUMN(NOTA[ID]))&amp;":"&amp;ADDRESS(ROW(),COLUMN(NOTA[ID]))),-1)))</f>
        <v>ATALI MAKMUR</v>
      </c>
      <c r="AI442" s="35" t="str">
        <f ca="1">IF(NOTA[[#This Row],[ID_H]]="","",IF(NOTA[[#This Row],[FAKTUR]]="",INDIRECT(ADDRESS(ROW()-1,COLUMN())),NOTA[[#This Row],[FAKTUR]]))</f>
        <v>ARTO MORO</v>
      </c>
      <c r="AJ442" s="27" t="str">
        <f ca="1">IF(NOTA[[#This Row],[ID]]="","",COUNTIF(NOTA[ID_H],NOTA[[#This Row],[ID_H]]))</f>
        <v/>
      </c>
      <c r="AK442" s="27">
        <f ca="1">IF(NOTA[[#This Row],[TGL.NOTA]]="",IF(NOTA[[#This Row],[SUPPLIER_H]]="","",AK441),MONTH(NOTA[[#This Row],[TGL.NOTA]]))</f>
        <v>5</v>
      </c>
      <c r="AL442" s="27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M4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N4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pencilcasepc0719pstl35purplejk13824000.1250.05</v>
      </c>
      <c r="AO4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27" t="str">
        <f>IF(NOTA[[#This Row],[CONCAT4]]="","",_xlfn.IFNA(MATCH(NOTA[[#This Row],[CONCAT4]],[2]!RAW[CONCAT_H],0),FALSE))</f>
        <v/>
      </c>
      <c r="AQ442" s="145">
        <f>IF(NOTA[[#This Row],[CONCAT1]]="","",MATCH(NOTA[[#This Row],[CONCAT1]],[3]!db[NB NOTA_C],0)+1)</f>
        <v>1915</v>
      </c>
    </row>
    <row r="443" spans="1:43" ht="20.100000000000001" customHeight="1" x14ac:dyDescent="0.25">
      <c r="A4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6" t="str">
        <f>IF(NOTA[[#This Row],[ID_P]]="","",MATCH(NOTA[[#This Row],[ID_P]],[1]!B_MSK[N_ID],0))</f>
        <v/>
      </c>
      <c r="D443" s="36">
        <f ca="1">IF(NOTA[[#This Row],[NAMA BARANG]]="","",INDEX(NOTA[ID],MATCH(,INDIRECT(ADDRESS(ROW(NOTA[ID]),COLUMN(NOTA[ID]))&amp;":"&amp;ADDRESS(ROW(),COLUMN(NOTA[ID]))),-1)))</f>
        <v>82</v>
      </c>
      <c r="E443" s="14"/>
      <c r="F443" s="16"/>
      <c r="G443" s="16"/>
      <c r="H443" s="20"/>
      <c r="I443" s="16"/>
      <c r="J443" s="37"/>
      <c r="K443" s="16"/>
      <c r="L443" s="16" t="s">
        <v>648</v>
      </c>
      <c r="M443" s="28">
        <v>1</v>
      </c>
      <c r="N443" s="16">
        <v>288</v>
      </c>
      <c r="O443" s="16" t="s">
        <v>160</v>
      </c>
      <c r="P443" s="35">
        <v>4800</v>
      </c>
      <c r="Q443" s="38"/>
      <c r="R443" s="28" t="s">
        <v>647</v>
      </c>
      <c r="S443" s="39">
        <v>0.125</v>
      </c>
      <c r="T443" s="39">
        <v>0.05</v>
      </c>
      <c r="U443" s="40"/>
      <c r="V443" s="26"/>
      <c r="W443" s="40">
        <f>IF(NOTA[[#This Row],[HARGA/ CTN]]="",NOTA[[#This Row],[JUMLAH_H]],NOTA[[#This Row],[HARGA/ CTN]]*IF(NOTA[[#This Row],[C]]="",0,NOTA[[#This Row],[C]]))</f>
        <v>1382400</v>
      </c>
      <c r="X443" s="40">
        <f>IF(NOTA[[#This Row],[JUMLAH]]="","",NOTA[[#This Row],[JUMLAH]]*NOTA[[#This Row],[DISC 1]])</f>
        <v>172800</v>
      </c>
      <c r="Y443" s="40">
        <f>IF(NOTA[[#This Row],[JUMLAH]]="","",(NOTA[[#This Row],[JUMLAH]]-NOTA[[#This Row],[DISC 1-]])*NOTA[[#This Row],[DISC 2]])</f>
        <v>60480</v>
      </c>
      <c r="Z443" s="40">
        <f>IF(NOTA[[#This Row],[JUMLAH]]="","",NOTA[[#This Row],[DISC 1-]]+NOTA[[#This Row],[DISC 2-]])</f>
        <v>233280</v>
      </c>
      <c r="AA443" s="40">
        <f>IF(NOTA[[#This Row],[JUMLAH]]="","",NOTA[[#This Row],[JUMLAH]]-NOTA[[#This Row],[DISC]])</f>
        <v>1149120</v>
      </c>
      <c r="AB443" s="40"/>
      <c r="AC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3" s="40">
        <f>IF(OR(NOTA[[#This Row],[QTY]]="",NOTA[[#This Row],[HARGA SATUAN]]="",),"",NOTA[[#This Row],[QTY]]*NOTA[[#This Row],[HARGA SATUAN]])</f>
        <v>1382400</v>
      </c>
      <c r="AG443" s="37">
        <f ca="1">IF(NOTA[ID_H]="","",INDEX(NOTA[TANGGAL],MATCH(,INDIRECT(ADDRESS(ROW(NOTA[TANGGAL]),COLUMN(NOTA[TANGGAL]))&amp;":"&amp;ADDRESS(ROW(),COLUMN(NOTA[TANGGAL]))),-1)))</f>
        <v>45065</v>
      </c>
      <c r="AH443" s="35" t="str">
        <f ca="1">IF(NOTA[[#This Row],[NAMA BARANG]]="","",INDEX(NOTA[SUPPLIER],MATCH(,INDIRECT(ADDRESS(ROW(NOTA[ID]),COLUMN(NOTA[ID]))&amp;":"&amp;ADDRESS(ROW(),COLUMN(NOTA[ID]))),-1)))</f>
        <v>ATALI MAKMUR</v>
      </c>
      <c r="AI443" s="35" t="str">
        <f ca="1">IF(NOTA[[#This Row],[ID_H]]="","",IF(NOTA[[#This Row],[FAKTUR]]="",INDIRECT(ADDRESS(ROW()-1,COLUMN())),NOTA[[#This Row],[FAKTUR]]))</f>
        <v>ARTO MORO</v>
      </c>
      <c r="AJ443" s="27" t="str">
        <f ca="1">IF(NOTA[[#This Row],[ID]]="","",COUNTIF(NOTA[ID_H],NOTA[[#This Row],[ID_H]]))</f>
        <v/>
      </c>
      <c r="AK443" s="27">
        <f ca="1">IF(NOTA[[#This Row],[TGL.NOTA]]="",IF(NOTA[[#This Row],[SUPPLIER_H]]="","",AK442),MONTH(NOTA[[#This Row],[TGL.NOTA]]))</f>
        <v>5</v>
      </c>
      <c r="AL443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4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N4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4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27" t="str">
        <f>IF(NOTA[[#This Row],[CONCAT4]]="","",_xlfn.IFNA(MATCH(NOTA[[#This Row],[CONCAT4]],[2]!RAW[CONCAT_H],0),FALSE))</f>
        <v/>
      </c>
      <c r="AQ443" s="145">
        <f>IF(NOTA[[#This Row],[CONCAT1]]="","",MATCH(NOTA[[#This Row],[CONCAT1]],[3]!db[NB NOTA_C],0)+1)</f>
        <v>1905</v>
      </c>
    </row>
    <row r="444" spans="1:43" ht="20.100000000000001" customHeight="1" x14ac:dyDescent="0.25">
      <c r="A4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6" t="str">
        <f>IF(NOTA[[#This Row],[ID_P]]="","",MATCH(NOTA[[#This Row],[ID_P]],[1]!B_MSK[N_ID],0))</f>
        <v/>
      </c>
      <c r="D444" s="36">
        <f ca="1">IF(NOTA[[#This Row],[NAMA BARANG]]="","",INDEX(NOTA[ID],MATCH(,INDIRECT(ADDRESS(ROW(NOTA[ID]),COLUMN(NOTA[ID]))&amp;":"&amp;ADDRESS(ROW(),COLUMN(NOTA[ID]))),-1)))</f>
        <v>82</v>
      </c>
      <c r="E444" s="14"/>
      <c r="F444" s="16"/>
      <c r="G444" s="16"/>
      <c r="H444" s="20"/>
      <c r="I444" s="16"/>
      <c r="J444" s="37"/>
      <c r="K444" s="16"/>
      <c r="L444" s="16" t="s">
        <v>649</v>
      </c>
      <c r="M444" s="28">
        <v>1</v>
      </c>
      <c r="N444" s="16">
        <v>288</v>
      </c>
      <c r="O444" s="16" t="s">
        <v>160</v>
      </c>
      <c r="P444" s="35">
        <v>4800</v>
      </c>
      <c r="Q444" s="38"/>
      <c r="R444" s="28" t="s">
        <v>371</v>
      </c>
      <c r="S444" s="39">
        <v>0.125</v>
      </c>
      <c r="T444" s="39">
        <v>0.05</v>
      </c>
      <c r="U444" s="40"/>
      <c r="V444" s="26"/>
      <c r="W444" s="40">
        <f>IF(NOTA[[#This Row],[HARGA/ CTN]]="",NOTA[[#This Row],[JUMLAH_H]],NOTA[[#This Row],[HARGA/ CTN]]*IF(NOTA[[#This Row],[C]]="",0,NOTA[[#This Row],[C]]))</f>
        <v>1382400</v>
      </c>
      <c r="X444" s="40">
        <f>IF(NOTA[[#This Row],[JUMLAH]]="","",NOTA[[#This Row],[JUMLAH]]*NOTA[[#This Row],[DISC 1]])</f>
        <v>172800</v>
      </c>
      <c r="Y444" s="40">
        <f>IF(NOTA[[#This Row],[JUMLAH]]="","",(NOTA[[#This Row],[JUMLAH]]-NOTA[[#This Row],[DISC 1-]])*NOTA[[#This Row],[DISC 2]])</f>
        <v>60480</v>
      </c>
      <c r="Z444" s="40">
        <f>IF(NOTA[[#This Row],[JUMLAH]]="","",NOTA[[#This Row],[DISC 1-]]+NOTA[[#This Row],[DISC 2-]])</f>
        <v>233280</v>
      </c>
      <c r="AA444" s="40">
        <f>IF(NOTA[[#This Row],[JUMLAH]]="","",NOTA[[#This Row],[JUMLAH]]-NOTA[[#This Row],[DISC]])</f>
        <v>1149120</v>
      </c>
      <c r="AB444" s="40"/>
      <c r="AC4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44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44" s="3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44" s="40">
        <f>IF(OR(NOTA[[#This Row],[QTY]]="",NOTA[[#This Row],[HARGA SATUAN]]="",),"",NOTA[[#This Row],[QTY]]*NOTA[[#This Row],[HARGA SATUAN]])</f>
        <v>1382400</v>
      </c>
      <c r="AG444" s="37">
        <f ca="1">IF(NOTA[ID_H]="","",INDEX(NOTA[TANGGAL],MATCH(,INDIRECT(ADDRESS(ROW(NOTA[TANGGAL]),COLUMN(NOTA[TANGGAL]))&amp;":"&amp;ADDRESS(ROW(),COLUMN(NOTA[TANGGAL]))),-1)))</f>
        <v>45065</v>
      </c>
      <c r="AH444" s="35" t="str">
        <f ca="1">IF(NOTA[[#This Row],[NAMA BARANG]]="","",INDEX(NOTA[SUPPLIER],MATCH(,INDIRECT(ADDRESS(ROW(NOTA[ID]),COLUMN(NOTA[ID]))&amp;":"&amp;ADDRESS(ROW(),COLUMN(NOTA[ID]))),-1)))</f>
        <v>ATALI MAKMUR</v>
      </c>
      <c r="AI444" s="35" t="str">
        <f ca="1">IF(NOTA[[#This Row],[ID_H]]="","",IF(NOTA[[#This Row],[FAKTUR]]="",INDIRECT(ADDRESS(ROW()-1,COLUMN())),NOTA[[#This Row],[FAKTUR]]))</f>
        <v>ARTO MORO</v>
      </c>
      <c r="AJ444" s="27" t="str">
        <f ca="1">IF(NOTA[[#This Row],[ID]]="","",COUNTIF(NOTA[ID_H],NOTA[[#This Row],[ID_H]]))</f>
        <v/>
      </c>
      <c r="AK444" s="27">
        <f ca="1">IF(NOTA[[#This Row],[TGL.NOTA]]="",IF(NOTA[[#This Row],[SUPPLIER_H]]="","",AK443),MONTH(NOTA[[#This Row],[TGL.NOTA]]))</f>
        <v>5</v>
      </c>
      <c r="AL444" s="27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M4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N4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O4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27" t="str">
        <f>IF(NOTA[[#This Row],[CONCAT4]]="","",_xlfn.IFNA(MATCH(NOTA[[#This Row],[CONCAT4]],[2]!RAW[CONCAT_H],0),FALSE))</f>
        <v/>
      </c>
      <c r="AQ444" s="145">
        <f>IF(NOTA[[#This Row],[CONCAT1]]="","",MATCH(NOTA[[#This Row],[CONCAT1]],[3]!db[NB NOTA_C],0)+1)</f>
        <v>1917</v>
      </c>
    </row>
    <row r="445" spans="1:43" ht="20.100000000000001" customHeight="1" x14ac:dyDescent="0.25">
      <c r="A4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6" t="str">
        <f>IF(NOTA[[#This Row],[ID_P]]="","",MATCH(NOTA[[#This Row],[ID_P]],[1]!B_MSK[N_ID],0))</f>
        <v/>
      </c>
      <c r="D445" s="36" t="str">
        <f ca="1">IF(NOTA[[#This Row],[NAMA BARANG]]="","",INDEX(NOTA[ID],MATCH(,INDIRECT(ADDRESS(ROW(NOTA[ID]),COLUMN(NOTA[ID]))&amp;":"&amp;ADDRESS(ROW(),COLUMN(NOTA[ID]))),-1)))</f>
        <v/>
      </c>
      <c r="E445" s="14"/>
      <c r="F445" s="16"/>
      <c r="G445" s="16"/>
      <c r="H445" s="20"/>
      <c r="I445" s="16"/>
      <c r="J445" s="37"/>
      <c r="K445" s="16"/>
      <c r="L445" s="16"/>
      <c r="M445" s="28"/>
      <c r="N445" s="16"/>
      <c r="O445" s="16"/>
      <c r="P445" s="35"/>
      <c r="Q445" s="38"/>
      <c r="R445" s="28"/>
      <c r="S445" s="39"/>
      <c r="T445" s="39"/>
      <c r="U445" s="40"/>
      <c r="V445" s="26"/>
      <c r="W445" s="40" t="str">
        <f>IF(NOTA[[#This Row],[HARGA/ CTN]]="",NOTA[[#This Row],[JUMLAH_H]],NOTA[[#This Row],[HARGA/ CTN]]*IF(NOTA[[#This Row],[C]]="",0,NOTA[[#This Row],[C]]))</f>
        <v/>
      </c>
      <c r="X445" s="40" t="str">
        <f>IF(NOTA[[#This Row],[JUMLAH]]="","",NOTA[[#This Row],[JUMLAH]]*NOTA[[#This Row],[DISC 1]])</f>
        <v/>
      </c>
      <c r="Y445" s="40" t="str">
        <f>IF(NOTA[[#This Row],[JUMLAH]]="","",(NOTA[[#This Row],[JUMLAH]]-NOTA[[#This Row],[DISC 1-]])*NOTA[[#This Row],[DISC 2]])</f>
        <v/>
      </c>
      <c r="Z445" s="40" t="str">
        <f>IF(NOTA[[#This Row],[JUMLAH]]="","",NOTA[[#This Row],[DISC 1-]]+NOTA[[#This Row],[DISC 2-]])</f>
        <v/>
      </c>
      <c r="AA445" s="40" t="str">
        <f>IF(NOTA[[#This Row],[JUMLAH]]="","",NOTA[[#This Row],[JUMLAH]]-NOTA[[#This Row],[DISC]])</f>
        <v/>
      </c>
      <c r="AB445" s="40"/>
      <c r="AC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5" s="40" t="str">
        <f>IF(OR(NOTA[[#This Row],[QTY]]="",NOTA[[#This Row],[HARGA SATUAN]]="",),"",NOTA[[#This Row],[QTY]]*NOTA[[#This Row],[HARGA SATUAN]])</f>
        <v/>
      </c>
      <c r="AG445" s="37" t="str">
        <f ca="1">IF(NOTA[ID_H]="","",INDEX(NOTA[TANGGAL],MATCH(,INDIRECT(ADDRESS(ROW(NOTA[TANGGAL]),COLUMN(NOTA[TANGGAL]))&amp;":"&amp;ADDRESS(ROW(),COLUMN(NOTA[TANGGAL]))),-1)))</f>
        <v/>
      </c>
      <c r="AH445" s="35" t="str">
        <f ca="1">IF(NOTA[[#This Row],[NAMA BARANG]]="","",INDEX(NOTA[SUPPLIER],MATCH(,INDIRECT(ADDRESS(ROW(NOTA[ID]),COLUMN(NOTA[ID]))&amp;":"&amp;ADDRESS(ROW(),COLUMN(NOTA[ID]))),-1)))</f>
        <v/>
      </c>
      <c r="AI445" s="35" t="str">
        <f ca="1">IF(NOTA[[#This Row],[ID_H]]="","",IF(NOTA[[#This Row],[FAKTUR]]="",INDIRECT(ADDRESS(ROW()-1,COLUMN())),NOTA[[#This Row],[FAKTUR]]))</f>
        <v/>
      </c>
      <c r="AJ445" s="27" t="str">
        <f ca="1">IF(NOTA[[#This Row],[ID]]="","",COUNTIF(NOTA[ID_H],NOTA[[#This Row],[ID_H]]))</f>
        <v/>
      </c>
      <c r="AK445" s="27" t="str">
        <f ca="1">IF(NOTA[[#This Row],[TGL.NOTA]]="",IF(NOTA[[#This Row],[SUPPLIER_H]]="","",AK444),MONTH(NOTA[[#This Row],[TGL.NOTA]]))</f>
        <v/>
      </c>
      <c r="AL445" s="27" t="str">
        <f>LOWER(SUBSTITUTE(SUBSTITUTE(SUBSTITUTE(SUBSTITUTE(SUBSTITUTE(SUBSTITUTE(SUBSTITUTE(SUBSTITUTE(SUBSTITUTE(NOTA[NAMA BARANG]," ",),".",""),"-",""),"(",""),")",""),",",""),"/",""),"""",""),"+",""))</f>
        <v/>
      </c>
      <c r="AM4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27" t="str">
        <f>IF(NOTA[[#This Row],[CONCAT4]]="","",_xlfn.IFNA(MATCH(NOTA[[#This Row],[CONCAT4]],[2]!RAW[CONCAT_H],0),FALSE))</f>
        <v/>
      </c>
      <c r="AQ445" s="145" t="str">
        <f>IF(NOTA[[#This Row],[CONCAT1]]="","",MATCH(NOTA[[#This Row],[CONCAT1]],[3]!db[NB NOTA_C],0)+1)</f>
        <v/>
      </c>
    </row>
    <row r="446" spans="1:43" ht="20.100000000000001" customHeight="1" x14ac:dyDescent="0.25">
      <c r="A446" s="35">
        <f ca="1">IF(INDIRECT(ADDRESS(ROW()-1,COLUMN(NOTA[[#Headers],[ID]])))="ID",1,IF(NOTA[[#This Row],[FAKTUR]]="","",COUNT(INDIRECT(ADDRESS(ROW(NOTA[ID]),COLUMN(NOTA[ID]))&amp;":"&amp;ADDRESS(ROW()-1,COLUMN(NOTA[ID]))))+1))</f>
        <v>83</v>
      </c>
      <c r="B446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ATA_1905_563-10</v>
      </c>
      <c r="C446" s="36" t="e">
        <f ca="1">IF(NOTA[[#This Row],[ID_P]]="","",MATCH(NOTA[[#This Row],[ID_P]],[1]!B_MSK[N_ID],0))</f>
        <v>#REF!</v>
      </c>
      <c r="D446" s="36">
        <f ca="1">IF(NOTA[[#This Row],[NAMA BARANG]]="","",INDEX(NOTA[ID],MATCH(,INDIRECT(ADDRESS(ROW(NOTA[ID]),COLUMN(NOTA[ID]))&amp;":"&amp;ADDRESS(ROW(),COLUMN(NOTA[ID]))),-1)))</f>
        <v>83</v>
      </c>
      <c r="E446" s="14"/>
      <c r="F446" s="16" t="s">
        <v>25</v>
      </c>
      <c r="G446" s="16" t="s">
        <v>24</v>
      </c>
      <c r="H446" s="20" t="s">
        <v>656</v>
      </c>
      <c r="I446" s="16"/>
      <c r="J446" s="37">
        <v>45058</v>
      </c>
      <c r="K446" s="16"/>
      <c r="L446" s="16" t="s">
        <v>657</v>
      </c>
      <c r="M446" s="28"/>
      <c r="N446" s="16">
        <v>24</v>
      </c>
      <c r="O446" s="16" t="s">
        <v>160</v>
      </c>
      <c r="P446" s="35">
        <v>15800</v>
      </c>
      <c r="Q446" s="38"/>
      <c r="R446" s="28" t="s">
        <v>549</v>
      </c>
      <c r="S446" s="39">
        <v>0.125</v>
      </c>
      <c r="T446" s="39">
        <v>0.05</v>
      </c>
      <c r="U446" s="40"/>
      <c r="V446" s="26"/>
      <c r="W446" s="40">
        <f>IF(NOTA[[#This Row],[HARGA/ CTN]]="",NOTA[[#This Row],[JUMLAH_H]],NOTA[[#This Row],[HARGA/ CTN]]*IF(NOTA[[#This Row],[C]]="",0,NOTA[[#This Row],[C]]))</f>
        <v>379200</v>
      </c>
      <c r="X446" s="40">
        <f>IF(NOTA[[#This Row],[JUMLAH]]="","",NOTA[[#This Row],[JUMLAH]]*NOTA[[#This Row],[DISC 1]])</f>
        <v>47400</v>
      </c>
      <c r="Y446" s="40">
        <f>IF(NOTA[[#This Row],[JUMLAH]]="","",(NOTA[[#This Row],[JUMLAH]]-NOTA[[#This Row],[DISC 1-]])*NOTA[[#This Row],[DISC 2]])</f>
        <v>16590</v>
      </c>
      <c r="Z446" s="40">
        <f>IF(NOTA[[#This Row],[JUMLAH]]="","",NOTA[[#This Row],[DISC 1-]]+NOTA[[#This Row],[DISC 2-]])</f>
        <v>63990</v>
      </c>
      <c r="AA446" s="40">
        <f>IF(NOTA[[#This Row],[JUMLAH]]="","",NOTA[[#This Row],[JUMLAH]]-NOTA[[#This Row],[DISC]])</f>
        <v>315210</v>
      </c>
      <c r="AB446" s="40"/>
      <c r="AC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46" s="40">
        <f>IF(OR(NOTA[[#This Row],[QTY]]="",NOTA[[#This Row],[HARGA SATUAN]]="",),"",NOTA[[#This Row],[QTY]]*NOTA[[#This Row],[HARGA SATUAN]])</f>
        <v>379200</v>
      </c>
      <c r="AG446" s="37">
        <f ca="1">IF(NOTA[ID_H]="","",INDEX(NOTA[TANGGAL],MATCH(,INDIRECT(ADDRESS(ROW(NOTA[TANGGAL]),COLUMN(NOTA[TANGGAL]))&amp;":"&amp;ADDRESS(ROW(),COLUMN(NOTA[TANGGAL]))),-1)))</f>
        <v>45065</v>
      </c>
      <c r="AH446" s="35" t="str">
        <f ca="1">IF(NOTA[[#This Row],[NAMA BARANG]]="","",INDEX(NOTA[SUPPLIER],MATCH(,INDIRECT(ADDRESS(ROW(NOTA[ID]),COLUMN(NOTA[ID]))&amp;":"&amp;ADDRESS(ROW(),COLUMN(NOTA[ID]))),-1)))</f>
        <v>ATALI MAKMUR</v>
      </c>
      <c r="AI446" s="35" t="str">
        <f ca="1">IF(NOTA[[#This Row],[ID_H]]="","",IF(NOTA[[#This Row],[FAKTUR]]="",INDIRECT(ADDRESS(ROW()-1,COLUMN())),NOTA[[#This Row],[FAKTUR]]))</f>
        <v>ARTO MORO</v>
      </c>
      <c r="AJ446" s="27">
        <f ca="1">IF(NOTA[[#This Row],[ID]]="","",COUNTIF(NOTA[ID_H],NOTA[[#This Row],[ID_H]]))</f>
        <v>10</v>
      </c>
      <c r="AK446" s="27">
        <f>IF(NOTA[[#This Row],[TGL.NOTA]]="",IF(NOTA[[#This Row],[SUPPLIER_H]]="","",AK445),MONTH(NOTA[[#This Row],[TGL.NOTA]]))</f>
        <v>5</v>
      </c>
      <c r="AL446" s="27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4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bindera5mhacm479bluejku3792000.1250.05</v>
      </c>
      <c r="AN4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44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MOROSA23050756345058bindera5mhacm479bluejku</v>
      </c>
      <c r="AP446" s="27" t="e">
        <f>IF(NOTA[[#This Row],[CONCAT4]]="","",_xlfn.IFNA(MATCH(NOTA[[#This Row],[CONCAT4]],[2]!RAW[CONCAT_H],0),FALSE))</f>
        <v>#REF!</v>
      </c>
      <c r="AQ446" s="145">
        <f>IF(NOTA[[#This Row],[CONCAT1]]="","",MATCH(NOTA[[#This Row],[CONCAT1]],[3]!db[NB NOTA_C],0)+1)</f>
        <v>149</v>
      </c>
    </row>
    <row r="447" spans="1:43" ht="20.100000000000001" customHeight="1" x14ac:dyDescent="0.25">
      <c r="A44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6" t="str">
        <f>IF(NOTA[[#This Row],[ID_P]]="","",MATCH(NOTA[[#This Row],[ID_P]],[1]!B_MSK[N_ID],0))</f>
        <v/>
      </c>
      <c r="D447" s="36">
        <f ca="1">IF(NOTA[[#This Row],[NAMA BARANG]]="","",INDEX(NOTA[ID],MATCH(,INDIRECT(ADDRESS(ROW(NOTA[ID]),COLUMN(NOTA[ID]))&amp;":"&amp;ADDRESS(ROW(),COLUMN(NOTA[ID]))),-1)))</f>
        <v>83</v>
      </c>
      <c r="E447" s="14"/>
      <c r="F447" s="16"/>
      <c r="G447" s="16"/>
      <c r="H447" s="20"/>
      <c r="I447" s="16"/>
      <c r="J447" s="37"/>
      <c r="K447" s="16"/>
      <c r="L447" s="16" t="s">
        <v>658</v>
      </c>
      <c r="M447" s="28"/>
      <c r="N447" s="16">
        <v>24</v>
      </c>
      <c r="O447" s="16" t="s">
        <v>160</v>
      </c>
      <c r="P447" s="35">
        <v>15800</v>
      </c>
      <c r="Q447" s="38"/>
      <c r="R447" s="28" t="s">
        <v>549</v>
      </c>
      <c r="S447" s="39">
        <v>0.125</v>
      </c>
      <c r="T447" s="39">
        <v>0.05</v>
      </c>
      <c r="U447" s="40"/>
      <c r="V447" s="26"/>
      <c r="W447" s="40">
        <f>IF(NOTA[[#This Row],[HARGA/ CTN]]="",NOTA[[#This Row],[JUMLAH_H]],NOTA[[#This Row],[HARGA/ CTN]]*IF(NOTA[[#This Row],[C]]="",0,NOTA[[#This Row],[C]]))</f>
        <v>379200</v>
      </c>
      <c r="X447" s="40">
        <f>IF(NOTA[[#This Row],[JUMLAH]]="","",NOTA[[#This Row],[JUMLAH]]*NOTA[[#This Row],[DISC 1]])</f>
        <v>47400</v>
      </c>
      <c r="Y447" s="40">
        <f>IF(NOTA[[#This Row],[JUMLAH]]="","",(NOTA[[#This Row],[JUMLAH]]-NOTA[[#This Row],[DISC 1-]])*NOTA[[#This Row],[DISC 2]])</f>
        <v>16590</v>
      </c>
      <c r="Z447" s="40">
        <f>IF(NOTA[[#This Row],[JUMLAH]]="","",NOTA[[#This Row],[DISC 1-]]+NOTA[[#This Row],[DISC 2-]])</f>
        <v>63990</v>
      </c>
      <c r="AA447" s="40">
        <f>IF(NOTA[[#This Row],[JUMLAH]]="","",NOTA[[#This Row],[JUMLAH]]-NOTA[[#This Row],[DISC]])</f>
        <v>315210</v>
      </c>
      <c r="AB447" s="40"/>
      <c r="AC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47" s="40">
        <f>IF(OR(NOTA[[#This Row],[QTY]]="",NOTA[[#This Row],[HARGA SATUAN]]="",),"",NOTA[[#This Row],[QTY]]*NOTA[[#This Row],[HARGA SATUAN]])</f>
        <v>379200</v>
      </c>
      <c r="AG447" s="37">
        <f ca="1">IF(NOTA[ID_H]="","",INDEX(NOTA[TANGGAL],MATCH(,INDIRECT(ADDRESS(ROW(NOTA[TANGGAL]),COLUMN(NOTA[TANGGAL]))&amp;":"&amp;ADDRESS(ROW(),COLUMN(NOTA[TANGGAL]))),-1)))</f>
        <v>45065</v>
      </c>
      <c r="AH447" s="35" t="str">
        <f ca="1">IF(NOTA[[#This Row],[NAMA BARANG]]="","",INDEX(NOTA[SUPPLIER],MATCH(,INDIRECT(ADDRESS(ROW(NOTA[ID]),COLUMN(NOTA[ID]))&amp;":"&amp;ADDRESS(ROW(),COLUMN(NOTA[ID]))),-1)))</f>
        <v>ATALI MAKMUR</v>
      </c>
      <c r="AI447" s="35" t="str">
        <f ca="1">IF(NOTA[[#This Row],[ID_H]]="","",IF(NOTA[[#This Row],[FAKTUR]]="",INDIRECT(ADDRESS(ROW()-1,COLUMN())),NOTA[[#This Row],[FAKTUR]]))</f>
        <v>ARTO MORO</v>
      </c>
      <c r="AJ447" s="27" t="str">
        <f ca="1">IF(NOTA[[#This Row],[ID]]="","",COUNTIF(NOTA[ID_H],NOTA[[#This Row],[ID_H]]))</f>
        <v/>
      </c>
      <c r="AK447" s="27">
        <f ca="1">IF(NOTA[[#This Row],[TGL.NOTA]]="",IF(NOTA[[#This Row],[SUPPLIER_H]]="","",AK446),MONTH(NOTA[[#This Row],[TGL.NOTA]]))</f>
        <v>5</v>
      </c>
      <c r="AL447" s="27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4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bindera5mhacm479redjku3792000.1250.05</v>
      </c>
      <c r="AN4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44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27" t="str">
        <f>IF(NOTA[[#This Row],[CONCAT4]]="","",_xlfn.IFNA(MATCH(NOTA[[#This Row],[CONCAT4]],[2]!RAW[CONCAT_H],0),FALSE))</f>
        <v/>
      </c>
      <c r="AQ447" s="145">
        <f>IF(NOTA[[#This Row],[CONCAT1]]="","",MATCH(NOTA[[#This Row],[CONCAT1]],[3]!db[NB NOTA_C],0)+1)</f>
        <v>150</v>
      </c>
    </row>
    <row r="448" spans="1:43" ht="20.100000000000001" customHeight="1" x14ac:dyDescent="0.25">
      <c r="A4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6" t="str">
        <f>IF(NOTA[[#This Row],[ID_P]]="","",MATCH(NOTA[[#This Row],[ID_P]],[1]!B_MSK[N_ID],0))</f>
        <v/>
      </c>
      <c r="D448" s="36">
        <f ca="1">IF(NOTA[[#This Row],[NAMA BARANG]]="","",INDEX(NOTA[ID],MATCH(,INDIRECT(ADDRESS(ROW(NOTA[ID]),COLUMN(NOTA[ID]))&amp;":"&amp;ADDRESS(ROW(),COLUMN(NOTA[ID]))),-1)))</f>
        <v>83</v>
      </c>
      <c r="E448" s="14"/>
      <c r="F448" s="16"/>
      <c r="G448" s="16"/>
      <c r="H448" s="20"/>
      <c r="I448" s="16"/>
      <c r="J448" s="37"/>
      <c r="K448" s="16"/>
      <c r="L448" s="16" t="s">
        <v>659</v>
      </c>
      <c r="M448" s="28"/>
      <c r="N448" s="16">
        <v>24</v>
      </c>
      <c r="O448" s="16" t="s">
        <v>160</v>
      </c>
      <c r="P448" s="35">
        <v>15800</v>
      </c>
      <c r="Q448" s="38"/>
      <c r="R448" s="28" t="s">
        <v>549</v>
      </c>
      <c r="S448" s="39">
        <v>0.125</v>
      </c>
      <c r="T448" s="39">
        <v>0.05</v>
      </c>
      <c r="U448" s="40"/>
      <c r="V448" s="26"/>
      <c r="W448" s="40">
        <f>IF(NOTA[[#This Row],[HARGA/ CTN]]="",NOTA[[#This Row],[JUMLAH_H]],NOTA[[#This Row],[HARGA/ CTN]]*IF(NOTA[[#This Row],[C]]="",0,NOTA[[#This Row],[C]]))</f>
        <v>379200</v>
      </c>
      <c r="X448" s="40">
        <f>IF(NOTA[[#This Row],[JUMLAH]]="","",NOTA[[#This Row],[JUMLAH]]*NOTA[[#This Row],[DISC 1]])</f>
        <v>47400</v>
      </c>
      <c r="Y448" s="40">
        <f>IF(NOTA[[#This Row],[JUMLAH]]="","",(NOTA[[#This Row],[JUMLAH]]-NOTA[[#This Row],[DISC 1-]])*NOTA[[#This Row],[DISC 2]])</f>
        <v>16590</v>
      </c>
      <c r="Z448" s="40">
        <f>IF(NOTA[[#This Row],[JUMLAH]]="","",NOTA[[#This Row],[DISC 1-]]+NOTA[[#This Row],[DISC 2-]])</f>
        <v>63990</v>
      </c>
      <c r="AA448" s="40">
        <f>IF(NOTA[[#This Row],[JUMLAH]]="","",NOTA[[#This Row],[JUMLAH]]-NOTA[[#This Row],[DISC]])</f>
        <v>315210</v>
      </c>
      <c r="AB448" s="40"/>
      <c r="AC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48" s="40">
        <f>IF(OR(NOTA[[#This Row],[QTY]]="",NOTA[[#This Row],[HARGA SATUAN]]="",),"",NOTA[[#This Row],[QTY]]*NOTA[[#This Row],[HARGA SATUAN]])</f>
        <v>379200</v>
      </c>
      <c r="AG448" s="37">
        <f ca="1">IF(NOTA[ID_H]="","",INDEX(NOTA[TANGGAL],MATCH(,INDIRECT(ADDRESS(ROW(NOTA[TANGGAL]),COLUMN(NOTA[TANGGAL]))&amp;":"&amp;ADDRESS(ROW(),COLUMN(NOTA[TANGGAL]))),-1)))</f>
        <v>45065</v>
      </c>
      <c r="AH448" s="35" t="str">
        <f ca="1">IF(NOTA[[#This Row],[NAMA BARANG]]="","",INDEX(NOTA[SUPPLIER],MATCH(,INDIRECT(ADDRESS(ROW(NOTA[ID]),COLUMN(NOTA[ID]))&amp;":"&amp;ADDRESS(ROW(),COLUMN(NOTA[ID]))),-1)))</f>
        <v>ATALI MAKMUR</v>
      </c>
      <c r="AI448" s="35" t="str">
        <f ca="1">IF(NOTA[[#This Row],[ID_H]]="","",IF(NOTA[[#This Row],[FAKTUR]]="",INDIRECT(ADDRESS(ROW()-1,COLUMN())),NOTA[[#This Row],[FAKTUR]]))</f>
        <v>ARTO MORO</v>
      </c>
      <c r="AJ448" s="27" t="str">
        <f ca="1">IF(NOTA[[#This Row],[ID]]="","",COUNTIF(NOTA[ID_H],NOTA[[#This Row],[ID_H]]))</f>
        <v/>
      </c>
      <c r="AK448" s="27">
        <f ca="1">IF(NOTA[[#This Row],[TGL.NOTA]]="",IF(NOTA[[#This Row],[SUPPLIER_H]]="","",AK447),MONTH(NOTA[[#This Row],[TGL.NOTA]]))</f>
        <v>5</v>
      </c>
      <c r="AL448" s="27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4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bindera5mhacm479yellowjku3792000.1250.05</v>
      </c>
      <c r="AN4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4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27" t="str">
        <f>IF(NOTA[[#This Row],[CONCAT4]]="","",_xlfn.IFNA(MATCH(NOTA[[#This Row],[CONCAT4]],[2]!RAW[CONCAT_H],0),FALSE))</f>
        <v/>
      </c>
      <c r="AQ448" s="145">
        <f>IF(NOTA[[#This Row],[CONCAT1]]="","",MATCH(NOTA[[#This Row],[CONCAT1]],[3]!db[NB NOTA_C],0)+1)</f>
        <v>151</v>
      </c>
    </row>
    <row r="449" spans="1:43" ht="20.100000000000001" customHeight="1" x14ac:dyDescent="0.25">
      <c r="A4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6" t="str">
        <f>IF(NOTA[[#This Row],[ID_P]]="","",MATCH(NOTA[[#This Row],[ID_P]],[1]!B_MSK[N_ID],0))</f>
        <v/>
      </c>
      <c r="D449" s="36">
        <f ca="1">IF(NOTA[[#This Row],[NAMA BARANG]]="","",INDEX(NOTA[ID],MATCH(,INDIRECT(ADDRESS(ROW(NOTA[ID]),COLUMN(NOTA[ID]))&amp;":"&amp;ADDRESS(ROW(),COLUMN(NOTA[ID]))),-1)))</f>
        <v>83</v>
      </c>
      <c r="E449" s="14"/>
      <c r="F449" s="16"/>
      <c r="G449" s="16"/>
      <c r="H449" s="20"/>
      <c r="I449" s="16"/>
      <c r="J449" s="37"/>
      <c r="K449" s="16"/>
      <c r="L449" s="16" t="s">
        <v>660</v>
      </c>
      <c r="M449" s="28"/>
      <c r="N449" s="16">
        <v>18</v>
      </c>
      <c r="O449" s="16" t="s">
        <v>160</v>
      </c>
      <c r="P449" s="35">
        <v>15800</v>
      </c>
      <c r="Q449" s="38"/>
      <c r="R449" s="28" t="s">
        <v>549</v>
      </c>
      <c r="S449" s="39">
        <v>0.125</v>
      </c>
      <c r="T449" s="39">
        <v>0.05</v>
      </c>
      <c r="U449" s="40"/>
      <c r="V449" s="26"/>
      <c r="W449" s="40">
        <f>IF(NOTA[[#This Row],[HARGA/ CTN]]="",NOTA[[#This Row],[JUMLAH_H]],NOTA[[#This Row],[HARGA/ CTN]]*IF(NOTA[[#This Row],[C]]="",0,NOTA[[#This Row],[C]]))</f>
        <v>284400</v>
      </c>
      <c r="X449" s="40">
        <f>IF(NOTA[[#This Row],[JUMLAH]]="","",NOTA[[#This Row],[JUMLAH]]*NOTA[[#This Row],[DISC 1]])</f>
        <v>35550</v>
      </c>
      <c r="Y449" s="40">
        <f>IF(NOTA[[#This Row],[JUMLAH]]="","",(NOTA[[#This Row],[JUMLAH]]-NOTA[[#This Row],[DISC 1-]])*NOTA[[#This Row],[DISC 2]])</f>
        <v>12442.5</v>
      </c>
      <c r="Z449" s="40">
        <f>IF(NOTA[[#This Row],[JUMLAH]]="","",NOTA[[#This Row],[DISC 1-]]+NOTA[[#This Row],[DISC 2-]])</f>
        <v>47992.5</v>
      </c>
      <c r="AA449" s="40">
        <f>IF(NOTA[[#This Row],[JUMLAH]]="","",NOTA[[#This Row],[JUMLAH]]-NOTA[[#This Row],[DISC]])</f>
        <v>236407.5</v>
      </c>
      <c r="AB449" s="40"/>
      <c r="AC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9" s="40">
        <f>IF(OR(NOTA[[#This Row],[QTY]]="",NOTA[[#This Row],[HARGA SATUAN]]="",),"",NOTA[[#This Row],[QTY]]*NOTA[[#This Row],[HARGA SATUAN]])</f>
        <v>284400</v>
      </c>
      <c r="AG449" s="37">
        <f ca="1">IF(NOTA[ID_H]="","",INDEX(NOTA[TANGGAL],MATCH(,INDIRECT(ADDRESS(ROW(NOTA[TANGGAL]),COLUMN(NOTA[TANGGAL]))&amp;":"&amp;ADDRESS(ROW(),COLUMN(NOTA[TANGGAL]))),-1)))</f>
        <v>45065</v>
      </c>
      <c r="AH449" s="35" t="str">
        <f ca="1">IF(NOTA[[#This Row],[NAMA BARANG]]="","",INDEX(NOTA[SUPPLIER],MATCH(,INDIRECT(ADDRESS(ROW(NOTA[ID]),COLUMN(NOTA[ID]))&amp;":"&amp;ADDRESS(ROW(),COLUMN(NOTA[ID]))),-1)))</f>
        <v>ATALI MAKMUR</v>
      </c>
      <c r="AI449" s="35" t="str">
        <f ca="1">IF(NOTA[[#This Row],[ID_H]]="","",IF(NOTA[[#This Row],[FAKTUR]]="",INDIRECT(ADDRESS(ROW()-1,COLUMN())),NOTA[[#This Row],[FAKTUR]]))</f>
        <v>ARTO MORO</v>
      </c>
      <c r="AJ449" s="27" t="str">
        <f ca="1">IF(NOTA[[#This Row],[ID]]="","",COUNTIF(NOTA[ID_H],NOTA[[#This Row],[ID_H]]))</f>
        <v/>
      </c>
      <c r="AK449" s="27">
        <f ca="1">IF(NOTA[[#This Row],[TGL.NOTA]]="",IF(NOTA[[#This Row],[SUPPLIER_H]]="","",AK448),MONTH(NOTA[[#This Row],[TGL.NOTA]]))</f>
        <v>5</v>
      </c>
      <c r="AL449" s="27" t="str">
        <f>LOWER(SUBSTITUTE(SUBSTITUTE(SUBSTITUTE(SUBSTITUTE(SUBSTITUTE(SUBSTITUTE(SUBSTITUTE(SUBSTITUTE(SUBSTITUTE(NOTA[NAMA BARANG]," ",),".",""),"-",""),"(",""),")",""),",",""),"/",""),"""",""),"+",""))</f>
        <v>bindera5tsplm505bluejku</v>
      </c>
      <c r="AM4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bindera5tsplm505bluejku2844000.1250.05</v>
      </c>
      <c r="AN4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bindera5tsplm505bluejku158000.1250.05</v>
      </c>
      <c r="AO4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27" t="str">
        <f>IF(NOTA[[#This Row],[CONCAT4]]="","",_xlfn.IFNA(MATCH(NOTA[[#This Row],[CONCAT4]],[2]!RAW[CONCAT_H],0),FALSE))</f>
        <v/>
      </c>
      <c r="AQ449" s="145">
        <f>IF(NOTA[[#This Row],[CONCAT1]]="","",MATCH(NOTA[[#This Row],[CONCAT1]],[3]!db[NB NOTA_C],0)+1)</f>
        <v>183</v>
      </c>
    </row>
    <row r="450" spans="1:43" ht="20.100000000000001" customHeight="1" x14ac:dyDescent="0.25">
      <c r="A4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6" t="str">
        <f>IF(NOTA[[#This Row],[ID_P]]="","",MATCH(NOTA[[#This Row],[ID_P]],[1]!B_MSK[N_ID],0))</f>
        <v/>
      </c>
      <c r="D450" s="36">
        <f ca="1">IF(NOTA[[#This Row],[NAMA BARANG]]="","",INDEX(NOTA[ID],MATCH(,INDIRECT(ADDRESS(ROW(NOTA[ID]),COLUMN(NOTA[ID]))&amp;":"&amp;ADDRESS(ROW(),COLUMN(NOTA[ID]))),-1)))</f>
        <v>83</v>
      </c>
      <c r="E450" s="14"/>
      <c r="F450" s="16"/>
      <c r="G450" s="16"/>
      <c r="H450" s="20"/>
      <c r="I450" s="16"/>
      <c r="J450" s="37"/>
      <c r="K450" s="16"/>
      <c r="L450" s="16" t="s">
        <v>661</v>
      </c>
      <c r="M450" s="28"/>
      <c r="N450" s="16">
        <v>18</v>
      </c>
      <c r="O450" s="16" t="s">
        <v>160</v>
      </c>
      <c r="P450" s="35">
        <v>15800</v>
      </c>
      <c r="Q450" s="38"/>
      <c r="R450" s="28" t="s">
        <v>549</v>
      </c>
      <c r="S450" s="39">
        <v>0.125</v>
      </c>
      <c r="T450" s="39">
        <v>0.05</v>
      </c>
      <c r="U450" s="40"/>
      <c r="V450" s="26"/>
      <c r="W450" s="40">
        <f>IF(NOTA[[#This Row],[HARGA/ CTN]]="",NOTA[[#This Row],[JUMLAH_H]],NOTA[[#This Row],[HARGA/ CTN]]*IF(NOTA[[#This Row],[C]]="",0,NOTA[[#This Row],[C]]))</f>
        <v>284400</v>
      </c>
      <c r="X450" s="40">
        <f>IF(NOTA[[#This Row],[JUMLAH]]="","",NOTA[[#This Row],[JUMLAH]]*NOTA[[#This Row],[DISC 1]])</f>
        <v>35550</v>
      </c>
      <c r="Y450" s="40">
        <f>IF(NOTA[[#This Row],[JUMLAH]]="","",(NOTA[[#This Row],[JUMLAH]]-NOTA[[#This Row],[DISC 1-]])*NOTA[[#This Row],[DISC 2]])</f>
        <v>12442.5</v>
      </c>
      <c r="Z450" s="40">
        <f>IF(NOTA[[#This Row],[JUMLAH]]="","",NOTA[[#This Row],[DISC 1-]]+NOTA[[#This Row],[DISC 2-]])</f>
        <v>47992.5</v>
      </c>
      <c r="AA450" s="40">
        <f>IF(NOTA[[#This Row],[JUMLAH]]="","",NOTA[[#This Row],[JUMLAH]]-NOTA[[#This Row],[DISC]])</f>
        <v>236407.5</v>
      </c>
      <c r="AB450" s="40"/>
      <c r="AC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50" s="40">
        <f>IF(OR(NOTA[[#This Row],[QTY]]="",NOTA[[#This Row],[HARGA SATUAN]]="",),"",NOTA[[#This Row],[QTY]]*NOTA[[#This Row],[HARGA SATUAN]])</f>
        <v>284400</v>
      </c>
      <c r="AG450" s="37">
        <f ca="1">IF(NOTA[ID_H]="","",INDEX(NOTA[TANGGAL],MATCH(,INDIRECT(ADDRESS(ROW(NOTA[TANGGAL]),COLUMN(NOTA[TANGGAL]))&amp;":"&amp;ADDRESS(ROW(),COLUMN(NOTA[TANGGAL]))),-1)))</f>
        <v>45065</v>
      </c>
      <c r="AH450" s="35" t="str">
        <f ca="1">IF(NOTA[[#This Row],[NAMA BARANG]]="","",INDEX(NOTA[SUPPLIER],MATCH(,INDIRECT(ADDRESS(ROW(NOTA[ID]),COLUMN(NOTA[ID]))&amp;":"&amp;ADDRESS(ROW(),COLUMN(NOTA[ID]))),-1)))</f>
        <v>ATALI MAKMUR</v>
      </c>
      <c r="AI450" s="35" t="str">
        <f ca="1">IF(NOTA[[#This Row],[ID_H]]="","",IF(NOTA[[#This Row],[FAKTUR]]="",INDIRECT(ADDRESS(ROW()-1,COLUMN())),NOTA[[#This Row],[FAKTUR]]))</f>
        <v>ARTO MORO</v>
      </c>
      <c r="AJ450" s="27" t="str">
        <f ca="1">IF(NOTA[[#This Row],[ID]]="","",COUNTIF(NOTA[ID_H],NOTA[[#This Row],[ID_H]]))</f>
        <v/>
      </c>
      <c r="AK450" s="27">
        <f ca="1">IF(NOTA[[#This Row],[TGL.NOTA]]="",IF(NOTA[[#This Row],[SUPPLIER_H]]="","",AK449),MONTH(NOTA[[#This Row],[TGL.NOTA]]))</f>
        <v>5</v>
      </c>
      <c r="AL450" s="27" t="str">
        <f>LOWER(SUBSTITUTE(SUBSTITUTE(SUBSTITUTE(SUBSTITUTE(SUBSTITUTE(SUBSTITUTE(SUBSTITUTE(SUBSTITUTE(SUBSTITUTE(NOTA[NAMA BARANG]," ",),".",""),"-",""),"(",""),")",""),",",""),"/",""),"""",""),"+",""))</f>
        <v>bindera5tsplm505greenjku</v>
      </c>
      <c r="AM4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bindera5tsplm505greenjku2844000.1250.05</v>
      </c>
      <c r="AN4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bindera5tsplm505greenjku158000.1250.05</v>
      </c>
      <c r="AO4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27" t="str">
        <f>IF(NOTA[[#This Row],[CONCAT4]]="","",_xlfn.IFNA(MATCH(NOTA[[#This Row],[CONCAT4]],[2]!RAW[CONCAT_H],0),FALSE))</f>
        <v/>
      </c>
      <c r="AQ450" s="145">
        <f>IF(NOTA[[#This Row],[CONCAT1]]="","",MATCH(NOTA[[#This Row],[CONCAT1]],[3]!db[NB NOTA_C],0)+1)</f>
        <v>184</v>
      </c>
    </row>
    <row r="451" spans="1:43" ht="20.100000000000001" customHeight="1" x14ac:dyDescent="0.25">
      <c r="A4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6" t="str">
        <f>IF(NOTA[[#This Row],[ID_P]]="","",MATCH(NOTA[[#This Row],[ID_P]],[1]!B_MSK[N_ID],0))</f>
        <v/>
      </c>
      <c r="D451" s="36">
        <f ca="1">IF(NOTA[[#This Row],[NAMA BARANG]]="","",INDEX(NOTA[ID],MATCH(,INDIRECT(ADDRESS(ROW(NOTA[ID]),COLUMN(NOTA[ID]))&amp;":"&amp;ADDRESS(ROW(),COLUMN(NOTA[ID]))),-1)))</f>
        <v>83</v>
      </c>
      <c r="E451" s="14"/>
      <c r="F451" s="16"/>
      <c r="G451" s="16"/>
      <c r="H451" s="20"/>
      <c r="I451" s="16"/>
      <c r="J451" s="37"/>
      <c r="K451" s="16"/>
      <c r="L451" s="16" t="s">
        <v>663</v>
      </c>
      <c r="M451" s="28"/>
      <c r="N451" s="16">
        <v>18</v>
      </c>
      <c r="O451" s="16" t="s">
        <v>160</v>
      </c>
      <c r="P451" s="35">
        <v>15800</v>
      </c>
      <c r="Q451" s="38"/>
      <c r="R451" s="28" t="s">
        <v>549</v>
      </c>
      <c r="S451" s="39">
        <v>0.125</v>
      </c>
      <c r="T451" s="39">
        <v>0.05</v>
      </c>
      <c r="U451" s="40"/>
      <c r="V451" s="26"/>
      <c r="W451" s="40">
        <f>IF(NOTA[[#This Row],[HARGA/ CTN]]="",NOTA[[#This Row],[JUMLAH_H]],NOTA[[#This Row],[HARGA/ CTN]]*IF(NOTA[[#This Row],[C]]="",0,NOTA[[#This Row],[C]]))</f>
        <v>284400</v>
      </c>
      <c r="X451" s="40">
        <f>IF(NOTA[[#This Row],[JUMLAH]]="","",NOTA[[#This Row],[JUMLAH]]*NOTA[[#This Row],[DISC 1]])</f>
        <v>35550</v>
      </c>
      <c r="Y451" s="40">
        <f>IF(NOTA[[#This Row],[JUMLAH]]="","",(NOTA[[#This Row],[JUMLAH]]-NOTA[[#This Row],[DISC 1-]])*NOTA[[#This Row],[DISC 2]])</f>
        <v>12442.5</v>
      </c>
      <c r="Z451" s="40">
        <f>IF(NOTA[[#This Row],[JUMLAH]]="","",NOTA[[#This Row],[DISC 1-]]+NOTA[[#This Row],[DISC 2-]])</f>
        <v>47992.5</v>
      </c>
      <c r="AA451" s="40">
        <f>IF(NOTA[[#This Row],[JUMLAH]]="","",NOTA[[#This Row],[JUMLAH]]-NOTA[[#This Row],[DISC]])</f>
        <v>236407.5</v>
      </c>
      <c r="AB451" s="40"/>
      <c r="AC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51" s="40">
        <f>IF(OR(NOTA[[#This Row],[QTY]]="",NOTA[[#This Row],[HARGA SATUAN]]="",),"",NOTA[[#This Row],[QTY]]*NOTA[[#This Row],[HARGA SATUAN]])</f>
        <v>284400</v>
      </c>
      <c r="AG451" s="37">
        <f ca="1">IF(NOTA[ID_H]="","",INDEX(NOTA[TANGGAL],MATCH(,INDIRECT(ADDRESS(ROW(NOTA[TANGGAL]),COLUMN(NOTA[TANGGAL]))&amp;":"&amp;ADDRESS(ROW(),COLUMN(NOTA[TANGGAL]))),-1)))</f>
        <v>45065</v>
      </c>
      <c r="AH451" s="35" t="str">
        <f ca="1">IF(NOTA[[#This Row],[NAMA BARANG]]="","",INDEX(NOTA[SUPPLIER],MATCH(,INDIRECT(ADDRESS(ROW(NOTA[ID]),COLUMN(NOTA[ID]))&amp;":"&amp;ADDRESS(ROW(),COLUMN(NOTA[ID]))),-1)))</f>
        <v>ATALI MAKMUR</v>
      </c>
      <c r="AI451" s="35" t="str">
        <f ca="1">IF(NOTA[[#This Row],[ID_H]]="","",IF(NOTA[[#This Row],[FAKTUR]]="",INDIRECT(ADDRESS(ROW()-1,COLUMN())),NOTA[[#This Row],[FAKTUR]]))</f>
        <v>ARTO MORO</v>
      </c>
      <c r="AJ451" s="27" t="str">
        <f ca="1">IF(NOTA[[#This Row],[ID]]="","",COUNTIF(NOTA[ID_H],NOTA[[#This Row],[ID_H]]))</f>
        <v/>
      </c>
      <c r="AK451" s="27">
        <f ca="1">IF(NOTA[[#This Row],[TGL.NOTA]]="",IF(NOTA[[#This Row],[SUPPLIER_H]]="","",AK450),MONTH(NOTA[[#This Row],[TGL.NOTA]]))</f>
        <v>5</v>
      </c>
      <c r="AL451" s="27" t="str">
        <f>LOWER(SUBSTITUTE(SUBSTITUTE(SUBSTITUTE(SUBSTITUTE(SUBSTITUTE(SUBSTITUTE(SUBSTITUTE(SUBSTITUTE(SUBSTITUTE(NOTA[NAMA BARANG]," ",),".",""),"-",""),"(",""),")",""),",",""),"/",""),"""",""),"+",""))</f>
        <v>bindera5tsplm505redjku</v>
      </c>
      <c r="AM4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bindera5tsplm505redjku2844000.1250.05</v>
      </c>
      <c r="AN4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bindera5tsplm505redjku158000.1250.05</v>
      </c>
      <c r="AO4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27" t="str">
        <f>IF(NOTA[[#This Row],[CONCAT4]]="","",_xlfn.IFNA(MATCH(NOTA[[#This Row],[CONCAT4]],[2]!RAW[CONCAT_H],0),FALSE))</f>
        <v/>
      </c>
      <c r="AQ451" s="145">
        <f>IF(NOTA[[#This Row],[CONCAT1]]="","",MATCH(NOTA[[#This Row],[CONCAT1]],[3]!db[NB NOTA_C],0)+1)</f>
        <v>185</v>
      </c>
    </row>
    <row r="452" spans="1:43" ht="20.100000000000001" customHeight="1" x14ac:dyDescent="0.25">
      <c r="A45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6" t="str">
        <f>IF(NOTA[[#This Row],[ID_P]]="","",MATCH(NOTA[[#This Row],[ID_P]],[1]!B_MSK[N_ID],0))</f>
        <v/>
      </c>
      <c r="D452" s="36">
        <f ca="1">IF(NOTA[[#This Row],[NAMA BARANG]]="","",INDEX(NOTA[ID],MATCH(,INDIRECT(ADDRESS(ROW(NOTA[ID]),COLUMN(NOTA[ID]))&amp;":"&amp;ADDRESS(ROW(),COLUMN(NOTA[ID]))),-1)))</f>
        <v>83</v>
      </c>
      <c r="E452" s="14"/>
      <c r="F452" s="16"/>
      <c r="G452" s="16"/>
      <c r="H452" s="20"/>
      <c r="I452" s="16"/>
      <c r="J452" s="37"/>
      <c r="K452" s="16"/>
      <c r="L452" s="16" t="s">
        <v>662</v>
      </c>
      <c r="M452" s="28"/>
      <c r="N452" s="16">
        <v>18</v>
      </c>
      <c r="O452" s="16" t="s">
        <v>160</v>
      </c>
      <c r="P452" s="35">
        <v>15800</v>
      </c>
      <c r="Q452" s="38"/>
      <c r="R452" s="28" t="s">
        <v>549</v>
      </c>
      <c r="S452" s="39">
        <v>0.125</v>
      </c>
      <c r="T452" s="39">
        <v>0.05</v>
      </c>
      <c r="U452" s="40"/>
      <c r="V452" s="26"/>
      <c r="W452" s="40">
        <f>IF(NOTA[[#This Row],[HARGA/ CTN]]="",NOTA[[#This Row],[JUMLAH_H]],NOTA[[#This Row],[HARGA/ CTN]]*IF(NOTA[[#This Row],[C]]="",0,NOTA[[#This Row],[C]]))</f>
        <v>284400</v>
      </c>
      <c r="X452" s="40">
        <f>IF(NOTA[[#This Row],[JUMLAH]]="","",NOTA[[#This Row],[JUMLAH]]*NOTA[[#This Row],[DISC 1]])</f>
        <v>35550</v>
      </c>
      <c r="Y452" s="40">
        <f>IF(NOTA[[#This Row],[JUMLAH]]="","",(NOTA[[#This Row],[JUMLAH]]-NOTA[[#This Row],[DISC 1-]])*NOTA[[#This Row],[DISC 2]])</f>
        <v>12442.5</v>
      </c>
      <c r="Z452" s="40">
        <f>IF(NOTA[[#This Row],[JUMLAH]]="","",NOTA[[#This Row],[DISC 1-]]+NOTA[[#This Row],[DISC 2-]])</f>
        <v>47992.5</v>
      </c>
      <c r="AA452" s="40">
        <f>IF(NOTA[[#This Row],[JUMLAH]]="","",NOTA[[#This Row],[JUMLAH]]-NOTA[[#This Row],[DISC]])</f>
        <v>236407.5</v>
      </c>
      <c r="AB452" s="40"/>
      <c r="AC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3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52" s="40">
        <f>IF(OR(NOTA[[#This Row],[QTY]]="",NOTA[[#This Row],[HARGA SATUAN]]="",),"",NOTA[[#This Row],[QTY]]*NOTA[[#This Row],[HARGA SATUAN]])</f>
        <v>284400</v>
      </c>
      <c r="AG452" s="37">
        <f ca="1">IF(NOTA[ID_H]="","",INDEX(NOTA[TANGGAL],MATCH(,INDIRECT(ADDRESS(ROW(NOTA[TANGGAL]),COLUMN(NOTA[TANGGAL]))&amp;":"&amp;ADDRESS(ROW(),COLUMN(NOTA[TANGGAL]))),-1)))</f>
        <v>45065</v>
      </c>
      <c r="AH452" s="35" t="str">
        <f ca="1">IF(NOTA[[#This Row],[NAMA BARANG]]="","",INDEX(NOTA[SUPPLIER],MATCH(,INDIRECT(ADDRESS(ROW(NOTA[ID]),COLUMN(NOTA[ID]))&amp;":"&amp;ADDRESS(ROW(),COLUMN(NOTA[ID]))),-1)))</f>
        <v>ATALI MAKMUR</v>
      </c>
      <c r="AI452" s="35" t="str">
        <f ca="1">IF(NOTA[[#This Row],[ID_H]]="","",IF(NOTA[[#This Row],[FAKTUR]]="",INDIRECT(ADDRESS(ROW()-1,COLUMN())),NOTA[[#This Row],[FAKTUR]]))</f>
        <v>ARTO MORO</v>
      </c>
      <c r="AJ452" s="27" t="str">
        <f ca="1">IF(NOTA[[#This Row],[ID]]="","",COUNTIF(NOTA[ID_H],NOTA[[#This Row],[ID_H]]))</f>
        <v/>
      </c>
      <c r="AK452" s="27">
        <f ca="1">IF(NOTA[[#This Row],[TGL.NOTA]]="",IF(NOTA[[#This Row],[SUPPLIER_H]]="","",AK451),MONTH(NOTA[[#This Row],[TGL.NOTA]]))</f>
        <v>5</v>
      </c>
      <c r="AL452" s="27" t="str">
        <f>LOWER(SUBSTITUTE(SUBSTITUTE(SUBSTITUTE(SUBSTITUTE(SUBSTITUTE(SUBSTITUTE(SUBSTITUTE(SUBSTITUTE(SUBSTITUTE(NOTA[NAMA BARANG]," ",),".",""),"-",""),"(",""),")",""),",",""),"/",""),"""",""),"+",""))</f>
        <v>bindera5tsplm505yellowjku</v>
      </c>
      <c r="AM4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bindera5tsplm505yellowjku2844000.1250.05</v>
      </c>
      <c r="AN4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bindera5tsplm505yellowjku158000.1250.05</v>
      </c>
      <c r="AO45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27" t="str">
        <f>IF(NOTA[[#This Row],[CONCAT4]]="","",_xlfn.IFNA(MATCH(NOTA[[#This Row],[CONCAT4]],[2]!RAW[CONCAT_H],0),FALSE))</f>
        <v/>
      </c>
      <c r="AQ452" s="145">
        <f>IF(NOTA[[#This Row],[CONCAT1]]="","",MATCH(NOTA[[#This Row],[CONCAT1]],[3]!db[NB NOTA_C],0)+1)</f>
        <v>186</v>
      </c>
    </row>
    <row r="453" spans="1:43" ht="20.100000000000001" customHeight="1" x14ac:dyDescent="0.25">
      <c r="A4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6" t="str">
        <f>IF(NOTA[[#This Row],[ID_P]]="","",MATCH(NOTA[[#This Row],[ID_P]],[1]!B_MSK[N_ID],0))</f>
        <v/>
      </c>
      <c r="D453" s="36">
        <f ca="1">IF(NOTA[[#This Row],[NAMA BARANG]]="","",INDEX(NOTA[ID],MATCH(,INDIRECT(ADDRESS(ROW(NOTA[ID]),COLUMN(NOTA[ID]))&amp;":"&amp;ADDRESS(ROW(),COLUMN(NOTA[ID]))),-1)))</f>
        <v>83</v>
      </c>
      <c r="E453" s="14"/>
      <c r="F453" s="16"/>
      <c r="G453" s="16"/>
      <c r="H453" s="20"/>
      <c r="I453" s="16"/>
      <c r="J453" s="37"/>
      <c r="K453" s="16"/>
      <c r="L453" s="16" t="s">
        <v>664</v>
      </c>
      <c r="M453" s="28"/>
      <c r="N453" s="16">
        <v>24</v>
      </c>
      <c r="O453" s="16" t="s">
        <v>160</v>
      </c>
      <c r="P453" s="35">
        <v>15800</v>
      </c>
      <c r="Q453" s="38"/>
      <c r="R453" s="28" t="s">
        <v>549</v>
      </c>
      <c r="S453" s="39">
        <v>0.125</v>
      </c>
      <c r="T453" s="39">
        <v>0.05</v>
      </c>
      <c r="U453" s="40"/>
      <c r="V453" s="26"/>
      <c r="W453" s="40">
        <f>IF(NOTA[[#This Row],[HARGA/ CTN]]="",NOTA[[#This Row],[JUMLAH_H]],NOTA[[#This Row],[HARGA/ CTN]]*IF(NOTA[[#This Row],[C]]="",0,NOTA[[#This Row],[C]]))</f>
        <v>379200</v>
      </c>
      <c r="X453" s="40">
        <f>IF(NOTA[[#This Row],[JUMLAH]]="","",NOTA[[#This Row],[JUMLAH]]*NOTA[[#This Row],[DISC 1]])</f>
        <v>47400</v>
      </c>
      <c r="Y453" s="40">
        <f>IF(NOTA[[#This Row],[JUMLAH]]="","",(NOTA[[#This Row],[JUMLAH]]-NOTA[[#This Row],[DISC 1-]])*NOTA[[#This Row],[DISC 2]])</f>
        <v>16590</v>
      </c>
      <c r="Z453" s="40">
        <f>IF(NOTA[[#This Row],[JUMLAH]]="","",NOTA[[#This Row],[DISC 1-]]+NOTA[[#This Row],[DISC 2-]])</f>
        <v>63990</v>
      </c>
      <c r="AA453" s="40">
        <f>IF(NOTA[[#This Row],[JUMLAH]]="","",NOTA[[#This Row],[JUMLAH]]-NOTA[[#This Row],[DISC]])</f>
        <v>315210</v>
      </c>
      <c r="AB453" s="40"/>
      <c r="AC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53" s="40">
        <f>IF(OR(NOTA[[#This Row],[QTY]]="",NOTA[[#This Row],[HARGA SATUAN]]="",),"",NOTA[[#This Row],[QTY]]*NOTA[[#This Row],[HARGA SATUAN]])</f>
        <v>379200</v>
      </c>
      <c r="AG453" s="37">
        <f ca="1">IF(NOTA[ID_H]="","",INDEX(NOTA[TANGGAL],MATCH(,INDIRECT(ADDRESS(ROW(NOTA[TANGGAL]),COLUMN(NOTA[TANGGAL]))&amp;":"&amp;ADDRESS(ROW(),COLUMN(NOTA[TANGGAL]))),-1)))</f>
        <v>45065</v>
      </c>
      <c r="AH453" s="35" t="str">
        <f ca="1">IF(NOTA[[#This Row],[NAMA BARANG]]="","",INDEX(NOTA[SUPPLIER],MATCH(,INDIRECT(ADDRESS(ROW(NOTA[ID]),COLUMN(NOTA[ID]))&amp;":"&amp;ADDRESS(ROW(),COLUMN(NOTA[ID]))),-1)))</f>
        <v>ATALI MAKMUR</v>
      </c>
      <c r="AI453" s="35" t="str">
        <f ca="1">IF(NOTA[[#This Row],[ID_H]]="","",IF(NOTA[[#This Row],[FAKTUR]]="",INDIRECT(ADDRESS(ROW()-1,COLUMN())),NOTA[[#This Row],[FAKTUR]]))</f>
        <v>ARTO MORO</v>
      </c>
      <c r="AJ453" s="27" t="str">
        <f ca="1">IF(NOTA[[#This Row],[ID]]="","",COUNTIF(NOTA[ID_H],NOTA[[#This Row],[ID_H]]))</f>
        <v/>
      </c>
      <c r="AK453" s="27">
        <f ca="1">IF(NOTA[[#This Row],[TGL.NOTA]]="",IF(NOTA[[#This Row],[SUPPLIER_H]]="","",AK452),MONTH(NOTA[[#This Row],[TGL.NOTA]]))</f>
        <v>5</v>
      </c>
      <c r="AL453" s="27" t="str">
        <f>LOWER(SUBSTITUTE(SUBSTITUTE(SUBSTITUTE(SUBSTITUTE(SUBSTITUTE(SUBSTITUTE(SUBSTITUTE(SUBSTITUTE(SUBSTITUTE(NOTA[NAMA BARANG]," ",),".",""),"-",""),"(",""),")",""),",",""),"/",""),"""",""),"+",""))</f>
        <v>bindermhknm510greenjku</v>
      </c>
      <c r="AM4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bindermhknm510greenjku3792000.1250.05</v>
      </c>
      <c r="AN4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bindermhknm510greenjku158000.1250.05</v>
      </c>
      <c r="AO4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27" t="str">
        <f>IF(NOTA[[#This Row],[CONCAT4]]="","",_xlfn.IFNA(MATCH(NOTA[[#This Row],[CONCAT4]],[2]!RAW[CONCAT_H],0),FALSE))</f>
        <v/>
      </c>
      <c r="AQ453" s="145">
        <f>IF(NOTA[[#This Row],[CONCAT1]]="","",MATCH(NOTA[[#This Row],[CONCAT1]],[3]!db[NB NOTA_C],0)+1)</f>
        <v>234</v>
      </c>
    </row>
    <row r="454" spans="1:43" ht="20.100000000000001" customHeight="1" x14ac:dyDescent="0.25">
      <c r="A4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6" t="str">
        <f>IF(NOTA[[#This Row],[ID_P]]="","",MATCH(NOTA[[#This Row],[ID_P]],[1]!B_MSK[N_ID],0))</f>
        <v/>
      </c>
      <c r="D454" s="36">
        <f ca="1">IF(NOTA[[#This Row],[NAMA BARANG]]="","",INDEX(NOTA[ID],MATCH(,INDIRECT(ADDRESS(ROW(NOTA[ID]),COLUMN(NOTA[ID]))&amp;":"&amp;ADDRESS(ROW(),COLUMN(NOTA[ID]))),-1)))</f>
        <v>83</v>
      </c>
      <c r="E454" s="14"/>
      <c r="F454" s="16"/>
      <c r="G454" s="16"/>
      <c r="H454" s="20"/>
      <c r="I454" s="16"/>
      <c r="J454" s="37"/>
      <c r="K454" s="16"/>
      <c r="L454" s="16" t="s">
        <v>665</v>
      </c>
      <c r="M454" s="28"/>
      <c r="N454" s="16">
        <v>24</v>
      </c>
      <c r="O454" s="16" t="s">
        <v>160</v>
      </c>
      <c r="P454" s="35">
        <v>15800</v>
      </c>
      <c r="Q454" s="38"/>
      <c r="R454" s="28" t="s">
        <v>549</v>
      </c>
      <c r="S454" s="39">
        <v>0.125</v>
      </c>
      <c r="T454" s="39">
        <v>0.05</v>
      </c>
      <c r="U454" s="40"/>
      <c r="V454" s="26"/>
      <c r="W454" s="40">
        <f>IF(NOTA[[#This Row],[HARGA/ CTN]]="",NOTA[[#This Row],[JUMLAH_H]],NOTA[[#This Row],[HARGA/ CTN]]*IF(NOTA[[#This Row],[C]]="",0,NOTA[[#This Row],[C]]))</f>
        <v>379200</v>
      </c>
      <c r="X454" s="40">
        <f>IF(NOTA[[#This Row],[JUMLAH]]="","",NOTA[[#This Row],[JUMLAH]]*NOTA[[#This Row],[DISC 1]])</f>
        <v>47400</v>
      </c>
      <c r="Y454" s="40">
        <f>IF(NOTA[[#This Row],[JUMLAH]]="","",(NOTA[[#This Row],[JUMLAH]]-NOTA[[#This Row],[DISC 1-]])*NOTA[[#This Row],[DISC 2]])</f>
        <v>16590</v>
      </c>
      <c r="Z454" s="40">
        <f>IF(NOTA[[#This Row],[JUMLAH]]="","",NOTA[[#This Row],[DISC 1-]]+NOTA[[#This Row],[DISC 2-]])</f>
        <v>63990</v>
      </c>
      <c r="AA454" s="40">
        <f>IF(NOTA[[#This Row],[JUMLAH]]="","",NOTA[[#This Row],[JUMLAH]]-NOTA[[#This Row],[DISC]])</f>
        <v>315210</v>
      </c>
      <c r="AB454" s="40"/>
      <c r="AC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54" s="40">
        <f>IF(OR(NOTA[[#This Row],[QTY]]="",NOTA[[#This Row],[HARGA SATUAN]]="",),"",NOTA[[#This Row],[QTY]]*NOTA[[#This Row],[HARGA SATUAN]])</f>
        <v>379200</v>
      </c>
      <c r="AG454" s="37">
        <f ca="1">IF(NOTA[ID_H]="","",INDEX(NOTA[TANGGAL],MATCH(,INDIRECT(ADDRESS(ROW(NOTA[TANGGAL]),COLUMN(NOTA[TANGGAL]))&amp;":"&amp;ADDRESS(ROW(),COLUMN(NOTA[TANGGAL]))),-1)))</f>
        <v>45065</v>
      </c>
      <c r="AH454" s="35" t="str">
        <f ca="1">IF(NOTA[[#This Row],[NAMA BARANG]]="","",INDEX(NOTA[SUPPLIER],MATCH(,INDIRECT(ADDRESS(ROW(NOTA[ID]),COLUMN(NOTA[ID]))&amp;":"&amp;ADDRESS(ROW(),COLUMN(NOTA[ID]))),-1)))</f>
        <v>ATALI MAKMUR</v>
      </c>
      <c r="AI454" s="35" t="str">
        <f ca="1">IF(NOTA[[#This Row],[ID_H]]="","",IF(NOTA[[#This Row],[FAKTUR]]="",INDIRECT(ADDRESS(ROW()-1,COLUMN())),NOTA[[#This Row],[FAKTUR]]))</f>
        <v>ARTO MORO</v>
      </c>
      <c r="AJ454" s="27" t="str">
        <f ca="1">IF(NOTA[[#This Row],[ID]]="","",COUNTIF(NOTA[ID_H],NOTA[[#This Row],[ID_H]]))</f>
        <v/>
      </c>
      <c r="AK454" s="27">
        <f ca="1">IF(NOTA[[#This Row],[TGL.NOTA]]="",IF(NOTA[[#This Row],[SUPPLIER_H]]="","",AK453),MONTH(NOTA[[#This Row],[TGL.NOTA]]))</f>
        <v>5</v>
      </c>
      <c r="AL454" s="27" t="str">
        <f>LOWER(SUBSTITUTE(SUBSTITUTE(SUBSTITUTE(SUBSTITUTE(SUBSTITUTE(SUBSTITUTE(SUBSTITUTE(SUBSTITUTE(SUBSTITUTE(NOTA[NAMA BARANG]," ",),".",""),"-",""),"(",""),")",""),",",""),"/",""),"""",""),"+",""))</f>
        <v>bindermhknm510orangejku</v>
      </c>
      <c r="AM4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bindermhknm510orangejku3792000.1250.05</v>
      </c>
      <c r="AN4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bindermhknm510orangejku158000.1250.05</v>
      </c>
      <c r="AO4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27" t="str">
        <f>IF(NOTA[[#This Row],[CONCAT4]]="","",_xlfn.IFNA(MATCH(NOTA[[#This Row],[CONCAT4]],[2]!RAW[CONCAT_H],0),FALSE))</f>
        <v/>
      </c>
      <c r="AQ454" s="145">
        <f>IF(NOTA[[#This Row],[CONCAT1]]="","",MATCH(NOTA[[#This Row],[CONCAT1]],[3]!db[NB NOTA_C],0)+1)</f>
        <v>235</v>
      </c>
    </row>
    <row r="455" spans="1:43" ht="20.100000000000001" customHeight="1" x14ac:dyDescent="0.25">
      <c r="A45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6" t="str">
        <f>IF(NOTA[[#This Row],[ID_P]]="","",MATCH(NOTA[[#This Row],[ID_P]],[1]!B_MSK[N_ID],0))</f>
        <v/>
      </c>
      <c r="D455" s="36">
        <f ca="1">IF(NOTA[[#This Row],[NAMA BARANG]]="","",INDEX(NOTA[ID],MATCH(,INDIRECT(ADDRESS(ROW(NOTA[ID]),COLUMN(NOTA[ID]))&amp;":"&amp;ADDRESS(ROW(),COLUMN(NOTA[ID]))),-1)))</f>
        <v>83</v>
      </c>
      <c r="E455" s="14"/>
      <c r="F455" s="16"/>
      <c r="G455" s="16"/>
      <c r="H455" s="20"/>
      <c r="I455" s="16"/>
      <c r="J455" s="37"/>
      <c r="K455" s="16"/>
      <c r="L455" s="16" t="s">
        <v>666</v>
      </c>
      <c r="M455" s="28"/>
      <c r="N455" s="16">
        <v>24</v>
      </c>
      <c r="O455" s="16" t="s">
        <v>160</v>
      </c>
      <c r="P455" s="35">
        <v>15800</v>
      </c>
      <c r="Q455" s="38"/>
      <c r="R455" s="28" t="s">
        <v>549</v>
      </c>
      <c r="S455" s="39">
        <v>0.125</v>
      </c>
      <c r="T455" s="39">
        <v>0.05</v>
      </c>
      <c r="U455" s="40"/>
      <c r="V455" s="26"/>
      <c r="W455" s="40">
        <f>IF(NOTA[[#This Row],[HARGA/ CTN]]="",NOTA[[#This Row],[JUMLAH_H]],NOTA[[#This Row],[HARGA/ CTN]]*IF(NOTA[[#This Row],[C]]="",0,NOTA[[#This Row],[C]]))</f>
        <v>379200</v>
      </c>
      <c r="X455" s="40">
        <f>IF(NOTA[[#This Row],[JUMLAH]]="","",NOTA[[#This Row],[JUMLAH]]*NOTA[[#This Row],[DISC 1]])</f>
        <v>47400</v>
      </c>
      <c r="Y455" s="40">
        <f>IF(NOTA[[#This Row],[JUMLAH]]="","",(NOTA[[#This Row],[JUMLAH]]-NOTA[[#This Row],[DISC 1-]])*NOTA[[#This Row],[DISC 2]])</f>
        <v>16590</v>
      </c>
      <c r="Z455" s="40">
        <f>IF(NOTA[[#This Row],[JUMLAH]]="","",NOTA[[#This Row],[DISC 1-]]+NOTA[[#This Row],[DISC 2-]])</f>
        <v>63990</v>
      </c>
      <c r="AA455" s="40">
        <f>IF(NOTA[[#This Row],[JUMLAH]]="","",NOTA[[#This Row],[JUMLAH]]-NOTA[[#This Row],[DISC]])</f>
        <v>315210</v>
      </c>
      <c r="AB455" s="40"/>
      <c r="AC45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D45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E455" s="35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55" s="40">
        <f>IF(OR(NOTA[[#This Row],[QTY]]="",NOTA[[#This Row],[HARGA SATUAN]]="",),"",NOTA[[#This Row],[QTY]]*NOTA[[#This Row],[HARGA SATUAN]])</f>
        <v>379200</v>
      </c>
      <c r="AG455" s="37">
        <f ca="1">IF(NOTA[ID_H]="","",INDEX(NOTA[TANGGAL],MATCH(,INDIRECT(ADDRESS(ROW(NOTA[TANGGAL]),COLUMN(NOTA[TANGGAL]))&amp;":"&amp;ADDRESS(ROW(),COLUMN(NOTA[TANGGAL]))),-1)))</f>
        <v>45065</v>
      </c>
      <c r="AH455" s="35" t="str">
        <f ca="1">IF(NOTA[[#This Row],[NAMA BARANG]]="","",INDEX(NOTA[SUPPLIER],MATCH(,INDIRECT(ADDRESS(ROW(NOTA[ID]),COLUMN(NOTA[ID]))&amp;":"&amp;ADDRESS(ROW(),COLUMN(NOTA[ID]))),-1)))</f>
        <v>ATALI MAKMUR</v>
      </c>
      <c r="AI455" s="35" t="str">
        <f ca="1">IF(NOTA[[#This Row],[ID_H]]="","",IF(NOTA[[#This Row],[FAKTUR]]="",INDIRECT(ADDRESS(ROW()-1,COLUMN())),NOTA[[#This Row],[FAKTUR]]))</f>
        <v>ARTO MORO</v>
      </c>
      <c r="AJ455" s="27" t="str">
        <f ca="1">IF(NOTA[[#This Row],[ID]]="","",COUNTIF(NOTA[ID_H],NOTA[[#This Row],[ID_H]]))</f>
        <v/>
      </c>
      <c r="AK455" s="27">
        <f ca="1">IF(NOTA[[#This Row],[TGL.NOTA]]="",IF(NOTA[[#This Row],[SUPPLIER_H]]="","",AK454),MONTH(NOTA[[#This Row],[TGL.NOTA]]))</f>
        <v>5</v>
      </c>
      <c r="AL455" s="27" t="str">
        <f>LOWER(SUBSTITUTE(SUBSTITUTE(SUBSTITUTE(SUBSTITUTE(SUBSTITUTE(SUBSTITUTE(SUBSTITUTE(SUBSTITUTE(SUBSTITUTE(NOTA[NAMA BARANG]," ",),".",""),"-",""),"(",""),")",""),",",""),"/",""),"""",""),"+",""))</f>
        <v>bindermhknm510yellowjku</v>
      </c>
      <c r="AM4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bindermhknm510yellowjku3792000.1250.05</v>
      </c>
      <c r="AN4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bindermhknm510yellowjku158000.1250.05</v>
      </c>
      <c r="AO45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27" t="str">
        <f>IF(NOTA[[#This Row],[CONCAT4]]="","",_xlfn.IFNA(MATCH(NOTA[[#This Row],[CONCAT4]],[2]!RAW[CONCAT_H],0),FALSE))</f>
        <v/>
      </c>
      <c r="AQ455" s="145">
        <f>IF(NOTA[[#This Row],[CONCAT1]]="","",MATCH(NOTA[[#This Row],[CONCAT1]],[3]!db[NB NOTA_C],0)+1)</f>
        <v>236</v>
      </c>
    </row>
    <row r="456" spans="1:43" ht="20.100000000000001" customHeight="1" x14ac:dyDescent="0.25">
      <c r="A45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6" t="str">
        <f>IF(NOTA[[#This Row],[ID_P]]="","",MATCH(NOTA[[#This Row],[ID_P]],[1]!B_MSK[N_ID],0))</f>
        <v/>
      </c>
      <c r="D456" s="36" t="str">
        <f ca="1">IF(NOTA[[#This Row],[NAMA BARANG]]="","",INDEX(NOTA[ID],MATCH(,INDIRECT(ADDRESS(ROW(NOTA[ID]),COLUMN(NOTA[ID]))&amp;":"&amp;ADDRESS(ROW(),COLUMN(NOTA[ID]))),-1)))</f>
        <v/>
      </c>
      <c r="E456" s="14"/>
      <c r="F456" s="16"/>
      <c r="G456" s="16"/>
      <c r="H456" s="20"/>
      <c r="I456" s="16"/>
      <c r="J456" s="37"/>
      <c r="K456" s="16"/>
      <c r="L456" s="16"/>
      <c r="M456" s="28"/>
      <c r="N456" s="36"/>
      <c r="O456" s="16"/>
      <c r="P456" s="35"/>
      <c r="Q456" s="38"/>
      <c r="R456" s="28"/>
      <c r="S456" s="39"/>
      <c r="T456" s="39"/>
      <c r="U456" s="40"/>
      <c r="V456" s="26"/>
      <c r="W456" s="40" t="str">
        <f>IF(NOTA[[#This Row],[HARGA/ CTN]]="",NOTA[[#This Row],[JUMLAH_H]],NOTA[[#This Row],[HARGA/ CTN]]*IF(NOTA[[#This Row],[C]]="",0,NOTA[[#This Row],[C]]))</f>
        <v/>
      </c>
      <c r="X456" s="40" t="str">
        <f>IF(NOTA[[#This Row],[JUMLAH]]="","",NOTA[[#This Row],[JUMLAH]]*NOTA[[#This Row],[DISC 1]])</f>
        <v/>
      </c>
      <c r="Y456" s="40" t="str">
        <f>IF(NOTA[[#This Row],[JUMLAH]]="","",(NOTA[[#This Row],[JUMLAH]]-NOTA[[#This Row],[DISC 1-]])*NOTA[[#This Row],[DISC 2]])</f>
        <v/>
      </c>
      <c r="Z456" s="40" t="str">
        <f>IF(NOTA[[#This Row],[JUMLAH]]="","",NOTA[[#This Row],[DISC 1-]]+NOTA[[#This Row],[DISC 2-]])</f>
        <v/>
      </c>
      <c r="AA456" s="40" t="str">
        <f>IF(NOTA[[#This Row],[JUMLAH]]="","",NOTA[[#This Row],[JUMLAH]]-NOTA[[#This Row],[DISC]])</f>
        <v/>
      </c>
      <c r="AB456" s="40"/>
      <c r="AC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40" t="str">
        <f>IF(OR(NOTA[[#This Row],[QTY]]="",NOTA[[#This Row],[HARGA SATUAN]]="",),"",NOTA[[#This Row],[QTY]]*NOTA[[#This Row],[HARGA SATUAN]])</f>
        <v/>
      </c>
      <c r="AG456" s="37" t="str">
        <f ca="1">IF(NOTA[ID_H]="","",INDEX(NOTA[TANGGAL],MATCH(,INDIRECT(ADDRESS(ROW(NOTA[TANGGAL]),COLUMN(NOTA[TANGGAL]))&amp;":"&amp;ADDRESS(ROW(),COLUMN(NOTA[TANGGAL]))),-1)))</f>
        <v/>
      </c>
      <c r="AH456" s="35" t="str">
        <f ca="1">IF(NOTA[[#This Row],[NAMA BARANG]]="","",INDEX(NOTA[SUPPLIER],MATCH(,INDIRECT(ADDRESS(ROW(NOTA[ID]),COLUMN(NOTA[ID]))&amp;":"&amp;ADDRESS(ROW(),COLUMN(NOTA[ID]))),-1)))</f>
        <v/>
      </c>
      <c r="AI456" s="35" t="str">
        <f ca="1">IF(NOTA[[#This Row],[ID_H]]="","",IF(NOTA[[#This Row],[FAKTUR]]="",INDIRECT(ADDRESS(ROW()-1,COLUMN())),NOTA[[#This Row],[FAKTUR]]))</f>
        <v/>
      </c>
      <c r="AJ456" s="27" t="str">
        <f ca="1">IF(NOTA[[#This Row],[ID]]="","",COUNTIF(NOTA[ID_H],NOTA[[#This Row],[ID_H]]))</f>
        <v/>
      </c>
      <c r="AK456" s="27" t="str">
        <f ca="1">IF(NOTA[[#This Row],[TGL.NOTA]]="",IF(NOTA[[#This Row],[SUPPLIER_H]]="","",AK455),MONTH(NOTA[[#This Row],[TGL.NOTA]]))</f>
        <v/>
      </c>
      <c r="AL456" s="27" t="str">
        <f>LOWER(SUBSTITUTE(SUBSTITUTE(SUBSTITUTE(SUBSTITUTE(SUBSTITUTE(SUBSTITUTE(SUBSTITUTE(SUBSTITUTE(SUBSTITUTE(NOTA[NAMA BARANG]," ",),".",""),"-",""),"(",""),")",""),",",""),"/",""),"""",""),"+",""))</f>
        <v/>
      </c>
      <c r="AM4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27" t="str">
        <f>IF(NOTA[[#This Row],[CONCAT4]]="","",_xlfn.IFNA(MATCH(NOTA[[#This Row],[CONCAT4]],[2]!RAW[CONCAT_H],0),FALSE))</f>
        <v/>
      </c>
      <c r="AQ456" s="145" t="str">
        <f>IF(NOTA[[#This Row],[CONCAT1]]="","",MATCH(NOTA[[#This Row],[CONCAT1]],[3]!db[NB NOTA_C],0)+1)</f>
        <v/>
      </c>
    </row>
    <row r="457" spans="1:43" ht="20.100000000000001" customHeight="1" x14ac:dyDescent="0.25">
      <c r="A457" s="35">
        <f ca="1">IF(INDIRECT(ADDRESS(ROW()-1,COLUMN(NOTA[[#Headers],[ID]])))="ID",1,IF(NOTA[[#This Row],[FAKTUR]]="","",COUNT(INDIRECT(ADDRESS(ROW(NOTA[ID]),COLUMN(NOTA[ID]))&amp;":"&amp;ADDRESS(ROW()-1,COLUMN(NOTA[ID]))))+1))</f>
        <v>84</v>
      </c>
      <c r="B45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KEN_1705_117-10</v>
      </c>
      <c r="C457" s="36" t="e">
        <f ca="1">IF(NOTA[[#This Row],[ID_P]]="","",MATCH(NOTA[[#This Row],[ID_P]],[1]!B_MSK[N_ID],0))</f>
        <v>#REF!</v>
      </c>
      <c r="D457" s="36">
        <f ca="1">IF(NOTA[[#This Row],[NAMA BARANG]]="","",INDEX(NOTA[ID],MATCH(,INDIRECT(ADDRESS(ROW(NOTA[ID]),COLUMN(NOTA[ID]))&amp;":"&amp;ADDRESS(ROW(),COLUMN(NOTA[ID]))),-1)))</f>
        <v>84</v>
      </c>
      <c r="E457" s="14">
        <v>45063</v>
      </c>
      <c r="F457" s="16" t="s">
        <v>23</v>
      </c>
      <c r="G457" s="16" t="s">
        <v>24</v>
      </c>
      <c r="H457" s="20" t="s">
        <v>667</v>
      </c>
      <c r="I457" s="16" t="s">
        <v>713</v>
      </c>
      <c r="J457" s="37">
        <v>45057</v>
      </c>
      <c r="K457" s="16"/>
      <c r="L457" s="16" t="s">
        <v>324</v>
      </c>
      <c r="M457" s="28">
        <v>1</v>
      </c>
      <c r="N457" s="36"/>
      <c r="O457" s="16"/>
      <c r="P457" s="35"/>
      <c r="Q457" s="38">
        <v>1995000</v>
      </c>
      <c r="R457" s="28" t="s">
        <v>708</v>
      </c>
      <c r="S457" s="39">
        <v>0.17</v>
      </c>
      <c r="T457" s="39"/>
      <c r="U457" s="40"/>
      <c r="V457" s="26"/>
      <c r="W457" s="40">
        <f>IF(NOTA[[#This Row],[HARGA/ CTN]]="",NOTA[[#This Row],[JUMLAH_H]],NOTA[[#This Row],[HARGA/ CTN]]*IF(NOTA[[#This Row],[C]]="",0,NOTA[[#This Row],[C]]))</f>
        <v>1995000</v>
      </c>
      <c r="X457" s="40">
        <f>IF(NOTA[[#This Row],[JUMLAH]]="","",NOTA[[#This Row],[JUMLAH]]*NOTA[[#This Row],[DISC 1]])</f>
        <v>339150</v>
      </c>
      <c r="Y457" s="40">
        <f>IF(NOTA[[#This Row],[JUMLAH]]="","",(NOTA[[#This Row],[JUMLAH]]-NOTA[[#This Row],[DISC 1-]])*NOTA[[#This Row],[DISC 2]])</f>
        <v>0</v>
      </c>
      <c r="Z457" s="40">
        <f>IF(NOTA[[#This Row],[JUMLAH]]="","",NOTA[[#This Row],[DISC 1-]]+NOTA[[#This Row],[DISC 2-]])</f>
        <v>339150</v>
      </c>
      <c r="AA457" s="40">
        <f>IF(NOTA[[#This Row],[JUMLAH]]="","",NOTA[[#This Row],[JUMLAH]]-NOTA[[#This Row],[DISC]])</f>
        <v>1655850</v>
      </c>
      <c r="AB457" s="40"/>
      <c r="AC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3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457" s="40" t="str">
        <f>IF(OR(NOTA[[#This Row],[QTY]]="",NOTA[[#This Row],[HARGA SATUAN]]="",),"",NOTA[[#This Row],[QTY]]*NOTA[[#This Row],[HARGA SATUAN]])</f>
        <v/>
      </c>
      <c r="AG457" s="37">
        <f ca="1">IF(NOTA[ID_H]="","",INDEX(NOTA[TANGGAL],MATCH(,INDIRECT(ADDRESS(ROW(NOTA[TANGGAL]),COLUMN(NOTA[TANGGAL]))&amp;":"&amp;ADDRESS(ROW(),COLUMN(NOTA[TANGGAL]))),-1)))</f>
        <v>45063</v>
      </c>
      <c r="AH457" s="35" t="str">
        <f ca="1">IF(NOTA[[#This Row],[NAMA BARANG]]="","",INDEX(NOTA[SUPPLIER],MATCH(,INDIRECT(ADDRESS(ROW(NOTA[ID]),COLUMN(NOTA[ID]))&amp;":"&amp;ADDRESS(ROW(),COLUMN(NOTA[ID]))),-1)))</f>
        <v>KENKO SINAR INDONESIA</v>
      </c>
      <c r="AI457" s="35" t="str">
        <f ca="1">IF(NOTA[[#This Row],[ID_H]]="","",IF(NOTA[[#This Row],[FAKTUR]]="",INDIRECT(ADDRESS(ROW()-1,COLUMN())),NOTA[[#This Row],[FAKTUR]]))</f>
        <v>ARTO MORO</v>
      </c>
      <c r="AJ457" s="27">
        <f ca="1">IF(NOTA[[#This Row],[ID]]="","",COUNTIF(NOTA[ID_H],NOTA[[#This Row],[ID_H]]))</f>
        <v>10</v>
      </c>
      <c r="AK457" s="27">
        <f>IF(NOTA[[#This Row],[TGL.NOTA]]="",IF(NOTA[[#This Row],[SUPPLIER_H]]="","",AK456),MONTH(NOTA[[#This Row],[TGL.NOTA]]))</f>
        <v>5</v>
      </c>
      <c r="AL457" s="27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4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4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457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MORO23051117SA 4149445057kenkoscissorsc838n</v>
      </c>
      <c r="AP457" s="27" t="e">
        <f>IF(NOTA[[#This Row],[CONCAT4]]="","",_xlfn.IFNA(MATCH(NOTA[[#This Row],[CONCAT4]],[2]!RAW[CONCAT_H],0),FALSE))</f>
        <v>#REF!</v>
      </c>
      <c r="AQ457" s="145">
        <f>IF(NOTA[[#This Row],[CONCAT1]]="","",MATCH(NOTA[[#This Row],[CONCAT1]],[3]!db[NB NOTA_C],0)+1)</f>
        <v>1381</v>
      </c>
    </row>
    <row r="458" spans="1:43" ht="20.100000000000001" customHeight="1" x14ac:dyDescent="0.25">
      <c r="A45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6" t="str">
        <f>IF(NOTA[[#This Row],[ID_P]]="","",MATCH(NOTA[[#This Row],[ID_P]],[1]!B_MSK[N_ID],0))</f>
        <v/>
      </c>
      <c r="D458" s="36">
        <f ca="1">IF(NOTA[[#This Row],[NAMA BARANG]]="","",INDEX(NOTA[ID],MATCH(,INDIRECT(ADDRESS(ROW(NOTA[ID]),COLUMN(NOTA[ID]))&amp;":"&amp;ADDRESS(ROW(),COLUMN(NOTA[ID]))),-1)))</f>
        <v>84</v>
      </c>
      <c r="E458" s="14"/>
      <c r="F458" s="16"/>
      <c r="G458" s="16"/>
      <c r="H458" s="20"/>
      <c r="I458" s="16"/>
      <c r="J458" s="37"/>
      <c r="K458" s="16"/>
      <c r="L458" s="16" t="s">
        <v>668</v>
      </c>
      <c r="M458" s="28">
        <v>1</v>
      </c>
      <c r="N458" s="36"/>
      <c r="O458" s="16"/>
      <c r="P458" s="35"/>
      <c r="Q458" s="38">
        <v>732000</v>
      </c>
      <c r="R458" s="28" t="s">
        <v>709</v>
      </c>
      <c r="S458" s="39">
        <v>0.17</v>
      </c>
      <c r="T458" s="39"/>
      <c r="U458" s="40"/>
      <c r="V458" s="26"/>
      <c r="W458" s="40">
        <f>IF(NOTA[[#This Row],[HARGA/ CTN]]="",NOTA[[#This Row],[JUMLAH_H]],NOTA[[#This Row],[HARGA/ CTN]]*IF(NOTA[[#This Row],[C]]="",0,NOTA[[#This Row],[C]]))</f>
        <v>732000</v>
      </c>
      <c r="X458" s="40">
        <f>IF(NOTA[[#This Row],[JUMLAH]]="","",NOTA[[#This Row],[JUMLAH]]*NOTA[[#This Row],[DISC 1]])</f>
        <v>124440.00000000001</v>
      </c>
      <c r="Y458" s="40">
        <f>IF(NOTA[[#This Row],[JUMLAH]]="","",(NOTA[[#This Row],[JUMLAH]]-NOTA[[#This Row],[DISC 1-]])*NOTA[[#This Row],[DISC 2]])</f>
        <v>0</v>
      </c>
      <c r="Z458" s="40">
        <f>IF(NOTA[[#This Row],[JUMLAH]]="","",NOTA[[#This Row],[DISC 1-]]+NOTA[[#This Row],[DISC 2-]])</f>
        <v>124440.00000000001</v>
      </c>
      <c r="AA458" s="40">
        <f>IF(NOTA[[#This Row],[JUMLAH]]="","",NOTA[[#This Row],[JUMLAH]]-NOTA[[#This Row],[DISC]])</f>
        <v>607560</v>
      </c>
      <c r="AB458" s="40"/>
      <c r="AC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35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F458" s="40" t="str">
        <f>IF(OR(NOTA[[#This Row],[QTY]]="",NOTA[[#This Row],[HARGA SATUAN]]="",),"",NOTA[[#This Row],[QTY]]*NOTA[[#This Row],[HARGA SATUAN]])</f>
        <v/>
      </c>
      <c r="AG458" s="37">
        <f ca="1">IF(NOTA[ID_H]="","",INDEX(NOTA[TANGGAL],MATCH(,INDIRECT(ADDRESS(ROW(NOTA[TANGGAL]),COLUMN(NOTA[TANGGAL]))&amp;":"&amp;ADDRESS(ROW(),COLUMN(NOTA[TANGGAL]))),-1)))</f>
        <v>45063</v>
      </c>
      <c r="AH458" s="35" t="str">
        <f ca="1">IF(NOTA[[#This Row],[NAMA BARANG]]="","",INDEX(NOTA[SUPPLIER],MATCH(,INDIRECT(ADDRESS(ROW(NOTA[ID]),COLUMN(NOTA[ID]))&amp;":"&amp;ADDRESS(ROW(),COLUMN(NOTA[ID]))),-1)))</f>
        <v>KENKO SINAR INDONESIA</v>
      </c>
      <c r="AI458" s="35" t="str">
        <f ca="1">IF(NOTA[[#This Row],[ID_H]]="","",IF(NOTA[[#This Row],[FAKTUR]]="",INDIRECT(ADDRESS(ROW()-1,COLUMN())),NOTA[[#This Row],[FAKTUR]]))</f>
        <v>ARTO MORO</v>
      </c>
      <c r="AJ458" s="27" t="str">
        <f ca="1">IF(NOTA[[#This Row],[ID]]="","",COUNTIF(NOTA[ID_H],NOTA[[#This Row],[ID_H]]))</f>
        <v/>
      </c>
      <c r="AK458" s="27">
        <f ca="1">IF(NOTA[[#This Row],[TGL.NOTA]]="",IF(NOTA[[#This Row],[SUPPLIER_H]]="","",AK457),MONTH(NOTA[[#This Row],[TGL.NOTA]]))</f>
        <v>5</v>
      </c>
      <c r="AL458" s="27" t="str">
        <f>LOWER(SUBSTITUTE(SUBSTITUTE(SUBSTITUTE(SUBSTITUTE(SUBSTITUTE(SUBSTITUTE(SUBSTITUTE(SUBSTITUTE(SUBSTITUTE(NOTA[NAMA BARANG]," ",),".",""),"-",""),"(",""),")",""),",",""),"/",""),"""",""),"+",""))</f>
        <v>kenkoclothtape36mmbluecoreblack</v>
      </c>
      <c r="AM4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kenkoclothtape36mmbluecoreblack7320000.17</v>
      </c>
      <c r="AN4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kenkoclothtape36mmbluecoreblack7320000.17</v>
      </c>
      <c r="AO4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27" t="str">
        <f>IF(NOTA[[#This Row],[CONCAT4]]="","",_xlfn.IFNA(MATCH(NOTA[[#This Row],[CONCAT4]],[2]!RAW[CONCAT_H],0),FALSE))</f>
        <v/>
      </c>
      <c r="AQ458" s="145">
        <f>IF(NOTA[[#This Row],[CONCAT1]]="","",MATCH(NOTA[[#This Row],[CONCAT1]],[3]!db[NB NOTA_C],0)+1)</f>
        <v>1177</v>
      </c>
    </row>
    <row r="459" spans="1:43" ht="20.100000000000001" customHeight="1" x14ac:dyDescent="0.25">
      <c r="A45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6" t="str">
        <f>IF(NOTA[[#This Row],[ID_P]]="","",MATCH(NOTA[[#This Row],[ID_P]],[1]!B_MSK[N_ID],0))</f>
        <v/>
      </c>
      <c r="D459" s="36">
        <f ca="1">IF(NOTA[[#This Row],[NAMA BARANG]]="","",INDEX(NOTA[ID],MATCH(,INDIRECT(ADDRESS(ROW(NOTA[ID]),COLUMN(NOTA[ID]))&amp;":"&amp;ADDRESS(ROW(),COLUMN(NOTA[ID]))),-1)))</f>
        <v>84</v>
      </c>
      <c r="E459" s="14"/>
      <c r="F459" s="16"/>
      <c r="G459" s="16"/>
      <c r="H459" s="20"/>
      <c r="I459" s="16"/>
      <c r="J459" s="37"/>
      <c r="K459" s="16"/>
      <c r="L459" s="16" t="s">
        <v>669</v>
      </c>
      <c r="M459" s="28">
        <v>2</v>
      </c>
      <c r="N459" s="36"/>
      <c r="O459" s="16"/>
      <c r="P459" s="35"/>
      <c r="Q459" s="38">
        <v>3888000</v>
      </c>
      <c r="R459" s="28" t="s">
        <v>234</v>
      </c>
      <c r="S459" s="39">
        <v>0.17</v>
      </c>
      <c r="T459" s="39"/>
      <c r="U459" s="40"/>
      <c r="V459" s="26"/>
      <c r="W459" s="40">
        <f>IF(NOTA[[#This Row],[HARGA/ CTN]]="",NOTA[[#This Row],[JUMLAH_H]],NOTA[[#This Row],[HARGA/ CTN]]*IF(NOTA[[#This Row],[C]]="",0,NOTA[[#This Row],[C]]))</f>
        <v>7776000</v>
      </c>
      <c r="X459" s="40">
        <f>IF(NOTA[[#This Row],[JUMLAH]]="","",NOTA[[#This Row],[JUMLAH]]*NOTA[[#This Row],[DISC 1]])</f>
        <v>1321920</v>
      </c>
      <c r="Y459" s="40">
        <f>IF(NOTA[[#This Row],[JUMLAH]]="","",(NOTA[[#This Row],[JUMLAH]]-NOTA[[#This Row],[DISC 1-]])*NOTA[[#This Row],[DISC 2]])</f>
        <v>0</v>
      </c>
      <c r="Z459" s="40">
        <f>IF(NOTA[[#This Row],[JUMLAH]]="","",NOTA[[#This Row],[DISC 1-]]+NOTA[[#This Row],[DISC 2-]])</f>
        <v>1321920</v>
      </c>
      <c r="AA459" s="40">
        <f>IF(NOTA[[#This Row],[JUMLAH]]="","",NOTA[[#This Row],[JUMLAH]]-NOTA[[#This Row],[DISC]])</f>
        <v>6454080</v>
      </c>
      <c r="AB459" s="40"/>
      <c r="AC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59" s="40" t="str">
        <f>IF(OR(NOTA[[#This Row],[QTY]]="",NOTA[[#This Row],[HARGA SATUAN]]="",),"",NOTA[[#This Row],[QTY]]*NOTA[[#This Row],[HARGA SATUAN]])</f>
        <v/>
      </c>
      <c r="AG459" s="37">
        <f ca="1">IF(NOTA[ID_H]="","",INDEX(NOTA[TANGGAL],MATCH(,INDIRECT(ADDRESS(ROW(NOTA[TANGGAL]),COLUMN(NOTA[TANGGAL]))&amp;":"&amp;ADDRESS(ROW(),COLUMN(NOTA[TANGGAL]))),-1)))</f>
        <v>45063</v>
      </c>
      <c r="AH459" s="35" t="str">
        <f ca="1">IF(NOTA[[#This Row],[NAMA BARANG]]="","",INDEX(NOTA[SUPPLIER],MATCH(,INDIRECT(ADDRESS(ROW(NOTA[ID]),COLUMN(NOTA[ID]))&amp;":"&amp;ADDRESS(ROW(),COLUMN(NOTA[ID]))),-1)))</f>
        <v>KENKO SINAR INDONESIA</v>
      </c>
      <c r="AI459" s="35" t="str">
        <f ca="1">IF(NOTA[[#This Row],[ID_H]]="","",IF(NOTA[[#This Row],[FAKTUR]]="",INDIRECT(ADDRESS(ROW()-1,COLUMN())),NOTA[[#This Row],[FAKTUR]]))</f>
        <v>ARTO MORO</v>
      </c>
      <c r="AJ459" s="27" t="str">
        <f ca="1">IF(NOTA[[#This Row],[ID]]="","",COUNTIF(NOTA[ID_H],NOTA[[#This Row],[ID_H]]))</f>
        <v/>
      </c>
      <c r="AK459" s="27">
        <f ca="1">IF(NOTA[[#This Row],[TGL.NOTA]]="",IF(NOTA[[#This Row],[SUPPLIER_H]]="","",AK458),MONTH(NOTA[[#This Row],[TGL.NOTA]]))</f>
        <v>5</v>
      </c>
      <c r="AL459" s="27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M4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N4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O45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27" t="str">
        <f>IF(NOTA[[#This Row],[CONCAT4]]="","",_xlfn.IFNA(MATCH(NOTA[[#This Row],[CONCAT4]],[2]!RAW[CONCAT_H],0),FALSE))</f>
        <v/>
      </c>
      <c r="AQ459" s="145">
        <f>IF(NOTA[[#This Row],[CONCAT1]]="","",MATCH(NOTA[[#This Row],[CONCAT1]],[3]!db[NB NOTA_C],0)+1)</f>
        <v>2265</v>
      </c>
    </row>
    <row r="460" spans="1:43" ht="20.100000000000001" customHeight="1" x14ac:dyDescent="0.25">
      <c r="A46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6" t="str">
        <f>IF(NOTA[[#This Row],[ID_P]]="","",MATCH(NOTA[[#This Row],[ID_P]],[1]!B_MSK[N_ID],0))</f>
        <v/>
      </c>
      <c r="D460" s="36">
        <f ca="1">IF(NOTA[[#This Row],[NAMA BARANG]]="","",INDEX(NOTA[ID],MATCH(,INDIRECT(ADDRESS(ROW(NOTA[ID]),COLUMN(NOTA[ID]))&amp;":"&amp;ADDRESS(ROW(),COLUMN(NOTA[ID]))),-1)))</f>
        <v>84</v>
      </c>
      <c r="E460" s="14"/>
      <c r="F460" s="16"/>
      <c r="G460" s="16"/>
      <c r="H460" s="20"/>
      <c r="I460" s="16"/>
      <c r="J460" s="37"/>
      <c r="K460" s="16"/>
      <c r="L460" s="16" t="s">
        <v>674</v>
      </c>
      <c r="M460" s="28">
        <v>1</v>
      </c>
      <c r="N460" s="36"/>
      <c r="O460" s="16"/>
      <c r="P460" s="35"/>
      <c r="Q460" s="38">
        <v>1150000</v>
      </c>
      <c r="R460" s="28" t="s">
        <v>710</v>
      </c>
      <c r="S460" s="39">
        <v>0.17</v>
      </c>
      <c r="T460" s="39"/>
      <c r="U460" s="40"/>
      <c r="V460" s="26"/>
      <c r="W460" s="40">
        <f>IF(NOTA[[#This Row],[HARGA/ CTN]]="",NOTA[[#This Row],[JUMLAH_H]],NOTA[[#This Row],[HARGA/ CTN]]*IF(NOTA[[#This Row],[C]]="",0,NOTA[[#This Row],[C]]))</f>
        <v>1150000</v>
      </c>
      <c r="X460" s="40">
        <f>IF(NOTA[[#This Row],[JUMLAH]]="","",NOTA[[#This Row],[JUMLAH]]*NOTA[[#This Row],[DISC 1]])</f>
        <v>195500</v>
      </c>
      <c r="Y460" s="40">
        <f>IF(NOTA[[#This Row],[JUMLAH]]="","",(NOTA[[#This Row],[JUMLAH]]-NOTA[[#This Row],[DISC 1-]])*NOTA[[#This Row],[DISC 2]])</f>
        <v>0</v>
      </c>
      <c r="Z460" s="40">
        <f>IF(NOTA[[#This Row],[JUMLAH]]="","",NOTA[[#This Row],[DISC 1-]]+NOTA[[#This Row],[DISC 2-]])</f>
        <v>195500</v>
      </c>
      <c r="AA460" s="40">
        <f>IF(NOTA[[#This Row],[JUMLAH]]="","",NOTA[[#This Row],[JUMLAH]]-NOTA[[#This Row],[DISC]])</f>
        <v>954500</v>
      </c>
      <c r="AB460" s="40"/>
      <c r="AC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3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460" s="40" t="str">
        <f>IF(OR(NOTA[[#This Row],[QTY]]="",NOTA[[#This Row],[HARGA SATUAN]]="",),"",NOTA[[#This Row],[QTY]]*NOTA[[#This Row],[HARGA SATUAN]])</f>
        <v/>
      </c>
      <c r="AG460" s="37">
        <f ca="1">IF(NOTA[ID_H]="","",INDEX(NOTA[TANGGAL],MATCH(,INDIRECT(ADDRESS(ROW(NOTA[TANGGAL]),COLUMN(NOTA[TANGGAL]))&amp;":"&amp;ADDRESS(ROW(),COLUMN(NOTA[TANGGAL]))),-1)))</f>
        <v>45063</v>
      </c>
      <c r="AH460" s="35" t="str">
        <f ca="1">IF(NOTA[[#This Row],[NAMA BARANG]]="","",INDEX(NOTA[SUPPLIER],MATCH(,INDIRECT(ADDRESS(ROW(NOTA[ID]),COLUMN(NOTA[ID]))&amp;":"&amp;ADDRESS(ROW(),COLUMN(NOTA[ID]))),-1)))</f>
        <v>KENKO SINAR INDONESIA</v>
      </c>
      <c r="AI460" s="35" t="str">
        <f ca="1">IF(NOTA[[#This Row],[ID_H]]="","",IF(NOTA[[#This Row],[FAKTUR]]="",INDIRECT(ADDRESS(ROW()-1,COLUMN())),NOTA[[#This Row],[FAKTUR]]))</f>
        <v>ARTO MORO</v>
      </c>
      <c r="AJ460" s="27" t="str">
        <f ca="1">IF(NOTA[[#This Row],[ID]]="","",COUNTIF(NOTA[ID_H],NOTA[[#This Row],[ID_H]]))</f>
        <v/>
      </c>
      <c r="AK460" s="27">
        <f ca="1">IF(NOTA[[#This Row],[TGL.NOTA]]="",IF(NOTA[[#This Row],[SUPPLIER_H]]="","",AK459),MONTH(NOTA[[#This Row],[TGL.NOTA]]))</f>
        <v>5</v>
      </c>
      <c r="AL460" s="27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4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4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4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27" t="str">
        <f>IF(NOTA[[#This Row],[CONCAT4]]="","",_xlfn.IFNA(MATCH(NOTA[[#This Row],[CONCAT4]],[2]!RAW[CONCAT_H],0),FALSE))</f>
        <v/>
      </c>
      <c r="AQ460" s="145">
        <f>IF(NOTA[[#This Row],[CONCAT1]]="","",MATCH(NOTA[[#This Row],[CONCAT1]],[3]!db[NB NOTA_C],0)+1)</f>
        <v>1321</v>
      </c>
    </row>
    <row r="461" spans="1:43" ht="20.100000000000001" customHeight="1" x14ac:dyDescent="0.25">
      <c r="A46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6" t="str">
        <f>IF(NOTA[[#This Row],[ID_P]]="","",MATCH(NOTA[[#This Row],[ID_P]],[1]!B_MSK[N_ID],0))</f>
        <v/>
      </c>
      <c r="D461" s="36">
        <f ca="1">IF(NOTA[[#This Row],[NAMA BARANG]]="","",INDEX(NOTA[ID],MATCH(,INDIRECT(ADDRESS(ROW(NOTA[ID]),COLUMN(NOTA[ID]))&amp;":"&amp;ADDRESS(ROW(),COLUMN(NOTA[ID]))),-1)))</f>
        <v>84</v>
      </c>
      <c r="E461" s="14"/>
      <c r="F461" s="16"/>
      <c r="G461" s="16"/>
      <c r="H461" s="20"/>
      <c r="I461" s="16"/>
      <c r="J461" s="37"/>
      <c r="K461" s="16"/>
      <c r="L461" s="16" t="s">
        <v>219</v>
      </c>
      <c r="M461" s="28">
        <v>1</v>
      </c>
      <c r="N461" s="36"/>
      <c r="O461" s="16"/>
      <c r="P461" s="35"/>
      <c r="Q461" s="38">
        <v>1188000</v>
      </c>
      <c r="R461" s="28" t="s">
        <v>235</v>
      </c>
      <c r="S461" s="39">
        <v>0.17</v>
      </c>
      <c r="T461" s="39"/>
      <c r="U461" s="40"/>
      <c r="V461" s="26"/>
      <c r="W461" s="40">
        <f>IF(NOTA[[#This Row],[HARGA/ CTN]]="",NOTA[[#This Row],[JUMLAH_H]],NOTA[[#This Row],[HARGA/ CTN]]*IF(NOTA[[#This Row],[C]]="",0,NOTA[[#This Row],[C]]))</f>
        <v>1188000</v>
      </c>
      <c r="X461" s="40">
        <f>IF(NOTA[[#This Row],[JUMLAH]]="","",NOTA[[#This Row],[JUMLAH]]*NOTA[[#This Row],[DISC 1]])</f>
        <v>201960</v>
      </c>
      <c r="Y461" s="40">
        <f>IF(NOTA[[#This Row],[JUMLAH]]="","",(NOTA[[#This Row],[JUMLAH]]-NOTA[[#This Row],[DISC 1-]])*NOTA[[#This Row],[DISC 2]])</f>
        <v>0</v>
      </c>
      <c r="Z461" s="40">
        <f>IF(NOTA[[#This Row],[JUMLAH]]="","",NOTA[[#This Row],[DISC 1-]]+NOTA[[#This Row],[DISC 2-]])</f>
        <v>201960</v>
      </c>
      <c r="AA461" s="40">
        <f>IF(NOTA[[#This Row],[JUMLAH]]="","",NOTA[[#This Row],[JUMLAH]]-NOTA[[#This Row],[DISC]])</f>
        <v>986040</v>
      </c>
      <c r="AB461" s="40"/>
      <c r="AC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3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461" s="40" t="str">
        <f>IF(OR(NOTA[[#This Row],[QTY]]="",NOTA[[#This Row],[HARGA SATUAN]]="",),"",NOTA[[#This Row],[QTY]]*NOTA[[#This Row],[HARGA SATUAN]])</f>
        <v/>
      </c>
      <c r="AG461" s="37">
        <f ca="1">IF(NOTA[ID_H]="","",INDEX(NOTA[TANGGAL],MATCH(,INDIRECT(ADDRESS(ROW(NOTA[TANGGAL]),COLUMN(NOTA[TANGGAL]))&amp;":"&amp;ADDRESS(ROW(),COLUMN(NOTA[TANGGAL]))),-1)))</f>
        <v>45063</v>
      </c>
      <c r="AH461" s="35" t="str">
        <f ca="1">IF(NOTA[[#This Row],[NAMA BARANG]]="","",INDEX(NOTA[SUPPLIER],MATCH(,INDIRECT(ADDRESS(ROW(NOTA[ID]),COLUMN(NOTA[ID]))&amp;":"&amp;ADDRESS(ROW(),COLUMN(NOTA[ID]))),-1)))</f>
        <v>KENKO SINAR INDONESIA</v>
      </c>
      <c r="AI461" s="35" t="str">
        <f ca="1">IF(NOTA[[#This Row],[ID_H]]="","",IF(NOTA[[#This Row],[FAKTUR]]="",INDIRECT(ADDRESS(ROW()-1,COLUMN())),NOTA[[#This Row],[FAKTUR]]))</f>
        <v>ARTO MORO</v>
      </c>
      <c r="AJ461" s="27" t="str">
        <f ca="1">IF(NOTA[[#This Row],[ID]]="","",COUNTIF(NOTA[ID_H],NOTA[[#This Row],[ID_H]]))</f>
        <v/>
      </c>
      <c r="AK461" s="27">
        <f ca="1">IF(NOTA[[#This Row],[TGL.NOTA]]="",IF(NOTA[[#This Row],[SUPPLIER_H]]="","",AK460),MONTH(NOTA[[#This Row],[TGL.NOTA]]))</f>
        <v>5</v>
      </c>
      <c r="AL461" s="27" t="str">
        <f>LOWER(SUBSTITUTE(SUBSTITUTE(SUBSTITUTE(SUBSTITUTE(SUBSTITUTE(SUBSTITUTE(SUBSTITUTE(SUBSTITUTE(SUBSTITUTE(NOTA[NAMA BARANG]," ",),".",""),"-",""),"(",""),")",""),",",""),"/",""),"""",""),"+",""))</f>
        <v>kenkoscissorsc848n</v>
      </c>
      <c r="AM4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N4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O4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27" t="str">
        <f>IF(NOTA[[#This Row],[CONCAT4]]="","",_xlfn.IFNA(MATCH(NOTA[[#This Row],[CONCAT4]],[2]!RAW[CONCAT_H],0),FALSE))</f>
        <v/>
      </c>
      <c r="AQ461" s="145">
        <f>IF(NOTA[[#This Row],[CONCAT1]]="","",MATCH(NOTA[[#This Row],[CONCAT1]],[3]!db[NB NOTA_C],0)+1)</f>
        <v>1383</v>
      </c>
    </row>
    <row r="462" spans="1:43" ht="20.100000000000001" customHeight="1" x14ac:dyDescent="0.25">
      <c r="A46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6" t="str">
        <f>IF(NOTA[[#This Row],[ID_P]]="","",MATCH(NOTA[[#This Row],[ID_P]],[1]!B_MSK[N_ID],0))</f>
        <v/>
      </c>
      <c r="D462" s="36">
        <f ca="1">IF(NOTA[[#This Row],[NAMA BARANG]]="","",INDEX(NOTA[ID],MATCH(,INDIRECT(ADDRESS(ROW(NOTA[ID]),COLUMN(NOTA[ID]))&amp;":"&amp;ADDRESS(ROW(),COLUMN(NOTA[ID]))),-1)))</f>
        <v>84</v>
      </c>
      <c r="E462" s="14"/>
      <c r="F462" s="16"/>
      <c r="G462" s="16"/>
      <c r="H462" s="20"/>
      <c r="I462" s="16"/>
      <c r="J462" s="37"/>
      <c r="K462" s="16"/>
      <c r="L462" s="16" t="s">
        <v>670</v>
      </c>
      <c r="M462" s="28">
        <v>1</v>
      </c>
      <c r="N462" s="36"/>
      <c r="O462" s="16"/>
      <c r="P462" s="35"/>
      <c r="Q462" s="38">
        <v>3240000</v>
      </c>
      <c r="R462" s="28" t="s">
        <v>711</v>
      </c>
      <c r="S462" s="39">
        <v>0.17</v>
      </c>
      <c r="T462" s="39"/>
      <c r="U462" s="40"/>
      <c r="V462" s="26"/>
      <c r="W462" s="40">
        <f>IF(NOTA[[#This Row],[HARGA/ CTN]]="",NOTA[[#This Row],[JUMLAH_H]],NOTA[[#This Row],[HARGA/ CTN]]*IF(NOTA[[#This Row],[C]]="",0,NOTA[[#This Row],[C]]))</f>
        <v>3240000</v>
      </c>
      <c r="X462" s="40">
        <f>IF(NOTA[[#This Row],[JUMLAH]]="","",NOTA[[#This Row],[JUMLAH]]*NOTA[[#This Row],[DISC 1]])</f>
        <v>550800</v>
      </c>
      <c r="Y462" s="40">
        <f>IF(NOTA[[#This Row],[JUMLAH]]="","",(NOTA[[#This Row],[JUMLAH]]-NOTA[[#This Row],[DISC 1-]])*NOTA[[#This Row],[DISC 2]])</f>
        <v>0</v>
      </c>
      <c r="Z462" s="40">
        <f>IF(NOTA[[#This Row],[JUMLAH]]="","",NOTA[[#This Row],[DISC 1-]]+NOTA[[#This Row],[DISC 2-]])</f>
        <v>550800</v>
      </c>
      <c r="AA462" s="40">
        <f>IF(NOTA[[#This Row],[JUMLAH]]="","",NOTA[[#This Row],[JUMLAH]]-NOTA[[#This Row],[DISC]])</f>
        <v>2689200</v>
      </c>
      <c r="AB462" s="40"/>
      <c r="AC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3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462" s="40" t="str">
        <f>IF(OR(NOTA[[#This Row],[QTY]]="",NOTA[[#This Row],[HARGA SATUAN]]="",),"",NOTA[[#This Row],[QTY]]*NOTA[[#This Row],[HARGA SATUAN]])</f>
        <v/>
      </c>
      <c r="AG462" s="37">
        <f ca="1">IF(NOTA[ID_H]="","",INDEX(NOTA[TANGGAL],MATCH(,INDIRECT(ADDRESS(ROW(NOTA[TANGGAL]),COLUMN(NOTA[TANGGAL]))&amp;":"&amp;ADDRESS(ROW(),COLUMN(NOTA[TANGGAL]))),-1)))</f>
        <v>45063</v>
      </c>
      <c r="AH462" s="35" t="str">
        <f ca="1">IF(NOTA[[#This Row],[NAMA BARANG]]="","",INDEX(NOTA[SUPPLIER],MATCH(,INDIRECT(ADDRESS(ROW(NOTA[ID]),COLUMN(NOTA[ID]))&amp;":"&amp;ADDRESS(ROW(),COLUMN(NOTA[ID]))),-1)))</f>
        <v>KENKO SINAR INDONESIA</v>
      </c>
      <c r="AI462" s="35" t="str">
        <f ca="1">IF(NOTA[[#This Row],[ID_H]]="","",IF(NOTA[[#This Row],[FAKTUR]]="",INDIRECT(ADDRESS(ROW()-1,COLUMN())),NOTA[[#This Row],[FAKTUR]]))</f>
        <v>ARTO MORO</v>
      </c>
      <c r="AJ462" s="27" t="str">
        <f ca="1">IF(NOTA[[#This Row],[ID]]="","",COUNTIF(NOTA[ID_H],NOTA[[#This Row],[ID_H]]))</f>
        <v/>
      </c>
      <c r="AK462" s="27">
        <f ca="1">IF(NOTA[[#This Row],[TGL.NOTA]]="",IF(NOTA[[#This Row],[SUPPLIER_H]]="","",AK461),MONTH(NOTA[[#This Row],[TGL.NOTA]]))</f>
        <v>5</v>
      </c>
      <c r="AL462" s="27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4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4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4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2" s="27" t="str">
        <f>IF(NOTA[[#This Row],[CONCAT4]]="","",_xlfn.IFNA(MATCH(NOTA[[#This Row],[CONCAT4]],[2]!RAW[CONCAT_H],0),FALSE))</f>
        <v/>
      </c>
      <c r="AQ462" s="145">
        <f>IF(NOTA[[#This Row],[CONCAT1]]="","",MATCH(NOTA[[#This Row],[CONCAT1]],[3]!db[NB NOTA_C],0)+1)</f>
        <v>1359</v>
      </c>
    </row>
    <row r="463" spans="1:43" ht="20.100000000000001" customHeight="1" x14ac:dyDescent="0.25">
      <c r="A46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6" t="str">
        <f>IF(NOTA[[#This Row],[ID_P]]="","",MATCH(NOTA[[#This Row],[ID_P]],[1]!B_MSK[N_ID],0))</f>
        <v/>
      </c>
      <c r="D463" s="36">
        <f ca="1">IF(NOTA[[#This Row],[NAMA BARANG]]="","",INDEX(NOTA[ID],MATCH(,INDIRECT(ADDRESS(ROW(NOTA[ID]),COLUMN(NOTA[ID]))&amp;":"&amp;ADDRESS(ROW(),COLUMN(NOTA[ID]))),-1)))</f>
        <v>84</v>
      </c>
      <c r="E463" s="14"/>
      <c r="F463" s="16"/>
      <c r="G463" s="16"/>
      <c r="H463" s="20"/>
      <c r="I463" s="16"/>
      <c r="J463" s="37"/>
      <c r="K463" s="16"/>
      <c r="L463" s="16" t="s">
        <v>671</v>
      </c>
      <c r="M463" s="28">
        <v>1</v>
      </c>
      <c r="N463" s="36"/>
      <c r="O463" s="16"/>
      <c r="P463" s="35"/>
      <c r="Q463" s="38">
        <v>1566000</v>
      </c>
      <c r="R463" s="28" t="s">
        <v>452</v>
      </c>
      <c r="S463" s="39">
        <v>0.17</v>
      </c>
      <c r="T463" s="39"/>
      <c r="U463" s="40"/>
      <c r="V463" s="26"/>
      <c r="W463" s="40">
        <f>IF(NOTA[[#This Row],[HARGA/ CTN]]="",NOTA[[#This Row],[JUMLAH_H]],NOTA[[#This Row],[HARGA/ CTN]]*IF(NOTA[[#This Row],[C]]="",0,NOTA[[#This Row],[C]]))</f>
        <v>1566000</v>
      </c>
      <c r="X463" s="40">
        <f>IF(NOTA[[#This Row],[JUMLAH]]="","",NOTA[[#This Row],[JUMLAH]]*NOTA[[#This Row],[DISC 1]])</f>
        <v>266220</v>
      </c>
      <c r="Y463" s="40">
        <f>IF(NOTA[[#This Row],[JUMLAH]]="","",(NOTA[[#This Row],[JUMLAH]]-NOTA[[#This Row],[DISC 1-]])*NOTA[[#This Row],[DISC 2]])</f>
        <v>0</v>
      </c>
      <c r="Z463" s="40">
        <f>IF(NOTA[[#This Row],[JUMLAH]]="","",NOTA[[#This Row],[DISC 1-]]+NOTA[[#This Row],[DISC 2-]])</f>
        <v>266220</v>
      </c>
      <c r="AA463" s="40">
        <f>IF(NOTA[[#This Row],[JUMLAH]]="","",NOTA[[#This Row],[JUMLAH]]-NOTA[[#This Row],[DISC]])</f>
        <v>1299780</v>
      </c>
      <c r="AB463" s="40"/>
      <c r="AC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35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463" s="40" t="str">
        <f>IF(OR(NOTA[[#This Row],[QTY]]="",NOTA[[#This Row],[HARGA SATUAN]]="",),"",NOTA[[#This Row],[QTY]]*NOTA[[#This Row],[HARGA SATUAN]])</f>
        <v/>
      </c>
      <c r="AG463" s="37">
        <f ca="1">IF(NOTA[ID_H]="","",INDEX(NOTA[TANGGAL],MATCH(,INDIRECT(ADDRESS(ROW(NOTA[TANGGAL]),COLUMN(NOTA[TANGGAL]))&amp;":"&amp;ADDRESS(ROW(),COLUMN(NOTA[TANGGAL]))),-1)))</f>
        <v>45063</v>
      </c>
      <c r="AH463" s="35" t="str">
        <f ca="1">IF(NOTA[[#This Row],[NAMA BARANG]]="","",INDEX(NOTA[SUPPLIER],MATCH(,INDIRECT(ADDRESS(ROW(NOTA[ID]),COLUMN(NOTA[ID]))&amp;":"&amp;ADDRESS(ROW(),COLUMN(NOTA[ID]))),-1)))</f>
        <v>KENKO SINAR INDONESIA</v>
      </c>
      <c r="AI463" s="35" t="str">
        <f ca="1">IF(NOTA[[#This Row],[ID_H]]="","",IF(NOTA[[#This Row],[FAKTUR]]="",INDIRECT(ADDRESS(ROW()-1,COLUMN())),NOTA[[#This Row],[FAKTUR]]))</f>
        <v>ARTO MORO</v>
      </c>
      <c r="AJ463" s="27" t="str">
        <f ca="1">IF(NOTA[[#This Row],[ID]]="","",COUNTIF(NOTA[ID_H],NOTA[[#This Row],[ID_H]]))</f>
        <v/>
      </c>
      <c r="AK463" s="27">
        <f ca="1">IF(NOTA[[#This Row],[TGL.NOTA]]="",IF(NOTA[[#This Row],[SUPPLIER_H]]="","",AK462),MONTH(NOTA[[#This Row],[TGL.NOTA]]))</f>
        <v>5</v>
      </c>
      <c r="AL463" s="27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4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4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4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27" t="str">
        <f>IF(NOTA[[#This Row],[CONCAT4]]="","",_xlfn.IFNA(MATCH(NOTA[[#This Row],[CONCAT4]],[2]!RAW[CONCAT_H],0),FALSE))</f>
        <v/>
      </c>
      <c r="AQ463" s="145">
        <f>IF(NOTA[[#This Row],[CONCAT1]]="","",MATCH(NOTA[[#This Row],[CONCAT1]],[3]!db[NB NOTA_C],0)+1)</f>
        <v>1237</v>
      </c>
    </row>
    <row r="464" spans="1:43" ht="20.100000000000001" customHeight="1" x14ac:dyDescent="0.25">
      <c r="A46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6" t="str">
        <f>IF(NOTA[[#This Row],[ID_P]]="","",MATCH(NOTA[[#This Row],[ID_P]],[1]!B_MSK[N_ID],0))</f>
        <v/>
      </c>
      <c r="D464" s="36">
        <f ca="1">IF(NOTA[[#This Row],[NAMA BARANG]]="","",INDEX(NOTA[ID],MATCH(,INDIRECT(ADDRESS(ROW(NOTA[ID]),COLUMN(NOTA[ID]))&amp;":"&amp;ADDRESS(ROW(),COLUMN(NOTA[ID]))),-1)))</f>
        <v>84</v>
      </c>
      <c r="E464" s="14"/>
      <c r="F464" s="16"/>
      <c r="G464" s="16"/>
      <c r="H464" s="20"/>
      <c r="I464" s="16"/>
      <c r="J464" s="37"/>
      <c r="K464" s="16"/>
      <c r="L464" s="16" t="s">
        <v>672</v>
      </c>
      <c r="M464" s="28">
        <v>2</v>
      </c>
      <c r="N464" s="36"/>
      <c r="O464" s="16"/>
      <c r="P464" s="35"/>
      <c r="Q464" s="38">
        <v>2008800</v>
      </c>
      <c r="R464" s="28" t="s">
        <v>148</v>
      </c>
      <c r="S464" s="39">
        <v>0.17</v>
      </c>
      <c r="T464" s="39"/>
      <c r="U464" s="40"/>
      <c r="V464" s="26"/>
      <c r="W464" s="40">
        <f>IF(NOTA[[#This Row],[HARGA/ CTN]]="",NOTA[[#This Row],[JUMLAH_H]],NOTA[[#This Row],[HARGA/ CTN]]*IF(NOTA[[#This Row],[C]]="",0,NOTA[[#This Row],[C]]))</f>
        <v>4017600</v>
      </c>
      <c r="X464" s="40">
        <f>IF(NOTA[[#This Row],[JUMLAH]]="","",NOTA[[#This Row],[JUMLAH]]*NOTA[[#This Row],[DISC 1]])</f>
        <v>682992</v>
      </c>
      <c r="Y464" s="40">
        <f>IF(NOTA[[#This Row],[JUMLAH]]="","",(NOTA[[#This Row],[JUMLAH]]-NOTA[[#This Row],[DISC 1-]])*NOTA[[#This Row],[DISC 2]])</f>
        <v>0</v>
      </c>
      <c r="Z464" s="40">
        <f>IF(NOTA[[#This Row],[JUMLAH]]="","",NOTA[[#This Row],[DISC 1-]]+NOTA[[#This Row],[DISC 2-]])</f>
        <v>682992</v>
      </c>
      <c r="AA464" s="40">
        <f>IF(NOTA[[#This Row],[JUMLAH]]="","",NOTA[[#This Row],[JUMLAH]]-NOTA[[#This Row],[DISC]])</f>
        <v>3334608</v>
      </c>
      <c r="AB464" s="40"/>
      <c r="AC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3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464" s="40" t="str">
        <f>IF(OR(NOTA[[#This Row],[QTY]]="",NOTA[[#This Row],[HARGA SATUAN]]="",),"",NOTA[[#This Row],[QTY]]*NOTA[[#This Row],[HARGA SATUAN]])</f>
        <v/>
      </c>
      <c r="AG464" s="37">
        <f ca="1">IF(NOTA[ID_H]="","",INDEX(NOTA[TANGGAL],MATCH(,INDIRECT(ADDRESS(ROW(NOTA[TANGGAL]),COLUMN(NOTA[TANGGAL]))&amp;":"&amp;ADDRESS(ROW(),COLUMN(NOTA[TANGGAL]))),-1)))</f>
        <v>45063</v>
      </c>
      <c r="AH464" s="35" t="str">
        <f ca="1">IF(NOTA[[#This Row],[NAMA BARANG]]="","",INDEX(NOTA[SUPPLIER],MATCH(,INDIRECT(ADDRESS(ROW(NOTA[ID]),COLUMN(NOTA[ID]))&amp;":"&amp;ADDRESS(ROW(),COLUMN(NOTA[ID]))),-1)))</f>
        <v>KENKO SINAR INDONESIA</v>
      </c>
      <c r="AI464" s="35" t="str">
        <f ca="1">IF(NOTA[[#This Row],[ID_H]]="","",IF(NOTA[[#This Row],[FAKTUR]]="",INDIRECT(ADDRESS(ROW()-1,COLUMN())),NOTA[[#This Row],[FAKTUR]]))</f>
        <v>ARTO MORO</v>
      </c>
      <c r="AJ464" s="27" t="str">
        <f ca="1">IF(NOTA[[#This Row],[ID]]="","",COUNTIF(NOTA[ID_H],NOTA[[#This Row],[ID_H]]))</f>
        <v/>
      </c>
      <c r="AK464" s="27">
        <f ca="1">IF(NOTA[[#This Row],[TGL.NOTA]]="",IF(NOTA[[#This Row],[SUPPLIER_H]]="","",AK463),MONTH(NOTA[[#This Row],[TGL.NOTA]]))</f>
        <v>5</v>
      </c>
      <c r="AL464" s="27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M4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N4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O4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27" t="str">
        <f>IF(NOTA[[#This Row],[CONCAT4]]="","",_xlfn.IFNA(MATCH(NOTA[[#This Row],[CONCAT4]],[2]!RAW[CONCAT_H],0),FALSE))</f>
        <v/>
      </c>
      <c r="AQ464" s="145">
        <f>IF(NOTA[[#This Row],[CONCAT1]]="","",MATCH(NOTA[[#This Row],[CONCAT1]],[3]!db[NB NOTA_C],0)+1)</f>
        <v>1199</v>
      </c>
    </row>
    <row r="465" spans="1:43" ht="20.100000000000001" customHeight="1" x14ac:dyDescent="0.25">
      <c r="A46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6" t="str">
        <f>IF(NOTA[[#This Row],[ID_P]]="","",MATCH(NOTA[[#This Row],[ID_P]],[1]!B_MSK[N_ID],0))</f>
        <v/>
      </c>
      <c r="D465" s="36">
        <f ca="1">IF(NOTA[[#This Row],[NAMA BARANG]]="","",INDEX(NOTA[ID],MATCH(,INDIRECT(ADDRESS(ROW(NOTA[ID]),COLUMN(NOTA[ID]))&amp;":"&amp;ADDRESS(ROW(),COLUMN(NOTA[ID]))),-1)))</f>
        <v>84</v>
      </c>
      <c r="E465" s="14"/>
      <c r="F465" s="16"/>
      <c r="G465" s="16"/>
      <c r="H465" s="20"/>
      <c r="I465" s="16"/>
      <c r="J465" s="37"/>
      <c r="K465" s="16"/>
      <c r="L465" s="16" t="s">
        <v>222</v>
      </c>
      <c r="M465" s="28">
        <v>1</v>
      </c>
      <c r="N465" s="36"/>
      <c r="O465" s="16"/>
      <c r="P465" s="35"/>
      <c r="Q465" s="38">
        <v>1440000</v>
      </c>
      <c r="R465" s="28" t="s">
        <v>238</v>
      </c>
      <c r="S465" s="39">
        <v>0.17</v>
      </c>
      <c r="T465" s="39"/>
      <c r="U465" s="40"/>
      <c r="V465" s="26"/>
      <c r="W465" s="40">
        <f>IF(NOTA[[#This Row],[HARGA/ CTN]]="",NOTA[[#This Row],[JUMLAH_H]],NOTA[[#This Row],[HARGA/ CTN]]*IF(NOTA[[#This Row],[C]]="",0,NOTA[[#This Row],[C]]))</f>
        <v>1440000</v>
      </c>
      <c r="X465" s="40">
        <f>IF(NOTA[[#This Row],[JUMLAH]]="","",NOTA[[#This Row],[JUMLAH]]*NOTA[[#This Row],[DISC 1]])</f>
        <v>244800.00000000003</v>
      </c>
      <c r="Y465" s="40">
        <f>IF(NOTA[[#This Row],[JUMLAH]]="","",(NOTA[[#This Row],[JUMLAH]]-NOTA[[#This Row],[DISC 1-]])*NOTA[[#This Row],[DISC 2]])</f>
        <v>0</v>
      </c>
      <c r="Z465" s="40">
        <f>IF(NOTA[[#This Row],[JUMLAH]]="","",NOTA[[#This Row],[DISC 1-]]+NOTA[[#This Row],[DISC 2-]])</f>
        <v>244800.00000000003</v>
      </c>
      <c r="AA465" s="40">
        <f>IF(NOTA[[#This Row],[JUMLAH]]="","",NOTA[[#This Row],[JUMLAH]]-NOTA[[#This Row],[DISC]])</f>
        <v>1195200</v>
      </c>
      <c r="AB465" s="40"/>
      <c r="AC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3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465" s="40" t="str">
        <f>IF(OR(NOTA[[#This Row],[QTY]]="",NOTA[[#This Row],[HARGA SATUAN]]="",),"",NOTA[[#This Row],[QTY]]*NOTA[[#This Row],[HARGA SATUAN]])</f>
        <v/>
      </c>
      <c r="AG465" s="37">
        <f ca="1">IF(NOTA[ID_H]="","",INDEX(NOTA[TANGGAL],MATCH(,INDIRECT(ADDRESS(ROW(NOTA[TANGGAL]),COLUMN(NOTA[TANGGAL]))&amp;":"&amp;ADDRESS(ROW(),COLUMN(NOTA[TANGGAL]))),-1)))</f>
        <v>45063</v>
      </c>
      <c r="AH465" s="35" t="str">
        <f ca="1">IF(NOTA[[#This Row],[NAMA BARANG]]="","",INDEX(NOTA[SUPPLIER],MATCH(,INDIRECT(ADDRESS(ROW(NOTA[ID]),COLUMN(NOTA[ID]))&amp;":"&amp;ADDRESS(ROW(),COLUMN(NOTA[ID]))),-1)))</f>
        <v>KENKO SINAR INDONESIA</v>
      </c>
      <c r="AI465" s="35" t="str">
        <f ca="1">IF(NOTA[[#This Row],[ID_H]]="","",IF(NOTA[[#This Row],[FAKTUR]]="",INDIRECT(ADDRESS(ROW()-1,COLUMN())),NOTA[[#This Row],[FAKTUR]]))</f>
        <v>ARTO MORO</v>
      </c>
      <c r="AJ465" s="27" t="str">
        <f ca="1">IF(NOTA[[#This Row],[ID]]="","",COUNTIF(NOTA[ID_H],NOTA[[#This Row],[ID_H]]))</f>
        <v/>
      </c>
      <c r="AK465" s="27">
        <f ca="1">IF(NOTA[[#This Row],[TGL.NOTA]]="",IF(NOTA[[#This Row],[SUPPLIER_H]]="","",AK464),MONTH(NOTA[[#This Row],[TGL.NOTA]]))</f>
        <v>5</v>
      </c>
      <c r="AL465" s="27" t="str">
        <f>LOWER(SUBSTITUTE(SUBSTITUTE(SUBSTITUTE(SUBSTITUTE(SUBSTITUTE(SUBSTITUTE(SUBSTITUTE(SUBSTITUTE(SUBSTITUTE(NOTA[NAMA BARANG]," ",),".",""),"-",""),"(",""),")",""),",",""),"/",""),"""",""),"+",""))</f>
        <v>kenkopunchno30xl</v>
      </c>
      <c r="AM4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4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46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27" t="str">
        <f>IF(NOTA[[#This Row],[CONCAT4]]="","",_xlfn.IFNA(MATCH(NOTA[[#This Row],[CONCAT4]],[2]!RAW[CONCAT_H],0),FALSE))</f>
        <v/>
      </c>
      <c r="AQ465" s="145">
        <f>IF(NOTA[[#This Row],[CONCAT1]]="","",MATCH(NOTA[[#This Row],[CONCAT1]],[3]!db[NB NOTA_C],0)+1)</f>
        <v>1372</v>
      </c>
    </row>
    <row r="466" spans="1:43" ht="20.100000000000001" customHeight="1" x14ac:dyDescent="0.25">
      <c r="A46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6" t="str">
        <f>IF(NOTA[[#This Row],[ID_P]]="","",MATCH(NOTA[[#This Row],[ID_P]],[1]!B_MSK[N_ID],0))</f>
        <v/>
      </c>
      <c r="D466" s="36">
        <f ca="1">IF(NOTA[[#This Row],[NAMA BARANG]]="","",INDEX(NOTA[ID],MATCH(,INDIRECT(ADDRESS(ROW(NOTA[ID]),COLUMN(NOTA[ID]))&amp;":"&amp;ADDRESS(ROW(),COLUMN(NOTA[ID]))),-1)))</f>
        <v>84</v>
      </c>
      <c r="E466" s="14"/>
      <c r="F466" s="16"/>
      <c r="G466" s="16"/>
      <c r="H466" s="20"/>
      <c r="I466" s="16"/>
      <c r="J466" s="37"/>
      <c r="K466" s="16"/>
      <c r="L466" s="16" t="s">
        <v>673</v>
      </c>
      <c r="M466" s="28">
        <v>1</v>
      </c>
      <c r="N466" s="36"/>
      <c r="O466" s="16"/>
      <c r="P466" s="35"/>
      <c r="Q466" s="38">
        <v>900000</v>
      </c>
      <c r="R466" s="28" t="s">
        <v>712</v>
      </c>
      <c r="S466" s="39">
        <v>0.17</v>
      </c>
      <c r="T466" s="39"/>
      <c r="U466" s="40"/>
      <c r="V466" s="26"/>
      <c r="W466" s="40">
        <f>IF(NOTA[[#This Row],[HARGA/ CTN]]="",NOTA[[#This Row],[JUMLAH_H]],NOTA[[#This Row],[HARGA/ CTN]]*IF(NOTA[[#This Row],[C]]="",0,NOTA[[#This Row],[C]]))</f>
        <v>900000</v>
      </c>
      <c r="X466" s="40">
        <f>IF(NOTA[[#This Row],[JUMLAH]]="","",NOTA[[#This Row],[JUMLAH]]*NOTA[[#This Row],[DISC 1]])</f>
        <v>153000</v>
      </c>
      <c r="Y466" s="40">
        <f>IF(NOTA[[#This Row],[JUMLAH]]="","",(NOTA[[#This Row],[JUMLAH]]-NOTA[[#This Row],[DISC 1-]])*NOTA[[#This Row],[DISC 2]])</f>
        <v>0</v>
      </c>
      <c r="Z466" s="40">
        <f>IF(NOTA[[#This Row],[JUMLAH]]="","",NOTA[[#This Row],[DISC 1-]]+NOTA[[#This Row],[DISC 2-]])</f>
        <v>153000</v>
      </c>
      <c r="AA466" s="40">
        <f>IF(NOTA[[#This Row],[JUMLAH]]="","",NOTA[[#This Row],[JUMLAH]]-NOTA[[#This Row],[DISC]])</f>
        <v>747000</v>
      </c>
      <c r="AB466" s="40"/>
      <c r="AC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4080782</v>
      </c>
      <c r="AD46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19923818</v>
      </c>
      <c r="AE466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66" s="40" t="str">
        <f>IF(OR(NOTA[[#This Row],[QTY]]="",NOTA[[#This Row],[HARGA SATUAN]]="",),"",NOTA[[#This Row],[QTY]]*NOTA[[#This Row],[HARGA SATUAN]])</f>
        <v/>
      </c>
      <c r="AG466" s="37">
        <f ca="1">IF(NOTA[ID_H]="","",INDEX(NOTA[TANGGAL],MATCH(,INDIRECT(ADDRESS(ROW(NOTA[TANGGAL]),COLUMN(NOTA[TANGGAL]))&amp;":"&amp;ADDRESS(ROW(),COLUMN(NOTA[TANGGAL]))),-1)))</f>
        <v>45063</v>
      </c>
      <c r="AH466" s="35" t="str">
        <f ca="1">IF(NOTA[[#This Row],[NAMA BARANG]]="","",INDEX(NOTA[SUPPLIER],MATCH(,INDIRECT(ADDRESS(ROW(NOTA[ID]),COLUMN(NOTA[ID]))&amp;":"&amp;ADDRESS(ROW(),COLUMN(NOTA[ID]))),-1)))</f>
        <v>KENKO SINAR INDONESIA</v>
      </c>
      <c r="AI466" s="35" t="str">
        <f ca="1">IF(NOTA[[#This Row],[ID_H]]="","",IF(NOTA[[#This Row],[FAKTUR]]="",INDIRECT(ADDRESS(ROW()-1,COLUMN())),NOTA[[#This Row],[FAKTUR]]))</f>
        <v>ARTO MORO</v>
      </c>
      <c r="AJ466" s="27" t="str">
        <f ca="1">IF(NOTA[[#This Row],[ID]]="","",COUNTIF(NOTA[ID_H],NOTA[[#This Row],[ID_H]]))</f>
        <v/>
      </c>
      <c r="AK466" s="27">
        <f ca="1">IF(NOTA[[#This Row],[TGL.NOTA]]="",IF(NOTA[[#This Row],[SUPPLIER_H]]="","",AK465),MONTH(NOTA[[#This Row],[TGL.NOTA]]))</f>
        <v>5</v>
      </c>
      <c r="AL466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4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4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4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27" t="str">
        <f>IF(NOTA[[#This Row],[CONCAT4]]="","",_xlfn.IFNA(MATCH(NOTA[[#This Row],[CONCAT4]],[2]!RAW[CONCAT_H],0),FALSE))</f>
        <v/>
      </c>
      <c r="AQ466" s="145">
        <f>IF(NOTA[[#This Row],[CONCAT1]]="","",MATCH(NOTA[[#This Row],[CONCAT1]],[3]!db[NB NOTA_C],0)+1)</f>
        <v>1147</v>
      </c>
    </row>
    <row r="467" spans="1:43" ht="20.100000000000001" customHeight="1" x14ac:dyDescent="0.25">
      <c r="A46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6" t="str">
        <f>IF(NOTA[[#This Row],[ID_P]]="","",MATCH(NOTA[[#This Row],[ID_P]],[1]!B_MSK[N_ID],0))</f>
        <v/>
      </c>
      <c r="D467" s="36" t="str">
        <f ca="1">IF(NOTA[[#This Row],[NAMA BARANG]]="","",INDEX(NOTA[ID],MATCH(,INDIRECT(ADDRESS(ROW(NOTA[ID]),COLUMN(NOTA[ID]))&amp;":"&amp;ADDRESS(ROW(),COLUMN(NOTA[ID]))),-1)))</f>
        <v/>
      </c>
      <c r="E467" s="14"/>
      <c r="F467" s="16"/>
      <c r="G467" s="16"/>
      <c r="H467" s="20"/>
      <c r="I467" s="16"/>
      <c r="J467" s="37"/>
      <c r="K467" s="16"/>
      <c r="L467" s="16"/>
      <c r="M467" s="28"/>
      <c r="N467" s="36"/>
      <c r="O467" s="16"/>
      <c r="P467" s="35"/>
      <c r="Q467" s="38"/>
      <c r="R467" s="28"/>
      <c r="S467" s="39"/>
      <c r="T467" s="39"/>
      <c r="U467" s="40"/>
      <c r="V467" s="26"/>
      <c r="W467" s="40" t="str">
        <f>IF(NOTA[[#This Row],[HARGA/ CTN]]="",NOTA[[#This Row],[JUMLAH_H]],NOTA[[#This Row],[HARGA/ CTN]]*IF(NOTA[[#This Row],[C]]="",0,NOTA[[#This Row],[C]]))</f>
        <v/>
      </c>
      <c r="X467" s="40" t="str">
        <f>IF(NOTA[[#This Row],[JUMLAH]]="","",NOTA[[#This Row],[JUMLAH]]*NOTA[[#This Row],[DISC 1]])</f>
        <v/>
      </c>
      <c r="Y467" s="40" t="str">
        <f>IF(NOTA[[#This Row],[JUMLAH]]="","",(NOTA[[#This Row],[JUMLAH]]-NOTA[[#This Row],[DISC 1-]])*NOTA[[#This Row],[DISC 2]])</f>
        <v/>
      </c>
      <c r="Z467" s="40" t="str">
        <f>IF(NOTA[[#This Row],[JUMLAH]]="","",NOTA[[#This Row],[DISC 1-]]+NOTA[[#This Row],[DISC 2-]])</f>
        <v/>
      </c>
      <c r="AA467" s="40" t="str">
        <f>IF(NOTA[[#This Row],[JUMLAH]]="","",NOTA[[#This Row],[JUMLAH]]-NOTA[[#This Row],[DISC]])</f>
        <v/>
      </c>
      <c r="AB467" s="40"/>
      <c r="AC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40" t="str">
        <f>IF(OR(NOTA[[#This Row],[QTY]]="",NOTA[[#This Row],[HARGA SATUAN]]="",),"",NOTA[[#This Row],[QTY]]*NOTA[[#This Row],[HARGA SATUAN]])</f>
        <v/>
      </c>
      <c r="AG467" s="37" t="str">
        <f ca="1">IF(NOTA[ID_H]="","",INDEX(NOTA[TANGGAL],MATCH(,INDIRECT(ADDRESS(ROW(NOTA[TANGGAL]),COLUMN(NOTA[TANGGAL]))&amp;":"&amp;ADDRESS(ROW(),COLUMN(NOTA[TANGGAL]))),-1)))</f>
        <v/>
      </c>
      <c r="AH467" s="35" t="str">
        <f ca="1">IF(NOTA[[#This Row],[NAMA BARANG]]="","",INDEX(NOTA[SUPPLIER],MATCH(,INDIRECT(ADDRESS(ROW(NOTA[ID]),COLUMN(NOTA[ID]))&amp;":"&amp;ADDRESS(ROW(),COLUMN(NOTA[ID]))),-1)))</f>
        <v/>
      </c>
      <c r="AI467" s="35" t="str">
        <f ca="1">IF(NOTA[[#This Row],[ID_H]]="","",IF(NOTA[[#This Row],[FAKTUR]]="",INDIRECT(ADDRESS(ROW()-1,COLUMN())),NOTA[[#This Row],[FAKTUR]]))</f>
        <v/>
      </c>
      <c r="AJ467" s="27" t="str">
        <f ca="1">IF(NOTA[[#This Row],[ID]]="","",COUNTIF(NOTA[ID_H],NOTA[[#This Row],[ID_H]]))</f>
        <v/>
      </c>
      <c r="AK467" s="27" t="str">
        <f ca="1">IF(NOTA[[#This Row],[TGL.NOTA]]="",IF(NOTA[[#This Row],[SUPPLIER_H]]="","",AK466),MONTH(NOTA[[#This Row],[TGL.NOTA]]))</f>
        <v/>
      </c>
      <c r="AL467" s="27" t="str">
        <f>LOWER(SUBSTITUTE(SUBSTITUTE(SUBSTITUTE(SUBSTITUTE(SUBSTITUTE(SUBSTITUTE(SUBSTITUTE(SUBSTITUTE(SUBSTITUTE(NOTA[NAMA BARANG]," ",),".",""),"-",""),"(",""),")",""),",",""),"/",""),"""",""),"+",""))</f>
        <v/>
      </c>
      <c r="AM4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27" t="str">
        <f>IF(NOTA[[#This Row],[CONCAT4]]="","",_xlfn.IFNA(MATCH(NOTA[[#This Row],[CONCAT4]],[2]!RAW[CONCAT_H],0),FALSE))</f>
        <v/>
      </c>
      <c r="AQ467" s="145" t="str">
        <f>IF(NOTA[[#This Row],[CONCAT1]]="","",MATCH(NOTA[[#This Row],[CONCAT1]],[3]!db[NB NOTA_C],0)+1)</f>
        <v/>
      </c>
    </row>
    <row r="468" spans="1:43" ht="20.100000000000001" customHeight="1" x14ac:dyDescent="0.25">
      <c r="A468" s="35">
        <f ca="1">IF(INDIRECT(ADDRESS(ROW()-1,COLUMN(NOTA[[#Headers],[ID]])))="ID",1,IF(NOTA[[#This Row],[FAKTUR]]="","",COUNT(INDIRECT(ADDRESS(ROW(NOTA[ID]),COLUMN(NOTA[ID]))&amp;":"&amp;ADDRESS(ROW()-1,COLUMN(NOTA[ID]))))+1))</f>
        <v>85</v>
      </c>
      <c r="B46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KEN_1705_113-10</v>
      </c>
      <c r="C468" s="36" t="e">
        <f ca="1">IF(NOTA[[#This Row],[ID_P]]="","",MATCH(NOTA[[#This Row],[ID_P]],[1]!B_MSK[N_ID],0))</f>
        <v>#REF!</v>
      </c>
      <c r="D468" s="36">
        <f ca="1">IF(NOTA[[#This Row],[NAMA BARANG]]="","",INDEX(NOTA[ID],MATCH(,INDIRECT(ADDRESS(ROW(NOTA[ID]),COLUMN(NOTA[ID]))&amp;":"&amp;ADDRESS(ROW(),COLUMN(NOTA[ID]))),-1)))</f>
        <v>85</v>
      </c>
      <c r="E468" s="14"/>
      <c r="F468" s="16" t="s">
        <v>23</v>
      </c>
      <c r="G468" s="16" t="s">
        <v>24</v>
      </c>
      <c r="H468" s="20" t="s">
        <v>675</v>
      </c>
      <c r="I468" s="16" t="s">
        <v>714</v>
      </c>
      <c r="J468" s="37">
        <v>45057</v>
      </c>
      <c r="K468" s="16"/>
      <c r="L468" s="16" t="s">
        <v>218</v>
      </c>
      <c r="M468" s="28">
        <v>3</v>
      </c>
      <c r="N468" s="36"/>
      <c r="O468" s="16"/>
      <c r="P468" s="35"/>
      <c r="Q468" s="38">
        <v>2088000</v>
      </c>
      <c r="R468" s="28" t="s">
        <v>234</v>
      </c>
      <c r="S468" s="39">
        <v>0.17</v>
      </c>
      <c r="T468" s="39"/>
      <c r="U468" s="40"/>
      <c r="V468" s="26"/>
      <c r="W468" s="40">
        <f>IF(NOTA[[#This Row],[HARGA/ CTN]]="",NOTA[[#This Row],[JUMLAH_H]],NOTA[[#This Row],[HARGA/ CTN]]*IF(NOTA[[#This Row],[C]]="",0,NOTA[[#This Row],[C]]))</f>
        <v>6264000</v>
      </c>
      <c r="X468" s="40">
        <f>IF(NOTA[[#This Row],[JUMLAH]]="","",NOTA[[#This Row],[JUMLAH]]*NOTA[[#This Row],[DISC 1]])</f>
        <v>1064880</v>
      </c>
      <c r="Y468" s="40">
        <f>IF(NOTA[[#This Row],[JUMLAH]]="","",(NOTA[[#This Row],[JUMLAH]]-NOTA[[#This Row],[DISC 1-]])*NOTA[[#This Row],[DISC 2]])</f>
        <v>0</v>
      </c>
      <c r="Z468" s="40">
        <f>IF(NOTA[[#This Row],[JUMLAH]]="","",NOTA[[#This Row],[DISC 1-]]+NOTA[[#This Row],[DISC 2-]])</f>
        <v>1064880</v>
      </c>
      <c r="AA468" s="40">
        <f>IF(NOTA[[#This Row],[JUMLAH]]="","",NOTA[[#This Row],[JUMLAH]]-NOTA[[#This Row],[DISC]])</f>
        <v>5199120</v>
      </c>
      <c r="AB468" s="40"/>
      <c r="AC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3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468" s="40" t="str">
        <f>IF(OR(NOTA[[#This Row],[QTY]]="",NOTA[[#This Row],[HARGA SATUAN]]="",),"",NOTA[[#This Row],[QTY]]*NOTA[[#This Row],[HARGA SATUAN]])</f>
        <v/>
      </c>
      <c r="AG468" s="37">
        <f ca="1">IF(NOTA[ID_H]="","",INDEX(NOTA[TANGGAL],MATCH(,INDIRECT(ADDRESS(ROW(NOTA[TANGGAL]),COLUMN(NOTA[TANGGAL]))&amp;":"&amp;ADDRESS(ROW(),COLUMN(NOTA[TANGGAL]))),-1)))</f>
        <v>45063</v>
      </c>
      <c r="AH468" s="35" t="str">
        <f ca="1">IF(NOTA[[#This Row],[NAMA BARANG]]="","",INDEX(NOTA[SUPPLIER],MATCH(,INDIRECT(ADDRESS(ROW(NOTA[ID]),COLUMN(NOTA[ID]))&amp;":"&amp;ADDRESS(ROW(),COLUMN(NOTA[ID]))),-1)))</f>
        <v>KENKO SINAR INDONESIA</v>
      </c>
      <c r="AI468" s="35" t="str">
        <f ca="1">IF(NOTA[[#This Row],[ID_H]]="","",IF(NOTA[[#This Row],[FAKTUR]]="",INDIRECT(ADDRESS(ROW()-1,COLUMN())),NOTA[[#This Row],[FAKTUR]]))</f>
        <v>ARTO MORO</v>
      </c>
      <c r="AJ468" s="27">
        <f ca="1">IF(NOTA[[#This Row],[ID]]="","",COUNTIF(NOTA[ID_H],NOTA[[#This Row],[ID_H]]))</f>
        <v>10</v>
      </c>
      <c r="AK468" s="27">
        <f>IF(NOTA[[#This Row],[TGL.NOTA]]="",IF(NOTA[[#This Row],[SUPPLIER_H]]="","",AK467),MONTH(NOTA[[#This Row],[TGL.NOTA]]))</f>
        <v>5</v>
      </c>
      <c r="AL468" s="27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4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4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468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MORO23051113SA 4149045057titi12coloroilpasteltip12s</v>
      </c>
      <c r="AP468" s="27" t="e">
        <f>IF(NOTA[[#This Row],[CONCAT4]]="","",_xlfn.IFNA(MATCH(NOTA[[#This Row],[CONCAT4]],[2]!RAW[CONCAT_H],0),FALSE))</f>
        <v>#REF!</v>
      </c>
      <c r="AQ468" s="145">
        <f>IF(NOTA[[#This Row],[CONCAT1]]="","",MATCH(NOTA[[#This Row],[CONCAT1]],[3]!db[NB NOTA_C],0)+1)</f>
        <v>2264</v>
      </c>
    </row>
    <row r="469" spans="1:43" ht="20.100000000000001" customHeight="1" x14ac:dyDescent="0.25">
      <c r="A46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6" t="str">
        <f>IF(NOTA[[#This Row],[ID_P]]="","",MATCH(NOTA[[#This Row],[ID_P]],[1]!B_MSK[N_ID],0))</f>
        <v/>
      </c>
      <c r="D469" s="36">
        <f ca="1">IF(NOTA[[#This Row],[NAMA BARANG]]="","",INDEX(NOTA[ID],MATCH(,INDIRECT(ADDRESS(ROW(NOTA[ID]),COLUMN(NOTA[ID]))&amp;":"&amp;ADDRESS(ROW(),COLUMN(NOTA[ID]))),-1)))</f>
        <v>85</v>
      </c>
      <c r="E469" s="14"/>
      <c r="F469" s="16"/>
      <c r="G469" s="16"/>
      <c r="H469" s="20"/>
      <c r="I469" s="16"/>
      <c r="J469" s="37"/>
      <c r="K469" s="16"/>
      <c r="L469" s="16" t="s">
        <v>682</v>
      </c>
      <c r="M469" s="28">
        <v>3</v>
      </c>
      <c r="N469" s="36"/>
      <c r="O469" s="16"/>
      <c r="P469" s="35"/>
      <c r="Q469" s="38">
        <v>1944000</v>
      </c>
      <c r="R469" s="28" t="s">
        <v>715</v>
      </c>
      <c r="S469" s="39">
        <v>0.17</v>
      </c>
      <c r="T469" s="39"/>
      <c r="U469" s="40"/>
      <c r="V469" s="26"/>
      <c r="W469" s="40">
        <f>IF(NOTA[[#This Row],[HARGA/ CTN]]="",NOTA[[#This Row],[JUMLAH_H]],NOTA[[#This Row],[HARGA/ CTN]]*IF(NOTA[[#This Row],[C]]="",0,NOTA[[#This Row],[C]]))</f>
        <v>5832000</v>
      </c>
      <c r="X469" s="40">
        <f>IF(NOTA[[#This Row],[JUMLAH]]="","",NOTA[[#This Row],[JUMLAH]]*NOTA[[#This Row],[DISC 1]])</f>
        <v>991440.00000000012</v>
      </c>
      <c r="Y469" s="40">
        <f>IF(NOTA[[#This Row],[JUMLAH]]="","",(NOTA[[#This Row],[JUMLAH]]-NOTA[[#This Row],[DISC 1-]])*NOTA[[#This Row],[DISC 2]])</f>
        <v>0</v>
      </c>
      <c r="Z469" s="40">
        <f>IF(NOTA[[#This Row],[JUMLAH]]="","",NOTA[[#This Row],[DISC 1-]]+NOTA[[#This Row],[DISC 2-]])</f>
        <v>991440.00000000012</v>
      </c>
      <c r="AA469" s="40">
        <f>IF(NOTA[[#This Row],[JUMLAH]]="","",NOTA[[#This Row],[JUMLAH]]-NOTA[[#This Row],[DISC]])</f>
        <v>4840560</v>
      </c>
      <c r="AB469" s="40"/>
      <c r="AC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3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69" s="40" t="str">
        <f>IF(OR(NOTA[[#This Row],[QTY]]="",NOTA[[#This Row],[HARGA SATUAN]]="",),"",NOTA[[#This Row],[QTY]]*NOTA[[#This Row],[HARGA SATUAN]])</f>
        <v/>
      </c>
      <c r="AG469" s="37">
        <f ca="1">IF(NOTA[ID_H]="","",INDEX(NOTA[TANGGAL],MATCH(,INDIRECT(ADDRESS(ROW(NOTA[TANGGAL]),COLUMN(NOTA[TANGGAL]))&amp;":"&amp;ADDRESS(ROW(),COLUMN(NOTA[TANGGAL]))),-1)))</f>
        <v>45063</v>
      </c>
      <c r="AH469" s="35" t="str">
        <f ca="1">IF(NOTA[[#This Row],[NAMA BARANG]]="","",INDEX(NOTA[SUPPLIER],MATCH(,INDIRECT(ADDRESS(ROW(NOTA[ID]),COLUMN(NOTA[ID]))&amp;":"&amp;ADDRESS(ROW(),COLUMN(NOTA[ID]))),-1)))</f>
        <v>KENKO SINAR INDONESIA</v>
      </c>
      <c r="AI469" s="35" t="str">
        <f ca="1">IF(NOTA[[#This Row],[ID_H]]="","",IF(NOTA[[#This Row],[FAKTUR]]="",INDIRECT(ADDRESS(ROW()-1,COLUMN())),NOTA[[#This Row],[FAKTUR]]))</f>
        <v>ARTO MORO</v>
      </c>
      <c r="AJ469" s="27" t="str">
        <f ca="1">IF(NOTA[[#This Row],[ID]]="","",COUNTIF(NOTA[ID_H],NOTA[[#This Row],[ID_H]]))</f>
        <v/>
      </c>
      <c r="AK469" s="27">
        <f ca="1">IF(NOTA[[#This Row],[TGL.NOTA]]="",IF(NOTA[[#This Row],[SUPPLIER_H]]="","",AK468),MONTH(NOTA[[#This Row],[TGL.NOTA]]))</f>
        <v>5</v>
      </c>
      <c r="AL469" s="27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4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4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4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27" t="str">
        <f>IF(NOTA[[#This Row],[CONCAT4]]="","",_xlfn.IFNA(MATCH(NOTA[[#This Row],[CONCAT4]],[2]!RAW[CONCAT_H],0),FALSE))</f>
        <v/>
      </c>
      <c r="AQ469" s="145">
        <f>IF(NOTA[[#This Row],[CONCAT1]]="","",MATCH(NOTA[[#This Row],[CONCAT1]],[3]!db[NB NOTA_C],0)+1)</f>
        <v>2266</v>
      </c>
    </row>
    <row r="470" spans="1:43" ht="20.100000000000001" customHeight="1" x14ac:dyDescent="0.25">
      <c r="A47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6" t="str">
        <f>IF(NOTA[[#This Row],[ID_P]]="","",MATCH(NOTA[[#This Row],[ID_P]],[1]!B_MSK[N_ID],0))</f>
        <v/>
      </c>
      <c r="D470" s="36">
        <f ca="1">IF(NOTA[[#This Row],[NAMA BARANG]]="","",INDEX(NOTA[ID],MATCH(,INDIRECT(ADDRESS(ROW(NOTA[ID]),COLUMN(NOTA[ID]))&amp;":"&amp;ADDRESS(ROW(),COLUMN(NOTA[ID]))),-1)))</f>
        <v>85</v>
      </c>
      <c r="E470" s="14"/>
      <c r="F470" s="16"/>
      <c r="G470" s="16"/>
      <c r="H470" s="20"/>
      <c r="I470" s="16"/>
      <c r="J470" s="37"/>
      <c r="K470" s="16"/>
      <c r="L470" s="16" t="s">
        <v>676</v>
      </c>
      <c r="M470" s="28">
        <v>3</v>
      </c>
      <c r="N470" s="36"/>
      <c r="O470" s="16"/>
      <c r="P470" s="35"/>
      <c r="Q470" s="38">
        <v>1632000</v>
      </c>
      <c r="R470" s="28" t="s">
        <v>716</v>
      </c>
      <c r="S470" s="39">
        <v>0.17</v>
      </c>
      <c r="T470" s="39"/>
      <c r="U470" s="40"/>
      <c r="V470" s="26"/>
      <c r="W470" s="40">
        <f>IF(NOTA[[#This Row],[HARGA/ CTN]]="",NOTA[[#This Row],[JUMLAH_H]],NOTA[[#This Row],[HARGA/ CTN]]*IF(NOTA[[#This Row],[C]]="",0,NOTA[[#This Row],[C]]))</f>
        <v>4896000</v>
      </c>
      <c r="X470" s="40">
        <f>IF(NOTA[[#This Row],[JUMLAH]]="","",NOTA[[#This Row],[JUMLAH]]*NOTA[[#This Row],[DISC 1]])</f>
        <v>832320.00000000012</v>
      </c>
      <c r="Y470" s="40">
        <f>IF(NOTA[[#This Row],[JUMLAH]]="","",(NOTA[[#This Row],[JUMLAH]]-NOTA[[#This Row],[DISC 1-]])*NOTA[[#This Row],[DISC 2]])</f>
        <v>0</v>
      </c>
      <c r="Z470" s="40">
        <f>IF(NOTA[[#This Row],[JUMLAH]]="","",NOTA[[#This Row],[DISC 1-]]+NOTA[[#This Row],[DISC 2-]])</f>
        <v>832320.00000000012</v>
      </c>
      <c r="AA470" s="40">
        <f>IF(NOTA[[#This Row],[JUMLAH]]="","",NOTA[[#This Row],[JUMLAH]]-NOTA[[#This Row],[DISC]])</f>
        <v>4063680</v>
      </c>
      <c r="AB470" s="40"/>
      <c r="AC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3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470" s="40" t="str">
        <f>IF(OR(NOTA[[#This Row],[QTY]]="",NOTA[[#This Row],[HARGA SATUAN]]="",),"",NOTA[[#This Row],[QTY]]*NOTA[[#This Row],[HARGA SATUAN]])</f>
        <v/>
      </c>
      <c r="AG470" s="37">
        <f ca="1">IF(NOTA[ID_H]="","",INDEX(NOTA[TANGGAL],MATCH(,INDIRECT(ADDRESS(ROW(NOTA[TANGGAL]),COLUMN(NOTA[TANGGAL]))&amp;":"&amp;ADDRESS(ROW(),COLUMN(NOTA[TANGGAL]))),-1)))</f>
        <v>45063</v>
      </c>
      <c r="AH470" s="35" t="str">
        <f ca="1">IF(NOTA[[#This Row],[NAMA BARANG]]="","",INDEX(NOTA[SUPPLIER],MATCH(,INDIRECT(ADDRESS(ROW(NOTA[ID]),COLUMN(NOTA[ID]))&amp;":"&amp;ADDRESS(ROW(),COLUMN(NOTA[ID]))),-1)))</f>
        <v>KENKO SINAR INDONESIA</v>
      </c>
      <c r="AI470" s="35" t="str">
        <f ca="1">IF(NOTA[[#This Row],[ID_H]]="","",IF(NOTA[[#This Row],[FAKTUR]]="",INDIRECT(ADDRESS(ROW()-1,COLUMN())),NOTA[[#This Row],[FAKTUR]]))</f>
        <v>ARTO MORO</v>
      </c>
      <c r="AJ470" s="27" t="str">
        <f ca="1">IF(NOTA[[#This Row],[ID]]="","",COUNTIF(NOTA[ID_H],NOTA[[#This Row],[ID_H]]))</f>
        <v/>
      </c>
      <c r="AK470" s="27">
        <f ca="1">IF(NOTA[[#This Row],[TGL.NOTA]]="",IF(NOTA[[#This Row],[SUPPLIER_H]]="","",AK469),MONTH(NOTA[[#This Row],[TGL.NOTA]]))</f>
        <v>5</v>
      </c>
      <c r="AL470" s="27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4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4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4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27" t="str">
        <f>IF(NOTA[[#This Row],[CONCAT4]]="","",_xlfn.IFNA(MATCH(NOTA[[#This Row],[CONCAT4]],[2]!RAW[CONCAT_H],0),FALSE))</f>
        <v/>
      </c>
      <c r="AQ470" s="145">
        <f>IF(NOTA[[#This Row],[CONCAT1]]="","",MATCH(NOTA[[#This Row],[CONCAT1]],[3]!db[NB NOTA_C],0)+1)</f>
        <v>2267</v>
      </c>
    </row>
    <row r="471" spans="1:43" ht="20.100000000000001" customHeight="1" x14ac:dyDescent="0.25">
      <c r="A47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6" t="str">
        <f>IF(NOTA[[#This Row],[ID_P]]="","",MATCH(NOTA[[#This Row],[ID_P]],[1]!B_MSK[N_ID],0))</f>
        <v/>
      </c>
      <c r="D471" s="36">
        <f ca="1">IF(NOTA[[#This Row],[NAMA BARANG]]="","",INDEX(NOTA[ID],MATCH(,INDIRECT(ADDRESS(ROW(NOTA[ID]),COLUMN(NOTA[ID]))&amp;":"&amp;ADDRESS(ROW(),COLUMN(NOTA[ID]))),-1)))</f>
        <v>85</v>
      </c>
      <c r="E471" s="14"/>
      <c r="F471" s="16"/>
      <c r="G471" s="16"/>
      <c r="H471" s="20"/>
      <c r="I471" s="16"/>
      <c r="J471" s="37"/>
      <c r="K471" s="16"/>
      <c r="L471" s="16" t="s">
        <v>677</v>
      </c>
      <c r="M471" s="28">
        <v>2</v>
      </c>
      <c r="N471" s="36"/>
      <c r="O471" s="16"/>
      <c r="P471" s="35"/>
      <c r="Q471" s="38">
        <v>1710000</v>
      </c>
      <c r="R471" s="28" t="s">
        <v>717</v>
      </c>
      <c r="S471" s="39">
        <v>0.17</v>
      </c>
      <c r="T471" s="39"/>
      <c r="U471" s="40"/>
      <c r="V471" s="26"/>
      <c r="W471" s="40">
        <f>IF(NOTA[[#This Row],[HARGA/ CTN]]="",NOTA[[#This Row],[JUMLAH_H]],NOTA[[#This Row],[HARGA/ CTN]]*IF(NOTA[[#This Row],[C]]="",0,NOTA[[#This Row],[C]]))</f>
        <v>3420000</v>
      </c>
      <c r="X471" s="40">
        <f>IF(NOTA[[#This Row],[JUMLAH]]="","",NOTA[[#This Row],[JUMLAH]]*NOTA[[#This Row],[DISC 1]])</f>
        <v>581400</v>
      </c>
      <c r="Y471" s="40">
        <f>IF(NOTA[[#This Row],[JUMLAH]]="","",(NOTA[[#This Row],[JUMLAH]]-NOTA[[#This Row],[DISC 1-]])*NOTA[[#This Row],[DISC 2]])</f>
        <v>0</v>
      </c>
      <c r="Z471" s="40">
        <f>IF(NOTA[[#This Row],[JUMLAH]]="","",NOTA[[#This Row],[DISC 1-]]+NOTA[[#This Row],[DISC 2-]])</f>
        <v>581400</v>
      </c>
      <c r="AA471" s="40">
        <f>IF(NOTA[[#This Row],[JUMLAH]]="","",NOTA[[#This Row],[JUMLAH]]-NOTA[[#This Row],[DISC]])</f>
        <v>2838600</v>
      </c>
      <c r="AB471" s="40"/>
      <c r="AC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3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471" s="40" t="str">
        <f>IF(OR(NOTA[[#This Row],[QTY]]="",NOTA[[#This Row],[HARGA SATUAN]]="",),"",NOTA[[#This Row],[QTY]]*NOTA[[#This Row],[HARGA SATUAN]])</f>
        <v/>
      </c>
      <c r="AG471" s="37">
        <f ca="1">IF(NOTA[ID_H]="","",INDEX(NOTA[TANGGAL],MATCH(,INDIRECT(ADDRESS(ROW(NOTA[TANGGAL]),COLUMN(NOTA[TANGGAL]))&amp;":"&amp;ADDRESS(ROW(),COLUMN(NOTA[TANGGAL]))),-1)))</f>
        <v>45063</v>
      </c>
      <c r="AH471" s="35" t="str">
        <f ca="1">IF(NOTA[[#This Row],[NAMA BARANG]]="","",INDEX(NOTA[SUPPLIER],MATCH(,INDIRECT(ADDRESS(ROW(NOTA[ID]),COLUMN(NOTA[ID]))&amp;":"&amp;ADDRESS(ROW(),COLUMN(NOTA[ID]))),-1)))</f>
        <v>KENKO SINAR INDONESIA</v>
      </c>
      <c r="AI471" s="35" t="str">
        <f ca="1">IF(NOTA[[#This Row],[ID_H]]="","",IF(NOTA[[#This Row],[FAKTUR]]="",INDIRECT(ADDRESS(ROW()-1,COLUMN())),NOTA[[#This Row],[FAKTUR]]))</f>
        <v>ARTO MORO</v>
      </c>
      <c r="AJ471" s="27" t="str">
        <f ca="1">IF(NOTA[[#This Row],[ID]]="","",COUNTIF(NOTA[ID_H],NOTA[[#This Row],[ID_H]]))</f>
        <v/>
      </c>
      <c r="AK471" s="27">
        <f ca="1">IF(NOTA[[#This Row],[TGL.NOTA]]="",IF(NOTA[[#This Row],[SUPPLIER_H]]="","",AK470),MONTH(NOTA[[#This Row],[TGL.NOTA]]))</f>
        <v>5</v>
      </c>
      <c r="AL471" s="27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4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4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4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27" t="str">
        <f>IF(NOTA[[#This Row],[CONCAT4]]="","",_xlfn.IFNA(MATCH(NOTA[[#This Row],[CONCAT4]],[2]!RAW[CONCAT_H],0),FALSE))</f>
        <v/>
      </c>
      <c r="AQ471" s="145">
        <f>IF(NOTA[[#This Row],[CONCAT1]]="","",MATCH(NOTA[[#This Row],[CONCAT1]],[3]!db[NB NOTA_C],0)+1)</f>
        <v>2268</v>
      </c>
    </row>
    <row r="472" spans="1:43" ht="20.100000000000001" customHeight="1" x14ac:dyDescent="0.25">
      <c r="A47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6" t="str">
        <f>IF(NOTA[[#This Row],[ID_P]]="","",MATCH(NOTA[[#This Row],[ID_P]],[1]!B_MSK[N_ID],0))</f>
        <v/>
      </c>
      <c r="D472" s="36">
        <f ca="1">IF(NOTA[[#This Row],[NAMA BARANG]]="","",INDEX(NOTA[ID],MATCH(,INDIRECT(ADDRESS(ROW(NOTA[ID]),COLUMN(NOTA[ID]))&amp;":"&amp;ADDRESS(ROW(),COLUMN(NOTA[ID]))),-1)))</f>
        <v>85</v>
      </c>
      <c r="E472" s="14"/>
      <c r="F472" s="16"/>
      <c r="G472" s="16"/>
      <c r="H472" s="20"/>
      <c r="I472" s="16"/>
      <c r="J472" s="37"/>
      <c r="K472" s="16"/>
      <c r="L472" s="16" t="s">
        <v>678</v>
      </c>
      <c r="M472" s="28">
        <v>1</v>
      </c>
      <c r="N472" s="36"/>
      <c r="O472" s="16"/>
      <c r="P472" s="35"/>
      <c r="Q472" s="38">
        <v>1824000</v>
      </c>
      <c r="R472" s="28" t="s">
        <v>587</v>
      </c>
      <c r="S472" s="39">
        <v>0.17</v>
      </c>
      <c r="T472" s="39"/>
      <c r="U472" s="40"/>
      <c r="V472" s="26"/>
      <c r="W472" s="40">
        <f>IF(NOTA[[#This Row],[HARGA/ CTN]]="",NOTA[[#This Row],[JUMLAH_H]],NOTA[[#This Row],[HARGA/ CTN]]*IF(NOTA[[#This Row],[C]]="",0,NOTA[[#This Row],[C]]))</f>
        <v>1824000</v>
      </c>
      <c r="X472" s="40">
        <f>IF(NOTA[[#This Row],[JUMLAH]]="","",NOTA[[#This Row],[JUMLAH]]*NOTA[[#This Row],[DISC 1]])</f>
        <v>310080</v>
      </c>
      <c r="Y472" s="40">
        <f>IF(NOTA[[#This Row],[JUMLAH]]="","",(NOTA[[#This Row],[JUMLAH]]-NOTA[[#This Row],[DISC 1-]])*NOTA[[#This Row],[DISC 2]])</f>
        <v>0</v>
      </c>
      <c r="Z472" s="40">
        <f>IF(NOTA[[#This Row],[JUMLAH]]="","",NOTA[[#This Row],[DISC 1-]]+NOTA[[#This Row],[DISC 2-]])</f>
        <v>310080</v>
      </c>
      <c r="AA472" s="40">
        <f>IF(NOTA[[#This Row],[JUMLAH]]="","",NOTA[[#This Row],[JUMLAH]]-NOTA[[#This Row],[DISC]])</f>
        <v>1513920</v>
      </c>
      <c r="AB472" s="40"/>
      <c r="AC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3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472" s="40" t="str">
        <f>IF(OR(NOTA[[#This Row],[QTY]]="",NOTA[[#This Row],[HARGA SATUAN]]="",),"",NOTA[[#This Row],[QTY]]*NOTA[[#This Row],[HARGA SATUAN]])</f>
        <v/>
      </c>
      <c r="AG472" s="37">
        <f ca="1">IF(NOTA[ID_H]="","",INDEX(NOTA[TANGGAL],MATCH(,INDIRECT(ADDRESS(ROW(NOTA[TANGGAL]),COLUMN(NOTA[TANGGAL]))&amp;":"&amp;ADDRESS(ROW(),COLUMN(NOTA[TANGGAL]))),-1)))</f>
        <v>45063</v>
      </c>
      <c r="AH472" s="35" t="str">
        <f ca="1">IF(NOTA[[#This Row],[NAMA BARANG]]="","",INDEX(NOTA[SUPPLIER],MATCH(,INDIRECT(ADDRESS(ROW(NOTA[ID]),COLUMN(NOTA[ID]))&amp;":"&amp;ADDRESS(ROW(),COLUMN(NOTA[ID]))),-1)))</f>
        <v>KENKO SINAR INDONESIA</v>
      </c>
      <c r="AI472" s="35" t="str">
        <f ca="1">IF(NOTA[[#This Row],[ID_H]]="","",IF(NOTA[[#This Row],[FAKTUR]]="",INDIRECT(ADDRESS(ROW()-1,COLUMN())),NOTA[[#This Row],[FAKTUR]]))</f>
        <v>ARTO MORO</v>
      </c>
      <c r="AJ472" s="27" t="str">
        <f ca="1">IF(NOTA[[#This Row],[ID]]="","",COUNTIF(NOTA[ID_H],NOTA[[#This Row],[ID_H]]))</f>
        <v/>
      </c>
      <c r="AK472" s="27">
        <f ca="1">IF(NOTA[[#This Row],[TGL.NOTA]]="",IF(NOTA[[#This Row],[SUPPLIER_H]]="","",AK471),MONTH(NOTA[[#This Row],[TGL.NOTA]]))</f>
        <v>5</v>
      </c>
      <c r="AL472" s="27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4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4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4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27" t="str">
        <f>IF(NOTA[[#This Row],[CONCAT4]]="","",_xlfn.IFNA(MATCH(NOTA[[#This Row],[CONCAT4]],[2]!RAW[CONCAT_H],0),FALSE))</f>
        <v/>
      </c>
      <c r="AQ472" s="145">
        <f>IF(NOTA[[#This Row],[CONCAT1]]="","",MATCH(NOTA[[#This Row],[CONCAT1]],[3]!db[NB NOTA_C],0)+1)</f>
        <v>2270</v>
      </c>
    </row>
    <row r="473" spans="1:43" ht="20.100000000000001" customHeight="1" x14ac:dyDescent="0.25">
      <c r="A47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6" t="str">
        <f>IF(NOTA[[#This Row],[ID_P]]="","",MATCH(NOTA[[#This Row],[ID_P]],[1]!B_MSK[N_ID],0))</f>
        <v/>
      </c>
      <c r="D473" s="36">
        <f ca="1">IF(NOTA[[#This Row],[NAMA BARANG]]="","",INDEX(NOTA[ID],MATCH(,INDIRECT(ADDRESS(ROW(NOTA[ID]),COLUMN(NOTA[ID]))&amp;":"&amp;ADDRESS(ROW(),COLUMN(NOTA[ID]))),-1)))</f>
        <v>85</v>
      </c>
      <c r="E473" s="14"/>
      <c r="F473" s="16"/>
      <c r="G473" s="16"/>
      <c r="H473" s="20"/>
      <c r="I473" s="16"/>
      <c r="J473" s="37"/>
      <c r="K473" s="16"/>
      <c r="L473" s="16" t="s">
        <v>679</v>
      </c>
      <c r="M473" s="28">
        <v>1</v>
      </c>
      <c r="N473" s="36"/>
      <c r="O473" s="16"/>
      <c r="P473" s="35"/>
      <c r="Q473" s="38">
        <v>850000</v>
      </c>
      <c r="R473" s="28" t="s">
        <v>718</v>
      </c>
      <c r="S473" s="39">
        <v>0.17</v>
      </c>
      <c r="T473" s="39"/>
      <c r="U473" s="40"/>
      <c r="V473" s="26"/>
      <c r="W473" s="40">
        <f>IF(NOTA[[#This Row],[HARGA/ CTN]]="",NOTA[[#This Row],[JUMLAH_H]],NOTA[[#This Row],[HARGA/ CTN]]*IF(NOTA[[#This Row],[C]]="",0,NOTA[[#This Row],[C]]))</f>
        <v>850000</v>
      </c>
      <c r="X473" s="40">
        <f>IF(NOTA[[#This Row],[JUMLAH]]="","",NOTA[[#This Row],[JUMLAH]]*NOTA[[#This Row],[DISC 1]])</f>
        <v>144500</v>
      </c>
      <c r="Y473" s="40">
        <f>IF(NOTA[[#This Row],[JUMLAH]]="","",(NOTA[[#This Row],[JUMLAH]]-NOTA[[#This Row],[DISC 1-]])*NOTA[[#This Row],[DISC 2]])</f>
        <v>0</v>
      </c>
      <c r="Z473" s="40">
        <f>IF(NOTA[[#This Row],[JUMLAH]]="","",NOTA[[#This Row],[DISC 1-]]+NOTA[[#This Row],[DISC 2-]])</f>
        <v>144500</v>
      </c>
      <c r="AA473" s="40">
        <f>IF(NOTA[[#This Row],[JUMLAH]]="","",NOTA[[#This Row],[JUMLAH]]-NOTA[[#This Row],[DISC]])</f>
        <v>705500</v>
      </c>
      <c r="AB473" s="40"/>
      <c r="AC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473" s="40" t="str">
        <f>IF(OR(NOTA[[#This Row],[QTY]]="",NOTA[[#This Row],[HARGA SATUAN]]="",),"",NOTA[[#This Row],[QTY]]*NOTA[[#This Row],[HARGA SATUAN]])</f>
        <v/>
      </c>
      <c r="AG473" s="37">
        <f ca="1">IF(NOTA[ID_H]="","",INDEX(NOTA[TANGGAL],MATCH(,INDIRECT(ADDRESS(ROW(NOTA[TANGGAL]),COLUMN(NOTA[TANGGAL]))&amp;":"&amp;ADDRESS(ROW(),COLUMN(NOTA[TANGGAL]))),-1)))</f>
        <v>45063</v>
      </c>
      <c r="AH473" s="35" t="str">
        <f ca="1">IF(NOTA[[#This Row],[NAMA BARANG]]="","",INDEX(NOTA[SUPPLIER],MATCH(,INDIRECT(ADDRESS(ROW(NOTA[ID]),COLUMN(NOTA[ID]))&amp;":"&amp;ADDRESS(ROW(),COLUMN(NOTA[ID]))),-1)))</f>
        <v>KENKO SINAR INDONESIA</v>
      </c>
      <c r="AI473" s="35" t="str">
        <f ca="1">IF(NOTA[[#This Row],[ID_H]]="","",IF(NOTA[[#This Row],[FAKTUR]]="",INDIRECT(ADDRESS(ROW()-1,COLUMN())),NOTA[[#This Row],[FAKTUR]]))</f>
        <v>ARTO MORO</v>
      </c>
      <c r="AJ473" s="27" t="str">
        <f ca="1">IF(NOTA[[#This Row],[ID]]="","",COUNTIF(NOTA[ID_H],NOTA[[#This Row],[ID_H]]))</f>
        <v/>
      </c>
      <c r="AK473" s="27">
        <f ca="1">IF(NOTA[[#This Row],[TGL.NOTA]]="",IF(NOTA[[#This Row],[SUPPLIER_H]]="","",AK472),MONTH(NOTA[[#This Row],[TGL.NOTA]]))</f>
        <v>5</v>
      </c>
      <c r="AL473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4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4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4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27" t="str">
        <f>IF(NOTA[[#This Row],[CONCAT4]]="","",_xlfn.IFNA(MATCH(NOTA[[#This Row],[CONCAT4]],[2]!RAW[CONCAT_H],0),FALSE))</f>
        <v/>
      </c>
      <c r="AQ473" s="145">
        <f>IF(NOTA[[#This Row],[CONCAT1]]="","",MATCH(NOTA[[#This Row],[CONCAT1]],[3]!db[NB NOTA_C],0)+1)</f>
        <v>1426</v>
      </c>
    </row>
    <row r="474" spans="1:43" ht="20.100000000000001" customHeight="1" x14ac:dyDescent="0.25">
      <c r="A47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6" t="str">
        <f>IF(NOTA[[#This Row],[ID_P]]="","",MATCH(NOTA[[#This Row],[ID_P]],[1]!B_MSK[N_ID],0))</f>
        <v/>
      </c>
      <c r="D474" s="36">
        <f ca="1">IF(NOTA[[#This Row],[NAMA BARANG]]="","",INDEX(NOTA[ID],MATCH(,INDIRECT(ADDRESS(ROW(NOTA[ID]),COLUMN(NOTA[ID]))&amp;":"&amp;ADDRESS(ROW(),COLUMN(NOTA[ID]))),-1)))</f>
        <v>85</v>
      </c>
      <c r="E474" s="14"/>
      <c r="F474" s="16"/>
      <c r="G474" s="16"/>
      <c r="H474" s="20"/>
      <c r="I474" s="16"/>
      <c r="J474" s="37"/>
      <c r="K474" s="16"/>
      <c r="L474" s="16" t="s">
        <v>683</v>
      </c>
      <c r="M474" s="28">
        <v>1</v>
      </c>
      <c r="N474" s="16"/>
      <c r="O474" s="16"/>
      <c r="P474" s="35"/>
      <c r="Q474" s="38">
        <v>800000</v>
      </c>
      <c r="R474" s="28" t="s">
        <v>718</v>
      </c>
      <c r="S474" s="39">
        <v>0.17</v>
      </c>
      <c r="T474" s="39"/>
      <c r="U474" s="40"/>
      <c r="V474" s="26"/>
      <c r="W474" s="40">
        <f>IF(NOTA[[#This Row],[HARGA/ CTN]]="",NOTA[[#This Row],[JUMLAH_H]],NOTA[[#This Row],[HARGA/ CTN]]*IF(NOTA[[#This Row],[C]]="",0,NOTA[[#This Row],[C]]))</f>
        <v>800000</v>
      </c>
      <c r="X474" s="40">
        <f>IF(NOTA[[#This Row],[JUMLAH]]="","",NOTA[[#This Row],[JUMLAH]]*NOTA[[#This Row],[DISC 1]])</f>
        <v>136000</v>
      </c>
      <c r="Y474" s="40">
        <f>IF(NOTA[[#This Row],[JUMLAH]]="","",(NOTA[[#This Row],[JUMLAH]]-NOTA[[#This Row],[DISC 1-]])*NOTA[[#This Row],[DISC 2]])</f>
        <v>0</v>
      </c>
      <c r="Z474" s="40">
        <f>IF(NOTA[[#This Row],[JUMLAH]]="","",NOTA[[#This Row],[DISC 1-]]+NOTA[[#This Row],[DISC 2-]])</f>
        <v>136000</v>
      </c>
      <c r="AA474" s="40">
        <f>IF(NOTA[[#This Row],[JUMLAH]]="","",NOTA[[#This Row],[JUMLAH]]-NOTA[[#This Row],[DISC]])</f>
        <v>664000</v>
      </c>
      <c r="AB474" s="40"/>
      <c r="AC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474" s="40" t="str">
        <f>IF(OR(NOTA[[#This Row],[QTY]]="",NOTA[[#This Row],[HARGA SATUAN]]="",),"",NOTA[[#This Row],[QTY]]*NOTA[[#This Row],[HARGA SATUAN]])</f>
        <v/>
      </c>
      <c r="AG474" s="37">
        <f ca="1">IF(NOTA[ID_H]="","",INDEX(NOTA[TANGGAL],MATCH(,INDIRECT(ADDRESS(ROW(NOTA[TANGGAL]),COLUMN(NOTA[TANGGAL]))&amp;":"&amp;ADDRESS(ROW(),COLUMN(NOTA[TANGGAL]))),-1)))</f>
        <v>45063</v>
      </c>
      <c r="AH474" s="35" t="str">
        <f ca="1">IF(NOTA[[#This Row],[NAMA BARANG]]="","",INDEX(NOTA[SUPPLIER],MATCH(,INDIRECT(ADDRESS(ROW(NOTA[ID]),COLUMN(NOTA[ID]))&amp;":"&amp;ADDRESS(ROW(),COLUMN(NOTA[ID]))),-1)))</f>
        <v>KENKO SINAR INDONESIA</v>
      </c>
      <c r="AI474" s="35" t="str">
        <f ca="1">IF(NOTA[[#This Row],[ID_H]]="","",IF(NOTA[[#This Row],[FAKTUR]]="",INDIRECT(ADDRESS(ROW()-1,COLUMN())),NOTA[[#This Row],[FAKTUR]]))</f>
        <v>ARTO MORO</v>
      </c>
      <c r="AJ474" s="27" t="str">
        <f ca="1">IF(NOTA[[#This Row],[ID]]="","",COUNTIF(NOTA[ID_H],NOTA[[#This Row],[ID_H]]))</f>
        <v/>
      </c>
      <c r="AK474" s="27">
        <f ca="1">IF(NOTA[[#This Row],[TGL.NOTA]]="",IF(NOTA[[#This Row],[SUPPLIER_H]]="","",AK473),MONTH(NOTA[[#This Row],[TGL.NOTA]]))</f>
        <v>5</v>
      </c>
      <c r="AL474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4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4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4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27" t="str">
        <f>IF(NOTA[[#This Row],[CONCAT4]]="","",_xlfn.IFNA(MATCH(NOTA[[#This Row],[CONCAT4]],[2]!RAW[CONCAT_H],0),FALSE))</f>
        <v/>
      </c>
      <c r="AQ474" s="145">
        <f>IF(NOTA[[#This Row],[CONCAT1]]="","",MATCH(NOTA[[#This Row],[CONCAT1]],[3]!db[NB NOTA_C],0)+1)</f>
        <v>1425</v>
      </c>
    </row>
    <row r="475" spans="1:43" ht="20.100000000000001" customHeight="1" x14ac:dyDescent="0.25">
      <c r="A47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6" t="str">
        <f>IF(NOTA[[#This Row],[ID_P]]="","",MATCH(NOTA[[#This Row],[ID_P]],[1]!B_MSK[N_ID],0))</f>
        <v/>
      </c>
      <c r="D475" s="36">
        <f ca="1">IF(NOTA[[#This Row],[NAMA BARANG]]="","",INDEX(NOTA[ID],MATCH(,INDIRECT(ADDRESS(ROW(NOTA[ID]),COLUMN(NOTA[ID]))&amp;":"&amp;ADDRESS(ROW(),COLUMN(NOTA[ID]))),-1)))</f>
        <v>85</v>
      </c>
      <c r="E475" s="14"/>
      <c r="F475" s="16"/>
      <c r="G475" s="16"/>
      <c r="H475" s="20"/>
      <c r="I475" s="16"/>
      <c r="J475" s="37"/>
      <c r="K475" s="16"/>
      <c r="L475" s="16" t="s">
        <v>680</v>
      </c>
      <c r="M475" s="28">
        <v>1</v>
      </c>
      <c r="N475" s="16"/>
      <c r="O475" s="16"/>
      <c r="P475" s="35"/>
      <c r="Q475" s="38">
        <v>860000</v>
      </c>
      <c r="R475" s="28" t="s">
        <v>719</v>
      </c>
      <c r="S475" s="39">
        <v>0.17</v>
      </c>
      <c r="T475" s="39"/>
      <c r="U475" s="40"/>
      <c r="V475" s="26"/>
      <c r="W475" s="40">
        <f>IF(NOTA[[#This Row],[HARGA/ CTN]]="",NOTA[[#This Row],[JUMLAH_H]],NOTA[[#This Row],[HARGA/ CTN]]*IF(NOTA[[#This Row],[C]]="",0,NOTA[[#This Row],[C]]))</f>
        <v>860000</v>
      </c>
      <c r="X475" s="40">
        <f>IF(NOTA[[#This Row],[JUMLAH]]="","",NOTA[[#This Row],[JUMLAH]]*NOTA[[#This Row],[DISC 1]])</f>
        <v>146200</v>
      </c>
      <c r="Y475" s="40">
        <f>IF(NOTA[[#This Row],[JUMLAH]]="","",(NOTA[[#This Row],[JUMLAH]]-NOTA[[#This Row],[DISC 1-]])*NOTA[[#This Row],[DISC 2]])</f>
        <v>0</v>
      </c>
      <c r="Z475" s="40">
        <f>IF(NOTA[[#This Row],[JUMLAH]]="","",NOTA[[#This Row],[DISC 1-]]+NOTA[[#This Row],[DISC 2-]])</f>
        <v>146200</v>
      </c>
      <c r="AA475" s="40">
        <f>IF(NOTA[[#This Row],[JUMLAH]]="","",NOTA[[#This Row],[JUMLAH]]-NOTA[[#This Row],[DISC]])</f>
        <v>713800</v>
      </c>
      <c r="AB475" s="40"/>
      <c r="AC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75" s="40" t="str">
        <f>IF(OR(NOTA[[#This Row],[QTY]]="",NOTA[[#This Row],[HARGA SATUAN]]="",),"",NOTA[[#This Row],[QTY]]*NOTA[[#This Row],[HARGA SATUAN]])</f>
        <v/>
      </c>
      <c r="AG475" s="37">
        <f ca="1">IF(NOTA[ID_H]="","",INDEX(NOTA[TANGGAL],MATCH(,INDIRECT(ADDRESS(ROW(NOTA[TANGGAL]),COLUMN(NOTA[TANGGAL]))&amp;":"&amp;ADDRESS(ROW(),COLUMN(NOTA[TANGGAL]))),-1)))</f>
        <v>45063</v>
      </c>
      <c r="AH475" s="35" t="str">
        <f ca="1">IF(NOTA[[#This Row],[NAMA BARANG]]="","",INDEX(NOTA[SUPPLIER],MATCH(,INDIRECT(ADDRESS(ROW(NOTA[ID]),COLUMN(NOTA[ID]))&amp;":"&amp;ADDRESS(ROW(),COLUMN(NOTA[ID]))),-1)))</f>
        <v>KENKO SINAR INDONESIA</v>
      </c>
      <c r="AI475" s="35" t="str">
        <f ca="1">IF(NOTA[[#This Row],[ID_H]]="","",IF(NOTA[[#This Row],[FAKTUR]]="",INDIRECT(ADDRESS(ROW()-1,COLUMN())),NOTA[[#This Row],[FAKTUR]]))</f>
        <v>ARTO MORO</v>
      </c>
      <c r="AJ475" s="27" t="str">
        <f ca="1">IF(NOTA[[#This Row],[ID]]="","",COUNTIF(NOTA[ID_H],NOTA[[#This Row],[ID_H]]))</f>
        <v/>
      </c>
      <c r="AK475" s="27">
        <f ca="1">IF(NOTA[[#This Row],[TGL.NOTA]]="",IF(NOTA[[#This Row],[SUPPLIER_H]]="","",AK474),MONTH(NOTA[[#This Row],[TGL.NOTA]]))</f>
        <v>5</v>
      </c>
      <c r="AL475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4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4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4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27" t="str">
        <f>IF(NOTA[[#This Row],[CONCAT4]]="","",_xlfn.IFNA(MATCH(NOTA[[#This Row],[CONCAT4]],[2]!RAW[CONCAT_H],0),FALSE))</f>
        <v/>
      </c>
      <c r="AQ475" s="145">
        <f>IF(NOTA[[#This Row],[CONCAT1]]="","",MATCH(NOTA[[#This Row],[CONCAT1]],[3]!db[NB NOTA_C],0)+1)</f>
        <v>1320</v>
      </c>
    </row>
    <row r="476" spans="1:43" ht="20.100000000000001" customHeight="1" x14ac:dyDescent="0.25">
      <c r="A47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6" t="str">
        <f>IF(NOTA[[#This Row],[ID_P]]="","",MATCH(NOTA[[#This Row],[ID_P]],[1]!B_MSK[N_ID],0))</f>
        <v/>
      </c>
      <c r="D476" s="36">
        <f ca="1">IF(NOTA[[#This Row],[NAMA BARANG]]="","",INDEX(NOTA[ID],MATCH(,INDIRECT(ADDRESS(ROW(NOTA[ID]),COLUMN(NOTA[ID]))&amp;":"&amp;ADDRESS(ROW(),COLUMN(NOTA[ID]))),-1)))</f>
        <v>85</v>
      </c>
      <c r="E476" s="14"/>
      <c r="F476" s="16"/>
      <c r="G476" s="16"/>
      <c r="H476" s="20"/>
      <c r="I476" s="16"/>
      <c r="J476" s="37"/>
      <c r="K476" s="16"/>
      <c r="L476" s="16" t="s">
        <v>684</v>
      </c>
      <c r="M476" s="28">
        <v>1</v>
      </c>
      <c r="N476" s="16"/>
      <c r="O476" s="16"/>
      <c r="P476" s="35"/>
      <c r="Q476" s="38">
        <v>2376000</v>
      </c>
      <c r="R476" s="28" t="s">
        <v>149</v>
      </c>
      <c r="S476" s="39">
        <v>0.17</v>
      </c>
      <c r="T476" s="39"/>
      <c r="U476" s="40"/>
      <c r="V476" s="26"/>
      <c r="W476" s="40">
        <f>IF(NOTA[[#This Row],[HARGA/ CTN]]="",NOTA[[#This Row],[JUMLAH_H]],NOTA[[#This Row],[HARGA/ CTN]]*IF(NOTA[[#This Row],[C]]="",0,NOTA[[#This Row],[C]]))</f>
        <v>2376000</v>
      </c>
      <c r="X476" s="40">
        <f>IF(NOTA[[#This Row],[JUMLAH]]="","",NOTA[[#This Row],[JUMLAH]]*NOTA[[#This Row],[DISC 1]])</f>
        <v>403920</v>
      </c>
      <c r="Y476" s="40">
        <f>IF(NOTA[[#This Row],[JUMLAH]]="","",(NOTA[[#This Row],[JUMLAH]]-NOTA[[#This Row],[DISC 1-]])*NOTA[[#This Row],[DISC 2]])</f>
        <v>0</v>
      </c>
      <c r="Z476" s="40">
        <f>IF(NOTA[[#This Row],[JUMLAH]]="","",NOTA[[#This Row],[DISC 1-]]+NOTA[[#This Row],[DISC 2-]])</f>
        <v>403920</v>
      </c>
      <c r="AA476" s="40">
        <f>IF(NOTA[[#This Row],[JUMLAH]]="","",NOTA[[#This Row],[JUMLAH]]-NOTA[[#This Row],[DISC]])</f>
        <v>1972080</v>
      </c>
      <c r="AB476" s="40"/>
      <c r="AC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76" s="40" t="str">
        <f>IF(OR(NOTA[[#This Row],[QTY]]="",NOTA[[#This Row],[HARGA SATUAN]]="",),"",NOTA[[#This Row],[QTY]]*NOTA[[#This Row],[HARGA SATUAN]])</f>
        <v/>
      </c>
      <c r="AG476" s="37">
        <f ca="1">IF(NOTA[ID_H]="","",INDEX(NOTA[TANGGAL],MATCH(,INDIRECT(ADDRESS(ROW(NOTA[TANGGAL]),COLUMN(NOTA[TANGGAL]))&amp;":"&amp;ADDRESS(ROW(),COLUMN(NOTA[TANGGAL]))),-1)))</f>
        <v>45063</v>
      </c>
      <c r="AH476" s="35" t="str">
        <f ca="1">IF(NOTA[[#This Row],[NAMA BARANG]]="","",INDEX(NOTA[SUPPLIER],MATCH(,INDIRECT(ADDRESS(ROW(NOTA[ID]),COLUMN(NOTA[ID]))&amp;":"&amp;ADDRESS(ROW(),COLUMN(NOTA[ID]))),-1)))</f>
        <v>KENKO SINAR INDONESIA</v>
      </c>
      <c r="AI476" s="35" t="str">
        <f ca="1">IF(NOTA[[#This Row],[ID_H]]="","",IF(NOTA[[#This Row],[FAKTUR]]="",INDIRECT(ADDRESS(ROW()-1,COLUMN())),NOTA[[#This Row],[FAKTUR]]))</f>
        <v>ARTO MORO</v>
      </c>
      <c r="AJ476" s="27" t="str">
        <f ca="1">IF(NOTA[[#This Row],[ID]]="","",COUNTIF(NOTA[ID_H],NOTA[[#This Row],[ID_H]]))</f>
        <v/>
      </c>
      <c r="AK476" s="27">
        <f ca="1">IF(NOTA[[#This Row],[TGL.NOTA]]="",IF(NOTA[[#This Row],[SUPPLIER_H]]="","",AK475),MONTH(NOTA[[#This Row],[TGL.NOTA]]))</f>
        <v>5</v>
      </c>
      <c r="AL476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27" t="str">
        <f>IF(NOTA[[#This Row],[CONCAT4]]="","",_xlfn.IFNA(MATCH(NOTA[[#This Row],[CONCAT4]],[2]!RAW[CONCAT_H],0),FALSE))</f>
        <v/>
      </c>
      <c r="AQ476" s="145">
        <f>IF(NOTA[[#This Row],[CONCAT1]]="","",MATCH(NOTA[[#This Row],[CONCAT1]],[3]!db[NB NOTA_C],0)+1)</f>
        <v>1298</v>
      </c>
    </row>
    <row r="477" spans="1:43" ht="20.100000000000001" customHeight="1" x14ac:dyDescent="0.25">
      <c r="A47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6" t="str">
        <f>IF(NOTA[[#This Row],[ID_P]]="","",MATCH(NOTA[[#This Row],[ID_P]],[1]!B_MSK[N_ID],0))</f>
        <v/>
      </c>
      <c r="D477" s="36">
        <f ca="1">IF(NOTA[[#This Row],[NAMA BARANG]]="","",INDEX(NOTA[ID],MATCH(,INDIRECT(ADDRESS(ROW(NOTA[ID]),COLUMN(NOTA[ID]))&amp;":"&amp;ADDRESS(ROW(),COLUMN(NOTA[ID]))),-1)))</f>
        <v>85</v>
      </c>
      <c r="E477" s="14"/>
      <c r="F477" s="16"/>
      <c r="G477" s="16"/>
      <c r="H477" s="20"/>
      <c r="I477" s="16"/>
      <c r="J477" s="37"/>
      <c r="K477" s="16"/>
      <c r="L477" s="16" t="s">
        <v>681</v>
      </c>
      <c r="M477" s="28">
        <v>1</v>
      </c>
      <c r="N477" s="16"/>
      <c r="O477" s="16"/>
      <c r="P477" s="35"/>
      <c r="Q477" s="38">
        <v>2592000</v>
      </c>
      <c r="R477" s="28" t="s">
        <v>720</v>
      </c>
      <c r="S477" s="39">
        <v>0.17</v>
      </c>
      <c r="T477" s="39"/>
      <c r="U477" s="40"/>
      <c r="V477" s="26"/>
      <c r="W477" s="40">
        <f>IF(NOTA[[#This Row],[HARGA/ CTN]]="",NOTA[[#This Row],[JUMLAH_H]],NOTA[[#This Row],[HARGA/ CTN]]*IF(NOTA[[#This Row],[C]]="",0,NOTA[[#This Row],[C]]))</f>
        <v>2592000</v>
      </c>
      <c r="X477" s="40">
        <f>IF(NOTA[[#This Row],[JUMLAH]]="","",NOTA[[#This Row],[JUMLAH]]*NOTA[[#This Row],[DISC 1]])</f>
        <v>440640.00000000006</v>
      </c>
      <c r="Y477" s="40">
        <f>IF(NOTA[[#This Row],[JUMLAH]]="","",(NOTA[[#This Row],[JUMLAH]]-NOTA[[#This Row],[DISC 1-]])*NOTA[[#This Row],[DISC 2]])</f>
        <v>0</v>
      </c>
      <c r="Z477" s="40">
        <f>IF(NOTA[[#This Row],[JUMLAH]]="","",NOTA[[#This Row],[DISC 1-]]+NOTA[[#This Row],[DISC 2-]])</f>
        <v>440640.00000000006</v>
      </c>
      <c r="AA477" s="40">
        <f>IF(NOTA[[#This Row],[JUMLAH]]="","",NOTA[[#This Row],[JUMLAH]]-NOTA[[#This Row],[DISC]])</f>
        <v>2151360</v>
      </c>
      <c r="AB477" s="40"/>
      <c r="AC4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5051380</v>
      </c>
      <c r="AD477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24662620</v>
      </c>
      <c r="AE477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477" s="40" t="str">
        <f>IF(OR(NOTA[[#This Row],[QTY]]="",NOTA[[#This Row],[HARGA SATUAN]]="",),"",NOTA[[#This Row],[QTY]]*NOTA[[#This Row],[HARGA SATUAN]])</f>
        <v/>
      </c>
      <c r="AG477" s="37">
        <f ca="1">IF(NOTA[ID_H]="","",INDEX(NOTA[TANGGAL],MATCH(,INDIRECT(ADDRESS(ROW(NOTA[TANGGAL]),COLUMN(NOTA[TANGGAL]))&amp;":"&amp;ADDRESS(ROW(),COLUMN(NOTA[TANGGAL]))),-1)))</f>
        <v>45063</v>
      </c>
      <c r="AH477" s="35" t="str">
        <f ca="1">IF(NOTA[[#This Row],[NAMA BARANG]]="","",INDEX(NOTA[SUPPLIER],MATCH(,INDIRECT(ADDRESS(ROW(NOTA[ID]),COLUMN(NOTA[ID]))&amp;":"&amp;ADDRESS(ROW(),COLUMN(NOTA[ID]))),-1)))</f>
        <v>KENKO SINAR INDONESIA</v>
      </c>
      <c r="AI477" s="35" t="str">
        <f ca="1">IF(NOTA[[#This Row],[ID_H]]="","",IF(NOTA[[#This Row],[FAKTUR]]="",INDIRECT(ADDRESS(ROW()-1,COLUMN())),NOTA[[#This Row],[FAKTUR]]))</f>
        <v>ARTO MORO</v>
      </c>
      <c r="AJ477" s="27" t="str">
        <f ca="1">IF(NOTA[[#This Row],[ID]]="","",COUNTIF(NOTA[ID_H],NOTA[[#This Row],[ID_H]]))</f>
        <v/>
      </c>
      <c r="AK477" s="27">
        <f ca="1">IF(NOTA[[#This Row],[TGL.NOTA]]="",IF(NOTA[[#This Row],[SUPPLIER_H]]="","",AK476),MONTH(NOTA[[#This Row],[TGL.NOTA]]))</f>
        <v>5</v>
      </c>
      <c r="AL477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4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4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4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27" t="str">
        <f>IF(NOTA[[#This Row],[CONCAT4]]="","",_xlfn.IFNA(MATCH(NOTA[[#This Row],[CONCAT4]],[2]!RAW[CONCAT_H],0),FALSE))</f>
        <v/>
      </c>
      <c r="AQ477" s="145">
        <f>IF(NOTA[[#This Row],[CONCAT1]]="","",MATCH(NOTA[[#This Row],[CONCAT1]],[3]!db[NB NOTA_C],0)+1)</f>
        <v>1296</v>
      </c>
    </row>
    <row r="478" spans="1:43" ht="20.100000000000001" customHeight="1" x14ac:dyDescent="0.25">
      <c r="A47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6" t="str">
        <f>IF(NOTA[[#This Row],[ID_P]]="","",MATCH(NOTA[[#This Row],[ID_P]],[1]!B_MSK[N_ID],0))</f>
        <v/>
      </c>
      <c r="D478" s="36" t="str">
        <f ca="1">IF(NOTA[[#This Row],[NAMA BARANG]]="","",INDEX(NOTA[ID],MATCH(,INDIRECT(ADDRESS(ROW(NOTA[ID]),COLUMN(NOTA[ID]))&amp;":"&amp;ADDRESS(ROW(),COLUMN(NOTA[ID]))),-1)))</f>
        <v/>
      </c>
      <c r="E478" s="14"/>
      <c r="F478" s="16"/>
      <c r="G478" s="16"/>
      <c r="H478" s="20"/>
      <c r="I478" s="16"/>
      <c r="J478" s="37"/>
      <c r="K478" s="16"/>
      <c r="L478" s="16"/>
      <c r="M478" s="28"/>
      <c r="N478" s="16"/>
      <c r="O478" s="16"/>
      <c r="P478" s="35"/>
      <c r="Q478" s="38"/>
      <c r="R478" s="28"/>
      <c r="S478" s="39"/>
      <c r="T478" s="39"/>
      <c r="U478" s="40"/>
      <c r="V478" s="26"/>
      <c r="W478" s="40" t="str">
        <f>IF(NOTA[[#This Row],[HARGA/ CTN]]="",NOTA[[#This Row],[JUMLAH_H]],NOTA[[#This Row],[HARGA/ CTN]]*IF(NOTA[[#This Row],[C]]="",0,NOTA[[#This Row],[C]]))</f>
        <v/>
      </c>
      <c r="X478" s="40" t="str">
        <f>IF(NOTA[[#This Row],[JUMLAH]]="","",NOTA[[#This Row],[JUMLAH]]*NOTA[[#This Row],[DISC 1]])</f>
        <v/>
      </c>
      <c r="Y478" s="40" t="str">
        <f>IF(NOTA[[#This Row],[JUMLAH]]="","",(NOTA[[#This Row],[JUMLAH]]-NOTA[[#This Row],[DISC 1-]])*NOTA[[#This Row],[DISC 2]])</f>
        <v/>
      </c>
      <c r="Z478" s="40" t="str">
        <f>IF(NOTA[[#This Row],[JUMLAH]]="","",NOTA[[#This Row],[DISC 1-]]+NOTA[[#This Row],[DISC 2-]])</f>
        <v/>
      </c>
      <c r="AA478" s="40" t="str">
        <f>IF(NOTA[[#This Row],[JUMLAH]]="","",NOTA[[#This Row],[JUMLAH]]-NOTA[[#This Row],[DISC]])</f>
        <v/>
      </c>
      <c r="AB478" s="40"/>
      <c r="AC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8" s="40" t="str">
        <f>IF(OR(NOTA[[#This Row],[QTY]]="",NOTA[[#This Row],[HARGA SATUAN]]="",),"",NOTA[[#This Row],[QTY]]*NOTA[[#This Row],[HARGA SATUAN]])</f>
        <v/>
      </c>
      <c r="AG478" s="37" t="str">
        <f ca="1">IF(NOTA[ID_H]="","",INDEX(NOTA[TANGGAL],MATCH(,INDIRECT(ADDRESS(ROW(NOTA[TANGGAL]),COLUMN(NOTA[TANGGAL]))&amp;":"&amp;ADDRESS(ROW(),COLUMN(NOTA[TANGGAL]))),-1)))</f>
        <v/>
      </c>
      <c r="AH478" s="35" t="str">
        <f ca="1">IF(NOTA[[#This Row],[NAMA BARANG]]="","",INDEX(NOTA[SUPPLIER],MATCH(,INDIRECT(ADDRESS(ROW(NOTA[ID]),COLUMN(NOTA[ID]))&amp;":"&amp;ADDRESS(ROW(),COLUMN(NOTA[ID]))),-1)))</f>
        <v/>
      </c>
      <c r="AI478" s="35" t="str">
        <f ca="1">IF(NOTA[[#This Row],[ID_H]]="","",IF(NOTA[[#This Row],[FAKTUR]]="",INDIRECT(ADDRESS(ROW()-1,COLUMN())),NOTA[[#This Row],[FAKTUR]]))</f>
        <v/>
      </c>
      <c r="AJ478" s="27" t="str">
        <f ca="1">IF(NOTA[[#This Row],[ID]]="","",COUNTIF(NOTA[ID_H],NOTA[[#This Row],[ID_H]]))</f>
        <v/>
      </c>
      <c r="AK478" s="27" t="str">
        <f ca="1">IF(NOTA[[#This Row],[TGL.NOTA]]="",IF(NOTA[[#This Row],[SUPPLIER_H]]="","",AK477),MONTH(NOTA[[#This Row],[TGL.NOTA]]))</f>
        <v/>
      </c>
      <c r="AL478" s="27" t="str">
        <f>LOWER(SUBSTITUTE(SUBSTITUTE(SUBSTITUTE(SUBSTITUTE(SUBSTITUTE(SUBSTITUTE(SUBSTITUTE(SUBSTITUTE(SUBSTITUTE(NOTA[NAMA BARANG]," ",),".",""),"-",""),"(",""),")",""),",",""),"/",""),"""",""),"+",""))</f>
        <v/>
      </c>
      <c r="AM4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27" t="str">
        <f>IF(NOTA[[#This Row],[CONCAT4]]="","",_xlfn.IFNA(MATCH(NOTA[[#This Row],[CONCAT4]],[2]!RAW[CONCAT_H],0),FALSE))</f>
        <v/>
      </c>
      <c r="AQ478" s="145" t="str">
        <f>IF(NOTA[[#This Row],[CONCAT1]]="","",MATCH(NOTA[[#This Row],[CONCAT1]],[3]!db[NB NOTA_C],0)+1)</f>
        <v/>
      </c>
    </row>
    <row r="479" spans="1:43" ht="20.100000000000001" customHeight="1" x14ac:dyDescent="0.25">
      <c r="A479" s="35">
        <f ca="1">IF(INDIRECT(ADDRESS(ROW()-1,COLUMN(NOTA[[#Headers],[ID]])))="ID",1,IF(NOTA[[#This Row],[FAKTUR]]="","",COUNT(INDIRECT(ADDRESS(ROW(NOTA[ID]),COLUMN(NOTA[ID]))&amp;":"&amp;ADDRESS(ROW()-1,COLUMN(NOTA[ID]))))+1))</f>
        <v>86</v>
      </c>
      <c r="B479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KEN_1705_111-4</v>
      </c>
      <c r="C479" s="36" t="e">
        <f ca="1">IF(NOTA[[#This Row],[ID_P]]="","",MATCH(NOTA[[#This Row],[ID_P]],[1]!B_MSK[N_ID],0))</f>
        <v>#REF!</v>
      </c>
      <c r="D479" s="36">
        <f ca="1">IF(NOTA[[#This Row],[NAMA BARANG]]="","",INDEX(NOTA[ID],MATCH(,INDIRECT(ADDRESS(ROW(NOTA[ID]),COLUMN(NOTA[ID]))&amp;":"&amp;ADDRESS(ROW(),COLUMN(NOTA[ID]))),-1)))</f>
        <v>86</v>
      </c>
      <c r="E479" s="14"/>
      <c r="F479" s="16" t="s">
        <v>23</v>
      </c>
      <c r="G479" s="16" t="s">
        <v>24</v>
      </c>
      <c r="H479" s="20" t="s">
        <v>685</v>
      </c>
      <c r="I479" s="16" t="s">
        <v>722</v>
      </c>
      <c r="J479" s="37">
        <v>45057</v>
      </c>
      <c r="K479" s="16"/>
      <c r="L479" s="16" t="s">
        <v>686</v>
      </c>
      <c r="M479" s="28">
        <v>20</v>
      </c>
      <c r="N479" s="16"/>
      <c r="O479" s="16"/>
      <c r="P479" s="35"/>
      <c r="Q479" s="38">
        <v>396000</v>
      </c>
      <c r="R479" s="28" t="s">
        <v>232</v>
      </c>
      <c r="S479" s="39">
        <v>0.17</v>
      </c>
      <c r="T479" s="39"/>
      <c r="U479" s="40"/>
      <c r="V479" s="26"/>
      <c r="W479" s="40">
        <f>IF(NOTA[[#This Row],[HARGA/ CTN]]="",NOTA[[#This Row],[JUMLAH_H]],NOTA[[#This Row],[HARGA/ CTN]]*IF(NOTA[[#This Row],[C]]="",0,NOTA[[#This Row],[C]]))</f>
        <v>7920000</v>
      </c>
      <c r="X479" s="40">
        <f>IF(NOTA[[#This Row],[JUMLAH]]="","",NOTA[[#This Row],[JUMLAH]]*NOTA[[#This Row],[DISC 1]])</f>
        <v>1346400</v>
      </c>
      <c r="Y479" s="40">
        <f>IF(NOTA[[#This Row],[JUMLAH]]="","",(NOTA[[#This Row],[JUMLAH]]-NOTA[[#This Row],[DISC 1-]])*NOTA[[#This Row],[DISC 2]])</f>
        <v>0</v>
      </c>
      <c r="Z479" s="40">
        <f>IF(NOTA[[#This Row],[JUMLAH]]="","",NOTA[[#This Row],[DISC 1-]]+NOTA[[#This Row],[DISC 2-]])</f>
        <v>1346400</v>
      </c>
      <c r="AA479" s="40">
        <f>IF(NOTA[[#This Row],[JUMLAH]]="","",NOTA[[#This Row],[JUMLAH]]-NOTA[[#This Row],[DISC]])</f>
        <v>6573600</v>
      </c>
      <c r="AB479" s="40"/>
      <c r="AC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3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79" s="40" t="str">
        <f>IF(OR(NOTA[[#This Row],[QTY]]="",NOTA[[#This Row],[HARGA SATUAN]]="",),"",NOTA[[#This Row],[QTY]]*NOTA[[#This Row],[HARGA SATUAN]])</f>
        <v/>
      </c>
      <c r="AG479" s="37">
        <f ca="1">IF(NOTA[ID_H]="","",INDEX(NOTA[TANGGAL],MATCH(,INDIRECT(ADDRESS(ROW(NOTA[TANGGAL]),COLUMN(NOTA[TANGGAL]))&amp;":"&amp;ADDRESS(ROW(),COLUMN(NOTA[TANGGAL]))),-1)))</f>
        <v>45063</v>
      </c>
      <c r="AH479" s="35" t="str">
        <f ca="1">IF(NOTA[[#This Row],[NAMA BARANG]]="","",INDEX(NOTA[SUPPLIER],MATCH(,INDIRECT(ADDRESS(ROW(NOTA[ID]),COLUMN(NOTA[ID]))&amp;":"&amp;ADDRESS(ROW(),COLUMN(NOTA[ID]))),-1)))</f>
        <v>KENKO SINAR INDONESIA</v>
      </c>
      <c r="AI479" s="35" t="str">
        <f ca="1">IF(NOTA[[#This Row],[ID_H]]="","",IF(NOTA[[#This Row],[FAKTUR]]="",INDIRECT(ADDRESS(ROW()-1,COLUMN())),NOTA[[#This Row],[FAKTUR]]))</f>
        <v>ARTO MORO</v>
      </c>
      <c r="AJ479" s="27">
        <f ca="1">IF(NOTA[[#This Row],[ID]]="","",COUNTIF(NOTA[ID_H],NOTA[[#This Row],[ID_H]]))</f>
        <v>4</v>
      </c>
      <c r="AK479" s="27">
        <f>IF(NOTA[[#This Row],[TGL.NOTA]]="",IF(NOTA[[#This Row],[SUPPLIER_H]]="","",AK478),MONTH(NOTA[[#This Row],[TGL.NOTA]]))</f>
        <v>5</v>
      </c>
      <c r="AL479" s="27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4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4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47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MORO23051111SA 4148845057kenkoliquidgluelg3535ml</v>
      </c>
      <c r="AP479" s="27" t="e">
        <f>IF(NOTA[[#This Row],[CONCAT4]]="","",_xlfn.IFNA(MATCH(NOTA[[#This Row],[CONCAT4]],[2]!RAW[CONCAT_H],0),FALSE))</f>
        <v>#REF!</v>
      </c>
      <c r="AQ479" s="145">
        <f>IF(NOTA[[#This Row],[CONCAT1]]="","",MATCH(NOTA[[#This Row],[CONCAT1]],[3]!db[NB NOTA_C],0)+1)</f>
        <v>1322</v>
      </c>
    </row>
    <row r="480" spans="1:43" ht="20.100000000000001" customHeight="1" x14ac:dyDescent="0.25">
      <c r="A48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6" t="str">
        <f>IF(NOTA[[#This Row],[ID_P]]="","",MATCH(NOTA[[#This Row],[ID_P]],[1]!B_MSK[N_ID],0))</f>
        <v/>
      </c>
      <c r="D480" s="36">
        <f ca="1">IF(NOTA[[#This Row],[NAMA BARANG]]="","",INDEX(NOTA[ID],MATCH(,INDIRECT(ADDRESS(ROW(NOTA[ID]),COLUMN(NOTA[ID]))&amp;":"&amp;ADDRESS(ROW(),COLUMN(NOTA[ID]))),-1)))</f>
        <v>86</v>
      </c>
      <c r="E480" s="14"/>
      <c r="F480" s="16"/>
      <c r="G480" s="16"/>
      <c r="H480" s="20"/>
      <c r="I480" s="16" t="s">
        <v>721</v>
      </c>
      <c r="J480" s="37"/>
      <c r="K480" s="16"/>
      <c r="L480" s="16" t="s">
        <v>103</v>
      </c>
      <c r="M480" s="28">
        <v>2</v>
      </c>
      <c r="N480" s="16"/>
      <c r="O480" s="16"/>
      <c r="P480" s="35"/>
      <c r="Q480" s="38">
        <v>5616000</v>
      </c>
      <c r="R480" s="28" t="s">
        <v>150</v>
      </c>
      <c r="S480" s="39">
        <v>0.17</v>
      </c>
      <c r="T480" s="39"/>
      <c r="U480" s="40"/>
      <c r="V480" s="26"/>
      <c r="W480" s="40">
        <f>IF(NOTA[[#This Row],[HARGA/ CTN]]="",NOTA[[#This Row],[JUMLAH_H]],NOTA[[#This Row],[HARGA/ CTN]]*IF(NOTA[[#This Row],[C]]="",0,NOTA[[#This Row],[C]]))</f>
        <v>11232000</v>
      </c>
      <c r="X480" s="40">
        <f>IF(NOTA[[#This Row],[JUMLAH]]="","",NOTA[[#This Row],[JUMLAH]]*NOTA[[#This Row],[DISC 1]])</f>
        <v>1909440.0000000002</v>
      </c>
      <c r="Y480" s="40">
        <f>IF(NOTA[[#This Row],[JUMLAH]]="","",(NOTA[[#This Row],[JUMLAH]]-NOTA[[#This Row],[DISC 1-]])*NOTA[[#This Row],[DISC 2]])</f>
        <v>0</v>
      </c>
      <c r="Z480" s="40">
        <f>IF(NOTA[[#This Row],[JUMLAH]]="","",NOTA[[#This Row],[DISC 1-]]+NOTA[[#This Row],[DISC 2-]])</f>
        <v>1909440.0000000002</v>
      </c>
      <c r="AA480" s="40">
        <f>IF(NOTA[[#This Row],[JUMLAH]]="","",NOTA[[#This Row],[JUMLAH]]-NOTA[[#This Row],[DISC]])</f>
        <v>9322560</v>
      </c>
      <c r="AB480" s="40"/>
      <c r="AC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80" s="40" t="str">
        <f>IF(OR(NOTA[[#This Row],[QTY]]="",NOTA[[#This Row],[HARGA SATUAN]]="",),"",NOTA[[#This Row],[QTY]]*NOTA[[#This Row],[HARGA SATUAN]])</f>
        <v/>
      </c>
      <c r="AG480" s="37">
        <f ca="1">IF(NOTA[ID_H]="","",INDEX(NOTA[TANGGAL],MATCH(,INDIRECT(ADDRESS(ROW(NOTA[TANGGAL]),COLUMN(NOTA[TANGGAL]))&amp;":"&amp;ADDRESS(ROW(),COLUMN(NOTA[TANGGAL]))),-1)))</f>
        <v>45063</v>
      </c>
      <c r="AH480" s="35" t="str">
        <f ca="1">IF(NOTA[[#This Row],[NAMA BARANG]]="","",INDEX(NOTA[SUPPLIER],MATCH(,INDIRECT(ADDRESS(ROW(NOTA[ID]),COLUMN(NOTA[ID]))&amp;":"&amp;ADDRESS(ROW(),COLUMN(NOTA[ID]))),-1)))</f>
        <v>KENKO SINAR INDONESIA</v>
      </c>
      <c r="AI480" s="35" t="str">
        <f ca="1">IF(NOTA[[#This Row],[ID_H]]="","",IF(NOTA[[#This Row],[FAKTUR]]="",INDIRECT(ADDRESS(ROW()-1,COLUMN())),NOTA[[#This Row],[FAKTUR]]))</f>
        <v>ARTO MORO</v>
      </c>
      <c r="AJ480" s="27" t="str">
        <f ca="1">IF(NOTA[[#This Row],[ID]]="","",COUNTIF(NOTA[ID_H],NOTA[[#This Row],[ID_H]]))</f>
        <v/>
      </c>
      <c r="AK480" s="27">
        <f ca="1">IF(NOTA[[#This Row],[TGL.NOTA]]="",IF(NOTA[[#This Row],[SUPPLIER_H]]="","",AK479),MONTH(NOTA[[#This Row],[TGL.NOTA]]))</f>
        <v>5</v>
      </c>
      <c r="AL480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4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4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48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27" t="str">
        <f>IF(NOTA[[#This Row],[CONCAT4]]="","",_xlfn.IFNA(MATCH(NOTA[[#This Row],[CONCAT4]],[2]!RAW[CONCAT_H],0),FALSE))</f>
        <v/>
      </c>
      <c r="AQ480" s="145">
        <f>IF(NOTA[[#This Row],[CONCAT1]]="","",MATCH(NOTA[[#This Row],[CONCAT1]],[3]!db[NB NOTA_C],0)+1)</f>
        <v>1259</v>
      </c>
    </row>
    <row r="481" spans="1:43" ht="20.100000000000001" customHeight="1" x14ac:dyDescent="0.25">
      <c r="A48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6" t="str">
        <f>IF(NOTA[[#This Row],[ID_P]]="","",MATCH(NOTA[[#This Row],[ID_P]],[1]!B_MSK[N_ID],0))</f>
        <v/>
      </c>
      <c r="D481" s="36">
        <f ca="1">IF(NOTA[[#This Row],[NAMA BARANG]]="","",INDEX(NOTA[ID],MATCH(,INDIRECT(ADDRESS(ROW(NOTA[ID]),COLUMN(NOTA[ID]))&amp;":"&amp;ADDRESS(ROW(),COLUMN(NOTA[ID]))),-1)))</f>
        <v>86</v>
      </c>
      <c r="E481" s="14"/>
      <c r="F481" s="16"/>
      <c r="G481" s="16"/>
      <c r="H481" s="20"/>
      <c r="I481" s="16"/>
      <c r="J481" s="37"/>
      <c r="K481" s="16"/>
      <c r="L481" s="16" t="s">
        <v>687</v>
      </c>
      <c r="M481" s="28">
        <v>2</v>
      </c>
      <c r="N481" s="16"/>
      <c r="O481" s="16"/>
      <c r="P481" s="35"/>
      <c r="Q481" s="38">
        <v>3542400</v>
      </c>
      <c r="R481" s="28" t="s">
        <v>150</v>
      </c>
      <c r="S481" s="39">
        <v>0.17</v>
      </c>
      <c r="T481" s="39"/>
      <c r="U481" s="40"/>
      <c r="V481" s="26"/>
      <c r="W481" s="40">
        <f>IF(NOTA[[#This Row],[HARGA/ CTN]]="",NOTA[[#This Row],[JUMLAH_H]],NOTA[[#This Row],[HARGA/ CTN]]*IF(NOTA[[#This Row],[C]]="",0,NOTA[[#This Row],[C]]))</f>
        <v>7084800</v>
      </c>
      <c r="X481" s="40">
        <f>IF(NOTA[[#This Row],[JUMLAH]]="","",NOTA[[#This Row],[JUMLAH]]*NOTA[[#This Row],[DISC 1]])</f>
        <v>1204416</v>
      </c>
      <c r="Y481" s="40">
        <f>IF(NOTA[[#This Row],[JUMLAH]]="","",(NOTA[[#This Row],[JUMLAH]]-NOTA[[#This Row],[DISC 1-]])*NOTA[[#This Row],[DISC 2]])</f>
        <v>0</v>
      </c>
      <c r="Z481" s="40">
        <f>IF(NOTA[[#This Row],[JUMLAH]]="","",NOTA[[#This Row],[DISC 1-]]+NOTA[[#This Row],[DISC 2-]])</f>
        <v>1204416</v>
      </c>
      <c r="AA481" s="40">
        <f>IF(NOTA[[#This Row],[JUMLAH]]="","",NOTA[[#This Row],[JUMLAH]]-NOTA[[#This Row],[DISC]])</f>
        <v>5880384</v>
      </c>
      <c r="AB481" s="40"/>
      <c r="AC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35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F481" s="40" t="str">
        <f>IF(OR(NOTA[[#This Row],[QTY]]="",NOTA[[#This Row],[HARGA SATUAN]]="",),"",NOTA[[#This Row],[QTY]]*NOTA[[#This Row],[HARGA SATUAN]])</f>
        <v/>
      </c>
      <c r="AG481" s="37">
        <f ca="1">IF(NOTA[ID_H]="","",INDEX(NOTA[TANGGAL],MATCH(,INDIRECT(ADDRESS(ROW(NOTA[TANGGAL]),COLUMN(NOTA[TANGGAL]))&amp;":"&amp;ADDRESS(ROW(),COLUMN(NOTA[TANGGAL]))),-1)))</f>
        <v>45063</v>
      </c>
      <c r="AH481" s="35" t="str">
        <f ca="1">IF(NOTA[[#This Row],[NAMA BARANG]]="","",INDEX(NOTA[SUPPLIER],MATCH(,INDIRECT(ADDRESS(ROW(NOTA[ID]),COLUMN(NOTA[ID]))&amp;":"&amp;ADDRESS(ROW(),COLUMN(NOTA[ID]))),-1)))</f>
        <v>KENKO SINAR INDONESIA</v>
      </c>
      <c r="AI481" s="35" t="str">
        <f ca="1">IF(NOTA[[#This Row],[ID_H]]="","",IF(NOTA[[#This Row],[FAKTUR]]="",INDIRECT(ADDRESS(ROW()-1,COLUMN())),NOTA[[#This Row],[FAKTUR]]))</f>
        <v>ARTO MORO</v>
      </c>
      <c r="AJ481" s="27" t="str">
        <f ca="1">IF(NOTA[[#This Row],[ID]]="","",COUNTIF(NOTA[ID_H],NOTA[[#This Row],[ID_H]]))</f>
        <v/>
      </c>
      <c r="AK481" s="27">
        <f ca="1">IF(NOTA[[#This Row],[TGL.NOTA]]="",IF(NOTA[[#This Row],[SUPPLIER_H]]="","",AK480),MONTH(NOTA[[#This Row],[TGL.NOTA]]))</f>
        <v>5</v>
      </c>
      <c r="AL481" s="27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M4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N4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O4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27" t="str">
        <f>IF(NOTA[[#This Row],[CONCAT4]]="","",_xlfn.IFNA(MATCH(NOTA[[#This Row],[CONCAT4]],[2]!RAW[CONCAT_H],0),FALSE))</f>
        <v/>
      </c>
      <c r="AQ481" s="145">
        <f>IF(NOTA[[#This Row],[CONCAT1]]="","",MATCH(NOTA[[#This Row],[CONCAT1]],[3]!db[NB NOTA_C],0)+1)</f>
        <v>1278</v>
      </c>
    </row>
    <row r="482" spans="1:43" ht="20.100000000000001" customHeight="1" x14ac:dyDescent="0.25">
      <c r="A48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6" t="str">
        <f>IF(NOTA[[#This Row],[ID_P]]="","",MATCH(NOTA[[#This Row],[ID_P]],[1]!B_MSK[N_ID],0))</f>
        <v/>
      </c>
      <c r="D482" s="36">
        <f ca="1">IF(NOTA[[#This Row],[NAMA BARANG]]="","",INDEX(NOTA[ID],MATCH(,INDIRECT(ADDRESS(ROW(NOTA[ID]),COLUMN(NOTA[ID]))&amp;":"&amp;ADDRESS(ROW(),COLUMN(NOTA[ID]))),-1)))</f>
        <v>86</v>
      </c>
      <c r="E482" s="14"/>
      <c r="F482" s="16"/>
      <c r="G482" s="16"/>
      <c r="H482" s="20"/>
      <c r="I482" s="16"/>
      <c r="J482" s="37"/>
      <c r="K482" s="16"/>
      <c r="L482" s="16" t="s">
        <v>688</v>
      </c>
      <c r="M482" s="28">
        <v>8</v>
      </c>
      <c r="N482" s="16"/>
      <c r="O482" s="16"/>
      <c r="P482" s="35"/>
      <c r="Q482" s="38">
        <v>3888000</v>
      </c>
      <c r="R482" s="28" t="s">
        <v>231</v>
      </c>
      <c r="S482" s="39">
        <v>0.17</v>
      </c>
      <c r="T482" s="39"/>
      <c r="U482" s="40"/>
      <c r="V482" s="26"/>
      <c r="W482" s="40">
        <f>IF(NOTA[[#This Row],[HARGA/ CTN]]="",NOTA[[#This Row],[JUMLAH_H]],NOTA[[#This Row],[HARGA/ CTN]]*IF(NOTA[[#This Row],[C]]="",0,NOTA[[#This Row],[C]]))</f>
        <v>31104000</v>
      </c>
      <c r="X482" s="40">
        <f>IF(NOTA[[#This Row],[JUMLAH]]="","",NOTA[[#This Row],[JUMLAH]]*NOTA[[#This Row],[DISC 1]])</f>
        <v>5287680</v>
      </c>
      <c r="Y482" s="40">
        <f>IF(NOTA[[#This Row],[JUMLAH]]="","",(NOTA[[#This Row],[JUMLAH]]-NOTA[[#This Row],[DISC 1-]])*NOTA[[#This Row],[DISC 2]])</f>
        <v>0</v>
      </c>
      <c r="Z482" s="40">
        <f>IF(NOTA[[#This Row],[JUMLAH]]="","",NOTA[[#This Row],[DISC 1-]]+NOTA[[#This Row],[DISC 2-]])</f>
        <v>5287680</v>
      </c>
      <c r="AA482" s="40">
        <f>IF(NOTA[[#This Row],[JUMLAH]]="","",NOTA[[#This Row],[JUMLAH]]-NOTA[[#This Row],[DISC]])</f>
        <v>25816320</v>
      </c>
      <c r="AB482" s="40"/>
      <c r="AC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9747936</v>
      </c>
      <c r="AD48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47592864</v>
      </c>
      <c r="AE48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2" s="40" t="str">
        <f>IF(OR(NOTA[[#This Row],[QTY]]="",NOTA[[#This Row],[HARGA SATUAN]]="",),"",NOTA[[#This Row],[QTY]]*NOTA[[#This Row],[HARGA SATUAN]])</f>
        <v/>
      </c>
      <c r="AG482" s="37">
        <f ca="1">IF(NOTA[ID_H]="","",INDEX(NOTA[TANGGAL],MATCH(,INDIRECT(ADDRESS(ROW(NOTA[TANGGAL]),COLUMN(NOTA[TANGGAL]))&amp;":"&amp;ADDRESS(ROW(),COLUMN(NOTA[TANGGAL]))),-1)))</f>
        <v>45063</v>
      </c>
      <c r="AH482" s="35" t="str">
        <f ca="1">IF(NOTA[[#This Row],[NAMA BARANG]]="","",INDEX(NOTA[SUPPLIER],MATCH(,INDIRECT(ADDRESS(ROW(NOTA[ID]),COLUMN(NOTA[ID]))&amp;":"&amp;ADDRESS(ROW(),COLUMN(NOTA[ID]))),-1)))</f>
        <v>KENKO SINAR INDONESIA</v>
      </c>
      <c r="AI482" s="35" t="str">
        <f ca="1">IF(NOTA[[#This Row],[ID_H]]="","",IF(NOTA[[#This Row],[FAKTUR]]="",INDIRECT(ADDRESS(ROW()-1,COLUMN())),NOTA[[#This Row],[FAKTUR]]))</f>
        <v>ARTO MORO</v>
      </c>
      <c r="AJ482" s="27" t="str">
        <f ca="1">IF(NOTA[[#This Row],[ID]]="","",COUNTIF(NOTA[ID_H],NOTA[[#This Row],[ID_H]]))</f>
        <v/>
      </c>
      <c r="AK482" s="27">
        <f ca="1">IF(NOTA[[#This Row],[TGL.NOTA]]="",IF(NOTA[[#This Row],[SUPPLIER_H]]="","",AK481),MONTH(NOTA[[#This Row],[TGL.NOTA]]))</f>
        <v>5</v>
      </c>
      <c r="AL482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4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4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4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27" t="str">
        <f>IF(NOTA[[#This Row],[CONCAT4]]="","",_xlfn.IFNA(MATCH(NOTA[[#This Row],[CONCAT4]],[2]!RAW[CONCAT_H],0),FALSE))</f>
        <v/>
      </c>
      <c r="AQ482" s="145">
        <f>IF(NOTA[[#This Row],[CONCAT1]]="","",MATCH(NOTA[[#This Row],[CONCAT1]],[3]!db[NB NOTA_C],0)+1)</f>
        <v>1236</v>
      </c>
    </row>
    <row r="483" spans="1:43" ht="20.100000000000001" customHeight="1" x14ac:dyDescent="0.25">
      <c r="A48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6" t="str">
        <f>IF(NOTA[[#This Row],[ID_P]]="","",MATCH(NOTA[[#This Row],[ID_P]],[1]!B_MSK[N_ID],0))</f>
        <v/>
      </c>
      <c r="D483" s="36" t="str">
        <f ca="1">IF(NOTA[[#This Row],[NAMA BARANG]]="","",INDEX(NOTA[ID],MATCH(,INDIRECT(ADDRESS(ROW(NOTA[ID]),COLUMN(NOTA[ID]))&amp;":"&amp;ADDRESS(ROW(),COLUMN(NOTA[ID]))),-1)))</f>
        <v/>
      </c>
      <c r="E483" s="14"/>
      <c r="F483" s="16"/>
      <c r="G483" s="16"/>
      <c r="H483" s="20"/>
      <c r="I483" s="16"/>
      <c r="J483" s="37"/>
      <c r="K483" s="16"/>
      <c r="L483" s="16"/>
      <c r="M483" s="28"/>
      <c r="N483" s="16"/>
      <c r="O483" s="16"/>
      <c r="P483" s="35"/>
      <c r="Q483" s="38"/>
      <c r="R483" s="28"/>
      <c r="S483" s="39"/>
      <c r="T483" s="39"/>
      <c r="U483" s="40"/>
      <c r="V483" s="26"/>
      <c r="W483" s="40" t="str">
        <f>IF(NOTA[[#This Row],[HARGA/ CTN]]="",NOTA[[#This Row],[JUMLAH_H]],NOTA[[#This Row],[HARGA/ CTN]]*IF(NOTA[[#This Row],[C]]="",0,NOTA[[#This Row],[C]]))</f>
        <v/>
      </c>
      <c r="X483" s="40" t="str">
        <f>IF(NOTA[[#This Row],[JUMLAH]]="","",NOTA[[#This Row],[JUMLAH]]*NOTA[[#This Row],[DISC 1]])</f>
        <v/>
      </c>
      <c r="Y483" s="40" t="str">
        <f>IF(NOTA[[#This Row],[JUMLAH]]="","",(NOTA[[#This Row],[JUMLAH]]-NOTA[[#This Row],[DISC 1-]])*NOTA[[#This Row],[DISC 2]])</f>
        <v/>
      </c>
      <c r="Z483" s="40" t="str">
        <f>IF(NOTA[[#This Row],[JUMLAH]]="","",NOTA[[#This Row],[DISC 1-]]+NOTA[[#This Row],[DISC 2-]])</f>
        <v/>
      </c>
      <c r="AA483" s="40" t="str">
        <f>IF(NOTA[[#This Row],[JUMLAH]]="","",NOTA[[#This Row],[JUMLAH]]-NOTA[[#This Row],[DISC]])</f>
        <v/>
      </c>
      <c r="AB483" s="40"/>
      <c r="AC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40" t="str">
        <f>IF(OR(NOTA[[#This Row],[QTY]]="",NOTA[[#This Row],[HARGA SATUAN]]="",),"",NOTA[[#This Row],[QTY]]*NOTA[[#This Row],[HARGA SATUAN]])</f>
        <v/>
      </c>
      <c r="AG483" s="37" t="str">
        <f ca="1">IF(NOTA[ID_H]="","",INDEX(NOTA[TANGGAL],MATCH(,INDIRECT(ADDRESS(ROW(NOTA[TANGGAL]),COLUMN(NOTA[TANGGAL]))&amp;":"&amp;ADDRESS(ROW(),COLUMN(NOTA[TANGGAL]))),-1)))</f>
        <v/>
      </c>
      <c r="AH483" s="35" t="str">
        <f ca="1">IF(NOTA[[#This Row],[NAMA BARANG]]="","",INDEX(NOTA[SUPPLIER],MATCH(,INDIRECT(ADDRESS(ROW(NOTA[ID]),COLUMN(NOTA[ID]))&amp;":"&amp;ADDRESS(ROW(),COLUMN(NOTA[ID]))),-1)))</f>
        <v/>
      </c>
      <c r="AI483" s="35" t="str">
        <f ca="1">IF(NOTA[[#This Row],[ID_H]]="","",IF(NOTA[[#This Row],[FAKTUR]]="",INDIRECT(ADDRESS(ROW()-1,COLUMN())),NOTA[[#This Row],[FAKTUR]]))</f>
        <v/>
      </c>
      <c r="AJ483" s="27" t="str">
        <f ca="1">IF(NOTA[[#This Row],[ID]]="","",COUNTIF(NOTA[ID_H],NOTA[[#This Row],[ID_H]]))</f>
        <v/>
      </c>
      <c r="AK483" s="27" t="str">
        <f ca="1">IF(NOTA[[#This Row],[TGL.NOTA]]="",IF(NOTA[[#This Row],[SUPPLIER_H]]="","",AK482),MONTH(NOTA[[#This Row],[TGL.NOTA]]))</f>
        <v/>
      </c>
      <c r="AL483" s="27" t="str">
        <f>LOWER(SUBSTITUTE(SUBSTITUTE(SUBSTITUTE(SUBSTITUTE(SUBSTITUTE(SUBSTITUTE(SUBSTITUTE(SUBSTITUTE(SUBSTITUTE(NOTA[NAMA BARANG]," ",),".",""),"-",""),"(",""),")",""),",",""),"/",""),"""",""),"+",""))</f>
        <v/>
      </c>
      <c r="AM4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27" t="str">
        <f>IF(NOTA[[#This Row],[CONCAT4]]="","",_xlfn.IFNA(MATCH(NOTA[[#This Row],[CONCAT4]],[2]!RAW[CONCAT_H],0),FALSE))</f>
        <v/>
      </c>
      <c r="AQ483" s="145" t="str">
        <f>IF(NOTA[[#This Row],[CONCAT1]]="","",MATCH(NOTA[[#This Row],[CONCAT1]],[3]!db[NB NOTA_C],0)+1)</f>
        <v/>
      </c>
    </row>
    <row r="484" spans="1:43" ht="20.100000000000001" customHeight="1" x14ac:dyDescent="0.25">
      <c r="A484" s="35">
        <f ca="1">IF(INDIRECT(ADDRESS(ROW()-1,COLUMN(NOTA[[#Headers],[ID]])))="ID",1,IF(NOTA[[#This Row],[FAKTUR]]="","",COUNT(INDIRECT(ADDRESS(ROW(NOTA[ID]),COLUMN(NOTA[ID]))&amp;":"&amp;ADDRESS(ROW()-1,COLUMN(NOTA[ID]))))+1))</f>
        <v>87</v>
      </c>
      <c r="B48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KEN_1705_240-10</v>
      </c>
      <c r="C484" s="36" t="e">
        <f ca="1">IF(NOTA[[#This Row],[ID_P]]="","",MATCH(NOTA[[#This Row],[ID_P]],[1]!B_MSK[N_ID],0))</f>
        <v>#REF!</v>
      </c>
      <c r="D484" s="36">
        <f ca="1">IF(NOTA[[#This Row],[NAMA BARANG]]="","",INDEX(NOTA[ID],MATCH(,INDIRECT(ADDRESS(ROW(NOTA[ID]),COLUMN(NOTA[ID]))&amp;":"&amp;ADDRESS(ROW(),COLUMN(NOTA[ID]))),-1)))</f>
        <v>87</v>
      </c>
      <c r="E484" s="14"/>
      <c r="F484" s="16" t="s">
        <v>23</v>
      </c>
      <c r="G484" s="16" t="s">
        <v>24</v>
      </c>
      <c r="H484" s="20" t="s">
        <v>689</v>
      </c>
      <c r="I484" s="16" t="s">
        <v>723</v>
      </c>
      <c r="J484" s="37">
        <v>45058</v>
      </c>
      <c r="K484" s="16"/>
      <c r="L484" s="16" t="s">
        <v>690</v>
      </c>
      <c r="M484" s="28">
        <v>1</v>
      </c>
      <c r="N484" s="16"/>
      <c r="O484" s="16"/>
      <c r="P484" s="35"/>
      <c r="Q484" s="38">
        <v>4752000</v>
      </c>
      <c r="R484" s="28" t="s">
        <v>150</v>
      </c>
      <c r="S484" s="39">
        <v>0.17</v>
      </c>
      <c r="T484" s="39"/>
      <c r="U484" s="40"/>
      <c r="V484" s="26"/>
      <c r="W484" s="40">
        <f>IF(NOTA[[#This Row],[HARGA/ CTN]]="",NOTA[[#This Row],[JUMLAH_H]],NOTA[[#This Row],[HARGA/ CTN]]*IF(NOTA[[#This Row],[C]]="",0,NOTA[[#This Row],[C]]))</f>
        <v>4752000</v>
      </c>
      <c r="X484" s="40">
        <f>IF(NOTA[[#This Row],[JUMLAH]]="","",NOTA[[#This Row],[JUMLAH]]*NOTA[[#This Row],[DISC 1]])</f>
        <v>807840</v>
      </c>
      <c r="Y484" s="40">
        <f>IF(NOTA[[#This Row],[JUMLAH]]="","",(NOTA[[#This Row],[JUMLAH]]-NOTA[[#This Row],[DISC 1-]])*NOTA[[#This Row],[DISC 2]])</f>
        <v>0</v>
      </c>
      <c r="Z484" s="40">
        <f>IF(NOTA[[#This Row],[JUMLAH]]="","",NOTA[[#This Row],[DISC 1-]]+NOTA[[#This Row],[DISC 2-]])</f>
        <v>807840</v>
      </c>
      <c r="AA484" s="40">
        <f>IF(NOTA[[#This Row],[JUMLAH]]="","",NOTA[[#This Row],[JUMLAH]]-NOTA[[#This Row],[DISC]])</f>
        <v>3944160</v>
      </c>
      <c r="AB484" s="40"/>
      <c r="AC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35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484" s="40" t="str">
        <f>IF(OR(NOTA[[#This Row],[QTY]]="",NOTA[[#This Row],[HARGA SATUAN]]="",),"",NOTA[[#This Row],[QTY]]*NOTA[[#This Row],[HARGA SATUAN]])</f>
        <v/>
      </c>
      <c r="AG484" s="37">
        <f ca="1">IF(NOTA[ID_H]="","",INDEX(NOTA[TANGGAL],MATCH(,INDIRECT(ADDRESS(ROW(NOTA[TANGGAL]),COLUMN(NOTA[TANGGAL]))&amp;":"&amp;ADDRESS(ROW(),COLUMN(NOTA[TANGGAL]))),-1)))</f>
        <v>45063</v>
      </c>
      <c r="AH484" s="35" t="str">
        <f ca="1">IF(NOTA[[#This Row],[NAMA BARANG]]="","",INDEX(NOTA[SUPPLIER],MATCH(,INDIRECT(ADDRESS(ROW(NOTA[ID]),COLUMN(NOTA[ID]))&amp;":"&amp;ADDRESS(ROW(),COLUMN(NOTA[ID]))),-1)))</f>
        <v>KENKO SINAR INDONESIA</v>
      </c>
      <c r="AI484" s="35" t="str">
        <f ca="1">IF(NOTA[[#This Row],[ID_H]]="","",IF(NOTA[[#This Row],[FAKTUR]]="",INDIRECT(ADDRESS(ROW()-1,COLUMN())),NOTA[[#This Row],[FAKTUR]]))</f>
        <v>ARTO MORO</v>
      </c>
      <c r="AJ484" s="27">
        <f ca="1">IF(NOTA[[#This Row],[ID]]="","",COUNTIF(NOTA[ID_H],NOTA[[#This Row],[ID_H]]))</f>
        <v>10</v>
      </c>
      <c r="AK484" s="27">
        <f>IF(NOTA[[#This Row],[TGL.NOTA]]="",IF(NOTA[[#This Row],[SUPPLIER_H]]="","",AK483),MONTH(NOTA[[#This Row],[TGL.NOTA]]))</f>
        <v>5</v>
      </c>
      <c r="AL484" s="27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4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4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48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MORO23051240SA 4153645058kenkogelpenk1miniblack</v>
      </c>
      <c r="AP484" s="27" t="e">
        <f>IF(NOTA[[#This Row],[CONCAT4]]="","",_xlfn.IFNA(MATCH(NOTA[[#This Row],[CONCAT4]],[2]!RAW[CONCAT_H],0),FALSE))</f>
        <v>#REF!</v>
      </c>
      <c r="AQ484" s="145">
        <f>IF(NOTA[[#This Row],[CONCAT1]]="","",MATCH(NOTA[[#This Row],[CONCAT1]],[3]!db[NB NOTA_C],0)+1)</f>
        <v>1273</v>
      </c>
    </row>
    <row r="485" spans="1:43" ht="20.100000000000001" customHeight="1" x14ac:dyDescent="0.25">
      <c r="A48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6" t="str">
        <f>IF(NOTA[[#This Row],[ID_P]]="","",MATCH(NOTA[[#This Row],[ID_P]],[1]!B_MSK[N_ID],0))</f>
        <v/>
      </c>
      <c r="D485" s="36">
        <f ca="1">IF(NOTA[[#This Row],[NAMA BARANG]]="","",INDEX(NOTA[ID],MATCH(,INDIRECT(ADDRESS(ROW(NOTA[ID]),COLUMN(NOTA[ID]))&amp;":"&amp;ADDRESS(ROW(),COLUMN(NOTA[ID]))),-1)))</f>
        <v>87</v>
      </c>
      <c r="E485" s="14"/>
      <c r="F485" s="16"/>
      <c r="G485" s="16"/>
      <c r="H485" s="20"/>
      <c r="I485" s="16"/>
      <c r="J485" s="37"/>
      <c r="K485" s="16"/>
      <c r="L485" s="16" t="s">
        <v>691</v>
      </c>
      <c r="M485" s="28">
        <v>1</v>
      </c>
      <c r="N485" s="16"/>
      <c r="O485" s="16"/>
      <c r="P485" s="35"/>
      <c r="Q485" s="38">
        <v>5616000</v>
      </c>
      <c r="R485" s="28" t="s">
        <v>150</v>
      </c>
      <c r="S485" s="39">
        <v>0.17</v>
      </c>
      <c r="T485" s="39"/>
      <c r="U485" s="40"/>
      <c r="V485" s="26"/>
      <c r="W485" s="40">
        <f>IF(NOTA[[#This Row],[HARGA/ CTN]]="",NOTA[[#This Row],[JUMLAH_H]],NOTA[[#This Row],[HARGA/ CTN]]*IF(NOTA[[#This Row],[C]]="",0,NOTA[[#This Row],[C]]))</f>
        <v>5616000</v>
      </c>
      <c r="X485" s="40">
        <f>IF(NOTA[[#This Row],[JUMLAH]]="","",NOTA[[#This Row],[JUMLAH]]*NOTA[[#This Row],[DISC 1]])</f>
        <v>954720.00000000012</v>
      </c>
      <c r="Y485" s="40">
        <f>IF(NOTA[[#This Row],[JUMLAH]]="","",(NOTA[[#This Row],[JUMLAH]]-NOTA[[#This Row],[DISC 1-]])*NOTA[[#This Row],[DISC 2]])</f>
        <v>0</v>
      </c>
      <c r="Z485" s="40">
        <f>IF(NOTA[[#This Row],[JUMLAH]]="","",NOTA[[#This Row],[DISC 1-]]+NOTA[[#This Row],[DISC 2-]])</f>
        <v>954720.00000000012</v>
      </c>
      <c r="AA485" s="40">
        <f>IF(NOTA[[#This Row],[JUMLAH]]="","",NOTA[[#This Row],[JUMLAH]]-NOTA[[#This Row],[DISC]])</f>
        <v>4661280</v>
      </c>
      <c r="AB485" s="40"/>
      <c r="AC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85" s="40" t="str">
        <f>IF(OR(NOTA[[#This Row],[QTY]]="",NOTA[[#This Row],[HARGA SATUAN]]="",),"",NOTA[[#This Row],[QTY]]*NOTA[[#This Row],[HARGA SATUAN]])</f>
        <v/>
      </c>
      <c r="AG485" s="37">
        <f ca="1">IF(NOTA[ID_H]="","",INDEX(NOTA[TANGGAL],MATCH(,INDIRECT(ADDRESS(ROW(NOTA[TANGGAL]),COLUMN(NOTA[TANGGAL]))&amp;":"&amp;ADDRESS(ROW(),COLUMN(NOTA[TANGGAL]))),-1)))</f>
        <v>45063</v>
      </c>
      <c r="AH485" s="35" t="str">
        <f ca="1">IF(NOTA[[#This Row],[NAMA BARANG]]="","",INDEX(NOTA[SUPPLIER],MATCH(,INDIRECT(ADDRESS(ROW(NOTA[ID]),COLUMN(NOTA[ID]))&amp;":"&amp;ADDRESS(ROW(),COLUMN(NOTA[ID]))),-1)))</f>
        <v>KENKO SINAR INDONESIA</v>
      </c>
      <c r="AI485" s="35" t="str">
        <f ca="1">IF(NOTA[[#This Row],[ID_H]]="","",IF(NOTA[[#This Row],[FAKTUR]]="",INDIRECT(ADDRESS(ROW()-1,COLUMN())),NOTA[[#This Row],[FAKTUR]]))</f>
        <v>ARTO MORO</v>
      </c>
      <c r="AJ485" s="27" t="str">
        <f ca="1">IF(NOTA[[#This Row],[ID]]="","",COUNTIF(NOTA[ID_H],NOTA[[#This Row],[ID_H]]))</f>
        <v/>
      </c>
      <c r="AK485" s="27">
        <f ca="1">IF(NOTA[[#This Row],[TGL.NOTA]]="",IF(NOTA[[#This Row],[SUPPLIER_H]]="","",AK484),MONTH(NOTA[[#This Row],[TGL.NOTA]]))</f>
        <v>5</v>
      </c>
      <c r="AL485" s="27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4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4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4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27" t="str">
        <f>IF(NOTA[[#This Row],[CONCAT4]]="","",_xlfn.IFNA(MATCH(NOTA[[#This Row],[CONCAT4]],[2]!RAW[CONCAT_H],0),FALSE))</f>
        <v/>
      </c>
      <c r="AQ485" s="145">
        <f>IF(NOTA[[#This Row],[CONCAT1]]="","",MATCH(NOTA[[#This Row],[CONCAT1]],[3]!db[NB NOTA_C],0)+1)</f>
        <v>1260</v>
      </c>
    </row>
    <row r="486" spans="1:43" ht="20.100000000000001" customHeight="1" x14ac:dyDescent="0.25">
      <c r="A48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6" t="str">
        <f>IF(NOTA[[#This Row],[ID_P]]="","",MATCH(NOTA[[#This Row],[ID_P]],[1]!B_MSK[N_ID],0))</f>
        <v/>
      </c>
      <c r="D486" s="36">
        <f ca="1">IF(NOTA[[#This Row],[NAMA BARANG]]="","",INDEX(NOTA[ID],MATCH(,INDIRECT(ADDRESS(ROW(NOTA[ID]),COLUMN(NOTA[ID]))&amp;":"&amp;ADDRESS(ROW(),COLUMN(NOTA[ID]))),-1)))</f>
        <v>87</v>
      </c>
      <c r="E486" s="14"/>
      <c r="F486" s="16"/>
      <c r="G486" s="16"/>
      <c r="H486" s="20"/>
      <c r="I486" s="16"/>
      <c r="J486" s="37"/>
      <c r="K486" s="16"/>
      <c r="L486" s="16" t="s">
        <v>447</v>
      </c>
      <c r="M486" s="28">
        <v>5</v>
      </c>
      <c r="N486" s="16"/>
      <c r="O486" s="16"/>
      <c r="P486" s="35"/>
      <c r="Q486" s="38">
        <v>1695600</v>
      </c>
      <c r="R486" s="28" t="s">
        <v>148</v>
      </c>
      <c r="S486" s="39">
        <v>0.17</v>
      </c>
      <c r="T486" s="39"/>
      <c r="U486" s="40"/>
      <c r="V486" s="26"/>
      <c r="W486" s="40">
        <f>IF(NOTA[[#This Row],[HARGA/ CTN]]="",NOTA[[#This Row],[JUMLAH_H]],NOTA[[#This Row],[HARGA/ CTN]]*IF(NOTA[[#This Row],[C]]="",0,NOTA[[#This Row],[C]]))</f>
        <v>8478000</v>
      </c>
      <c r="X486" s="40">
        <f>IF(NOTA[[#This Row],[JUMLAH]]="","",NOTA[[#This Row],[JUMLAH]]*NOTA[[#This Row],[DISC 1]])</f>
        <v>1441260</v>
      </c>
      <c r="Y486" s="40">
        <f>IF(NOTA[[#This Row],[JUMLAH]]="","",(NOTA[[#This Row],[JUMLAH]]-NOTA[[#This Row],[DISC 1-]])*NOTA[[#This Row],[DISC 2]])</f>
        <v>0</v>
      </c>
      <c r="Z486" s="40">
        <f>IF(NOTA[[#This Row],[JUMLAH]]="","",NOTA[[#This Row],[DISC 1-]]+NOTA[[#This Row],[DISC 2-]])</f>
        <v>1441260</v>
      </c>
      <c r="AA486" s="40">
        <f>IF(NOTA[[#This Row],[JUMLAH]]="","",NOTA[[#This Row],[JUMLAH]]-NOTA[[#This Row],[DISC]])</f>
        <v>7036740</v>
      </c>
      <c r="AB486" s="40"/>
      <c r="AC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86" s="40" t="str">
        <f>IF(OR(NOTA[[#This Row],[QTY]]="",NOTA[[#This Row],[HARGA SATUAN]]="",),"",NOTA[[#This Row],[QTY]]*NOTA[[#This Row],[HARGA SATUAN]])</f>
        <v/>
      </c>
      <c r="AG486" s="37">
        <f ca="1">IF(NOTA[ID_H]="","",INDEX(NOTA[TANGGAL],MATCH(,INDIRECT(ADDRESS(ROW(NOTA[TANGGAL]),COLUMN(NOTA[TANGGAL]))&amp;":"&amp;ADDRESS(ROW(),COLUMN(NOTA[TANGGAL]))),-1)))</f>
        <v>45063</v>
      </c>
      <c r="AH486" s="35" t="str">
        <f ca="1">IF(NOTA[[#This Row],[NAMA BARANG]]="","",INDEX(NOTA[SUPPLIER],MATCH(,INDIRECT(ADDRESS(ROW(NOTA[ID]),COLUMN(NOTA[ID]))&amp;":"&amp;ADDRESS(ROW(),COLUMN(NOTA[ID]))),-1)))</f>
        <v>KENKO SINAR INDONESIA</v>
      </c>
      <c r="AI486" s="35" t="str">
        <f ca="1">IF(NOTA[[#This Row],[ID_H]]="","",IF(NOTA[[#This Row],[FAKTUR]]="",INDIRECT(ADDRESS(ROW()-1,COLUMN())),NOTA[[#This Row],[FAKTUR]]))</f>
        <v>ARTO MORO</v>
      </c>
      <c r="AJ486" s="27" t="str">
        <f ca="1">IF(NOTA[[#This Row],[ID]]="","",COUNTIF(NOTA[ID_H],NOTA[[#This Row],[ID_H]]))</f>
        <v/>
      </c>
      <c r="AK486" s="27">
        <f ca="1">IF(NOTA[[#This Row],[TGL.NOTA]]="",IF(NOTA[[#This Row],[SUPPLIER_H]]="","",AK485),MONTH(NOTA[[#This Row],[TGL.NOTA]]))</f>
        <v>5</v>
      </c>
      <c r="AL486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4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4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48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27" t="str">
        <f>IF(NOTA[[#This Row],[CONCAT4]]="","",_xlfn.IFNA(MATCH(NOTA[[#This Row],[CONCAT4]],[2]!RAW[CONCAT_H],0),FALSE))</f>
        <v/>
      </c>
      <c r="AQ486" s="145">
        <f>IF(NOTA[[#This Row],[CONCAT1]]="","",MATCH(NOTA[[#This Row],[CONCAT1]],[3]!db[NB NOTA_C],0)+1)</f>
        <v>1200</v>
      </c>
    </row>
    <row r="487" spans="1:43" ht="20.100000000000001" customHeight="1" x14ac:dyDescent="0.25">
      <c r="A48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6" t="str">
        <f>IF(NOTA[[#This Row],[ID_P]]="","",MATCH(NOTA[[#This Row],[ID_P]],[1]!B_MSK[N_ID],0))</f>
        <v/>
      </c>
      <c r="D487" s="36">
        <f ca="1">IF(NOTA[[#This Row],[NAMA BARANG]]="","",INDEX(NOTA[ID],MATCH(,INDIRECT(ADDRESS(ROW(NOTA[ID]),COLUMN(NOTA[ID]))&amp;":"&amp;ADDRESS(ROW(),COLUMN(NOTA[ID]))),-1)))</f>
        <v>87</v>
      </c>
      <c r="E487" s="14"/>
      <c r="F487" s="16"/>
      <c r="G487" s="16"/>
      <c r="H487" s="20"/>
      <c r="I487" s="16"/>
      <c r="J487" s="37"/>
      <c r="K487" s="16"/>
      <c r="L487" s="16" t="s">
        <v>692</v>
      </c>
      <c r="M487" s="28">
        <v>1</v>
      </c>
      <c r="N487" s="16"/>
      <c r="O487" s="16"/>
      <c r="P487" s="35"/>
      <c r="Q487" s="38">
        <v>810000</v>
      </c>
      <c r="R487" s="28" t="s">
        <v>715</v>
      </c>
      <c r="S487" s="39">
        <v>0.17</v>
      </c>
      <c r="T487" s="39"/>
      <c r="U487" s="40"/>
      <c r="V487" s="26"/>
      <c r="W487" s="40">
        <f>IF(NOTA[[#This Row],[HARGA/ CTN]]="",NOTA[[#This Row],[JUMLAH_H]],NOTA[[#This Row],[HARGA/ CTN]]*IF(NOTA[[#This Row],[C]]="",0,NOTA[[#This Row],[C]]))</f>
        <v>810000</v>
      </c>
      <c r="X487" s="40">
        <f>IF(NOTA[[#This Row],[JUMLAH]]="","",NOTA[[#This Row],[JUMLAH]]*NOTA[[#This Row],[DISC 1]])</f>
        <v>137700</v>
      </c>
      <c r="Y487" s="40">
        <f>IF(NOTA[[#This Row],[JUMLAH]]="","",(NOTA[[#This Row],[JUMLAH]]-NOTA[[#This Row],[DISC 1-]])*NOTA[[#This Row],[DISC 2]])</f>
        <v>0</v>
      </c>
      <c r="Z487" s="40">
        <f>IF(NOTA[[#This Row],[JUMLAH]]="","",NOTA[[#This Row],[DISC 1-]]+NOTA[[#This Row],[DISC 2-]])</f>
        <v>137700</v>
      </c>
      <c r="AA487" s="40">
        <f>IF(NOTA[[#This Row],[JUMLAH]]="","",NOTA[[#This Row],[JUMLAH]]-NOTA[[#This Row],[DISC]])</f>
        <v>672300</v>
      </c>
      <c r="AB487" s="40"/>
      <c r="AC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3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487" s="40" t="str">
        <f>IF(OR(NOTA[[#This Row],[QTY]]="",NOTA[[#This Row],[HARGA SATUAN]]="",),"",NOTA[[#This Row],[QTY]]*NOTA[[#This Row],[HARGA SATUAN]])</f>
        <v/>
      </c>
      <c r="AG487" s="37">
        <f ca="1">IF(NOTA[ID_H]="","",INDEX(NOTA[TANGGAL],MATCH(,INDIRECT(ADDRESS(ROW(NOTA[TANGGAL]),COLUMN(NOTA[TANGGAL]))&amp;":"&amp;ADDRESS(ROW(),COLUMN(NOTA[TANGGAL]))),-1)))</f>
        <v>45063</v>
      </c>
      <c r="AH487" s="35" t="str">
        <f ca="1">IF(NOTA[[#This Row],[NAMA BARANG]]="","",INDEX(NOTA[SUPPLIER],MATCH(,INDIRECT(ADDRESS(ROW(NOTA[ID]),COLUMN(NOTA[ID]))&amp;":"&amp;ADDRESS(ROW(),COLUMN(NOTA[ID]))),-1)))</f>
        <v>KENKO SINAR INDONESIA</v>
      </c>
      <c r="AI487" s="35" t="str">
        <f ca="1">IF(NOTA[[#This Row],[ID_H]]="","",IF(NOTA[[#This Row],[FAKTUR]]="",INDIRECT(ADDRESS(ROW()-1,COLUMN())),NOTA[[#This Row],[FAKTUR]]))</f>
        <v>ARTO MORO</v>
      </c>
      <c r="AJ487" s="27" t="str">
        <f ca="1">IF(NOTA[[#This Row],[ID]]="","",COUNTIF(NOTA[ID_H],NOTA[[#This Row],[ID_H]]))</f>
        <v/>
      </c>
      <c r="AK487" s="27">
        <f ca="1">IF(NOTA[[#This Row],[TGL.NOTA]]="",IF(NOTA[[#This Row],[SUPPLIER_H]]="","",AK486),MONTH(NOTA[[#This Row],[TGL.NOTA]]))</f>
        <v>5</v>
      </c>
      <c r="AL487" s="27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4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4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4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27" t="str">
        <f>IF(NOTA[[#This Row],[CONCAT4]]="","",_xlfn.IFNA(MATCH(NOTA[[#This Row],[CONCAT4]],[2]!RAW[CONCAT_H],0),FALSE))</f>
        <v/>
      </c>
      <c r="AQ487" s="145">
        <f>IF(NOTA[[#This Row],[CONCAT1]]="","",MATCH(NOTA[[#This Row],[CONCAT1]],[3]!db[NB NOTA_C],0)+1)</f>
        <v>1365</v>
      </c>
    </row>
    <row r="488" spans="1:43" ht="20.100000000000001" customHeight="1" x14ac:dyDescent="0.25">
      <c r="A48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6" t="str">
        <f>IF(NOTA[[#This Row],[ID_P]]="","",MATCH(NOTA[[#This Row],[ID_P]],[1]!B_MSK[N_ID],0))</f>
        <v/>
      </c>
      <c r="D488" s="36">
        <f ca="1">IF(NOTA[[#This Row],[NAMA BARANG]]="","",INDEX(NOTA[ID],MATCH(,INDIRECT(ADDRESS(ROW(NOTA[ID]),COLUMN(NOTA[ID]))&amp;":"&amp;ADDRESS(ROW(),COLUMN(NOTA[ID]))),-1)))</f>
        <v>87</v>
      </c>
      <c r="E488" s="14"/>
      <c r="F488" s="16"/>
      <c r="G488" s="16"/>
      <c r="H488" s="20"/>
      <c r="I488" s="16"/>
      <c r="J488" s="37"/>
      <c r="K488" s="16"/>
      <c r="L488" s="16" t="s">
        <v>693</v>
      </c>
      <c r="M488" s="28">
        <v>1</v>
      </c>
      <c r="N488" s="16"/>
      <c r="O488" s="16"/>
      <c r="P488" s="35"/>
      <c r="Q488" s="38">
        <v>1987200</v>
      </c>
      <c r="R488" s="28" t="s">
        <v>724</v>
      </c>
      <c r="S488" s="39">
        <v>0.17</v>
      </c>
      <c r="T488" s="39"/>
      <c r="U488" s="40"/>
      <c r="V488" s="26"/>
      <c r="W488" s="40">
        <f>IF(NOTA[[#This Row],[HARGA/ CTN]]="",NOTA[[#This Row],[JUMLAH_H]],NOTA[[#This Row],[HARGA/ CTN]]*IF(NOTA[[#This Row],[C]]="",0,NOTA[[#This Row],[C]]))</f>
        <v>1987200</v>
      </c>
      <c r="X488" s="40">
        <f>IF(NOTA[[#This Row],[JUMLAH]]="","",NOTA[[#This Row],[JUMLAH]]*NOTA[[#This Row],[DISC 1]])</f>
        <v>337824</v>
      </c>
      <c r="Y488" s="40">
        <f>IF(NOTA[[#This Row],[JUMLAH]]="","",(NOTA[[#This Row],[JUMLAH]]-NOTA[[#This Row],[DISC 1-]])*NOTA[[#This Row],[DISC 2]])</f>
        <v>0</v>
      </c>
      <c r="Z488" s="40">
        <f>IF(NOTA[[#This Row],[JUMLAH]]="","",NOTA[[#This Row],[DISC 1-]]+NOTA[[#This Row],[DISC 2-]])</f>
        <v>337824</v>
      </c>
      <c r="AA488" s="40">
        <f>IF(NOTA[[#This Row],[JUMLAH]]="","",NOTA[[#This Row],[JUMLAH]]-NOTA[[#This Row],[DISC]])</f>
        <v>1649376</v>
      </c>
      <c r="AB488" s="40"/>
      <c r="AC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488" s="40" t="str">
        <f>IF(OR(NOTA[[#This Row],[QTY]]="",NOTA[[#This Row],[HARGA SATUAN]]="",),"",NOTA[[#This Row],[QTY]]*NOTA[[#This Row],[HARGA SATUAN]])</f>
        <v/>
      </c>
      <c r="AG488" s="37">
        <f ca="1">IF(NOTA[ID_H]="","",INDEX(NOTA[TANGGAL],MATCH(,INDIRECT(ADDRESS(ROW(NOTA[TANGGAL]),COLUMN(NOTA[TANGGAL]))&amp;":"&amp;ADDRESS(ROW(),COLUMN(NOTA[TANGGAL]))),-1)))</f>
        <v>45063</v>
      </c>
      <c r="AH488" s="35" t="str">
        <f ca="1">IF(NOTA[[#This Row],[NAMA BARANG]]="","",INDEX(NOTA[SUPPLIER],MATCH(,INDIRECT(ADDRESS(ROW(NOTA[ID]),COLUMN(NOTA[ID]))&amp;":"&amp;ADDRESS(ROW(),COLUMN(NOTA[ID]))),-1)))</f>
        <v>KENKO SINAR INDONESIA</v>
      </c>
      <c r="AI488" s="35" t="str">
        <f ca="1">IF(NOTA[[#This Row],[ID_H]]="","",IF(NOTA[[#This Row],[FAKTUR]]="",INDIRECT(ADDRESS(ROW()-1,COLUMN())),NOTA[[#This Row],[FAKTUR]]))</f>
        <v>ARTO MORO</v>
      </c>
      <c r="AJ488" s="27" t="str">
        <f ca="1">IF(NOTA[[#This Row],[ID]]="","",COUNTIF(NOTA[ID_H],NOTA[[#This Row],[ID_H]]))</f>
        <v/>
      </c>
      <c r="AK488" s="27">
        <f ca="1">IF(NOTA[[#This Row],[TGL.NOTA]]="",IF(NOTA[[#This Row],[SUPPLIER_H]]="","",AK487),MONTH(NOTA[[#This Row],[TGL.NOTA]]))</f>
        <v>5</v>
      </c>
      <c r="AL488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4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4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4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27" t="str">
        <f>IF(NOTA[[#This Row],[CONCAT4]]="","",_xlfn.IFNA(MATCH(NOTA[[#This Row],[CONCAT4]],[2]!RAW[CONCAT_H],0),FALSE))</f>
        <v/>
      </c>
      <c r="AQ488" s="145">
        <f>IF(NOTA[[#This Row],[CONCAT1]]="","",MATCH(NOTA[[#This Row],[CONCAT1]],[3]!db[NB NOTA_C],0)+1)</f>
        <v>1186</v>
      </c>
    </row>
    <row r="489" spans="1:43" ht="20.100000000000001" customHeight="1" x14ac:dyDescent="0.25">
      <c r="A48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6" t="str">
        <f>IF(NOTA[[#This Row],[ID_P]]="","",MATCH(NOTA[[#This Row],[ID_P]],[1]!B_MSK[N_ID],0))</f>
        <v/>
      </c>
      <c r="D489" s="36">
        <f ca="1">IF(NOTA[[#This Row],[NAMA BARANG]]="","",INDEX(NOTA[ID],MATCH(,INDIRECT(ADDRESS(ROW(NOTA[ID]),COLUMN(NOTA[ID]))&amp;":"&amp;ADDRESS(ROW(),COLUMN(NOTA[ID]))),-1)))</f>
        <v>87</v>
      </c>
      <c r="E489" s="14"/>
      <c r="F489" s="16"/>
      <c r="G489" s="16"/>
      <c r="H489" s="20"/>
      <c r="I489" s="16"/>
      <c r="J489" s="37"/>
      <c r="K489" s="16"/>
      <c r="L489" s="16" t="s">
        <v>326</v>
      </c>
      <c r="M489" s="28">
        <v>3</v>
      </c>
      <c r="N489" s="16"/>
      <c r="O489" s="16"/>
      <c r="P489" s="35"/>
      <c r="Q489" s="38">
        <v>2352000</v>
      </c>
      <c r="R489" s="28" t="s">
        <v>232</v>
      </c>
      <c r="S489" s="39">
        <v>0.17</v>
      </c>
      <c r="T489" s="39"/>
      <c r="U489" s="40"/>
      <c r="V489" s="26"/>
      <c r="W489" s="40">
        <f>IF(NOTA[[#This Row],[HARGA/ CTN]]="",NOTA[[#This Row],[JUMLAH_H]],NOTA[[#This Row],[HARGA/ CTN]]*IF(NOTA[[#This Row],[C]]="",0,NOTA[[#This Row],[C]]))</f>
        <v>7056000</v>
      </c>
      <c r="X489" s="40">
        <f>IF(NOTA[[#This Row],[JUMLAH]]="","",NOTA[[#This Row],[JUMLAH]]*NOTA[[#This Row],[DISC 1]])</f>
        <v>1199520</v>
      </c>
      <c r="Y489" s="40">
        <f>IF(NOTA[[#This Row],[JUMLAH]]="","",(NOTA[[#This Row],[JUMLAH]]-NOTA[[#This Row],[DISC 1-]])*NOTA[[#This Row],[DISC 2]])</f>
        <v>0</v>
      </c>
      <c r="Z489" s="40">
        <f>IF(NOTA[[#This Row],[JUMLAH]]="","",NOTA[[#This Row],[DISC 1-]]+NOTA[[#This Row],[DISC 2-]])</f>
        <v>1199520</v>
      </c>
      <c r="AA489" s="40">
        <f>IF(NOTA[[#This Row],[JUMLAH]]="","",NOTA[[#This Row],[JUMLAH]]-NOTA[[#This Row],[DISC]])</f>
        <v>5856480</v>
      </c>
      <c r="AB489" s="40"/>
      <c r="AC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35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F489" s="40" t="str">
        <f>IF(OR(NOTA[[#This Row],[QTY]]="",NOTA[[#This Row],[HARGA SATUAN]]="",),"",NOTA[[#This Row],[QTY]]*NOTA[[#This Row],[HARGA SATUAN]])</f>
        <v/>
      </c>
      <c r="AG489" s="37">
        <f ca="1">IF(NOTA[ID_H]="","",INDEX(NOTA[TANGGAL],MATCH(,INDIRECT(ADDRESS(ROW(NOTA[TANGGAL]),COLUMN(NOTA[TANGGAL]))&amp;":"&amp;ADDRESS(ROW(),COLUMN(NOTA[TANGGAL]))),-1)))</f>
        <v>45063</v>
      </c>
      <c r="AH489" s="35" t="str">
        <f ca="1">IF(NOTA[[#This Row],[NAMA BARANG]]="","",INDEX(NOTA[SUPPLIER],MATCH(,INDIRECT(ADDRESS(ROW(NOTA[ID]),COLUMN(NOTA[ID]))&amp;":"&amp;ADDRESS(ROW(),COLUMN(NOTA[ID]))),-1)))</f>
        <v>KENKO SINAR INDONESIA</v>
      </c>
      <c r="AI489" s="35" t="str">
        <f ca="1">IF(NOTA[[#This Row],[ID_H]]="","",IF(NOTA[[#This Row],[FAKTUR]]="",INDIRECT(ADDRESS(ROW()-1,COLUMN())),NOTA[[#This Row],[FAKTUR]]))</f>
        <v>ARTO MORO</v>
      </c>
      <c r="AJ489" s="27" t="str">
        <f ca="1">IF(NOTA[[#This Row],[ID]]="","",COUNTIF(NOTA[ID_H],NOTA[[#This Row],[ID_H]]))</f>
        <v/>
      </c>
      <c r="AK489" s="27">
        <f ca="1">IF(NOTA[[#This Row],[TGL.NOTA]]="",IF(NOTA[[#This Row],[SUPPLIER_H]]="","",AK488),MONTH(NOTA[[#This Row],[TGL.NOTA]]))</f>
        <v>5</v>
      </c>
      <c r="AL489" s="27" t="str">
        <f>LOWER(SUBSTITUTE(SUBSTITUTE(SUBSTITUTE(SUBSTITUTE(SUBSTITUTE(SUBSTITUTE(SUBSTITUTE(SUBSTITUTE(SUBSTITUTE(NOTA[NAMA BARANG]," ",),".",""),"-",""),"(",""),")",""),",",""),"/",""),"""",""),"+",""))</f>
        <v>kenkostaplerhd10d</v>
      </c>
      <c r="AM4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N4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O4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27" t="str">
        <f>IF(NOTA[[#This Row],[CONCAT4]]="","",_xlfn.IFNA(MATCH(NOTA[[#This Row],[CONCAT4]],[2]!RAW[CONCAT_H],0),FALSE))</f>
        <v/>
      </c>
      <c r="AQ489" s="145">
        <f>IF(NOTA[[#This Row],[CONCAT1]]="","",MATCH(NOTA[[#This Row],[CONCAT1]],[3]!db[NB NOTA_C],0)+1)</f>
        <v>1405</v>
      </c>
    </row>
    <row r="490" spans="1:43" ht="20.100000000000001" customHeight="1" x14ac:dyDescent="0.25">
      <c r="A49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6" t="str">
        <f>IF(NOTA[[#This Row],[ID_P]]="","",MATCH(NOTA[[#This Row],[ID_P]],[1]!B_MSK[N_ID],0))</f>
        <v/>
      </c>
      <c r="D490" s="36">
        <f ca="1">IF(NOTA[[#This Row],[NAMA BARANG]]="","",INDEX(NOTA[ID],MATCH(,INDIRECT(ADDRESS(ROW(NOTA[ID]),COLUMN(NOTA[ID]))&amp;":"&amp;ADDRESS(ROW(),COLUMN(NOTA[ID]))),-1)))</f>
        <v>87</v>
      </c>
      <c r="E490" s="14"/>
      <c r="F490" s="16"/>
      <c r="G490" s="16"/>
      <c r="H490" s="20"/>
      <c r="I490" s="16"/>
      <c r="J490" s="37"/>
      <c r="K490" s="16"/>
      <c r="L490" s="16" t="s">
        <v>694</v>
      </c>
      <c r="M490" s="28">
        <v>1</v>
      </c>
      <c r="N490" s="16"/>
      <c r="O490" s="16"/>
      <c r="P490" s="35"/>
      <c r="Q490" s="38">
        <v>2750000</v>
      </c>
      <c r="R490" s="28" t="s">
        <v>726</v>
      </c>
      <c r="S490" s="39">
        <v>0.17</v>
      </c>
      <c r="T490" s="39"/>
      <c r="U490" s="40"/>
      <c r="V490" s="26"/>
      <c r="W490" s="40">
        <f>IF(NOTA[[#This Row],[HARGA/ CTN]]="",NOTA[[#This Row],[JUMLAH_H]],NOTA[[#This Row],[HARGA/ CTN]]*IF(NOTA[[#This Row],[C]]="",0,NOTA[[#This Row],[C]]))</f>
        <v>2750000</v>
      </c>
      <c r="X490" s="40">
        <f>IF(NOTA[[#This Row],[JUMLAH]]="","",NOTA[[#This Row],[JUMLAH]]*NOTA[[#This Row],[DISC 1]])</f>
        <v>467500.00000000006</v>
      </c>
      <c r="Y490" s="40">
        <f>IF(NOTA[[#This Row],[JUMLAH]]="","",(NOTA[[#This Row],[JUMLAH]]-NOTA[[#This Row],[DISC 1-]])*NOTA[[#This Row],[DISC 2]])</f>
        <v>0</v>
      </c>
      <c r="Z490" s="40">
        <f>IF(NOTA[[#This Row],[JUMLAH]]="","",NOTA[[#This Row],[DISC 1-]]+NOTA[[#This Row],[DISC 2-]])</f>
        <v>467500.00000000006</v>
      </c>
      <c r="AA490" s="40">
        <f>IF(NOTA[[#This Row],[JUMLAH]]="","",NOTA[[#This Row],[JUMLAH]]-NOTA[[#This Row],[DISC]])</f>
        <v>2282500</v>
      </c>
      <c r="AB490" s="40"/>
      <c r="AC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3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490" s="40" t="str">
        <f>IF(OR(NOTA[[#This Row],[QTY]]="",NOTA[[#This Row],[HARGA SATUAN]]="",),"",NOTA[[#This Row],[QTY]]*NOTA[[#This Row],[HARGA SATUAN]])</f>
        <v/>
      </c>
      <c r="AG490" s="37">
        <f ca="1">IF(NOTA[ID_H]="","",INDEX(NOTA[TANGGAL],MATCH(,INDIRECT(ADDRESS(ROW(NOTA[TANGGAL]),COLUMN(NOTA[TANGGAL]))&amp;":"&amp;ADDRESS(ROW(),COLUMN(NOTA[TANGGAL]))),-1)))</f>
        <v>45063</v>
      </c>
      <c r="AH490" s="35" t="str">
        <f ca="1">IF(NOTA[[#This Row],[NAMA BARANG]]="","",INDEX(NOTA[SUPPLIER],MATCH(,INDIRECT(ADDRESS(ROW(NOTA[ID]),COLUMN(NOTA[ID]))&amp;":"&amp;ADDRESS(ROW(),COLUMN(NOTA[ID]))),-1)))</f>
        <v>KENKO SINAR INDONESIA</v>
      </c>
      <c r="AI490" s="35" t="str">
        <f ca="1">IF(NOTA[[#This Row],[ID_H]]="","",IF(NOTA[[#This Row],[FAKTUR]]="",INDIRECT(ADDRESS(ROW()-1,COLUMN())),NOTA[[#This Row],[FAKTUR]]))</f>
        <v>ARTO MORO</v>
      </c>
      <c r="AJ490" s="27" t="str">
        <f ca="1">IF(NOTA[[#This Row],[ID]]="","",COUNTIF(NOTA[ID_H],NOTA[[#This Row],[ID_H]]))</f>
        <v/>
      </c>
      <c r="AK490" s="27">
        <f ca="1">IF(NOTA[[#This Row],[TGL.NOTA]]="",IF(NOTA[[#This Row],[SUPPLIER_H]]="","",AK489),MONTH(NOTA[[#This Row],[TGL.NOTA]]))</f>
        <v>5</v>
      </c>
      <c r="AL490" s="27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M4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N4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4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27" t="str">
        <f>IF(NOTA[[#This Row],[CONCAT4]]="","",_xlfn.IFNA(MATCH(NOTA[[#This Row],[CONCAT4]],[2]!RAW[CONCAT_H],0),FALSE))</f>
        <v/>
      </c>
      <c r="AQ490" s="145">
        <f>IF(NOTA[[#This Row],[CONCAT1]]="","",MATCH(NOTA[[#This Row],[CONCAT1]],[3]!db[NB NOTA_C],0)+1)</f>
        <v>1369</v>
      </c>
    </row>
    <row r="491" spans="1:43" ht="20.100000000000001" customHeight="1" x14ac:dyDescent="0.25">
      <c r="A49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6" t="str">
        <f>IF(NOTA[[#This Row],[ID_P]]="","",MATCH(NOTA[[#This Row],[ID_P]],[1]!B_MSK[N_ID],0))</f>
        <v/>
      </c>
      <c r="D491" s="36">
        <f ca="1">IF(NOTA[[#This Row],[NAMA BARANG]]="","",INDEX(NOTA[ID],MATCH(,INDIRECT(ADDRESS(ROW(NOTA[ID]),COLUMN(NOTA[ID]))&amp;":"&amp;ADDRESS(ROW(),COLUMN(NOTA[ID]))),-1)))</f>
        <v>87</v>
      </c>
      <c r="E491" s="14"/>
      <c r="F491" s="16"/>
      <c r="G491" s="16"/>
      <c r="H491" s="20"/>
      <c r="I491" s="16"/>
      <c r="J491" s="37"/>
      <c r="K491" s="16"/>
      <c r="L491" s="16" t="s">
        <v>696</v>
      </c>
      <c r="M491" s="28">
        <v>1</v>
      </c>
      <c r="N491" s="16"/>
      <c r="O491" s="16"/>
      <c r="P491" s="35"/>
      <c r="Q491" s="38">
        <v>504000</v>
      </c>
      <c r="R491" s="28" t="s">
        <v>725</v>
      </c>
      <c r="S491" s="39">
        <v>0.17</v>
      </c>
      <c r="T491" s="39"/>
      <c r="U491" s="40"/>
      <c r="V491" s="26"/>
      <c r="W491" s="40">
        <f>IF(NOTA[[#This Row],[HARGA/ CTN]]="",NOTA[[#This Row],[JUMLAH_H]],NOTA[[#This Row],[HARGA/ CTN]]*IF(NOTA[[#This Row],[C]]="",0,NOTA[[#This Row],[C]]))</f>
        <v>504000</v>
      </c>
      <c r="X491" s="40">
        <f>IF(NOTA[[#This Row],[JUMLAH]]="","",NOTA[[#This Row],[JUMLAH]]*NOTA[[#This Row],[DISC 1]])</f>
        <v>85680</v>
      </c>
      <c r="Y491" s="40">
        <f>IF(NOTA[[#This Row],[JUMLAH]]="","",(NOTA[[#This Row],[JUMLAH]]-NOTA[[#This Row],[DISC 1-]])*NOTA[[#This Row],[DISC 2]])</f>
        <v>0</v>
      </c>
      <c r="Z491" s="40">
        <f>IF(NOTA[[#This Row],[JUMLAH]]="","",NOTA[[#This Row],[DISC 1-]]+NOTA[[#This Row],[DISC 2-]])</f>
        <v>85680</v>
      </c>
      <c r="AA491" s="40">
        <f>IF(NOTA[[#This Row],[JUMLAH]]="","",NOTA[[#This Row],[JUMLAH]]-NOTA[[#This Row],[DISC]])</f>
        <v>418320</v>
      </c>
      <c r="AB491" s="40"/>
      <c r="AC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3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491" s="40" t="str">
        <f>IF(OR(NOTA[[#This Row],[QTY]]="",NOTA[[#This Row],[HARGA SATUAN]]="",),"",NOTA[[#This Row],[QTY]]*NOTA[[#This Row],[HARGA SATUAN]])</f>
        <v/>
      </c>
      <c r="AG491" s="37">
        <f ca="1">IF(NOTA[ID_H]="","",INDEX(NOTA[TANGGAL],MATCH(,INDIRECT(ADDRESS(ROW(NOTA[TANGGAL]),COLUMN(NOTA[TANGGAL]))&amp;":"&amp;ADDRESS(ROW(),COLUMN(NOTA[TANGGAL]))),-1)))</f>
        <v>45063</v>
      </c>
      <c r="AH491" s="35" t="str">
        <f ca="1">IF(NOTA[[#This Row],[NAMA BARANG]]="","",INDEX(NOTA[SUPPLIER],MATCH(,INDIRECT(ADDRESS(ROW(NOTA[ID]),COLUMN(NOTA[ID]))&amp;":"&amp;ADDRESS(ROW(),COLUMN(NOTA[ID]))),-1)))</f>
        <v>KENKO SINAR INDONESIA</v>
      </c>
      <c r="AI491" s="35" t="str">
        <f ca="1">IF(NOTA[[#This Row],[ID_H]]="","",IF(NOTA[[#This Row],[FAKTUR]]="",INDIRECT(ADDRESS(ROW()-1,COLUMN())),NOTA[[#This Row],[FAKTUR]]))</f>
        <v>ARTO MORO</v>
      </c>
      <c r="AJ491" s="27" t="str">
        <f ca="1">IF(NOTA[[#This Row],[ID]]="","",COUNTIF(NOTA[ID_H],NOTA[[#This Row],[ID_H]]))</f>
        <v/>
      </c>
      <c r="AK491" s="27">
        <f ca="1">IF(NOTA[[#This Row],[TGL.NOTA]]="",IF(NOTA[[#This Row],[SUPPLIER_H]]="","",AK490),MONTH(NOTA[[#This Row],[TGL.NOTA]]))</f>
        <v>5</v>
      </c>
      <c r="AL491" s="27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4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4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4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27" t="str">
        <f>IF(NOTA[[#This Row],[CONCAT4]]="","",_xlfn.IFNA(MATCH(NOTA[[#This Row],[CONCAT4]],[2]!RAW[CONCAT_H],0),FALSE))</f>
        <v/>
      </c>
      <c r="AQ491" s="145">
        <f>IF(NOTA[[#This Row],[CONCAT1]]="","",MATCH(NOTA[[#This Row],[CONCAT1]],[3]!db[NB NOTA_C],0)+1)</f>
        <v>1306</v>
      </c>
    </row>
    <row r="492" spans="1:43" ht="20.100000000000001" customHeight="1" x14ac:dyDescent="0.25">
      <c r="A49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6" t="str">
        <f>IF(NOTA[[#This Row],[ID_P]]="","",MATCH(NOTA[[#This Row],[ID_P]],[1]!B_MSK[N_ID],0))</f>
        <v/>
      </c>
      <c r="D492" s="36">
        <f ca="1">IF(NOTA[[#This Row],[NAMA BARANG]]="","",INDEX(NOTA[ID],MATCH(,INDIRECT(ADDRESS(ROW(NOTA[ID]),COLUMN(NOTA[ID]))&amp;":"&amp;ADDRESS(ROW(),COLUMN(NOTA[ID]))),-1)))</f>
        <v>87</v>
      </c>
      <c r="E492" s="14"/>
      <c r="F492" s="16"/>
      <c r="G492" s="16"/>
      <c r="H492" s="20"/>
      <c r="I492" s="16"/>
      <c r="J492" s="37"/>
      <c r="K492" s="16"/>
      <c r="L492" s="16" t="s">
        <v>673</v>
      </c>
      <c r="M492" s="28">
        <v>2</v>
      </c>
      <c r="N492" s="16"/>
      <c r="O492" s="16"/>
      <c r="P492" s="35"/>
      <c r="Q492" s="38">
        <v>900000</v>
      </c>
      <c r="R492" s="28" t="s">
        <v>712</v>
      </c>
      <c r="S492" s="39">
        <v>0.17</v>
      </c>
      <c r="T492" s="39"/>
      <c r="U492" s="40"/>
      <c r="V492" s="26"/>
      <c r="W492" s="40">
        <f>IF(NOTA[[#This Row],[HARGA/ CTN]]="",NOTA[[#This Row],[JUMLAH_H]],NOTA[[#This Row],[HARGA/ CTN]]*IF(NOTA[[#This Row],[C]]="",0,NOTA[[#This Row],[C]]))</f>
        <v>1800000</v>
      </c>
      <c r="X492" s="40">
        <f>IF(NOTA[[#This Row],[JUMLAH]]="","",NOTA[[#This Row],[JUMLAH]]*NOTA[[#This Row],[DISC 1]])</f>
        <v>306000</v>
      </c>
      <c r="Y492" s="40">
        <f>IF(NOTA[[#This Row],[JUMLAH]]="","",(NOTA[[#This Row],[JUMLAH]]-NOTA[[#This Row],[DISC 1-]])*NOTA[[#This Row],[DISC 2]])</f>
        <v>0</v>
      </c>
      <c r="Z492" s="40">
        <f>IF(NOTA[[#This Row],[JUMLAH]]="","",NOTA[[#This Row],[DISC 1-]]+NOTA[[#This Row],[DISC 2-]])</f>
        <v>306000</v>
      </c>
      <c r="AA492" s="40">
        <f>IF(NOTA[[#This Row],[JUMLAH]]="","",NOTA[[#This Row],[JUMLAH]]-NOTA[[#This Row],[DISC]])</f>
        <v>1494000</v>
      </c>
      <c r="AB492" s="40"/>
      <c r="AC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492" s="40" t="str">
        <f>IF(OR(NOTA[[#This Row],[QTY]]="",NOTA[[#This Row],[HARGA SATUAN]]="",),"",NOTA[[#This Row],[QTY]]*NOTA[[#This Row],[HARGA SATUAN]])</f>
        <v/>
      </c>
      <c r="AG492" s="37">
        <f ca="1">IF(NOTA[ID_H]="","",INDEX(NOTA[TANGGAL],MATCH(,INDIRECT(ADDRESS(ROW(NOTA[TANGGAL]),COLUMN(NOTA[TANGGAL]))&amp;":"&amp;ADDRESS(ROW(),COLUMN(NOTA[TANGGAL]))),-1)))</f>
        <v>45063</v>
      </c>
      <c r="AH492" s="35" t="str">
        <f ca="1">IF(NOTA[[#This Row],[NAMA BARANG]]="","",INDEX(NOTA[SUPPLIER],MATCH(,INDIRECT(ADDRESS(ROW(NOTA[ID]),COLUMN(NOTA[ID]))&amp;":"&amp;ADDRESS(ROW(),COLUMN(NOTA[ID]))),-1)))</f>
        <v>KENKO SINAR INDONESIA</v>
      </c>
      <c r="AI492" s="35" t="str">
        <f ca="1">IF(NOTA[[#This Row],[ID_H]]="","",IF(NOTA[[#This Row],[FAKTUR]]="",INDIRECT(ADDRESS(ROW()-1,COLUMN())),NOTA[[#This Row],[FAKTUR]]))</f>
        <v>ARTO MORO</v>
      </c>
      <c r="AJ492" s="27" t="str">
        <f ca="1">IF(NOTA[[#This Row],[ID]]="","",COUNTIF(NOTA[ID_H],NOTA[[#This Row],[ID_H]]))</f>
        <v/>
      </c>
      <c r="AK492" s="27">
        <f ca="1">IF(NOTA[[#This Row],[TGL.NOTA]]="",IF(NOTA[[#This Row],[SUPPLIER_H]]="","",AK491),MONTH(NOTA[[#This Row],[TGL.NOTA]]))</f>
        <v>5</v>
      </c>
      <c r="AL492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4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4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4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27" t="str">
        <f>IF(NOTA[[#This Row],[CONCAT4]]="","",_xlfn.IFNA(MATCH(NOTA[[#This Row],[CONCAT4]],[2]!RAW[CONCAT_H],0),FALSE))</f>
        <v/>
      </c>
      <c r="AQ492" s="145">
        <f>IF(NOTA[[#This Row],[CONCAT1]]="","",MATCH(NOTA[[#This Row],[CONCAT1]],[3]!db[NB NOTA_C],0)+1)</f>
        <v>1147</v>
      </c>
    </row>
    <row r="493" spans="1:43" ht="20.100000000000001" customHeight="1" x14ac:dyDescent="0.25">
      <c r="A49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6" t="str">
        <f>IF(NOTA[[#This Row],[ID_P]]="","",MATCH(NOTA[[#This Row],[ID_P]],[1]!B_MSK[N_ID],0))</f>
        <v/>
      </c>
      <c r="D493" s="36">
        <f ca="1">IF(NOTA[[#This Row],[NAMA BARANG]]="","",INDEX(NOTA[ID],MATCH(,INDIRECT(ADDRESS(ROW(NOTA[ID]),COLUMN(NOTA[ID]))&amp;":"&amp;ADDRESS(ROW(),COLUMN(NOTA[ID]))),-1)))</f>
        <v>87</v>
      </c>
      <c r="E493" s="14"/>
      <c r="F493" s="16"/>
      <c r="G493" s="16"/>
      <c r="H493" s="20"/>
      <c r="I493" s="16"/>
      <c r="J493" s="37"/>
      <c r="K493" s="16"/>
      <c r="L493" s="16" t="s">
        <v>695</v>
      </c>
      <c r="M493" s="28">
        <v>2</v>
      </c>
      <c r="N493" s="16"/>
      <c r="O493" s="16"/>
      <c r="P493" s="35"/>
      <c r="Q493" s="38">
        <v>1069200</v>
      </c>
      <c r="R493" s="28" t="s">
        <v>727</v>
      </c>
      <c r="S493" s="39">
        <v>0.17</v>
      </c>
      <c r="T493" s="39"/>
      <c r="U493" s="40"/>
      <c r="V493" s="26"/>
      <c r="W493" s="40">
        <f>IF(NOTA[[#This Row],[HARGA/ CTN]]="",NOTA[[#This Row],[JUMLAH_H]],NOTA[[#This Row],[HARGA/ CTN]]*IF(NOTA[[#This Row],[C]]="",0,NOTA[[#This Row],[C]]))</f>
        <v>2138400</v>
      </c>
      <c r="X493" s="40">
        <f>IF(NOTA[[#This Row],[JUMLAH]]="","",NOTA[[#This Row],[JUMLAH]]*NOTA[[#This Row],[DISC 1]])</f>
        <v>363528</v>
      </c>
      <c r="Y493" s="40">
        <f>IF(NOTA[[#This Row],[JUMLAH]]="","",(NOTA[[#This Row],[JUMLAH]]-NOTA[[#This Row],[DISC 1-]])*NOTA[[#This Row],[DISC 2]])</f>
        <v>0</v>
      </c>
      <c r="Z493" s="40">
        <f>IF(NOTA[[#This Row],[JUMLAH]]="","",NOTA[[#This Row],[DISC 1-]]+NOTA[[#This Row],[DISC 2-]])</f>
        <v>363528</v>
      </c>
      <c r="AA493" s="40">
        <f>IF(NOTA[[#This Row],[JUMLAH]]="","",NOTA[[#This Row],[JUMLAH]]-NOTA[[#This Row],[DISC]])</f>
        <v>1774872</v>
      </c>
      <c r="AB493" s="40"/>
      <c r="AC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6101572</v>
      </c>
      <c r="AD49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29790028</v>
      </c>
      <c r="AE493" s="3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493" s="40" t="str">
        <f>IF(OR(NOTA[[#This Row],[QTY]]="",NOTA[[#This Row],[HARGA SATUAN]]="",),"",NOTA[[#This Row],[QTY]]*NOTA[[#This Row],[HARGA SATUAN]])</f>
        <v/>
      </c>
      <c r="AG493" s="37">
        <f ca="1">IF(NOTA[ID_H]="","",INDEX(NOTA[TANGGAL],MATCH(,INDIRECT(ADDRESS(ROW(NOTA[TANGGAL]),COLUMN(NOTA[TANGGAL]))&amp;":"&amp;ADDRESS(ROW(),COLUMN(NOTA[TANGGAL]))),-1)))</f>
        <v>45063</v>
      </c>
      <c r="AH493" s="35" t="str">
        <f ca="1">IF(NOTA[[#This Row],[NAMA BARANG]]="","",INDEX(NOTA[SUPPLIER],MATCH(,INDIRECT(ADDRESS(ROW(NOTA[ID]),COLUMN(NOTA[ID]))&amp;":"&amp;ADDRESS(ROW(),COLUMN(NOTA[ID]))),-1)))</f>
        <v>KENKO SINAR INDONESIA</v>
      </c>
      <c r="AI493" s="35" t="str">
        <f ca="1">IF(NOTA[[#This Row],[ID_H]]="","",IF(NOTA[[#This Row],[FAKTUR]]="",INDIRECT(ADDRESS(ROW()-1,COLUMN())),NOTA[[#This Row],[FAKTUR]]))</f>
        <v>ARTO MORO</v>
      </c>
      <c r="AJ493" s="27" t="str">
        <f ca="1">IF(NOTA[[#This Row],[ID]]="","",COUNTIF(NOTA[ID_H],NOTA[[#This Row],[ID_H]]))</f>
        <v/>
      </c>
      <c r="AK493" s="27">
        <f ca="1">IF(NOTA[[#This Row],[TGL.NOTA]]="",IF(NOTA[[#This Row],[SUPPLIER_H]]="","",AK492),MONTH(NOTA[[#This Row],[TGL.NOTA]]))</f>
        <v>5</v>
      </c>
      <c r="AL493" s="27" t="str">
        <f>LOWER(SUBSTITUTE(SUBSTITUTE(SUBSTITUTE(SUBSTITUTE(SUBSTITUTE(SUBSTITUTE(SUBSTITUTE(SUBSTITUTE(SUBSTITUTE(NOTA[NAMA BARANG]," ",),".",""),"-",""),"(",""),")",""),",",""),"/",""),"""",""),"+",""))</f>
        <v>kenkostamppadno0</v>
      </c>
      <c r="AM4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4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4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27" t="str">
        <f>IF(NOTA[[#This Row],[CONCAT4]]="","",_xlfn.IFNA(MATCH(NOTA[[#This Row],[CONCAT4]],[2]!RAW[CONCAT_H],0),FALSE))</f>
        <v/>
      </c>
      <c r="AQ493" s="145">
        <f>IF(NOTA[[#This Row],[CONCAT1]]="","",MATCH(NOTA[[#This Row],[CONCAT1]],[3]!db[NB NOTA_C],0)+1)</f>
        <v>1399</v>
      </c>
    </row>
    <row r="494" spans="1:43" ht="20.100000000000001" customHeight="1" x14ac:dyDescent="0.25">
      <c r="A49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6" t="str">
        <f>IF(NOTA[[#This Row],[ID_P]]="","",MATCH(NOTA[[#This Row],[ID_P]],[1]!B_MSK[N_ID],0))</f>
        <v/>
      </c>
      <c r="D494" s="36" t="str">
        <f ca="1">IF(NOTA[[#This Row],[NAMA BARANG]]="","",INDEX(NOTA[ID],MATCH(,INDIRECT(ADDRESS(ROW(NOTA[ID]),COLUMN(NOTA[ID]))&amp;":"&amp;ADDRESS(ROW(),COLUMN(NOTA[ID]))),-1)))</f>
        <v/>
      </c>
      <c r="E494" s="14"/>
      <c r="F494" s="16"/>
      <c r="G494" s="16"/>
      <c r="H494" s="20"/>
      <c r="I494" s="16"/>
      <c r="J494" s="37"/>
      <c r="K494" s="16"/>
      <c r="L494" s="16"/>
      <c r="M494" s="28"/>
      <c r="N494" s="16"/>
      <c r="O494" s="16"/>
      <c r="P494" s="35"/>
      <c r="Q494" s="38"/>
      <c r="R494" s="28"/>
      <c r="S494" s="39"/>
      <c r="T494" s="39"/>
      <c r="U494" s="40"/>
      <c r="V494" s="26"/>
      <c r="W494" s="40" t="str">
        <f>IF(NOTA[[#This Row],[HARGA/ CTN]]="",NOTA[[#This Row],[JUMLAH_H]],NOTA[[#This Row],[HARGA/ CTN]]*IF(NOTA[[#This Row],[C]]="",0,NOTA[[#This Row],[C]]))</f>
        <v/>
      </c>
      <c r="X494" s="40" t="str">
        <f>IF(NOTA[[#This Row],[JUMLAH]]="","",NOTA[[#This Row],[JUMLAH]]*NOTA[[#This Row],[DISC 1]])</f>
        <v/>
      </c>
      <c r="Y494" s="40" t="str">
        <f>IF(NOTA[[#This Row],[JUMLAH]]="","",(NOTA[[#This Row],[JUMLAH]]-NOTA[[#This Row],[DISC 1-]])*NOTA[[#This Row],[DISC 2]])</f>
        <v/>
      </c>
      <c r="Z494" s="40" t="str">
        <f>IF(NOTA[[#This Row],[JUMLAH]]="","",NOTA[[#This Row],[DISC 1-]]+NOTA[[#This Row],[DISC 2-]])</f>
        <v/>
      </c>
      <c r="AA494" s="40" t="str">
        <f>IF(NOTA[[#This Row],[JUMLAH]]="","",NOTA[[#This Row],[JUMLAH]]-NOTA[[#This Row],[DISC]])</f>
        <v/>
      </c>
      <c r="AB494" s="40"/>
      <c r="AC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40" t="str">
        <f>IF(OR(NOTA[[#This Row],[QTY]]="",NOTA[[#This Row],[HARGA SATUAN]]="",),"",NOTA[[#This Row],[QTY]]*NOTA[[#This Row],[HARGA SATUAN]])</f>
        <v/>
      </c>
      <c r="AG494" s="37" t="str">
        <f ca="1">IF(NOTA[ID_H]="","",INDEX(NOTA[TANGGAL],MATCH(,INDIRECT(ADDRESS(ROW(NOTA[TANGGAL]),COLUMN(NOTA[TANGGAL]))&amp;":"&amp;ADDRESS(ROW(),COLUMN(NOTA[TANGGAL]))),-1)))</f>
        <v/>
      </c>
      <c r="AH494" s="35" t="str">
        <f ca="1">IF(NOTA[[#This Row],[NAMA BARANG]]="","",INDEX(NOTA[SUPPLIER],MATCH(,INDIRECT(ADDRESS(ROW(NOTA[ID]),COLUMN(NOTA[ID]))&amp;":"&amp;ADDRESS(ROW(),COLUMN(NOTA[ID]))),-1)))</f>
        <v/>
      </c>
      <c r="AI494" s="35" t="str">
        <f ca="1">IF(NOTA[[#This Row],[ID_H]]="","",IF(NOTA[[#This Row],[FAKTUR]]="",INDIRECT(ADDRESS(ROW()-1,COLUMN())),NOTA[[#This Row],[FAKTUR]]))</f>
        <v/>
      </c>
      <c r="AJ494" s="27" t="str">
        <f ca="1">IF(NOTA[[#This Row],[ID]]="","",COUNTIF(NOTA[ID_H],NOTA[[#This Row],[ID_H]]))</f>
        <v/>
      </c>
      <c r="AK494" s="27" t="str">
        <f ca="1">IF(NOTA[[#This Row],[TGL.NOTA]]="",IF(NOTA[[#This Row],[SUPPLIER_H]]="","",AK493),MONTH(NOTA[[#This Row],[TGL.NOTA]]))</f>
        <v/>
      </c>
      <c r="AL494" s="27" t="str">
        <f>LOWER(SUBSTITUTE(SUBSTITUTE(SUBSTITUTE(SUBSTITUTE(SUBSTITUTE(SUBSTITUTE(SUBSTITUTE(SUBSTITUTE(SUBSTITUTE(NOTA[NAMA BARANG]," ",),".",""),"-",""),"(",""),")",""),",",""),"/",""),"""",""),"+",""))</f>
        <v/>
      </c>
      <c r="AM4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27" t="str">
        <f>IF(NOTA[[#This Row],[CONCAT4]]="","",_xlfn.IFNA(MATCH(NOTA[[#This Row],[CONCAT4]],[2]!RAW[CONCAT_H],0),FALSE))</f>
        <v/>
      </c>
      <c r="AQ494" s="145" t="str">
        <f>IF(NOTA[[#This Row],[CONCAT1]]="","",MATCH(NOTA[[#This Row],[CONCAT1]],[3]!db[NB NOTA_C],0)+1)</f>
        <v/>
      </c>
    </row>
    <row r="495" spans="1:43" ht="20.100000000000001" customHeight="1" x14ac:dyDescent="0.25">
      <c r="A495" s="35">
        <f ca="1">IF(INDIRECT(ADDRESS(ROW()-1,COLUMN(NOTA[[#Headers],[ID]])))="ID",1,IF(NOTA[[#This Row],[FAKTUR]]="","",COUNT(INDIRECT(ADDRESS(ROW(NOTA[ID]),COLUMN(NOTA[ID]))&amp;":"&amp;ADDRESS(ROW()-1,COLUMN(NOTA[ID]))))+1))</f>
        <v>88</v>
      </c>
      <c r="B49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KEN_1705_247-7</v>
      </c>
      <c r="C495" s="36" t="e">
        <f ca="1">IF(NOTA[[#This Row],[ID_P]]="","",MATCH(NOTA[[#This Row],[ID_P]],[1]!B_MSK[N_ID],0))</f>
        <v>#REF!</v>
      </c>
      <c r="D495" s="36">
        <f ca="1">IF(NOTA[[#This Row],[NAMA BARANG]]="","",INDEX(NOTA[ID],MATCH(,INDIRECT(ADDRESS(ROW(NOTA[ID]),COLUMN(NOTA[ID]))&amp;":"&amp;ADDRESS(ROW(),COLUMN(NOTA[ID]))),-1)))</f>
        <v>88</v>
      </c>
      <c r="E495" s="14"/>
      <c r="F495" s="16" t="s">
        <v>23</v>
      </c>
      <c r="G495" s="16" t="s">
        <v>24</v>
      </c>
      <c r="H495" s="20" t="s">
        <v>697</v>
      </c>
      <c r="I495" s="16" t="s">
        <v>731</v>
      </c>
      <c r="J495" s="37">
        <v>45058</v>
      </c>
      <c r="K495" s="16"/>
      <c r="L495" s="16" t="s">
        <v>698</v>
      </c>
      <c r="M495" s="28">
        <v>2</v>
      </c>
      <c r="N495" s="16"/>
      <c r="O495" s="16"/>
      <c r="P495" s="35"/>
      <c r="Q495" s="38">
        <v>801600</v>
      </c>
      <c r="R495" s="28" t="s">
        <v>728</v>
      </c>
      <c r="S495" s="39">
        <v>0.17</v>
      </c>
      <c r="T495" s="39"/>
      <c r="U495" s="40"/>
      <c r="V495" s="26"/>
      <c r="W495" s="40">
        <f>IF(NOTA[[#This Row],[HARGA/ CTN]]="",NOTA[[#This Row],[JUMLAH_H]],NOTA[[#This Row],[HARGA/ CTN]]*IF(NOTA[[#This Row],[C]]="",0,NOTA[[#This Row],[C]]))</f>
        <v>1603200</v>
      </c>
      <c r="X495" s="40">
        <f>IF(NOTA[[#This Row],[JUMLAH]]="","",NOTA[[#This Row],[JUMLAH]]*NOTA[[#This Row],[DISC 1]])</f>
        <v>272544</v>
      </c>
      <c r="Y495" s="40">
        <f>IF(NOTA[[#This Row],[JUMLAH]]="","",(NOTA[[#This Row],[JUMLAH]]-NOTA[[#This Row],[DISC 1-]])*NOTA[[#This Row],[DISC 2]])</f>
        <v>0</v>
      </c>
      <c r="Z495" s="40">
        <f>IF(NOTA[[#This Row],[JUMLAH]]="","",NOTA[[#This Row],[DISC 1-]]+NOTA[[#This Row],[DISC 2-]])</f>
        <v>272544</v>
      </c>
      <c r="AA495" s="40">
        <f>IF(NOTA[[#This Row],[JUMLAH]]="","",NOTA[[#This Row],[JUMLAH]]-NOTA[[#This Row],[DISC]])</f>
        <v>1330656</v>
      </c>
      <c r="AB495" s="40"/>
      <c r="AC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495" s="40" t="str">
        <f>IF(OR(NOTA[[#This Row],[QTY]]="",NOTA[[#This Row],[HARGA SATUAN]]="",),"",NOTA[[#This Row],[QTY]]*NOTA[[#This Row],[HARGA SATUAN]])</f>
        <v/>
      </c>
      <c r="AG495" s="37">
        <f ca="1">IF(NOTA[ID_H]="","",INDEX(NOTA[TANGGAL],MATCH(,INDIRECT(ADDRESS(ROW(NOTA[TANGGAL]),COLUMN(NOTA[TANGGAL]))&amp;":"&amp;ADDRESS(ROW(),COLUMN(NOTA[TANGGAL]))),-1)))</f>
        <v>45063</v>
      </c>
      <c r="AH495" s="35" t="str">
        <f ca="1">IF(NOTA[[#This Row],[NAMA BARANG]]="","",INDEX(NOTA[SUPPLIER],MATCH(,INDIRECT(ADDRESS(ROW(NOTA[ID]),COLUMN(NOTA[ID]))&amp;":"&amp;ADDRESS(ROW(),COLUMN(NOTA[ID]))),-1)))</f>
        <v>KENKO SINAR INDONESIA</v>
      </c>
      <c r="AI495" s="35" t="str">
        <f ca="1">IF(NOTA[[#This Row],[ID_H]]="","",IF(NOTA[[#This Row],[FAKTUR]]="",INDIRECT(ADDRESS(ROW()-1,COLUMN())),NOTA[[#This Row],[FAKTUR]]))</f>
        <v>ARTO MORO</v>
      </c>
      <c r="AJ495" s="27">
        <f ca="1">IF(NOTA[[#This Row],[ID]]="","",COUNTIF(NOTA[ID_H],NOTA[[#This Row],[ID_H]]))</f>
        <v>7</v>
      </c>
      <c r="AK495" s="27">
        <f>IF(NOTA[[#This Row],[TGL.NOTA]]="",IF(NOTA[[#This Row],[SUPPLIER_H]]="","",AK494),MONTH(NOTA[[#This Row],[TGL.NOTA]]))</f>
        <v>5</v>
      </c>
      <c r="AL495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4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4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495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MORO23051247SA 4154745058kenkolooseleafa5ll1002070</v>
      </c>
      <c r="AP495" s="27" t="e">
        <f>IF(NOTA[[#This Row],[CONCAT4]]="","",_xlfn.IFNA(MATCH(NOTA[[#This Row],[CONCAT4]],[2]!RAW[CONCAT_H],0),FALSE))</f>
        <v>#REF!</v>
      </c>
      <c r="AQ495" s="145">
        <f>IF(NOTA[[#This Row],[CONCAT1]]="","",MATCH(NOTA[[#This Row],[CONCAT1]],[3]!db[NB NOTA_C],0)+1)</f>
        <v>1324</v>
      </c>
    </row>
    <row r="496" spans="1:43" ht="20.100000000000001" customHeight="1" x14ac:dyDescent="0.25">
      <c r="A49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6" t="str">
        <f>IF(NOTA[[#This Row],[ID_P]]="","",MATCH(NOTA[[#This Row],[ID_P]],[1]!B_MSK[N_ID],0))</f>
        <v/>
      </c>
      <c r="D496" s="36">
        <f ca="1">IF(NOTA[[#This Row],[NAMA BARANG]]="","",INDEX(NOTA[ID],MATCH(,INDIRECT(ADDRESS(ROW(NOTA[ID]),COLUMN(NOTA[ID]))&amp;":"&amp;ADDRESS(ROW(),COLUMN(NOTA[ID]))),-1)))</f>
        <v>88</v>
      </c>
      <c r="E496" s="14"/>
      <c r="F496" s="16"/>
      <c r="G496" s="16"/>
      <c r="H496" s="20"/>
      <c r="I496" s="16"/>
      <c r="J496" s="37"/>
      <c r="K496" s="16"/>
      <c r="L496" s="16" t="s">
        <v>90</v>
      </c>
      <c r="M496" s="28">
        <v>5</v>
      </c>
      <c r="N496" s="16"/>
      <c r="O496" s="16"/>
      <c r="P496" s="35"/>
      <c r="Q496" s="38">
        <v>1954800</v>
      </c>
      <c r="R496" s="28" t="s">
        <v>148</v>
      </c>
      <c r="S496" s="39">
        <v>0.17</v>
      </c>
      <c r="T496" s="39"/>
      <c r="U496" s="40"/>
      <c r="V496" s="26"/>
      <c r="W496" s="40">
        <f>IF(NOTA[[#This Row],[HARGA/ CTN]]="",NOTA[[#This Row],[JUMLAH_H]],NOTA[[#This Row],[HARGA/ CTN]]*IF(NOTA[[#This Row],[C]]="",0,NOTA[[#This Row],[C]]))</f>
        <v>9774000</v>
      </c>
      <c r="X496" s="40">
        <f>IF(NOTA[[#This Row],[JUMLAH]]="","",NOTA[[#This Row],[JUMLAH]]*NOTA[[#This Row],[DISC 1]])</f>
        <v>1661580.0000000002</v>
      </c>
      <c r="Y496" s="40">
        <f>IF(NOTA[[#This Row],[JUMLAH]]="","",(NOTA[[#This Row],[JUMLAH]]-NOTA[[#This Row],[DISC 1-]])*NOTA[[#This Row],[DISC 2]])</f>
        <v>0</v>
      </c>
      <c r="Z496" s="40">
        <f>IF(NOTA[[#This Row],[JUMLAH]]="","",NOTA[[#This Row],[DISC 1-]]+NOTA[[#This Row],[DISC 2-]])</f>
        <v>1661580.0000000002</v>
      </c>
      <c r="AA496" s="40">
        <f>IF(NOTA[[#This Row],[JUMLAH]]="","",NOTA[[#This Row],[JUMLAH]]-NOTA[[#This Row],[DISC]])</f>
        <v>8112420</v>
      </c>
      <c r="AB496" s="40"/>
      <c r="AC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96" s="40" t="str">
        <f>IF(OR(NOTA[[#This Row],[QTY]]="",NOTA[[#This Row],[HARGA SATUAN]]="",),"",NOTA[[#This Row],[QTY]]*NOTA[[#This Row],[HARGA SATUAN]])</f>
        <v/>
      </c>
      <c r="AG496" s="37">
        <f ca="1">IF(NOTA[ID_H]="","",INDEX(NOTA[TANGGAL],MATCH(,INDIRECT(ADDRESS(ROW(NOTA[TANGGAL]),COLUMN(NOTA[TANGGAL]))&amp;":"&amp;ADDRESS(ROW(),COLUMN(NOTA[TANGGAL]))),-1)))</f>
        <v>45063</v>
      </c>
      <c r="AH496" s="35" t="str">
        <f ca="1">IF(NOTA[[#This Row],[NAMA BARANG]]="","",INDEX(NOTA[SUPPLIER],MATCH(,INDIRECT(ADDRESS(ROW(NOTA[ID]),COLUMN(NOTA[ID]))&amp;":"&amp;ADDRESS(ROW(),COLUMN(NOTA[ID]))),-1)))</f>
        <v>KENKO SINAR INDONESIA</v>
      </c>
      <c r="AI496" s="35" t="str">
        <f ca="1">IF(NOTA[[#This Row],[ID_H]]="","",IF(NOTA[[#This Row],[FAKTUR]]="",INDIRECT(ADDRESS(ROW()-1,COLUMN())),NOTA[[#This Row],[FAKTUR]]))</f>
        <v>ARTO MORO</v>
      </c>
      <c r="AJ496" s="27" t="str">
        <f ca="1">IF(NOTA[[#This Row],[ID]]="","",COUNTIF(NOTA[ID_H],NOTA[[#This Row],[ID_H]]))</f>
        <v/>
      </c>
      <c r="AK496" s="27">
        <f ca="1">IF(NOTA[[#This Row],[TGL.NOTA]]="",IF(NOTA[[#This Row],[SUPPLIER_H]]="","",AK495),MONTH(NOTA[[#This Row],[TGL.NOTA]]))</f>
        <v>5</v>
      </c>
      <c r="AL496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4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4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4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27" t="str">
        <f>IF(NOTA[[#This Row],[CONCAT4]]="","",_xlfn.IFNA(MATCH(NOTA[[#This Row],[CONCAT4]],[2]!RAW[CONCAT_H],0),FALSE))</f>
        <v/>
      </c>
      <c r="AQ496" s="145">
        <f>IF(NOTA[[#This Row],[CONCAT1]]="","",MATCH(NOTA[[#This Row],[CONCAT1]],[3]!db[NB NOTA_C],0)+1)</f>
        <v>1198</v>
      </c>
    </row>
    <row r="497" spans="1:43" ht="20.100000000000001" customHeight="1" x14ac:dyDescent="0.25">
      <c r="A49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6" t="str">
        <f>IF(NOTA[[#This Row],[ID_P]]="","",MATCH(NOTA[[#This Row],[ID_P]],[1]!B_MSK[N_ID],0))</f>
        <v/>
      </c>
      <c r="D497" s="36">
        <f ca="1">IF(NOTA[[#This Row],[NAMA BARANG]]="","",INDEX(NOTA[ID],MATCH(,INDIRECT(ADDRESS(ROW(NOTA[ID]),COLUMN(NOTA[ID]))&amp;":"&amp;ADDRESS(ROW(),COLUMN(NOTA[ID]))),-1)))</f>
        <v>88</v>
      </c>
      <c r="E497" s="93"/>
      <c r="F497" s="94"/>
      <c r="G497" s="94"/>
      <c r="H497" s="95"/>
      <c r="I497" s="96"/>
      <c r="J497" s="96"/>
      <c r="K497" s="94"/>
      <c r="L497" s="16" t="s">
        <v>699</v>
      </c>
      <c r="M497" s="97">
        <v>1</v>
      </c>
      <c r="N497" s="94"/>
      <c r="O497" s="94"/>
      <c r="P497" s="98"/>
      <c r="Q497" s="99">
        <v>1310400</v>
      </c>
      <c r="R497" s="28" t="s">
        <v>549</v>
      </c>
      <c r="S497" s="100">
        <v>0.17</v>
      </c>
      <c r="T497" s="100"/>
      <c r="U497" s="101"/>
      <c r="V497" s="102"/>
      <c r="W497" s="40">
        <f>IF(NOTA[[#This Row],[HARGA/ CTN]]="",NOTA[[#This Row],[JUMLAH_H]],NOTA[[#This Row],[HARGA/ CTN]]*IF(NOTA[[#This Row],[C]]="",0,NOTA[[#This Row],[C]]))</f>
        <v>1310400</v>
      </c>
      <c r="X497" s="40">
        <f>IF(NOTA[[#This Row],[JUMLAH]]="","",NOTA[[#This Row],[JUMLAH]]*NOTA[[#This Row],[DISC 1]])</f>
        <v>222768.00000000003</v>
      </c>
      <c r="Y497" s="40">
        <f>IF(NOTA[[#This Row],[JUMLAH]]="","",(NOTA[[#This Row],[JUMLAH]]-NOTA[[#This Row],[DISC 1-]])*NOTA[[#This Row],[DISC 2]])</f>
        <v>0</v>
      </c>
      <c r="Z497" s="40">
        <f>IF(NOTA[[#This Row],[JUMLAH]]="","",NOTA[[#This Row],[DISC 1-]]+NOTA[[#This Row],[DISC 2-]])</f>
        <v>222768.00000000003</v>
      </c>
      <c r="AA497" s="40">
        <f>IF(NOTA[[#This Row],[JUMLAH]]="","",NOTA[[#This Row],[JUMLAH]]-NOTA[[#This Row],[DISC]])</f>
        <v>1087632</v>
      </c>
      <c r="AB497" s="40"/>
      <c r="AC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497" s="40" t="str">
        <f>IF(OR(NOTA[[#This Row],[QTY]]="",NOTA[[#This Row],[HARGA SATUAN]]="",),"",NOTA[[#This Row],[QTY]]*NOTA[[#This Row],[HARGA SATUAN]])</f>
        <v/>
      </c>
      <c r="AG497" s="37">
        <f ca="1">IF(NOTA[ID_H]="","",INDEX(NOTA[TANGGAL],MATCH(,INDIRECT(ADDRESS(ROW(NOTA[TANGGAL]),COLUMN(NOTA[TANGGAL]))&amp;":"&amp;ADDRESS(ROW(),COLUMN(NOTA[TANGGAL]))),-1)))</f>
        <v>45063</v>
      </c>
      <c r="AH497" s="35" t="str">
        <f ca="1">IF(NOTA[[#This Row],[NAMA BARANG]]="","",INDEX(NOTA[SUPPLIER],MATCH(,INDIRECT(ADDRESS(ROW(NOTA[ID]),COLUMN(NOTA[ID]))&amp;":"&amp;ADDRESS(ROW(),COLUMN(NOTA[ID]))),-1)))</f>
        <v>KENKO SINAR INDONESIA</v>
      </c>
      <c r="AI497" s="35" t="str">
        <f ca="1">IF(NOTA[[#This Row],[ID_H]]="","",IF(NOTA[[#This Row],[FAKTUR]]="",INDIRECT(ADDRESS(ROW()-1,COLUMN())),NOTA[[#This Row],[FAKTUR]]))</f>
        <v>ARTO MORO</v>
      </c>
      <c r="AJ497" s="27" t="str">
        <f ca="1">IF(NOTA[[#This Row],[ID]]="","",COUNTIF(NOTA[ID_H],NOTA[[#This Row],[ID_H]]))</f>
        <v/>
      </c>
      <c r="AK497" s="27">
        <f ca="1">IF(NOTA[[#This Row],[TGL.NOTA]]="",IF(NOTA[[#This Row],[SUPPLIER_H]]="","",AK496),MONTH(NOTA[[#This Row],[TGL.NOTA]]))</f>
        <v>5</v>
      </c>
      <c r="AL497" s="27" t="str">
        <f>LOWER(SUBSTITUTE(SUBSTITUTE(SUBSTITUTE(SUBSTITUTE(SUBSTITUTE(SUBSTITUTE(SUBSTITUTE(SUBSTITUTE(SUBSTITUTE(NOTA[NAMA BARANG]," ",),".",""),"-",""),"(",""),")",""),",",""),"/",""),"""",""),"+",""))</f>
        <v>kenkobindernotea5tscc78campus</v>
      </c>
      <c r="AM4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kenkobindernotea5tscc78campus13104000.17</v>
      </c>
      <c r="AN4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kenkobindernotea5tscc78campus13104000.17</v>
      </c>
      <c r="AO4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27" t="str">
        <f>IF(NOTA[[#This Row],[CONCAT4]]="","",_xlfn.IFNA(MATCH(NOTA[[#This Row],[CONCAT4]],[2]!RAW[CONCAT_H],0),FALSE))</f>
        <v/>
      </c>
      <c r="AQ497" s="145">
        <f>IF(NOTA[[#This Row],[CONCAT1]]="","",MATCH(NOTA[[#This Row],[CONCAT1]],[3]!db[NB NOTA_C],0)+1)</f>
        <v>1155</v>
      </c>
    </row>
    <row r="498" spans="1:43" ht="20.100000000000001" customHeight="1" x14ac:dyDescent="0.25">
      <c r="A49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6" t="str">
        <f>IF(NOTA[[#This Row],[ID_P]]="","",MATCH(NOTA[[#This Row],[ID_P]],[1]!B_MSK[N_ID],0))</f>
        <v/>
      </c>
      <c r="D498" s="36">
        <f ca="1">IF(NOTA[[#This Row],[NAMA BARANG]]="","",INDEX(NOTA[ID],MATCH(,INDIRECT(ADDRESS(ROW(NOTA[ID]),COLUMN(NOTA[ID]))&amp;":"&amp;ADDRESS(ROW(),COLUMN(NOTA[ID]))),-1)))</f>
        <v>88</v>
      </c>
      <c r="E498" s="93"/>
      <c r="F498" s="94"/>
      <c r="G498" s="94"/>
      <c r="H498" s="95"/>
      <c r="I498" s="94"/>
      <c r="J498" s="96"/>
      <c r="K498" s="94"/>
      <c r="L498" s="16" t="s">
        <v>700</v>
      </c>
      <c r="M498" s="97">
        <v>2</v>
      </c>
      <c r="N498" s="94"/>
      <c r="O498" s="94"/>
      <c r="P498" s="98"/>
      <c r="Q498" s="99">
        <v>1310400</v>
      </c>
      <c r="R498" s="28" t="s">
        <v>549</v>
      </c>
      <c r="S498" s="100">
        <v>0.17</v>
      </c>
      <c r="T498" s="100"/>
      <c r="U498" s="101"/>
      <c r="V498" s="102"/>
      <c r="W498" s="40">
        <f>IF(NOTA[[#This Row],[HARGA/ CTN]]="",NOTA[[#This Row],[JUMLAH_H]],NOTA[[#This Row],[HARGA/ CTN]]*IF(NOTA[[#This Row],[C]]="",0,NOTA[[#This Row],[C]]))</f>
        <v>2620800</v>
      </c>
      <c r="X498" s="40">
        <f>IF(NOTA[[#This Row],[JUMLAH]]="","",NOTA[[#This Row],[JUMLAH]]*NOTA[[#This Row],[DISC 1]])</f>
        <v>445536.00000000006</v>
      </c>
      <c r="Y498" s="40">
        <f>IF(NOTA[[#This Row],[JUMLAH]]="","",(NOTA[[#This Row],[JUMLAH]]-NOTA[[#This Row],[DISC 1-]])*NOTA[[#This Row],[DISC 2]])</f>
        <v>0</v>
      </c>
      <c r="Z498" s="40">
        <f>IF(NOTA[[#This Row],[JUMLAH]]="","",NOTA[[#This Row],[DISC 1-]]+NOTA[[#This Row],[DISC 2-]])</f>
        <v>445536.00000000006</v>
      </c>
      <c r="AA498" s="40">
        <f>IF(NOTA[[#This Row],[JUMLAH]]="","",NOTA[[#This Row],[JUMLAH]]-NOTA[[#This Row],[DISC]])</f>
        <v>2175264</v>
      </c>
      <c r="AB498" s="40"/>
      <c r="AC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35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498" s="40" t="str">
        <f>IF(OR(NOTA[[#This Row],[QTY]]="",NOTA[[#This Row],[HARGA SATUAN]]="",),"",NOTA[[#This Row],[QTY]]*NOTA[[#This Row],[HARGA SATUAN]])</f>
        <v/>
      </c>
      <c r="AG498" s="37">
        <f ca="1">IF(NOTA[ID_H]="","",INDEX(NOTA[TANGGAL],MATCH(,INDIRECT(ADDRESS(ROW(NOTA[TANGGAL]),COLUMN(NOTA[TANGGAL]))&amp;":"&amp;ADDRESS(ROW(),COLUMN(NOTA[TANGGAL]))),-1)))</f>
        <v>45063</v>
      </c>
      <c r="AH498" s="35" t="str">
        <f ca="1">IF(NOTA[[#This Row],[NAMA BARANG]]="","",INDEX(NOTA[SUPPLIER],MATCH(,INDIRECT(ADDRESS(ROW(NOTA[ID]),COLUMN(NOTA[ID]))&amp;":"&amp;ADDRESS(ROW(),COLUMN(NOTA[ID]))),-1)))</f>
        <v>KENKO SINAR INDONESIA</v>
      </c>
      <c r="AI498" s="35" t="str">
        <f ca="1">IF(NOTA[[#This Row],[ID_H]]="","",IF(NOTA[[#This Row],[FAKTUR]]="",INDIRECT(ADDRESS(ROW()-1,COLUMN())),NOTA[[#This Row],[FAKTUR]]))</f>
        <v>ARTO MORO</v>
      </c>
      <c r="AJ498" s="27" t="str">
        <f ca="1">IF(NOTA[[#This Row],[ID]]="","",COUNTIF(NOTA[ID_H],NOTA[[#This Row],[ID_H]]))</f>
        <v/>
      </c>
      <c r="AK498" s="27">
        <f ca="1">IF(NOTA[[#This Row],[TGL.NOTA]]="",IF(NOTA[[#This Row],[SUPPLIER_H]]="","",AK497),MONTH(NOTA[[#This Row],[TGL.NOTA]]))</f>
        <v>5</v>
      </c>
      <c r="AL498" s="27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M4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N4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O49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27" t="str">
        <f>IF(NOTA[[#This Row],[CONCAT4]]="","",_xlfn.IFNA(MATCH(NOTA[[#This Row],[CONCAT4]],[2]!RAW[CONCAT_H],0),FALSE))</f>
        <v/>
      </c>
      <c r="AQ498" s="145">
        <f>IF(NOTA[[#This Row],[CONCAT1]]="","",MATCH(NOTA[[#This Row],[CONCAT1]],[3]!db[NB NOTA_C],0)+1)</f>
        <v>1158</v>
      </c>
    </row>
    <row r="499" spans="1:43" ht="20.100000000000001" customHeight="1" x14ac:dyDescent="0.25">
      <c r="A49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6" t="str">
        <f>IF(NOTA[[#This Row],[ID_P]]="","",MATCH(NOTA[[#This Row],[ID_P]],[1]!B_MSK[N_ID],0))</f>
        <v/>
      </c>
      <c r="D499" s="36">
        <f ca="1">IF(NOTA[[#This Row],[NAMA BARANG]]="","",INDEX(NOTA[ID],MATCH(,INDIRECT(ADDRESS(ROW(NOTA[ID]),COLUMN(NOTA[ID]))&amp;":"&amp;ADDRESS(ROW(),COLUMN(NOTA[ID]))),-1)))</f>
        <v>88</v>
      </c>
      <c r="E499" s="93"/>
      <c r="F499" s="94"/>
      <c r="G499" s="94"/>
      <c r="H499" s="95"/>
      <c r="I499" s="94"/>
      <c r="J499" s="96"/>
      <c r="K499" s="94"/>
      <c r="L499" s="16" t="s">
        <v>101</v>
      </c>
      <c r="M499" s="97">
        <v>2</v>
      </c>
      <c r="N499" s="94"/>
      <c r="O499" s="94"/>
      <c r="P499" s="98"/>
      <c r="Q499" s="99">
        <v>2376000</v>
      </c>
      <c r="R499" s="28" t="s">
        <v>149</v>
      </c>
      <c r="S499" s="100">
        <v>0.17</v>
      </c>
      <c r="T499" s="100"/>
      <c r="U499" s="101"/>
      <c r="V499" s="102"/>
      <c r="W499" s="40">
        <f>IF(NOTA[[#This Row],[HARGA/ CTN]]="",NOTA[[#This Row],[JUMLAH_H]],NOTA[[#This Row],[HARGA/ CTN]]*IF(NOTA[[#This Row],[C]]="",0,NOTA[[#This Row],[C]]))</f>
        <v>4752000</v>
      </c>
      <c r="X499" s="40">
        <f>IF(NOTA[[#This Row],[JUMLAH]]="","",NOTA[[#This Row],[JUMLAH]]*NOTA[[#This Row],[DISC 1]])</f>
        <v>807840</v>
      </c>
      <c r="Y499" s="40">
        <f>IF(NOTA[[#This Row],[JUMLAH]]="","",(NOTA[[#This Row],[JUMLAH]]-NOTA[[#This Row],[DISC 1-]])*NOTA[[#This Row],[DISC 2]])</f>
        <v>0</v>
      </c>
      <c r="Z499" s="40">
        <f>IF(NOTA[[#This Row],[JUMLAH]]="","",NOTA[[#This Row],[DISC 1-]]+NOTA[[#This Row],[DISC 2-]])</f>
        <v>807840</v>
      </c>
      <c r="AA499" s="40">
        <f>IF(NOTA[[#This Row],[JUMLAH]]="","",NOTA[[#This Row],[JUMLAH]]-NOTA[[#This Row],[DISC]])</f>
        <v>3944160</v>
      </c>
      <c r="AB499" s="40"/>
      <c r="AC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499" s="40" t="str">
        <f>IF(OR(NOTA[[#This Row],[QTY]]="",NOTA[[#This Row],[HARGA SATUAN]]="",),"",NOTA[[#This Row],[QTY]]*NOTA[[#This Row],[HARGA SATUAN]])</f>
        <v/>
      </c>
      <c r="AG499" s="37">
        <f ca="1">IF(NOTA[ID_H]="","",INDEX(NOTA[TANGGAL],MATCH(,INDIRECT(ADDRESS(ROW(NOTA[TANGGAL]),COLUMN(NOTA[TANGGAL]))&amp;":"&amp;ADDRESS(ROW(),COLUMN(NOTA[TANGGAL]))),-1)))</f>
        <v>45063</v>
      </c>
      <c r="AH499" s="35" t="str">
        <f ca="1">IF(NOTA[[#This Row],[NAMA BARANG]]="","",INDEX(NOTA[SUPPLIER],MATCH(,INDIRECT(ADDRESS(ROW(NOTA[ID]),COLUMN(NOTA[ID]))&amp;":"&amp;ADDRESS(ROW(),COLUMN(NOTA[ID]))),-1)))</f>
        <v>KENKO SINAR INDONESIA</v>
      </c>
      <c r="AI499" s="35" t="str">
        <f ca="1">IF(NOTA[[#This Row],[ID_H]]="","",IF(NOTA[[#This Row],[FAKTUR]]="",INDIRECT(ADDRESS(ROW()-1,COLUMN())),NOTA[[#This Row],[FAKTUR]]))</f>
        <v>ARTO MORO</v>
      </c>
      <c r="AJ499" s="27" t="str">
        <f ca="1">IF(NOTA[[#This Row],[ID]]="","",COUNTIF(NOTA[ID_H],NOTA[[#This Row],[ID_H]]))</f>
        <v/>
      </c>
      <c r="AK499" s="27">
        <f ca="1">IF(NOTA[[#This Row],[TGL.NOTA]]="",IF(NOTA[[#This Row],[SUPPLIER_H]]="","",AK498),MONTH(NOTA[[#This Row],[TGL.NOTA]]))</f>
        <v>5</v>
      </c>
      <c r="AL499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4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4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4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27" t="str">
        <f>IF(NOTA[[#This Row],[CONCAT4]]="","",_xlfn.IFNA(MATCH(NOTA[[#This Row],[CONCAT4]],[2]!RAW[CONCAT_H],0),FALSE))</f>
        <v/>
      </c>
      <c r="AQ499" s="145">
        <f>IF(NOTA[[#This Row],[CONCAT1]]="","",MATCH(NOTA[[#This Row],[CONCAT1]],[3]!db[NB NOTA_C],0)+1)</f>
        <v>1298</v>
      </c>
    </row>
    <row r="500" spans="1:43" ht="20.100000000000001" customHeight="1" x14ac:dyDescent="0.25">
      <c r="A50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6" t="str">
        <f>IF(NOTA[[#This Row],[ID_P]]="","",MATCH(NOTA[[#This Row],[ID_P]],[1]!B_MSK[N_ID],0))</f>
        <v/>
      </c>
      <c r="D500" s="36">
        <f ca="1">IF(NOTA[[#This Row],[NAMA BARANG]]="","",INDEX(NOTA[ID],MATCH(,INDIRECT(ADDRESS(ROW(NOTA[ID]),COLUMN(NOTA[ID]))&amp;":"&amp;ADDRESS(ROW(),COLUMN(NOTA[ID]))),-1)))</f>
        <v>88</v>
      </c>
      <c r="E500" s="93"/>
      <c r="F500" s="94"/>
      <c r="G500" s="94"/>
      <c r="H500" s="95"/>
      <c r="I500" s="94"/>
      <c r="J500" s="96"/>
      <c r="K500" s="94"/>
      <c r="L500" s="16" t="s">
        <v>701</v>
      </c>
      <c r="M500" s="97">
        <v>10</v>
      </c>
      <c r="N500" s="94"/>
      <c r="O500" s="94"/>
      <c r="P500" s="98"/>
      <c r="Q500" s="99">
        <v>3758400</v>
      </c>
      <c r="R500" s="28" t="s">
        <v>150</v>
      </c>
      <c r="S500" s="100">
        <v>0.17</v>
      </c>
      <c r="T500" s="100"/>
      <c r="U500" s="101"/>
      <c r="V500" s="102"/>
      <c r="W500" s="40">
        <f>IF(NOTA[[#This Row],[HARGA/ CTN]]="",NOTA[[#This Row],[JUMLAH_H]],NOTA[[#This Row],[HARGA/ CTN]]*IF(NOTA[[#This Row],[C]]="",0,NOTA[[#This Row],[C]]))</f>
        <v>37584000</v>
      </c>
      <c r="X500" s="40">
        <f>IF(NOTA[[#This Row],[JUMLAH]]="","",NOTA[[#This Row],[JUMLAH]]*NOTA[[#This Row],[DISC 1]])</f>
        <v>6389280</v>
      </c>
      <c r="Y500" s="40">
        <f>IF(NOTA[[#This Row],[JUMLAH]]="","",(NOTA[[#This Row],[JUMLAH]]-NOTA[[#This Row],[DISC 1-]])*NOTA[[#This Row],[DISC 2]])</f>
        <v>0</v>
      </c>
      <c r="Z500" s="40">
        <f>IF(NOTA[[#This Row],[JUMLAH]]="","",NOTA[[#This Row],[DISC 1-]]+NOTA[[#This Row],[DISC 2-]])</f>
        <v>6389280</v>
      </c>
      <c r="AA500" s="40">
        <f>IF(NOTA[[#This Row],[JUMLAH]]="","",NOTA[[#This Row],[JUMLAH]]-NOTA[[#This Row],[DISC]])</f>
        <v>31194720</v>
      </c>
      <c r="AB500" s="40"/>
      <c r="AC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3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0" s="40" t="str">
        <f>IF(OR(NOTA[[#This Row],[QTY]]="",NOTA[[#This Row],[HARGA SATUAN]]="",),"",NOTA[[#This Row],[QTY]]*NOTA[[#This Row],[HARGA SATUAN]])</f>
        <v/>
      </c>
      <c r="AG500" s="37">
        <f ca="1">IF(NOTA[ID_H]="","",INDEX(NOTA[TANGGAL],MATCH(,INDIRECT(ADDRESS(ROW(NOTA[TANGGAL]),COLUMN(NOTA[TANGGAL]))&amp;":"&amp;ADDRESS(ROW(),COLUMN(NOTA[TANGGAL]))),-1)))</f>
        <v>45063</v>
      </c>
      <c r="AH500" s="35" t="str">
        <f ca="1">IF(NOTA[[#This Row],[NAMA BARANG]]="","",INDEX(NOTA[SUPPLIER],MATCH(,INDIRECT(ADDRESS(ROW(NOTA[ID]),COLUMN(NOTA[ID]))&amp;":"&amp;ADDRESS(ROW(),COLUMN(NOTA[ID]))),-1)))</f>
        <v>KENKO SINAR INDONESIA</v>
      </c>
      <c r="AI500" s="35" t="str">
        <f ca="1">IF(NOTA[[#This Row],[ID_H]]="","",IF(NOTA[[#This Row],[FAKTUR]]="",INDIRECT(ADDRESS(ROW()-1,COLUMN())),NOTA[[#This Row],[FAKTUR]]))</f>
        <v>ARTO MORO</v>
      </c>
      <c r="AJ500" s="27" t="str">
        <f ca="1">IF(NOTA[[#This Row],[ID]]="","",COUNTIF(NOTA[ID_H],NOTA[[#This Row],[ID_H]]))</f>
        <v/>
      </c>
      <c r="AK500" s="27">
        <f ca="1">IF(NOTA[[#This Row],[TGL.NOTA]]="",IF(NOTA[[#This Row],[SUPPLIER_H]]="","",AK499),MONTH(NOTA[[#This Row],[TGL.NOTA]]))</f>
        <v>5</v>
      </c>
      <c r="AL500" s="27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5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N5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O5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0" s="27" t="str">
        <f>IF(NOTA[[#This Row],[CONCAT4]]="","",_xlfn.IFNA(MATCH(NOTA[[#This Row],[CONCAT4]],[2]!RAW[CONCAT_H],0),FALSE))</f>
        <v/>
      </c>
      <c r="AQ500" s="145">
        <f>IF(NOTA[[#This Row],[CONCAT1]]="","",MATCH(NOTA[[#This Row],[CONCAT1]],[3]!db[NB NOTA_C],0)+1)</f>
        <v>1253</v>
      </c>
    </row>
    <row r="501" spans="1:43" ht="20.100000000000001" customHeight="1" x14ac:dyDescent="0.25">
      <c r="A50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6" t="str">
        <f>IF(NOTA[[#This Row],[ID_P]]="","",MATCH(NOTA[[#This Row],[ID_P]],[1]!B_MSK[N_ID],0))</f>
        <v/>
      </c>
      <c r="D501" s="36">
        <f ca="1">IF(NOTA[[#This Row],[NAMA BARANG]]="","",INDEX(NOTA[ID],MATCH(,INDIRECT(ADDRESS(ROW(NOTA[ID]),COLUMN(NOTA[ID]))&amp;":"&amp;ADDRESS(ROW(),COLUMN(NOTA[ID]))),-1)))</f>
        <v>88</v>
      </c>
      <c r="E501" s="93"/>
      <c r="F501" s="94"/>
      <c r="G501" s="94"/>
      <c r="H501" s="95"/>
      <c r="I501" s="94"/>
      <c r="J501" s="96"/>
      <c r="K501" s="94"/>
      <c r="L501" s="16" t="s">
        <v>103</v>
      </c>
      <c r="M501" s="97">
        <v>3</v>
      </c>
      <c r="N501" s="94"/>
      <c r="O501" s="94"/>
      <c r="P501" s="98"/>
      <c r="Q501" s="99">
        <v>5616000</v>
      </c>
      <c r="R501" s="28" t="s">
        <v>150</v>
      </c>
      <c r="S501" s="100">
        <v>0.17</v>
      </c>
      <c r="T501" s="100"/>
      <c r="U501" s="101"/>
      <c r="V501" s="102"/>
      <c r="W501" s="40">
        <f>IF(NOTA[[#This Row],[HARGA/ CTN]]="",NOTA[[#This Row],[JUMLAH_H]],NOTA[[#This Row],[HARGA/ CTN]]*IF(NOTA[[#This Row],[C]]="",0,NOTA[[#This Row],[C]]))</f>
        <v>16848000</v>
      </c>
      <c r="X501" s="40">
        <f>IF(NOTA[[#This Row],[JUMLAH]]="","",NOTA[[#This Row],[JUMLAH]]*NOTA[[#This Row],[DISC 1]])</f>
        <v>2864160</v>
      </c>
      <c r="Y501" s="40">
        <f>IF(NOTA[[#This Row],[JUMLAH]]="","",(NOTA[[#This Row],[JUMLAH]]-NOTA[[#This Row],[DISC 1-]])*NOTA[[#This Row],[DISC 2]])</f>
        <v>0</v>
      </c>
      <c r="Z501" s="40">
        <f>IF(NOTA[[#This Row],[JUMLAH]]="","",NOTA[[#This Row],[DISC 1-]]+NOTA[[#This Row],[DISC 2-]])</f>
        <v>2864160</v>
      </c>
      <c r="AA501" s="40">
        <f>IF(NOTA[[#This Row],[JUMLAH]]="","",NOTA[[#This Row],[JUMLAH]]-NOTA[[#This Row],[DISC]])</f>
        <v>13983840</v>
      </c>
      <c r="AB501" s="40"/>
      <c r="AC5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12663708</v>
      </c>
      <c r="AD50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61828692</v>
      </c>
      <c r="AE501" s="3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01" s="40" t="str">
        <f>IF(OR(NOTA[[#This Row],[QTY]]="",NOTA[[#This Row],[HARGA SATUAN]]="",),"",NOTA[[#This Row],[QTY]]*NOTA[[#This Row],[HARGA SATUAN]])</f>
        <v/>
      </c>
      <c r="AG501" s="37">
        <f ca="1">IF(NOTA[ID_H]="","",INDEX(NOTA[TANGGAL],MATCH(,INDIRECT(ADDRESS(ROW(NOTA[TANGGAL]),COLUMN(NOTA[TANGGAL]))&amp;":"&amp;ADDRESS(ROW(),COLUMN(NOTA[TANGGAL]))),-1)))</f>
        <v>45063</v>
      </c>
      <c r="AH501" s="35" t="str">
        <f ca="1">IF(NOTA[[#This Row],[NAMA BARANG]]="","",INDEX(NOTA[SUPPLIER],MATCH(,INDIRECT(ADDRESS(ROW(NOTA[ID]),COLUMN(NOTA[ID]))&amp;":"&amp;ADDRESS(ROW(),COLUMN(NOTA[ID]))),-1)))</f>
        <v>KENKO SINAR INDONESIA</v>
      </c>
      <c r="AI501" s="35" t="str">
        <f ca="1">IF(NOTA[[#This Row],[ID_H]]="","",IF(NOTA[[#This Row],[FAKTUR]]="",INDIRECT(ADDRESS(ROW()-1,COLUMN())),NOTA[[#This Row],[FAKTUR]]))</f>
        <v>ARTO MORO</v>
      </c>
      <c r="AJ501" s="27" t="str">
        <f ca="1">IF(NOTA[[#This Row],[ID]]="","",COUNTIF(NOTA[ID_H],NOTA[[#This Row],[ID_H]]))</f>
        <v/>
      </c>
      <c r="AK501" s="27">
        <f ca="1">IF(NOTA[[#This Row],[TGL.NOTA]]="",IF(NOTA[[#This Row],[SUPPLIER_H]]="","",AK500),MONTH(NOTA[[#This Row],[TGL.NOTA]]))</f>
        <v>5</v>
      </c>
      <c r="AL501" s="27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5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5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5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27" t="str">
        <f>IF(NOTA[[#This Row],[CONCAT4]]="","",_xlfn.IFNA(MATCH(NOTA[[#This Row],[CONCAT4]],[2]!RAW[CONCAT_H],0),FALSE))</f>
        <v/>
      </c>
      <c r="AQ501" s="145">
        <f>IF(NOTA[[#This Row],[CONCAT1]]="","",MATCH(NOTA[[#This Row],[CONCAT1]],[3]!db[NB NOTA_C],0)+1)</f>
        <v>1259</v>
      </c>
    </row>
    <row r="502" spans="1:43" ht="20.100000000000001" customHeight="1" x14ac:dyDescent="0.25">
      <c r="A50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6" t="str">
        <f>IF(NOTA[[#This Row],[ID_P]]="","",MATCH(NOTA[[#This Row],[ID_P]],[1]!B_MSK[N_ID],0))</f>
        <v/>
      </c>
      <c r="D502" s="36" t="str">
        <f ca="1">IF(NOTA[[#This Row],[NAMA BARANG]]="","",INDEX(NOTA[ID],MATCH(,INDIRECT(ADDRESS(ROW(NOTA[ID]),COLUMN(NOTA[ID]))&amp;":"&amp;ADDRESS(ROW(),COLUMN(NOTA[ID]))),-1)))</f>
        <v/>
      </c>
      <c r="E502" s="93"/>
      <c r="F502" s="94"/>
      <c r="G502" s="94"/>
      <c r="H502" s="95"/>
      <c r="I502" s="94"/>
      <c r="J502" s="96"/>
      <c r="K502" s="94"/>
      <c r="L502" s="94"/>
      <c r="M502" s="97"/>
      <c r="N502" s="94"/>
      <c r="O502" s="94"/>
      <c r="P502" s="98"/>
      <c r="Q502" s="99"/>
      <c r="R502" s="97"/>
      <c r="S502" s="100"/>
      <c r="T502" s="100"/>
      <c r="U502" s="101"/>
      <c r="V502" s="102"/>
      <c r="W502" s="40" t="str">
        <f>IF(NOTA[[#This Row],[HARGA/ CTN]]="",NOTA[[#This Row],[JUMLAH_H]],NOTA[[#This Row],[HARGA/ CTN]]*IF(NOTA[[#This Row],[C]]="",0,NOTA[[#This Row],[C]]))</f>
        <v/>
      </c>
      <c r="X502" s="40" t="str">
        <f>IF(NOTA[[#This Row],[JUMLAH]]="","",NOTA[[#This Row],[JUMLAH]]*NOTA[[#This Row],[DISC 1]])</f>
        <v/>
      </c>
      <c r="Y502" s="40" t="str">
        <f>IF(NOTA[[#This Row],[JUMLAH]]="","",(NOTA[[#This Row],[JUMLAH]]-NOTA[[#This Row],[DISC 1-]])*NOTA[[#This Row],[DISC 2]])</f>
        <v/>
      </c>
      <c r="Z502" s="40" t="str">
        <f>IF(NOTA[[#This Row],[JUMLAH]]="","",NOTA[[#This Row],[DISC 1-]]+NOTA[[#This Row],[DISC 2-]])</f>
        <v/>
      </c>
      <c r="AA502" s="40" t="str">
        <f>IF(NOTA[[#This Row],[JUMLAH]]="","",NOTA[[#This Row],[JUMLAH]]-NOTA[[#This Row],[DISC]])</f>
        <v/>
      </c>
      <c r="AB502" s="40"/>
      <c r="AC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40" t="str">
        <f>IF(OR(NOTA[[#This Row],[QTY]]="",NOTA[[#This Row],[HARGA SATUAN]]="",),"",NOTA[[#This Row],[QTY]]*NOTA[[#This Row],[HARGA SATUAN]])</f>
        <v/>
      </c>
      <c r="AG502" s="37" t="str">
        <f ca="1">IF(NOTA[ID_H]="","",INDEX(NOTA[TANGGAL],MATCH(,INDIRECT(ADDRESS(ROW(NOTA[TANGGAL]),COLUMN(NOTA[TANGGAL]))&amp;":"&amp;ADDRESS(ROW(),COLUMN(NOTA[TANGGAL]))),-1)))</f>
        <v/>
      </c>
      <c r="AH502" s="35" t="str">
        <f ca="1">IF(NOTA[[#This Row],[NAMA BARANG]]="","",INDEX(NOTA[SUPPLIER],MATCH(,INDIRECT(ADDRESS(ROW(NOTA[ID]),COLUMN(NOTA[ID]))&amp;":"&amp;ADDRESS(ROW(),COLUMN(NOTA[ID]))),-1)))</f>
        <v/>
      </c>
      <c r="AI502" s="35" t="str">
        <f ca="1">IF(NOTA[[#This Row],[ID_H]]="","",IF(NOTA[[#This Row],[FAKTUR]]="",INDIRECT(ADDRESS(ROW()-1,COLUMN())),NOTA[[#This Row],[FAKTUR]]))</f>
        <v/>
      </c>
      <c r="AJ502" s="27" t="str">
        <f ca="1">IF(NOTA[[#This Row],[ID]]="","",COUNTIF(NOTA[ID_H],NOTA[[#This Row],[ID_H]]))</f>
        <v/>
      </c>
      <c r="AK502" s="27" t="str">
        <f ca="1">IF(NOTA[[#This Row],[TGL.NOTA]]="",IF(NOTA[[#This Row],[SUPPLIER_H]]="","",AK501),MONTH(NOTA[[#This Row],[TGL.NOTA]]))</f>
        <v/>
      </c>
      <c r="AL502" s="27" t="str">
        <f>LOWER(SUBSTITUTE(SUBSTITUTE(SUBSTITUTE(SUBSTITUTE(SUBSTITUTE(SUBSTITUTE(SUBSTITUTE(SUBSTITUTE(SUBSTITUTE(NOTA[NAMA BARANG]," ",),".",""),"-",""),"(",""),")",""),",",""),"/",""),"""",""),"+",""))</f>
        <v/>
      </c>
      <c r="AM5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27" t="str">
        <f>IF(NOTA[[#This Row],[CONCAT4]]="","",_xlfn.IFNA(MATCH(NOTA[[#This Row],[CONCAT4]],[2]!RAW[CONCAT_H],0),FALSE))</f>
        <v/>
      </c>
      <c r="AQ502" s="145" t="str">
        <f>IF(NOTA[[#This Row],[CONCAT1]]="","",MATCH(NOTA[[#This Row],[CONCAT1]],[3]!db[NB NOTA_C],0)+1)</f>
        <v/>
      </c>
    </row>
    <row r="503" spans="1:43" ht="20.100000000000001" customHeight="1" x14ac:dyDescent="0.25">
      <c r="A503" s="35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KEN_1705_371-10</v>
      </c>
      <c r="C503" s="36" t="e">
        <f ca="1">IF(NOTA[[#This Row],[ID_P]]="","",MATCH(NOTA[[#This Row],[ID_P]],[1]!B_MSK[N_ID],0))</f>
        <v>#REF!</v>
      </c>
      <c r="D503" s="36">
        <f ca="1">IF(NOTA[[#This Row],[NAMA BARANG]]="","",INDEX(NOTA[ID],MATCH(,INDIRECT(ADDRESS(ROW(NOTA[ID]),COLUMN(NOTA[ID]))&amp;":"&amp;ADDRESS(ROW(),COLUMN(NOTA[ID]))),-1)))</f>
        <v>89</v>
      </c>
      <c r="E503" s="93"/>
      <c r="F503" s="16" t="s">
        <v>23</v>
      </c>
      <c r="G503" s="16" t="s">
        <v>24</v>
      </c>
      <c r="H503" s="20" t="s">
        <v>702</v>
      </c>
      <c r="I503" s="16" t="s">
        <v>732</v>
      </c>
      <c r="J503" s="96">
        <v>45059</v>
      </c>
      <c r="K503" s="94"/>
      <c r="L503" s="16" t="s">
        <v>90</v>
      </c>
      <c r="M503" s="97">
        <v>20</v>
      </c>
      <c r="N503" s="94"/>
      <c r="O503" s="94"/>
      <c r="P503" s="98"/>
      <c r="Q503" s="99">
        <v>1954800</v>
      </c>
      <c r="R503" s="28" t="s">
        <v>148</v>
      </c>
      <c r="S503" s="100">
        <v>0.17</v>
      </c>
      <c r="T503" s="100"/>
      <c r="U503" s="101"/>
      <c r="V503" s="102"/>
      <c r="W503" s="40">
        <f>IF(NOTA[[#This Row],[HARGA/ CTN]]="",NOTA[[#This Row],[JUMLAH_H]],NOTA[[#This Row],[HARGA/ CTN]]*IF(NOTA[[#This Row],[C]]="",0,NOTA[[#This Row],[C]]))</f>
        <v>39096000</v>
      </c>
      <c r="X503" s="40">
        <f>IF(NOTA[[#This Row],[JUMLAH]]="","",NOTA[[#This Row],[JUMLAH]]*NOTA[[#This Row],[DISC 1]])</f>
        <v>6646320.0000000009</v>
      </c>
      <c r="Y503" s="40">
        <f>IF(NOTA[[#This Row],[JUMLAH]]="","",(NOTA[[#This Row],[JUMLAH]]-NOTA[[#This Row],[DISC 1-]])*NOTA[[#This Row],[DISC 2]])</f>
        <v>0</v>
      </c>
      <c r="Z503" s="40">
        <f>IF(NOTA[[#This Row],[JUMLAH]]="","",NOTA[[#This Row],[DISC 1-]]+NOTA[[#This Row],[DISC 2-]])</f>
        <v>6646320.0000000009</v>
      </c>
      <c r="AA503" s="40">
        <f>IF(NOTA[[#This Row],[JUMLAH]]="","",NOTA[[#This Row],[JUMLAH]]-NOTA[[#This Row],[DISC]])</f>
        <v>32449680</v>
      </c>
      <c r="AB503" s="40"/>
      <c r="AC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3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03" s="40" t="str">
        <f>IF(OR(NOTA[[#This Row],[QTY]]="",NOTA[[#This Row],[HARGA SATUAN]]="",),"",NOTA[[#This Row],[QTY]]*NOTA[[#This Row],[HARGA SATUAN]])</f>
        <v/>
      </c>
      <c r="AG503" s="37">
        <f ca="1">IF(NOTA[ID_H]="","",INDEX(NOTA[TANGGAL],MATCH(,INDIRECT(ADDRESS(ROW(NOTA[TANGGAL]),COLUMN(NOTA[TANGGAL]))&amp;":"&amp;ADDRESS(ROW(),COLUMN(NOTA[TANGGAL]))),-1)))</f>
        <v>45063</v>
      </c>
      <c r="AH503" s="35" t="str">
        <f ca="1">IF(NOTA[[#This Row],[NAMA BARANG]]="","",INDEX(NOTA[SUPPLIER],MATCH(,INDIRECT(ADDRESS(ROW(NOTA[ID]),COLUMN(NOTA[ID]))&amp;":"&amp;ADDRESS(ROW(),COLUMN(NOTA[ID]))),-1)))</f>
        <v>KENKO SINAR INDONESIA</v>
      </c>
      <c r="AI503" s="35" t="str">
        <f ca="1">IF(NOTA[[#This Row],[ID_H]]="","",IF(NOTA[[#This Row],[FAKTUR]]="",INDIRECT(ADDRESS(ROW()-1,COLUMN())),NOTA[[#This Row],[FAKTUR]]))</f>
        <v>ARTO MORO</v>
      </c>
      <c r="AJ503" s="27">
        <f ca="1">IF(NOTA[[#This Row],[ID]]="","",COUNTIF(NOTA[ID_H],NOTA[[#This Row],[ID_H]]))</f>
        <v>10</v>
      </c>
      <c r="AK503" s="27">
        <f>IF(NOTA[[#This Row],[TGL.NOTA]]="",IF(NOTA[[#This Row],[SUPPLIER_H]]="","",AK502),MONTH(NOTA[[#This Row],[TGL.NOTA]]))</f>
        <v>5</v>
      </c>
      <c r="AL503" s="27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5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5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503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MORO23051371SA 4155945059kenkocorrectionfluidke01</v>
      </c>
      <c r="AP503" s="27" t="e">
        <f>IF(NOTA[[#This Row],[CONCAT4]]="","",_xlfn.IFNA(MATCH(NOTA[[#This Row],[CONCAT4]],[2]!RAW[CONCAT_H],0),FALSE))</f>
        <v>#REF!</v>
      </c>
      <c r="AQ503" s="145">
        <f>IF(NOTA[[#This Row],[CONCAT1]]="","",MATCH(NOTA[[#This Row],[CONCAT1]],[3]!db[NB NOTA_C],0)+1)</f>
        <v>1198</v>
      </c>
    </row>
    <row r="504" spans="1:43" ht="20.100000000000001" customHeight="1" x14ac:dyDescent="0.25">
      <c r="A50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6" t="str">
        <f>IF(NOTA[[#This Row],[ID_P]]="","",MATCH(NOTA[[#This Row],[ID_P]],[1]!B_MSK[N_ID],0))</f>
        <v/>
      </c>
      <c r="D504" s="36">
        <f ca="1">IF(NOTA[[#This Row],[NAMA BARANG]]="","",INDEX(NOTA[ID],MATCH(,INDIRECT(ADDRESS(ROW(NOTA[ID]),COLUMN(NOTA[ID]))&amp;":"&amp;ADDRESS(ROW(),COLUMN(NOTA[ID]))),-1)))</f>
        <v>89</v>
      </c>
      <c r="E504" s="93"/>
      <c r="F504" s="94"/>
      <c r="G504" s="94"/>
      <c r="H504" s="95"/>
      <c r="I504" s="94"/>
      <c r="J504" s="96"/>
      <c r="K504" s="94"/>
      <c r="L504" s="16" t="s">
        <v>679</v>
      </c>
      <c r="M504" s="97">
        <v>3</v>
      </c>
      <c r="N504" s="94"/>
      <c r="O504" s="94"/>
      <c r="P504" s="98"/>
      <c r="Q504" s="99">
        <v>850000</v>
      </c>
      <c r="R504" s="28" t="s">
        <v>718</v>
      </c>
      <c r="S504" s="100">
        <v>0.17</v>
      </c>
      <c r="T504" s="100"/>
      <c r="U504" s="101"/>
      <c r="V504" s="102"/>
      <c r="W504" s="40">
        <f>IF(NOTA[[#This Row],[HARGA/ CTN]]="",NOTA[[#This Row],[JUMLAH_H]],NOTA[[#This Row],[HARGA/ CTN]]*IF(NOTA[[#This Row],[C]]="",0,NOTA[[#This Row],[C]]))</f>
        <v>2550000</v>
      </c>
      <c r="X504" s="40">
        <f>IF(NOTA[[#This Row],[JUMLAH]]="","",NOTA[[#This Row],[JUMLAH]]*NOTA[[#This Row],[DISC 1]])</f>
        <v>433500.00000000006</v>
      </c>
      <c r="Y504" s="40">
        <f>IF(NOTA[[#This Row],[JUMLAH]]="","",(NOTA[[#This Row],[JUMLAH]]-NOTA[[#This Row],[DISC 1-]])*NOTA[[#This Row],[DISC 2]])</f>
        <v>0</v>
      </c>
      <c r="Z504" s="40">
        <f>IF(NOTA[[#This Row],[JUMLAH]]="","",NOTA[[#This Row],[DISC 1-]]+NOTA[[#This Row],[DISC 2-]])</f>
        <v>433500.00000000006</v>
      </c>
      <c r="AA504" s="40">
        <f>IF(NOTA[[#This Row],[JUMLAH]]="","",NOTA[[#This Row],[JUMLAH]]-NOTA[[#This Row],[DISC]])</f>
        <v>2116500</v>
      </c>
      <c r="AB504" s="40"/>
      <c r="AC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3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504" s="40" t="str">
        <f>IF(OR(NOTA[[#This Row],[QTY]]="",NOTA[[#This Row],[HARGA SATUAN]]="",),"",NOTA[[#This Row],[QTY]]*NOTA[[#This Row],[HARGA SATUAN]])</f>
        <v/>
      </c>
      <c r="AG504" s="37">
        <f ca="1">IF(NOTA[ID_H]="","",INDEX(NOTA[TANGGAL],MATCH(,INDIRECT(ADDRESS(ROW(NOTA[TANGGAL]),COLUMN(NOTA[TANGGAL]))&amp;":"&amp;ADDRESS(ROW(),COLUMN(NOTA[TANGGAL]))),-1)))</f>
        <v>45063</v>
      </c>
      <c r="AH504" s="35" t="str">
        <f ca="1">IF(NOTA[[#This Row],[NAMA BARANG]]="","",INDEX(NOTA[SUPPLIER],MATCH(,INDIRECT(ADDRESS(ROW(NOTA[ID]),COLUMN(NOTA[ID]))&amp;":"&amp;ADDRESS(ROW(),COLUMN(NOTA[ID]))),-1)))</f>
        <v>KENKO SINAR INDONESIA</v>
      </c>
      <c r="AI504" s="35" t="str">
        <f ca="1">IF(NOTA[[#This Row],[ID_H]]="","",IF(NOTA[[#This Row],[FAKTUR]]="",INDIRECT(ADDRESS(ROW()-1,COLUMN())),NOTA[[#This Row],[FAKTUR]]))</f>
        <v>ARTO MORO</v>
      </c>
      <c r="AJ504" s="27" t="str">
        <f ca="1">IF(NOTA[[#This Row],[ID]]="","",COUNTIF(NOTA[ID_H],NOTA[[#This Row],[ID_H]]))</f>
        <v/>
      </c>
      <c r="AK504" s="27">
        <f ca="1">IF(NOTA[[#This Row],[TGL.NOTA]]="",IF(NOTA[[#This Row],[SUPPLIER_H]]="","",AK503),MONTH(NOTA[[#This Row],[TGL.NOTA]]))</f>
        <v>5</v>
      </c>
      <c r="AL504" s="27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5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5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5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27" t="str">
        <f>IF(NOTA[[#This Row],[CONCAT4]]="","",_xlfn.IFNA(MATCH(NOTA[[#This Row],[CONCAT4]],[2]!RAW[CONCAT_H],0),FALSE))</f>
        <v/>
      </c>
      <c r="AQ504" s="145">
        <f>IF(NOTA[[#This Row],[CONCAT1]]="","",MATCH(NOTA[[#This Row],[CONCAT1]],[3]!db[NB NOTA_C],0)+1)</f>
        <v>1426</v>
      </c>
    </row>
    <row r="505" spans="1:43" ht="20.100000000000001" customHeight="1" x14ac:dyDescent="0.25">
      <c r="A50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6" t="str">
        <f>IF(NOTA[[#This Row],[ID_P]]="","",MATCH(NOTA[[#This Row],[ID_P]],[1]!B_MSK[N_ID],0))</f>
        <v/>
      </c>
      <c r="D505" s="36">
        <f ca="1">IF(NOTA[[#This Row],[NAMA BARANG]]="","",INDEX(NOTA[ID],MATCH(,INDIRECT(ADDRESS(ROW(NOTA[ID]),COLUMN(NOTA[ID]))&amp;":"&amp;ADDRESS(ROW(),COLUMN(NOTA[ID]))),-1)))</f>
        <v>89</v>
      </c>
      <c r="E505" s="93"/>
      <c r="F505" s="94"/>
      <c r="G505" s="94"/>
      <c r="H505" s="95"/>
      <c r="I505" s="94"/>
      <c r="J505" s="96"/>
      <c r="K505" s="94"/>
      <c r="L505" s="16" t="s">
        <v>683</v>
      </c>
      <c r="M505" s="97">
        <v>3</v>
      </c>
      <c r="N505" s="94"/>
      <c r="O505" s="94"/>
      <c r="P505" s="98"/>
      <c r="Q505" s="99">
        <v>800000</v>
      </c>
      <c r="R505" s="28" t="s">
        <v>718</v>
      </c>
      <c r="S505" s="100">
        <v>0.17</v>
      </c>
      <c r="T505" s="100"/>
      <c r="U505" s="101"/>
      <c r="V505" s="102"/>
      <c r="W505" s="40">
        <f>IF(NOTA[[#This Row],[HARGA/ CTN]]="",NOTA[[#This Row],[JUMLAH_H]],NOTA[[#This Row],[HARGA/ CTN]]*IF(NOTA[[#This Row],[C]]="",0,NOTA[[#This Row],[C]]))</f>
        <v>2400000</v>
      </c>
      <c r="X505" s="40">
        <f>IF(NOTA[[#This Row],[JUMLAH]]="","",NOTA[[#This Row],[JUMLAH]]*NOTA[[#This Row],[DISC 1]])</f>
        <v>408000.00000000006</v>
      </c>
      <c r="Y505" s="40">
        <f>IF(NOTA[[#This Row],[JUMLAH]]="","",(NOTA[[#This Row],[JUMLAH]]-NOTA[[#This Row],[DISC 1-]])*NOTA[[#This Row],[DISC 2]])</f>
        <v>0</v>
      </c>
      <c r="Z505" s="40">
        <f>IF(NOTA[[#This Row],[JUMLAH]]="","",NOTA[[#This Row],[DISC 1-]]+NOTA[[#This Row],[DISC 2-]])</f>
        <v>408000.00000000006</v>
      </c>
      <c r="AA505" s="40">
        <f>IF(NOTA[[#This Row],[JUMLAH]]="","",NOTA[[#This Row],[JUMLAH]]-NOTA[[#This Row],[DISC]])</f>
        <v>1992000</v>
      </c>
      <c r="AB505" s="40"/>
      <c r="AC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3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505" s="40" t="str">
        <f>IF(OR(NOTA[[#This Row],[QTY]]="",NOTA[[#This Row],[HARGA SATUAN]]="",),"",NOTA[[#This Row],[QTY]]*NOTA[[#This Row],[HARGA SATUAN]])</f>
        <v/>
      </c>
      <c r="AG505" s="37">
        <f ca="1">IF(NOTA[ID_H]="","",INDEX(NOTA[TANGGAL],MATCH(,INDIRECT(ADDRESS(ROW(NOTA[TANGGAL]),COLUMN(NOTA[TANGGAL]))&amp;":"&amp;ADDRESS(ROW(),COLUMN(NOTA[TANGGAL]))),-1)))</f>
        <v>45063</v>
      </c>
      <c r="AH505" s="35" t="str">
        <f ca="1">IF(NOTA[[#This Row],[NAMA BARANG]]="","",INDEX(NOTA[SUPPLIER],MATCH(,INDIRECT(ADDRESS(ROW(NOTA[ID]),COLUMN(NOTA[ID]))&amp;":"&amp;ADDRESS(ROW(),COLUMN(NOTA[ID]))),-1)))</f>
        <v>KENKO SINAR INDONESIA</v>
      </c>
      <c r="AI505" s="35" t="str">
        <f ca="1">IF(NOTA[[#This Row],[ID_H]]="","",IF(NOTA[[#This Row],[FAKTUR]]="",INDIRECT(ADDRESS(ROW()-1,COLUMN())),NOTA[[#This Row],[FAKTUR]]))</f>
        <v>ARTO MORO</v>
      </c>
      <c r="AJ505" s="27" t="str">
        <f ca="1">IF(NOTA[[#This Row],[ID]]="","",COUNTIF(NOTA[ID_H],NOTA[[#This Row],[ID_H]]))</f>
        <v/>
      </c>
      <c r="AK505" s="27">
        <f ca="1">IF(NOTA[[#This Row],[TGL.NOTA]]="",IF(NOTA[[#This Row],[SUPPLIER_H]]="","",AK504),MONTH(NOTA[[#This Row],[TGL.NOTA]]))</f>
        <v>5</v>
      </c>
      <c r="AL505" s="27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5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5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5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5" s="27" t="str">
        <f>IF(NOTA[[#This Row],[CONCAT4]]="","",_xlfn.IFNA(MATCH(NOTA[[#This Row],[CONCAT4]],[2]!RAW[CONCAT_H],0),FALSE))</f>
        <v/>
      </c>
      <c r="AQ505" s="145">
        <f>IF(NOTA[[#This Row],[CONCAT1]]="","",MATCH(NOTA[[#This Row],[CONCAT1]],[3]!db[NB NOTA_C],0)+1)</f>
        <v>1425</v>
      </c>
    </row>
    <row r="506" spans="1:43" ht="20.100000000000001" customHeight="1" x14ac:dyDescent="0.25">
      <c r="A50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6" t="str">
        <f>IF(NOTA[[#This Row],[ID_P]]="","",MATCH(NOTA[[#This Row],[ID_P]],[1]!B_MSK[N_ID],0))</f>
        <v/>
      </c>
      <c r="D506" s="36">
        <f ca="1">IF(NOTA[[#This Row],[NAMA BARANG]]="","",INDEX(NOTA[ID],MATCH(,INDIRECT(ADDRESS(ROW(NOTA[ID]),COLUMN(NOTA[ID]))&amp;":"&amp;ADDRESS(ROW(),COLUMN(NOTA[ID]))),-1)))</f>
        <v>89</v>
      </c>
      <c r="E506" s="93"/>
      <c r="F506" s="94"/>
      <c r="G506" s="94"/>
      <c r="H506" s="95"/>
      <c r="I506" s="94"/>
      <c r="J506" s="96"/>
      <c r="K506" s="94"/>
      <c r="L506" s="16" t="s">
        <v>680</v>
      </c>
      <c r="M506" s="97">
        <v>3</v>
      </c>
      <c r="N506" s="94"/>
      <c r="O506" s="94"/>
      <c r="P506" s="98"/>
      <c r="Q506" s="99">
        <v>860000</v>
      </c>
      <c r="R506" s="28" t="s">
        <v>719</v>
      </c>
      <c r="S506" s="100">
        <v>0.17</v>
      </c>
      <c r="T506" s="100"/>
      <c r="U506" s="101"/>
      <c r="V506" s="102"/>
      <c r="W506" s="40">
        <f>IF(NOTA[[#This Row],[HARGA/ CTN]]="",NOTA[[#This Row],[JUMLAH_H]],NOTA[[#This Row],[HARGA/ CTN]]*IF(NOTA[[#This Row],[C]]="",0,NOTA[[#This Row],[C]]))</f>
        <v>2580000</v>
      </c>
      <c r="X506" s="40">
        <f>IF(NOTA[[#This Row],[JUMLAH]]="","",NOTA[[#This Row],[JUMLAH]]*NOTA[[#This Row],[DISC 1]])</f>
        <v>438600.00000000006</v>
      </c>
      <c r="Y506" s="40">
        <f>IF(NOTA[[#This Row],[JUMLAH]]="","",(NOTA[[#This Row],[JUMLAH]]-NOTA[[#This Row],[DISC 1-]])*NOTA[[#This Row],[DISC 2]])</f>
        <v>0</v>
      </c>
      <c r="Z506" s="40">
        <f>IF(NOTA[[#This Row],[JUMLAH]]="","",NOTA[[#This Row],[DISC 1-]]+NOTA[[#This Row],[DISC 2-]])</f>
        <v>438600.00000000006</v>
      </c>
      <c r="AA506" s="40">
        <f>IF(NOTA[[#This Row],[JUMLAH]]="","",NOTA[[#This Row],[JUMLAH]]-NOTA[[#This Row],[DISC]])</f>
        <v>2141400</v>
      </c>
      <c r="AB506" s="40"/>
      <c r="AC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3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506" s="40" t="str">
        <f>IF(OR(NOTA[[#This Row],[QTY]]="",NOTA[[#This Row],[HARGA SATUAN]]="",),"",NOTA[[#This Row],[QTY]]*NOTA[[#This Row],[HARGA SATUAN]])</f>
        <v/>
      </c>
      <c r="AG506" s="37">
        <f ca="1">IF(NOTA[ID_H]="","",INDEX(NOTA[TANGGAL],MATCH(,INDIRECT(ADDRESS(ROW(NOTA[TANGGAL]),COLUMN(NOTA[TANGGAL]))&amp;":"&amp;ADDRESS(ROW(),COLUMN(NOTA[TANGGAL]))),-1)))</f>
        <v>45063</v>
      </c>
      <c r="AH506" s="35" t="str">
        <f ca="1">IF(NOTA[[#This Row],[NAMA BARANG]]="","",INDEX(NOTA[SUPPLIER],MATCH(,INDIRECT(ADDRESS(ROW(NOTA[ID]),COLUMN(NOTA[ID]))&amp;":"&amp;ADDRESS(ROW(),COLUMN(NOTA[ID]))),-1)))</f>
        <v>KENKO SINAR INDONESIA</v>
      </c>
      <c r="AI506" s="35" t="str">
        <f ca="1">IF(NOTA[[#This Row],[ID_H]]="","",IF(NOTA[[#This Row],[FAKTUR]]="",INDIRECT(ADDRESS(ROW()-1,COLUMN())),NOTA[[#This Row],[FAKTUR]]))</f>
        <v>ARTO MORO</v>
      </c>
      <c r="AJ506" s="27" t="str">
        <f ca="1">IF(NOTA[[#This Row],[ID]]="","",COUNTIF(NOTA[ID_H],NOTA[[#This Row],[ID_H]]))</f>
        <v/>
      </c>
      <c r="AK506" s="27">
        <f ca="1">IF(NOTA[[#This Row],[TGL.NOTA]]="",IF(NOTA[[#This Row],[SUPPLIER_H]]="","",AK505),MONTH(NOTA[[#This Row],[TGL.NOTA]]))</f>
        <v>5</v>
      </c>
      <c r="AL506" s="27" t="str">
        <f>LOWER(SUBSTITUTE(SUBSTITUTE(SUBSTITUTE(SUBSTITUTE(SUBSTITUTE(SUBSTITUTE(SUBSTITUTE(SUBSTITUTE(SUBSTITUTE(NOTA[NAMA BARANG]," ",),".",""),"-",""),"(",""),")",""),",",""),"/",""),"""",""),"+",""))</f>
        <v>kenkojumboclipno5</v>
      </c>
      <c r="AM5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5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5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27" t="str">
        <f>IF(NOTA[[#This Row],[CONCAT4]]="","",_xlfn.IFNA(MATCH(NOTA[[#This Row],[CONCAT4]],[2]!RAW[CONCAT_H],0),FALSE))</f>
        <v/>
      </c>
      <c r="AQ506" s="145">
        <f>IF(NOTA[[#This Row],[CONCAT1]]="","",MATCH(NOTA[[#This Row],[CONCAT1]],[3]!db[NB NOTA_C],0)+1)</f>
        <v>1320</v>
      </c>
    </row>
    <row r="507" spans="1:43" ht="20.100000000000001" customHeight="1" x14ac:dyDescent="0.25">
      <c r="A50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6" t="str">
        <f>IF(NOTA[[#This Row],[ID_P]]="","",MATCH(NOTA[[#This Row],[ID_P]],[1]!B_MSK[N_ID],0))</f>
        <v/>
      </c>
      <c r="D507" s="36">
        <f ca="1">IF(NOTA[[#This Row],[NAMA BARANG]]="","",INDEX(NOTA[ID],MATCH(,INDIRECT(ADDRESS(ROW(NOTA[ID]),COLUMN(NOTA[ID]))&amp;":"&amp;ADDRESS(ROW(),COLUMN(NOTA[ID]))),-1)))</f>
        <v>89</v>
      </c>
      <c r="E507" s="93"/>
      <c r="F507" s="94"/>
      <c r="G507" s="94"/>
      <c r="H507" s="95"/>
      <c r="I507" s="94"/>
      <c r="J507" s="96"/>
      <c r="K507" s="94"/>
      <c r="L507" s="16" t="s">
        <v>706</v>
      </c>
      <c r="M507" s="97">
        <v>1</v>
      </c>
      <c r="N507" s="94"/>
      <c r="O507" s="94"/>
      <c r="P507" s="98"/>
      <c r="Q507" s="99">
        <v>1500000</v>
      </c>
      <c r="R507" s="28" t="s">
        <v>730</v>
      </c>
      <c r="S507" s="100">
        <v>0.17</v>
      </c>
      <c r="T507" s="100"/>
      <c r="U507" s="101"/>
      <c r="V507" s="102"/>
      <c r="W507" s="40">
        <f>IF(NOTA[[#This Row],[HARGA/ CTN]]="",NOTA[[#This Row],[JUMLAH_H]],NOTA[[#This Row],[HARGA/ CTN]]*IF(NOTA[[#This Row],[C]]="",0,NOTA[[#This Row],[C]]))</f>
        <v>1500000</v>
      </c>
      <c r="X507" s="40">
        <f>IF(NOTA[[#This Row],[JUMLAH]]="","",NOTA[[#This Row],[JUMLAH]]*NOTA[[#This Row],[DISC 1]])</f>
        <v>255000.00000000003</v>
      </c>
      <c r="Y507" s="40">
        <f>IF(NOTA[[#This Row],[JUMLAH]]="","",(NOTA[[#This Row],[JUMLAH]]-NOTA[[#This Row],[DISC 1-]])*NOTA[[#This Row],[DISC 2]])</f>
        <v>0</v>
      </c>
      <c r="Z507" s="40">
        <f>IF(NOTA[[#This Row],[JUMLAH]]="","",NOTA[[#This Row],[DISC 1-]]+NOTA[[#This Row],[DISC 2-]])</f>
        <v>255000.00000000003</v>
      </c>
      <c r="AA507" s="40">
        <f>IF(NOTA[[#This Row],[JUMLAH]]="","",NOTA[[#This Row],[JUMLAH]]-NOTA[[#This Row],[DISC]])</f>
        <v>1245000</v>
      </c>
      <c r="AB507" s="40"/>
      <c r="AC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3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07" s="40" t="str">
        <f>IF(OR(NOTA[[#This Row],[QTY]]="",NOTA[[#This Row],[HARGA SATUAN]]="",),"",NOTA[[#This Row],[QTY]]*NOTA[[#This Row],[HARGA SATUAN]])</f>
        <v/>
      </c>
      <c r="AG507" s="37">
        <f ca="1">IF(NOTA[ID_H]="","",INDEX(NOTA[TANGGAL],MATCH(,INDIRECT(ADDRESS(ROW(NOTA[TANGGAL]),COLUMN(NOTA[TANGGAL]))&amp;":"&amp;ADDRESS(ROW(),COLUMN(NOTA[TANGGAL]))),-1)))</f>
        <v>45063</v>
      </c>
      <c r="AH507" s="35" t="str">
        <f ca="1">IF(NOTA[[#This Row],[NAMA BARANG]]="","",INDEX(NOTA[SUPPLIER],MATCH(,INDIRECT(ADDRESS(ROW(NOTA[ID]),COLUMN(NOTA[ID]))&amp;":"&amp;ADDRESS(ROW(),COLUMN(NOTA[ID]))),-1)))</f>
        <v>KENKO SINAR INDONESIA</v>
      </c>
      <c r="AI507" s="35" t="str">
        <f ca="1">IF(NOTA[[#This Row],[ID_H]]="","",IF(NOTA[[#This Row],[FAKTUR]]="",INDIRECT(ADDRESS(ROW()-1,COLUMN())),NOTA[[#This Row],[FAKTUR]]))</f>
        <v>ARTO MORO</v>
      </c>
      <c r="AJ507" s="27" t="str">
        <f ca="1">IF(NOTA[[#This Row],[ID]]="","",COUNTIF(NOTA[ID_H],NOTA[[#This Row],[ID_H]]))</f>
        <v/>
      </c>
      <c r="AK507" s="27">
        <f ca="1">IF(NOTA[[#This Row],[TGL.NOTA]]="",IF(NOTA[[#This Row],[SUPPLIER_H]]="","",AK506),MONTH(NOTA[[#This Row],[TGL.NOTA]]))</f>
        <v>5</v>
      </c>
      <c r="AL507" s="27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M5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N5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O5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27" t="str">
        <f>IF(NOTA[[#This Row],[CONCAT4]]="","",_xlfn.IFNA(MATCH(NOTA[[#This Row],[CONCAT4]],[2]!RAW[CONCAT_H],0),FALSE))</f>
        <v/>
      </c>
      <c r="AQ507" s="145">
        <f>IF(NOTA[[#This Row],[CONCAT1]]="","",MATCH(NOTA[[#This Row],[CONCAT1]],[3]!db[NB NOTA_C],0)+1)</f>
        <v>1428</v>
      </c>
    </row>
    <row r="508" spans="1:43" ht="20.100000000000001" customHeight="1" x14ac:dyDescent="0.25">
      <c r="A50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6" t="str">
        <f>IF(NOTA[[#This Row],[ID_P]]="","",MATCH(NOTA[[#This Row],[ID_P]],[1]!B_MSK[N_ID],0))</f>
        <v/>
      </c>
      <c r="D508" s="36">
        <f ca="1">IF(NOTA[[#This Row],[NAMA BARANG]]="","",INDEX(NOTA[ID],MATCH(,INDIRECT(ADDRESS(ROW(NOTA[ID]),COLUMN(NOTA[ID]))&amp;":"&amp;ADDRESS(ROW(),COLUMN(NOTA[ID]))),-1)))</f>
        <v>89</v>
      </c>
      <c r="E508" s="93"/>
      <c r="F508" s="94"/>
      <c r="G508" s="94"/>
      <c r="H508" s="95"/>
      <c r="I508" s="94"/>
      <c r="J508" s="96"/>
      <c r="K508" s="94"/>
      <c r="L508" s="16" t="s">
        <v>703</v>
      </c>
      <c r="M508" s="97">
        <v>2</v>
      </c>
      <c r="N508" s="94"/>
      <c r="O508" s="94"/>
      <c r="P508" s="98"/>
      <c r="Q508" s="99">
        <v>1375000</v>
      </c>
      <c r="R508" s="28" t="s">
        <v>730</v>
      </c>
      <c r="S508" s="100">
        <v>0.17</v>
      </c>
      <c r="T508" s="100"/>
      <c r="U508" s="101"/>
      <c r="V508" s="102"/>
      <c r="W508" s="40">
        <f>IF(NOTA[[#This Row],[HARGA/ CTN]]="",NOTA[[#This Row],[JUMLAH_H]],NOTA[[#This Row],[HARGA/ CTN]]*IF(NOTA[[#This Row],[C]]="",0,NOTA[[#This Row],[C]]))</f>
        <v>2750000</v>
      </c>
      <c r="X508" s="40">
        <f>IF(NOTA[[#This Row],[JUMLAH]]="","",NOTA[[#This Row],[JUMLAH]]*NOTA[[#This Row],[DISC 1]])</f>
        <v>467500.00000000006</v>
      </c>
      <c r="Y508" s="40">
        <f>IF(NOTA[[#This Row],[JUMLAH]]="","",(NOTA[[#This Row],[JUMLAH]]-NOTA[[#This Row],[DISC 1-]])*NOTA[[#This Row],[DISC 2]])</f>
        <v>0</v>
      </c>
      <c r="Z508" s="40">
        <f>IF(NOTA[[#This Row],[JUMLAH]]="","",NOTA[[#This Row],[DISC 1-]]+NOTA[[#This Row],[DISC 2-]])</f>
        <v>467500.00000000006</v>
      </c>
      <c r="AA508" s="40">
        <f>IF(NOTA[[#This Row],[JUMLAH]]="","",NOTA[[#This Row],[JUMLAH]]-NOTA[[#This Row],[DISC]])</f>
        <v>2282500</v>
      </c>
      <c r="AB508" s="40"/>
      <c r="AC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3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508" s="40" t="str">
        <f>IF(OR(NOTA[[#This Row],[QTY]]="",NOTA[[#This Row],[HARGA SATUAN]]="",),"",NOTA[[#This Row],[QTY]]*NOTA[[#This Row],[HARGA SATUAN]])</f>
        <v/>
      </c>
      <c r="AG508" s="37">
        <f ca="1">IF(NOTA[ID_H]="","",INDEX(NOTA[TANGGAL],MATCH(,INDIRECT(ADDRESS(ROW(NOTA[TANGGAL]),COLUMN(NOTA[TANGGAL]))&amp;":"&amp;ADDRESS(ROW(),COLUMN(NOTA[TANGGAL]))),-1)))</f>
        <v>45063</v>
      </c>
      <c r="AH508" s="35" t="str">
        <f ca="1">IF(NOTA[[#This Row],[NAMA BARANG]]="","",INDEX(NOTA[SUPPLIER],MATCH(,INDIRECT(ADDRESS(ROW(NOTA[ID]),COLUMN(NOTA[ID]))&amp;":"&amp;ADDRESS(ROW(),COLUMN(NOTA[ID]))),-1)))</f>
        <v>KENKO SINAR INDONESIA</v>
      </c>
      <c r="AI508" s="35" t="str">
        <f ca="1">IF(NOTA[[#This Row],[ID_H]]="","",IF(NOTA[[#This Row],[FAKTUR]]="",INDIRECT(ADDRESS(ROW()-1,COLUMN())),NOTA[[#This Row],[FAKTUR]]))</f>
        <v>ARTO MORO</v>
      </c>
      <c r="AJ508" s="27" t="str">
        <f ca="1">IF(NOTA[[#This Row],[ID]]="","",COUNTIF(NOTA[ID_H],NOTA[[#This Row],[ID_H]]))</f>
        <v/>
      </c>
      <c r="AK508" s="27">
        <f ca="1">IF(NOTA[[#This Row],[TGL.NOTA]]="",IF(NOTA[[#This Row],[SUPPLIER_H]]="","",AK507),MONTH(NOTA[[#This Row],[TGL.NOTA]]))</f>
        <v>5</v>
      </c>
      <c r="AL508" s="27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M5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N5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O5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27" t="str">
        <f>IF(NOTA[[#This Row],[CONCAT4]]="","",_xlfn.IFNA(MATCH(NOTA[[#This Row],[CONCAT4]],[2]!RAW[CONCAT_H],0),FALSE))</f>
        <v/>
      </c>
      <c r="AQ508" s="145">
        <f>IF(NOTA[[#This Row],[CONCAT1]]="","",MATCH(NOTA[[#This Row],[CONCAT1]],[3]!db[NB NOTA_C],0)+1)</f>
        <v>1251</v>
      </c>
    </row>
    <row r="509" spans="1:43" ht="20.100000000000001" customHeight="1" x14ac:dyDescent="0.25">
      <c r="A50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6" t="str">
        <f>IF(NOTA[[#This Row],[ID_P]]="","",MATCH(NOTA[[#This Row],[ID_P]],[1]!B_MSK[N_ID],0))</f>
        <v/>
      </c>
      <c r="D509" s="36">
        <f ca="1">IF(NOTA[[#This Row],[NAMA BARANG]]="","",INDEX(NOTA[ID],MATCH(,INDIRECT(ADDRESS(ROW(NOTA[ID]),COLUMN(NOTA[ID]))&amp;":"&amp;ADDRESS(ROW(),COLUMN(NOTA[ID]))),-1)))</f>
        <v>89</v>
      </c>
      <c r="E509" s="93"/>
      <c r="F509" s="94"/>
      <c r="G509" s="94"/>
      <c r="H509" s="95"/>
      <c r="I509" s="94"/>
      <c r="J509" s="96"/>
      <c r="K509" s="94"/>
      <c r="L509" s="16" t="s">
        <v>707</v>
      </c>
      <c r="M509" s="97">
        <v>1</v>
      </c>
      <c r="N509" s="94"/>
      <c r="O509" s="94"/>
      <c r="P509" s="98"/>
      <c r="Q509" s="99">
        <v>2160000</v>
      </c>
      <c r="R509" s="28" t="s">
        <v>152</v>
      </c>
      <c r="S509" s="100">
        <v>0.17</v>
      </c>
      <c r="T509" s="100"/>
      <c r="U509" s="101"/>
      <c r="V509" s="102"/>
      <c r="W509" s="40">
        <f>IF(NOTA[[#This Row],[HARGA/ CTN]]="",NOTA[[#This Row],[JUMLAH_H]],NOTA[[#This Row],[HARGA/ CTN]]*IF(NOTA[[#This Row],[C]]="",0,NOTA[[#This Row],[C]]))</f>
        <v>2160000</v>
      </c>
      <c r="X509" s="40">
        <f>IF(NOTA[[#This Row],[JUMLAH]]="","",NOTA[[#This Row],[JUMLAH]]*NOTA[[#This Row],[DISC 1]])</f>
        <v>367200</v>
      </c>
      <c r="Y509" s="40">
        <f>IF(NOTA[[#This Row],[JUMLAH]]="","",(NOTA[[#This Row],[JUMLAH]]-NOTA[[#This Row],[DISC 1-]])*NOTA[[#This Row],[DISC 2]])</f>
        <v>0</v>
      </c>
      <c r="Z509" s="40">
        <f>IF(NOTA[[#This Row],[JUMLAH]]="","",NOTA[[#This Row],[DISC 1-]]+NOTA[[#This Row],[DISC 2-]])</f>
        <v>367200</v>
      </c>
      <c r="AA509" s="40">
        <f>IF(NOTA[[#This Row],[JUMLAH]]="","",NOTA[[#This Row],[JUMLAH]]-NOTA[[#This Row],[DISC]])</f>
        <v>1792800</v>
      </c>
      <c r="AB509" s="40"/>
      <c r="AC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09" s="40" t="str">
        <f>IF(OR(NOTA[[#This Row],[QTY]]="",NOTA[[#This Row],[HARGA SATUAN]]="",),"",NOTA[[#This Row],[QTY]]*NOTA[[#This Row],[HARGA SATUAN]])</f>
        <v/>
      </c>
      <c r="AG509" s="37">
        <f ca="1">IF(NOTA[ID_H]="","",INDEX(NOTA[TANGGAL],MATCH(,INDIRECT(ADDRESS(ROW(NOTA[TANGGAL]),COLUMN(NOTA[TANGGAL]))&amp;":"&amp;ADDRESS(ROW(),COLUMN(NOTA[TANGGAL]))),-1)))</f>
        <v>45063</v>
      </c>
      <c r="AH509" s="35" t="str">
        <f ca="1">IF(NOTA[[#This Row],[NAMA BARANG]]="","",INDEX(NOTA[SUPPLIER],MATCH(,INDIRECT(ADDRESS(ROW(NOTA[ID]),COLUMN(NOTA[ID]))&amp;":"&amp;ADDRESS(ROW(),COLUMN(NOTA[ID]))),-1)))</f>
        <v>KENKO SINAR INDONESIA</v>
      </c>
      <c r="AI509" s="35" t="str">
        <f ca="1">IF(NOTA[[#This Row],[ID_H]]="","",IF(NOTA[[#This Row],[FAKTUR]]="",INDIRECT(ADDRESS(ROW()-1,COLUMN())),NOTA[[#This Row],[FAKTUR]]))</f>
        <v>ARTO MORO</v>
      </c>
      <c r="AJ509" s="27" t="str">
        <f ca="1">IF(NOTA[[#This Row],[ID]]="","",COUNTIF(NOTA[ID_H],NOTA[[#This Row],[ID_H]]))</f>
        <v/>
      </c>
      <c r="AK509" s="27">
        <f ca="1">IF(NOTA[[#This Row],[TGL.NOTA]]="",IF(NOTA[[#This Row],[SUPPLIER_H]]="","",AK508),MONTH(NOTA[[#This Row],[TGL.NOTA]]))</f>
        <v>5</v>
      </c>
      <c r="AL509" s="27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5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5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5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27" t="str">
        <f>IF(NOTA[[#This Row],[CONCAT4]]="","",_xlfn.IFNA(MATCH(NOTA[[#This Row],[CONCAT4]],[2]!RAW[CONCAT_H],0),FALSE))</f>
        <v/>
      </c>
      <c r="AQ509" s="145">
        <f>IF(NOTA[[#This Row],[CONCAT1]]="","",MATCH(NOTA[[#This Row],[CONCAT1]],[3]!db[NB NOTA_C],0)+1)</f>
        <v>1193</v>
      </c>
    </row>
    <row r="510" spans="1:43" ht="20.100000000000001" customHeight="1" x14ac:dyDescent="0.25">
      <c r="A51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6" t="str">
        <f>IF(NOTA[[#This Row],[ID_P]]="","",MATCH(NOTA[[#This Row],[ID_P]],[1]!B_MSK[N_ID],0))</f>
        <v/>
      </c>
      <c r="D510" s="36">
        <f ca="1">IF(NOTA[[#This Row],[NAMA BARANG]]="","",INDEX(NOTA[ID],MATCH(,INDIRECT(ADDRESS(ROW(NOTA[ID]),COLUMN(NOTA[ID]))&amp;":"&amp;ADDRESS(ROW(),COLUMN(NOTA[ID]))),-1)))</f>
        <v>89</v>
      </c>
      <c r="E510" s="93"/>
      <c r="F510" s="94"/>
      <c r="G510" s="94"/>
      <c r="H510" s="95"/>
      <c r="I510" s="94"/>
      <c r="J510" s="96"/>
      <c r="K510" s="94"/>
      <c r="L510" s="16" t="s">
        <v>704</v>
      </c>
      <c r="M510" s="97">
        <v>1</v>
      </c>
      <c r="N510" s="94"/>
      <c r="O510" s="94"/>
      <c r="P510" s="98"/>
      <c r="Q510" s="99">
        <v>2160000</v>
      </c>
      <c r="R510" s="28" t="s">
        <v>152</v>
      </c>
      <c r="S510" s="100">
        <v>0.17</v>
      </c>
      <c r="T510" s="100"/>
      <c r="U510" s="101"/>
      <c r="V510" s="102"/>
      <c r="W510" s="40">
        <f>IF(NOTA[[#This Row],[HARGA/ CTN]]="",NOTA[[#This Row],[JUMLAH_H]],NOTA[[#This Row],[HARGA/ CTN]]*IF(NOTA[[#This Row],[C]]="",0,NOTA[[#This Row],[C]]))</f>
        <v>2160000</v>
      </c>
      <c r="X510" s="40">
        <f>IF(NOTA[[#This Row],[JUMLAH]]="","",NOTA[[#This Row],[JUMLAH]]*NOTA[[#This Row],[DISC 1]])</f>
        <v>367200</v>
      </c>
      <c r="Y510" s="40">
        <f>IF(NOTA[[#This Row],[JUMLAH]]="","",(NOTA[[#This Row],[JUMLAH]]-NOTA[[#This Row],[DISC 1-]])*NOTA[[#This Row],[DISC 2]])</f>
        <v>0</v>
      </c>
      <c r="Z510" s="40">
        <f>IF(NOTA[[#This Row],[JUMLAH]]="","",NOTA[[#This Row],[DISC 1-]]+NOTA[[#This Row],[DISC 2-]])</f>
        <v>367200</v>
      </c>
      <c r="AA510" s="40">
        <f>IF(NOTA[[#This Row],[JUMLAH]]="","",NOTA[[#This Row],[JUMLAH]]-NOTA[[#This Row],[DISC]])</f>
        <v>1792800</v>
      </c>
      <c r="AB510" s="40"/>
      <c r="AC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10" s="40" t="str">
        <f>IF(OR(NOTA[[#This Row],[QTY]]="",NOTA[[#This Row],[HARGA SATUAN]]="",),"",NOTA[[#This Row],[QTY]]*NOTA[[#This Row],[HARGA SATUAN]])</f>
        <v/>
      </c>
      <c r="AG510" s="37">
        <f ca="1">IF(NOTA[ID_H]="","",INDEX(NOTA[TANGGAL],MATCH(,INDIRECT(ADDRESS(ROW(NOTA[TANGGAL]),COLUMN(NOTA[TANGGAL]))&amp;":"&amp;ADDRESS(ROW(),COLUMN(NOTA[TANGGAL]))),-1)))</f>
        <v>45063</v>
      </c>
      <c r="AH510" s="35" t="str">
        <f ca="1">IF(NOTA[[#This Row],[NAMA BARANG]]="","",INDEX(NOTA[SUPPLIER],MATCH(,INDIRECT(ADDRESS(ROW(NOTA[ID]),COLUMN(NOTA[ID]))&amp;":"&amp;ADDRESS(ROW(),COLUMN(NOTA[ID]))),-1)))</f>
        <v>KENKO SINAR INDONESIA</v>
      </c>
      <c r="AI510" s="35" t="str">
        <f ca="1">IF(NOTA[[#This Row],[ID_H]]="","",IF(NOTA[[#This Row],[FAKTUR]]="",INDIRECT(ADDRESS(ROW()-1,COLUMN())),NOTA[[#This Row],[FAKTUR]]))</f>
        <v>ARTO MORO</v>
      </c>
      <c r="AJ510" s="27" t="str">
        <f ca="1">IF(NOTA[[#This Row],[ID]]="","",COUNTIF(NOTA[ID_H],NOTA[[#This Row],[ID_H]]))</f>
        <v/>
      </c>
      <c r="AK510" s="27">
        <f ca="1">IF(NOTA[[#This Row],[TGL.NOTA]]="",IF(NOTA[[#This Row],[SUPPLIER_H]]="","",AK509),MONTH(NOTA[[#This Row],[TGL.NOTA]]))</f>
        <v>5</v>
      </c>
      <c r="AL510" s="27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5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5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51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27" t="str">
        <f>IF(NOTA[[#This Row],[CONCAT4]]="","",_xlfn.IFNA(MATCH(NOTA[[#This Row],[CONCAT4]],[2]!RAW[CONCAT_H],0),FALSE))</f>
        <v/>
      </c>
      <c r="AQ510" s="145">
        <f>IF(NOTA[[#This Row],[CONCAT1]]="","",MATCH(NOTA[[#This Row],[CONCAT1]],[3]!db[NB NOTA_C],0)+1)</f>
        <v>1192</v>
      </c>
    </row>
    <row r="511" spans="1:43" ht="20.100000000000001" customHeight="1" x14ac:dyDescent="0.25">
      <c r="A51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6" t="str">
        <f>IF(NOTA[[#This Row],[ID_P]]="","",MATCH(NOTA[[#This Row],[ID_P]],[1]!B_MSK[N_ID],0))</f>
        <v/>
      </c>
      <c r="D511" s="36">
        <f ca="1">IF(NOTA[[#This Row],[NAMA BARANG]]="","",INDEX(NOTA[ID],MATCH(,INDIRECT(ADDRESS(ROW(NOTA[ID]),COLUMN(NOTA[ID]))&amp;":"&amp;ADDRESS(ROW(),COLUMN(NOTA[ID]))),-1)))</f>
        <v>89</v>
      </c>
      <c r="E511" s="93"/>
      <c r="F511" s="94"/>
      <c r="G511" s="94"/>
      <c r="H511" s="95"/>
      <c r="I511" s="94"/>
      <c r="J511" s="96"/>
      <c r="K511" s="94"/>
      <c r="L511" s="16" t="s">
        <v>705</v>
      </c>
      <c r="M511" s="97">
        <v>1</v>
      </c>
      <c r="N511" s="94"/>
      <c r="O511" s="94"/>
      <c r="P511" s="98"/>
      <c r="Q511" s="99">
        <v>2160000</v>
      </c>
      <c r="R511" s="28" t="s">
        <v>152</v>
      </c>
      <c r="S511" s="100">
        <v>0.17</v>
      </c>
      <c r="T511" s="100"/>
      <c r="U511" s="101"/>
      <c r="V511" s="102"/>
      <c r="W511" s="40">
        <f>IF(NOTA[[#This Row],[HARGA/ CTN]]="",NOTA[[#This Row],[JUMLAH_H]],NOTA[[#This Row],[HARGA/ CTN]]*IF(NOTA[[#This Row],[C]]="",0,NOTA[[#This Row],[C]]))</f>
        <v>2160000</v>
      </c>
      <c r="X511" s="40">
        <f>IF(NOTA[[#This Row],[JUMLAH]]="","",NOTA[[#This Row],[JUMLAH]]*NOTA[[#This Row],[DISC 1]])</f>
        <v>367200</v>
      </c>
      <c r="Y511" s="40">
        <f>IF(NOTA[[#This Row],[JUMLAH]]="","",(NOTA[[#This Row],[JUMLAH]]-NOTA[[#This Row],[DISC 1-]])*NOTA[[#This Row],[DISC 2]])</f>
        <v>0</v>
      </c>
      <c r="Z511" s="40">
        <f>IF(NOTA[[#This Row],[JUMLAH]]="","",NOTA[[#This Row],[DISC 1-]]+NOTA[[#This Row],[DISC 2-]])</f>
        <v>367200</v>
      </c>
      <c r="AA511" s="40">
        <f>IF(NOTA[[#This Row],[JUMLAH]]="","",NOTA[[#This Row],[JUMLAH]]-NOTA[[#This Row],[DISC]])</f>
        <v>1792800</v>
      </c>
      <c r="AB511" s="40"/>
      <c r="AC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3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11" s="40" t="str">
        <f>IF(OR(NOTA[[#This Row],[QTY]]="",NOTA[[#This Row],[HARGA SATUAN]]="",),"",NOTA[[#This Row],[QTY]]*NOTA[[#This Row],[HARGA SATUAN]])</f>
        <v/>
      </c>
      <c r="AG511" s="37">
        <f ca="1">IF(NOTA[ID_H]="","",INDEX(NOTA[TANGGAL],MATCH(,INDIRECT(ADDRESS(ROW(NOTA[TANGGAL]),COLUMN(NOTA[TANGGAL]))&amp;":"&amp;ADDRESS(ROW(),COLUMN(NOTA[TANGGAL]))),-1)))</f>
        <v>45063</v>
      </c>
      <c r="AH511" s="35" t="str">
        <f ca="1">IF(NOTA[[#This Row],[NAMA BARANG]]="","",INDEX(NOTA[SUPPLIER],MATCH(,INDIRECT(ADDRESS(ROW(NOTA[ID]),COLUMN(NOTA[ID]))&amp;":"&amp;ADDRESS(ROW(),COLUMN(NOTA[ID]))),-1)))</f>
        <v>KENKO SINAR INDONESIA</v>
      </c>
      <c r="AI511" s="35" t="str">
        <f ca="1">IF(NOTA[[#This Row],[ID_H]]="","",IF(NOTA[[#This Row],[FAKTUR]]="",INDIRECT(ADDRESS(ROW()-1,COLUMN())),NOTA[[#This Row],[FAKTUR]]))</f>
        <v>ARTO MORO</v>
      </c>
      <c r="AJ511" s="27" t="str">
        <f ca="1">IF(NOTA[[#This Row],[ID]]="","",COUNTIF(NOTA[ID_H],NOTA[[#This Row],[ID_H]]))</f>
        <v/>
      </c>
      <c r="AK511" s="27">
        <f ca="1">IF(NOTA[[#This Row],[TGL.NOTA]]="",IF(NOTA[[#This Row],[SUPPLIER_H]]="","",AK510),MONTH(NOTA[[#This Row],[TGL.NOTA]]))</f>
        <v>5</v>
      </c>
      <c r="AL511" s="27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5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5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5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27" t="str">
        <f>IF(NOTA[[#This Row],[CONCAT4]]="","",_xlfn.IFNA(MATCH(NOTA[[#This Row],[CONCAT4]],[2]!RAW[CONCAT_H],0),FALSE))</f>
        <v/>
      </c>
      <c r="AQ511" s="145">
        <f>IF(NOTA[[#This Row],[CONCAT1]]="","",MATCH(NOTA[[#This Row],[CONCAT1]],[3]!db[NB NOTA_C],0)+1)</f>
        <v>1190</v>
      </c>
    </row>
    <row r="512" spans="1:43" ht="20.100000000000001" customHeight="1" x14ac:dyDescent="0.25">
      <c r="A51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6" t="str">
        <f>IF(NOTA[[#This Row],[ID_P]]="","",MATCH(NOTA[[#This Row],[ID_P]],[1]!B_MSK[N_ID],0))</f>
        <v/>
      </c>
      <c r="D512" s="36">
        <f ca="1">IF(NOTA[[#This Row],[NAMA BARANG]]="","",INDEX(NOTA[ID],MATCH(,INDIRECT(ADDRESS(ROW(NOTA[ID]),COLUMN(NOTA[ID]))&amp;":"&amp;ADDRESS(ROW(),COLUMN(NOTA[ID]))),-1)))</f>
        <v>89</v>
      </c>
      <c r="E512" s="93"/>
      <c r="F512" s="94"/>
      <c r="G512" s="94"/>
      <c r="H512" s="95"/>
      <c r="I512" s="94"/>
      <c r="J512" s="96"/>
      <c r="K512" s="94"/>
      <c r="L512" s="16" t="s">
        <v>226</v>
      </c>
      <c r="M512" s="97">
        <v>2</v>
      </c>
      <c r="N512" s="94"/>
      <c r="O512" s="94"/>
      <c r="P512" s="98"/>
      <c r="Q512" s="99">
        <v>3888000</v>
      </c>
      <c r="R512" s="28" t="s">
        <v>231</v>
      </c>
      <c r="S512" s="100">
        <v>0.17</v>
      </c>
      <c r="T512" s="100"/>
      <c r="U512" s="101"/>
      <c r="V512" s="102"/>
      <c r="W512" s="40">
        <f>IF(NOTA[[#This Row],[HARGA/ CTN]]="",NOTA[[#This Row],[JUMLAH_H]],NOTA[[#This Row],[HARGA/ CTN]]*IF(NOTA[[#This Row],[C]]="",0,NOTA[[#This Row],[C]]))</f>
        <v>7776000</v>
      </c>
      <c r="X512" s="40">
        <f>IF(NOTA[[#This Row],[JUMLAH]]="","",NOTA[[#This Row],[JUMLAH]]*NOTA[[#This Row],[DISC 1]])</f>
        <v>1321920</v>
      </c>
      <c r="Y512" s="40">
        <f>IF(NOTA[[#This Row],[JUMLAH]]="","",(NOTA[[#This Row],[JUMLAH]]-NOTA[[#This Row],[DISC 1-]])*NOTA[[#This Row],[DISC 2]])</f>
        <v>0</v>
      </c>
      <c r="Z512" s="40">
        <f>IF(NOTA[[#This Row],[JUMLAH]]="","",NOTA[[#This Row],[DISC 1-]]+NOTA[[#This Row],[DISC 2-]])</f>
        <v>1321920</v>
      </c>
      <c r="AA512" s="40">
        <f>IF(NOTA[[#This Row],[JUMLAH]]="","",NOTA[[#This Row],[JUMLAH]]-NOTA[[#This Row],[DISC]])</f>
        <v>6454080</v>
      </c>
      <c r="AB512" s="40"/>
      <c r="AC5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11072440.000000002</v>
      </c>
      <c r="AD512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54059560</v>
      </c>
      <c r="AE512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12" s="40" t="str">
        <f>IF(OR(NOTA[[#This Row],[QTY]]="",NOTA[[#This Row],[HARGA SATUAN]]="",),"",NOTA[[#This Row],[QTY]]*NOTA[[#This Row],[HARGA SATUAN]])</f>
        <v/>
      </c>
      <c r="AG512" s="37">
        <f ca="1">IF(NOTA[ID_H]="","",INDEX(NOTA[TANGGAL],MATCH(,INDIRECT(ADDRESS(ROW(NOTA[TANGGAL]),COLUMN(NOTA[TANGGAL]))&amp;":"&amp;ADDRESS(ROW(),COLUMN(NOTA[TANGGAL]))),-1)))</f>
        <v>45063</v>
      </c>
      <c r="AH512" s="35" t="str">
        <f ca="1">IF(NOTA[[#This Row],[NAMA BARANG]]="","",INDEX(NOTA[SUPPLIER],MATCH(,INDIRECT(ADDRESS(ROW(NOTA[ID]),COLUMN(NOTA[ID]))&amp;":"&amp;ADDRESS(ROW(),COLUMN(NOTA[ID]))),-1)))</f>
        <v>KENKO SINAR INDONESIA</v>
      </c>
      <c r="AI512" s="35" t="str">
        <f ca="1">IF(NOTA[[#This Row],[ID_H]]="","",IF(NOTA[[#This Row],[FAKTUR]]="",INDIRECT(ADDRESS(ROW()-1,COLUMN())),NOTA[[#This Row],[FAKTUR]]))</f>
        <v>ARTO MORO</v>
      </c>
      <c r="AJ512" s="27" t="str">
        <f ca="1">IF(NOTA[[#This Row],[ID]]="","",COUNTIF(NOTA[ID_H],NOTA[[#This Row],[ID_H]]))</f>
        <v/>
      </c>
      <c r="AK512" s="27">
        <f ca="1">IF(NOTA[[#This Row],[TGL.NOTA]]="",IF(NOTA[[#This Row],[SUPPLIER_H]]="","",AK511),MONTH(NOTA[[#This Row],[TGL.NOTA]]))</f>
        <v>5</v>
      </c>
      <c r="AL512" s="27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27" t="str">
        <f>IF(NOTA[[#This Row],[CONCAT4]]="","",_xlfn.IFNA(MATCH(NOTA[[#This Row],[CONCAT4]],[2]!RAW[CONCAT_H],0),FALSE))</f>
        <v/>
      </c>
      <c r="AQ512" s="145">
        <f>IF(NOTA[[#This Row],[CONCAT1]]="","",MATCH(NOTA[[#This Row],[CONCAT1]],[3]!db[NB NOTA_C],0)+1)</f>
        <v>1236</v>
      </c>
    </row>
    <row r="513" spans="1:43" ht="20.100000000000001" customHeight="1" x14ac:dyDescent="0.25">
      <c r="A51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6" t="str">
        <f>IF(NOTA[[#This Row],[ID_P]]="","",MATCH(NOTA[[#This Row],[ID_P]],[1]!B_MSK[N_ID],0))</f>
        <v/>
      </c>
      <c r="D513" s="36" t="str">
        <f ca="1">IF(NOTA[[#This Row],[NAMA BARANG]]="","",INDEX(NOTA[ID],MATCH(,INDIRECT(ADDRESS(ROW(NOTA[ID]),COLUMN(NOTA[ID]))&amp;":"&amp;ADDRESS(ROW(),COLUMN(NOTA[ID]))),-1)))</f>
        <v/>
      </c>
      <c r="E513" s="93"/>
      <c r="F513" s="94"/>
      <c r="G513" s="94"/>
      <c r="H513" s="95"/>
      <c r="I513" s="94"/>
      <c r="J513" s="96"/>
      <c r="K513" s="94"/>
      <c r="L513" s="16"/>
      <c r="M513" s="97"/>
      <c r="N513" s="94"/>
      <c r="O513" s="94"/>
      <c r="P513" s="98"/>
      <c r="Q513" s="99"/>
      <c r="R513" s="97"/>
      <c r="S513" s="100"/>
      <c r="T513" s="100"/>
      <c r="U513" s="101"/>
      <c r="V513" s="102"/>
      <c r="W513" s="40" t="str">
        <f>IF(NOTA[[#This Row],[HARGA/ CTN]]="",NOTA[[#This Row],[JUMLAH_H]],NOTA[[#This Row],[HARGA/ CTN]]*IF(NOTA[[#This Row],[C]]="",0,NOTA[[#This Row],[C]]))</f>
        <v/>
      </c>
      <c r="X513" s="40" t="str">
        <f>IF(NOTA[[#This Row],[JUMLAH]]="","",NOTA[[#This Row],[JUMLAH]]*NOTA[[#This Row],[DISC 1]])</f>
        <v/>
      </c>
      <c r="Y513" s="40" t="str">
        <f>IF(NOTA[[#This Row],[JUMLAH]]="","",(NOTA[[#This Row],[JUMLAH]]-NOTA[[#This Row],[DISC 1-]])*NOTA[[#This Row],[DISC 2]])</f>
        <v/>
      </c>
      <c r="Z513" s="40" t="str">
        <f>IF(NOTA[[#This Row],[JUMLAH]]="","",NOTA[[#This Row],[DISC 1-]]+NOTA[[#This Row],[DISC 2-]])</f>
        <v/>
      </c>
      <c r="AA513" s="40" t="str">
        <f>IF(NOTA[[#This Row],[JUMLAH]]="","",NOTA[[#This Row],[JUMLAH]]-NOTA[[#This Row],[DISC]])</f>
        <v/>
      </c>
      <c r="AB513" s="40"/>
      <c r="AC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3" s="40" t="str">
        <f>IF(OR(NOTA[[#This Row],[QTY]]="",NOTA[[#This Row],[HARGA SATUAN]]="",),"",NOTA[[#This Row],[QTY]]*NOTA[[#This Row],[HARGA SATUAN]])</f>
        <v/>
      </c>
      <c r="AG513" s="37" t="str">
        <f ca="1">IF(NOTA[ID_H]="","",INDEX(NOTA[TANGGAL],MATCH(,INDIRECT(ADDRESS(ROW(NOTA[TANGGAL]),COLUMN(NOTA[TANGGAL]))&amp;":"&amp;ADDRESS(ROW(),COLUMN(NOTA[TANGGAL]))),-1)))</f>
        <v/>
      </c>
      <c r="AH513" s="35" t="str">
        <f ca="1">IF(NOTA[[#This Row],[NAMA BARANG]]="","",INDEX(NOTA[SUPPLIER],MATCH(,INDIRECT(ADDRESS(ROW(NOTA[ID]),COLUMN(NOTA[ID]))&amp;":"&amp;ADDRESS(ROW(),COLUMN(NOTA[ID]))),-1)))</f>
        <v/>
      </c>
      <c r="AI513" s="35" t="str">
        <f ca="1">IF(NOTA[[#This Row],[ID_H]]="","",IF(NOTA[[#This Row],[FAKTUR]]="",INDIRECT(ADDRESS(ROW()-1,COLUMN())),NOTA[[#This Row],[FAKTUR]]))</f>
        <v/>
      </c>
      <c r="AJ513" s="27" t="str">
        <f ca="1">IF(NOTA[[#This Row],[ID]]="","",COUNTIF(NOTA[ID_H],NOTA[[#This Row],[ID_H]]))</f>
        <v/>
      </c>
      <c r="AK513" s="27" t="str">
        <f ca="1">IF(NOTA[[#This Row],[TGL.NOTA]]="",IF(NOTA[[#This Row],[SUPPLIER_H]]="","",AK512),MONTH(NOTA[[#This Row],[TGL.NOTA]]))</f>
        <v/>
      </c>
      <c r="AL513" s="27" t="str">
        <f>LOWER(SUBSTITUTE(SUBSTITUTE(SUBSTITUTE(SUBSTITUTE(SUBSTITUTE(SUBSTITUTE(SUBSTITUTE(SUBSTITUTE(SUBSTITUTE(NOTA[NAMA BARANG]," ",),".",""),"-",""),"(",""),")",""),",",""),"/",""),"""",""),"+",""))</f>
        <v/>
      </c>
      <c r="AM5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3" s="27" t="str">
        <f>IF(NOTA[[#This Row],[CONCAT4]]="","",_xlfn.IFNA(MATCH(NOTA[[#This Row],[CONCAT4]],[2]!RAW[CONCAT_H],0),FALSE))</f>
        <v/>
      </c>
      <c r="AQ513" s="145" t="str">
        <f>IF(NOTA[[#This Row],[CONCAT1]]="","",MATCH(NOTA[[#This Row],[CONCAT1]],[3]!db[NB NOTA_C],0)+1)</f>
        <v/>
      </c>
    </row>
    <row r="514" spans="1:43" ht="20.100000000000001" customHeight="1" x14ac:dyDescent="0.25">
      <c r="A514" s="35">
        <f ca="1">IF(INDIRECT(ADDRESS(ROW()-1,COLUMN(NOTA[[#Headers],[ID]])))="ID",1,IF(NOTA[[#This Row],[FAKTUR]]="","",COUNT(INDIRECT(ADDRESS(ROW(NOTA[ID]),COLUMN(NOTA[ID]))&amp;":"&amp;ADDRESS(ROW()-1,COLUMN(NOTA[ID]))))+1))</f>
        <v>90</v>
      </c>
      <c r="B514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KEN_1705_370-10</v>
      </c>
      <c r="C514" s="36" t="e">
        <f ca="1">IF(NOTA[[#This Row],[ID_P]]="","",MATCH(NOTA[[#This Row],[ID_P]],[1]!B_MSK[N_ID],0))</f>
        <v>#REF!</v>
      </c>
      <c r="D514" s="36">
        <f ca="1">IF(NOTA[[#This Row],[NAMA BARANG]]="","",INDEX(NOTA[ID],MATCH(,INDIRECT(ADDRESS(ROW(NOTA[ID]),COLUMN(NOTA[ID]))&amp;":"&amp;ADDRESS(ROW(),COLUMN(NOTA[ID]))),-1)))</f>
        <v>90</v>
      </c>
      <c r="E514" s="14"/>
      <c r="F514" s="16" t="s">
        <v>23</v>
      </c>
      <c r="G514" s="16" t="s">
        <v>24</v>
      </c>
      <c r="H514" s="20" t="s">
        <v>733</v>
      </c>
      <c r="I514" s="16" t="s">
        <v>739</v>
      </c>
      <c r="J514" s="37">
        <v>45059</v>
      </c>
      <c r="K514" s="16"/>
      <c r="L514" s="16" t="s">
        <v>737</v>
      </c>
      <c r="M514" s="28">
        <v>5</v>
      </c>
      <c r="N514" s="16"/>
      <c r="O514" s="16"/>
      <c r="P514" s="35"/>
      <c r="Q514" s="38">
        <v>1695600</v>
      </c>
      <c r="R514" s="28" t="s">
        <v>148</v>
      </c>
      <c r="S514" s="39">
        <v>0.17</v>
      </c>
      <c r="T514" s="39"/>
      <c r="U514" s="40"/>
      <c r="V514" s="26"/>
      <c r="W514" s="40">
        <f>IF(NOTA[[#This Row],[HARGA/ CTN]]="",NOTA[[#This Row],[JUMLAH_H]],NOTA[[#This Row],[HARGA/ CTN]]*IF(NOTA[[#This Row],[C]]="",0,NOTA[[#This Row],[C]]))</f>
        <v>8478000</v>
      </c>
      <c r="X514" s="40">
        <f>IF(NOTA[[#This Row],[JUMLAH]]="","",NOTA[[#This Row],[JUMLAH]]*NOTA[[#This Row],[DISC 1]])</f>
        <v>1441260</v>
      </c>
      <c r="Y514" s="40">
        <f>IF(NOTA[[#This Row],[JUMLAH]]="","",(NOTA[[#This Row],[JUMLAH]]-NOTA[[#This Row],[DISC 1-]])*NOTA[[#This Row],[DISC 2]])</f>
        <v>0</v>
      </c>
      <c r="Z514" s="40">
        <f>IF(NOTA[[#This Row],[JUMLAH]]="","",NOTA[[#This Row],[DISC 1-]]+NOTA[[#This Row],[DISC 2-]])</f>
        <v>1441260</v>
      </c>
      <c r="AA514" s="40">
        <f>IF(NOTA[[#This Row],[JUMLAH]]="","",NOTA[[#This Row],[JUMLAH]]-NOTA[[#This Row],[DISC]])</f>
        <v>7036740</v>
      </c>
      <c r="AB514" s="40"/>
      <c r="AC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3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514" s="40" t="str">
        <f>IF(OR(NOTA[[#This Row],[QTY]]="",NOTA[[#This Row],[HARGA SATUAN]]="",),"",NOTA[[#This Row],[QTY]]*NOTA[[#This Row],[HARGA SATUAN]])</f>
        <v/>
      </c>
      <c r="AG514" s="37">
        <f ca="1">IF(NOTA[ID_H]="","",INDEX(NOTA[TANGGAL],MATCH(,INDIRECT(ADDRESS(ROW(NOTA[TANGGAL]),COLUMN(NOTA[TANGGAL]))&amp;":"&amp;ADDRESS(ROW(),COLUMN(NOTA[TANGGAL]))),-1)))</f>
        <v>45063</v>
      </c>
      <c r="AH514" s="35" t="str">
        <f ca="1">IF(NOTA[[#This Row],[NAMA BARANG]]="","",INDEX(NOTA[SUPPLIER],MATCH(,INDIRECT(ADDRESS(ROW(NOTA[ID]),COLUMN(NOTA[ID]))&amp;":"&amp;ADDRESS(ROW(),COLUMN(NOTA[ID]))),-1)))</f>
        <v>KENKO SINAR INDONESIA</v>
      </c>
      <c r="AI514" s="35" t="str">
        <f ca="1">IF(NOTA[[#This Row],[ID_H]]="","",IF(NOTA[[#This Row],[FAKTUR]]="",INDIRECT(ADDRESS(ROW()-1,COLUMN())),NOTA[[#This Row],[FAKTUR]]))</f>
        <v>ARTO MORO</v>
      </c>
      <c r="AJ514" s="27">
        <f ca="1">IF(NOTA[[#This Row],[ID]]="","",COUNTIF(NOTA[ID_H],NOTA[[#This Row],[ID_H]]))</f>
        <v>10</v>
      </c>
      <c r="AK514" s="27">
        <f>IF(NOTA[[#This Row],[TGL.NOTA]]="",IF(NOTA[[#This Row],[SUPPLIER_H]]="","",AK513),MONTH(NOTA[[#This Row],[TGL.NOTA]]))</f>
        <v>5</v>
      </c>
      <c r="AL514" s="27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5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5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514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MORO23051370SA 4155845059kenkocorrectionfluidke108</v>
      </c>
      <c r="AP514" s="27" t="e">
        <f>IF(NOTA[[#This Row],[CONCAT4]]="","",_xlfn.IFNA(MATCH(NOTA[[#This Row],[CONCAT4]],[2]!RAW[CONCAT_H],0),FALSE))</f>
        <v>#REF!</v>
      </c>
      <c r="AQ514" s="145">
        <f>IF(NOTA[[#This Row],[CONCAT1]]="","",MATCH(NOTA[[#This Row],[CONCAT1]],[3]!db[NB NOTA_C],0)+1)</f>
        <v>1200</v>
      </c>
    </row>
    <row r="515" spans="1:43" ht="20.100000000000001" customHeight="1" x14ac:dyDescent="0.25">
      <c r="A51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6" t="str">
        <f>IF(NOTA[[#This Row],[ID_P]]="","",MATCH(NOTA[[#This Row],[ID_P]],[1]!B_MSK[N_ID],0))</f>
        <v/>
      </c>
      <c r="D515" s="36">
        <f ca="1">IF(NOTA[[#This Row],[NAMA BARANG]]="","",INDEX(NOTA[ID],MATCH(,INDIRECT(ADDRESS(ROW(NOTA[ID]),COLUMN(NOTA[ID]))&amp;":"&amp;ADDRESS(ROW(),COLUMN(NOTA[ID]))),-1)))</f>
        <v>90</v>
      </c>
      <c r="E515" s="14"/>
      <c r="F515" s="16"/>
      <c r="G515" s="16"/>
      <c r="H515" s="20"/>
      <c r="I515" s="16"/>
      <c r="J515" s="37"/>
      <c r="K515" s="16"/>
      <c r="L515" s="16" t="s">
        <v>734</v>
      </c>
      <c r="M515" s="28">
        <v>1</v>
      </c>
      <c r="N515" s="16"/>
      <c r="O515" s="16"/>
      <c r="P515" s="35"/>
      <c r="Q515" s="38">
        <v>844800</v>
      </c>
      <c r="R515" s="28" t="s">
        <v>427</v>
      </c>
      <c r="S515" s="39">
        <v>0.17</v>
      </c>
      <c r="T515" s="39"/>
      <c r="U515" s="40"/>
      <c r="V515" s="26"/>
      <c r="W515" s="40">
        <f>IF(NOTA[[#This Row],[HARGA/ CTN]]="",NOTA[[#This Row],[JUMLAH_H]],NOTA[[#This Row],[HARGA/ CTN]]*IF(NOTA[[#This Row],[C]]="",0,NOTA[[#This Row],[C]]))</f>
        <v>844800</v>
      </c>
      <c r="X515" s="40">
        <f>IF(NOTA[[#This Row],[JUMLAH]]="","",NOTA[[#This Row],[JUMLAH]]*NOTA[[#This Row],[DISC 1]])</f>
        <v>143616</v>
      </c>
      <c r="Y515" s="40">
        <f>IF(NOTA[[#This Row],[JUMLAH]]="","",(NOTA[[#This Row],[JUMLAH]]-NOTA[[#This Row],[DISC 1-]])*NOTA[[#This Row],[DISC 2]])</f>
        <v>0</v>
      </c>
      <c r="Z515" s="40">
        <f>IF(NOTA[[#This Row],[JUMLAH]]="","",NOTA[[#This Row],[DISC 1-]]+NOTA[[#This Row],[DISC 2-]])</f>
        <v>143616</v>
      </c>
      <c r="AA515" s="40">
        <f>IF(NOTA[[#This Row],[JUMLAH]]="","",NOTA[[#This Row],[JUMLAH]]-NOTA[[#This Row],[DISC]])</f>
        <v>701184</v>
      </c>
      <c r="AB515" s="40"/>
      <c r="AC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3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15" s="40" t="str">
        <f>IF(OR(NOTA[[#This Row],[QTY]]="",NOTA[[#This Row],[HARGA SATUAN]]="",),"",NOTA[[#This Row],[QTY]]*NOTA[[#This Row],[HARGA SATUAN]])</f>
        <v/>
      </c>
      <c r="AG515" s="37">
        <f ca="1">IF(NOTA[ID_H]="","",INDEX(NOTA[TANGGAL],MATCH(,INDIRECT(ADDRESS(ROW(NOTA[TANGGAL]),COLUMN(NOTA[TANGGAL]))&amp;":"&amp;ADDRESS(ROW(),COLUMN(NOTA[TANGGAL]))),-1)))</f>
        <v>45063</v>
      </c>
      <c r="AH515" s="35" t="str">
        <f ca="1">IF(NOTA[[#This Row],[NAMA BARANG]]="","",INDEX(NOTA[SUPPLIER],MATCH(,INDIRECT(ADDRESS(ROW(NOTA[ID]),COLUMN(NOTA[ID]))&amp;":"&amp;ADDRESS(ROW(),COLUMN(NOTA[ID]))),-1)))</f>
        <v>KENKO SINAR INDONESIA</v>
      </c>
      <c r="AI515" s="35" t="str">
        <f ca="1">IF(NOTA[[#This Row],[ID_H]]="","",IF(NOTA[[#This Row],[FAKTUR]]="",INDIRECT(ADDRESS(ROW()-1,COLUMN())),NOTA[[#This Row],[FAKTUR]]))</f>
        <v>ARTO MORO</v>
      </c>
      <c r="AJ515" s="27" t="str">
        <f ca="1">IF(NOTA[[#This Row],[ID]]="","",COUNTIF(NOTA[ID_H],NOTA[[#This Row],[ID_H]]))</f>
        <v/>
      </c>
      <c r="AK515" s="27">
        <f ca="1">IF(NOTA[[#This Row],[TGL.NOTA]]="",IF(NOTA[[#This Row],[SUPPLIER_H]]="","",AK514),MONTH(NOTA[[#This Row],[TGL.NOTA]]))</f>
        <v>5</v>
      </c>
      <c r="AL515" s="27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5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5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5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5" s="27" t="str">
        <f>IF(NOTA[[#This Row],[CONCAT4]]="","",_xlfn.IFNA(MATCH(NOTA[[#This Row],[CONCAT4]],[2]!RAW[CONCAT_H],0),FALSE))</f>
        <v/>
      </c>
      <c r="AQ515" s="145">
        <f>IF(NOTA[[#This Row],[CONCAT1]]="","",MATCH(NOTA[[#This Row],[CONCAT1]],[3]!db[NB NOTA_C],0)+1)</f>
        <v>1325</v>
      </c>
    </row>
    <row r="516" spans="1:43" ht="20.100000000000001" customHeight="1" x14ac:dyDescent="0.25">
      <c r="A51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36" t="str">
        <f>IF(NOTA[[#This Row],[ID_P]]="","",MATCH(NOTA[[#This Row],[ID_P]],[1]!B_MSK[N_ID],0))</f>
        <v/>
      </c>
      <c r="D516" s="36">
        <f ca="1">IF(NOTA[[#This Row],[NAMA BARANG]]="","",INDEX(NOTA[ID],MATCH(,INDIRECT(ADDRESS(ROW(NOTA[ID]),COLUMN(NOTA[ID]))&amp;":"&amp;ADDRESS(ROW(),COLUMN(NOTA[ID]))),-1)))</f>
        <v>90</v>
      </c>
      <c r="E516" s="14"/>
      <c r="F516" s="16"/>
      <c r="G516" s="16"/>
      <c r="H516" s="20"/>
      <c r="I516" s="16"/>
      <c r="J516" s="37"/>
      <c r="K516" s="16"/>
      <c r="L516" s="16" t="s">
        <v>698</v>
      </c>
      <c r="M516" s="28">
        <v>1</v>
      </c>
      <c r="N516" s="16"/>
      <c r="O516" s="16"/>
      <c r="P516" s="35"/>
      <c r="Q516" s="38">
        <v>801600</v>
      </c>
      <c r="R516" s="28" t="s">
        <v>728</v>
      </c>
      <c r="S516" s="39">
        <v>0.17</v>
      </c>
      <c r="T516" s="39"/>
      <c r="U516" s="40"/>
      <c r="V516" s="26"/>
      <c r="W516" s="40">
        <f>IF(NOTA[[#This Row],[HARGA/ CTN]]="",NOTA[[#This Row],[JUMLAH_H]],NOTA[[#This Row],[HARGA/ CTN]]*IF(NOTA[[#This Row],[C]]="",0,NOTA[[#This Row],[C]]))</f>
        <v>801600</v>
      </c>
      <c r="X516" s="40">
        <f>IF(NOTA[[#This Row],[JUMLAH]]="","",NOTA[[#This Row],[JUMLAH]]*NOTA[[#This Row],[DISC 1]])</f>
        <v>136272</v>
      </c>
      <c r="Y516" s="40">
        <f>IF(NOTA[[#This Row],[JUMLAH]]="","",(NOTA[[#This Row],[JUMLAH]]-NOTA[[#This Row],[DISC 1-]])*NOTA[[#This Row],[DISC 2]])</f>
        <v>0</v>
      </c>
      <c r="Z516" s="40">
        <f>IF(NOTA[[#This Row],[JUMLAH]]="","",NOTA[[#This Row],[DISC 1-]]+NOTA[[#This Row],[DISC 2-]])</f>
        <v>136272</v>
      </c>
      <c r="AA516" s="40">
        <f>IF(NOTA[[#This Row],[JUMLAH]]="","",NOTA[[#This Row],[JUMLAH]]-NOTA[[#This Row],[DISC]])</f>
        <v>665328</v>
      </c>
      <c r="AB516" s="40"/>
      <c r="AC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3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16" s="40" t="str">
        <f>IF(OR(NOTA[[#This Row],[QTY]]="",NOTA[[#This Row],[HARGA SATUAN]]="",),"",NOTA[[#This Row],[QTY]]*NOTA[[#This Row],[HARGA SATUAN]])</f>
        <v/>
      </c>
      <c r="AG516" s="37">
        <f ca="1">IF(NOTA[ID_H]="","",INDEX(NOTA[TANGGAL],MATCH(,INDIRECT(ADDRESS(ROW(NOTA[TANGGAL]),COLUMN(NOTA[TANGGAL]))&amp;":"&amp;ADDRESS(ROW(),COLUMN(NOTA[TANGGAL]))),-1)))</f>
        <v>45063</v>
      </c>
      <c r="AH516" s="35" t="str">
        <f ca="1">IF(NOTA[[#This Row],[NAMA BARANG]]="","",INDEX(NOTA[SUPPLIER],MATCH(,INDIRECT(ADDRESS(ROW(NOTA[ID]),COLUMN(NOTA[ID]))&amp;":"&amp;ADDRESS(ROW(),COLUMN(NOTA[ID]))),-1)))</f>
        <v>KENKO SINAR INDONESIA</v>
      </c>
      <c r="AI516" s="35" t="str">
        <f ca="1">IF(NOTA[[#This Row],[ID_H]]="","",IF(NOTA[[#This Row],[FAKTUR]]="",INDIRECT(ADDRESS(ROW()-1,COLUMN())),NOTA[[#This Row],[FAKTUR]]))</f>
        <v>ARTO MORO</v>
      </c>
      <c r="AJ516" s="27" t="str">
        <f ca="1">IF(NOTA[[#This Row],[ID]]="","",COUNTIF(NOTA[ID_H],NOTA[[#This Row],[ID_H]]))</f>
        <v/>
      </c>
      <c r="AK516" s="27">
        <f ca="1">IF(NOTA[[#This Row],[TGL.NOTA]]="",IF(NOTA[[#This Row],[SUPPLIER_H]]="","",AK515),MONTH(NOTA[[#This Row],[TGL.NOTA]]))</f>
        <v>5</v>
      </c>
      <c r="AL516" s="27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27" t="str">
        <f>IF(NOTA[[#This Row],[CONCAT4]]="","",_xlfn.IFNA(MATCH(NOTA[[#This Row],[CONCAT4]],[2]!RAW[CONCAT_H],0),FALSE))</f>
        <v/>
      </c>
      <c r="AQ516" s="145">
        <f>IF(NOTA[[#This Row],[CONCAT1]]="","",MATCH(NOTA[[#This Row],[CONCAT1]],[3]!db[NB NOTA_C],0)+1)</f>
        <v>1324</v>
      </c>
    </row>
    <row r="517" spans="1:43" ht="20.100000000000001" customHeight="1" x14ac:dyDescent="0.25">
      <c r="A51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36" t="str">
        <f>IF(NOTA[[#This Row],[ID_P]]="","",MATCH(NOTA[[#This Row],[ID_P]],[1]!B_MSK[N_ID],0))</f>
        <v/>
      </c>
      <c r="D517" s="36">
        <f ca="1">IF(NOTA[[#This Row],[NAMA BARANG]]="","",INDEX(NOTA[ID],MATCH(,INDIRECT(ADDRESS(ROW(NOTA[ID]),COLUMN(NOTA[ID]))&amp;":"&amp;ADDRESS(ROW(),COLUMN(NOTA[ID]))),-1)))</f>
        <v>90</v>
      </c>
      <c r="E517" s="14"/>
      <c r="F517" s="16"/>
      <c r="G517" s="16"/>
      <c r="H517" s="20"/>
      <c r="I517" s="16"/>
      <c r="J517" s="37"/>
      <c r="K517" s="16"/>
      <c r="L517" s="16" t="s">
        <v>735</v>
      </c>
      <c r="M517" s="28">
        <v>1</v>
      </c>
      <c r="N517" s="16"/>
      <c r="O517" s="16"/>
      <c r="P517" s="35"/>
      <c r="Q517" s="38">
        <v>1040000</v>
      </c>
      <c r="R517" s="28" t="s">
        <v>740</v>
      </c>
      <c r="S517" s="39">
        <v>0.17</v>
      </c>
      <c r="T517" s="39"/>
      <c r="U517" s="40"/>
      <c r="V517" s="26"/>
      <c r="W517" s="40">
        <f>IF(NOTA[[#This Row],[HARGA/ CTN]]="",NOTA[[#This Row],[JUMLAH_H]],NOTA[[#This Row],[HARGA/ CTN]]*IF(NOTA[[#This Row],[C]]="",0,NOTA[[#This Row],[C]]))</f>
        <v>1040000</v>
      </c>
      <c r="X517" s="40">
        <f>IF(NOTA[[#This Row],[JUMLAH]]="","",NOTA[[#This Row],[JUMLAH]]*NOTA[[#This Row],[DISC 1]])</f>
        <v>176800</v>
      </c>
      <c r="Y517" s="40">
        <f>IF(NOTA[[#This Row],[JUMLAH]]="","",(NOTA[[#This Row],[JUMLAH]]-NOTA[[#This Row],[DISC 1-]])*NOTA[[#This Row],[DISC 2]])</f>
        <v>0</v>
      </c>
      <c r="Z517" s="40">
        <f>IF(NOTA[[#This Row],[JUMLAH]]="","",NOTA[[#This Row],[DISC 1-]]+NOTA[[#This Row],[DISC 2-]])</f>
        <v>176800</v>
      </c>
      <c r="AA517" s="40">
        <f>IF(NOTA[[#This Row],[JUMLAH]]="","",NOTA[[#This Row],[JUMLAH]]-NOTA[[#This Row],[DISC]])</f>
        <v>863200</v>
      </c>
      <c r="AB517" s="40"/>
      <c r="AC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3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17" s="40" t="str">
        <f>IF(OR(NOTA[[#This Row],[QTY]]="",NOTA[[#This Row],[HARGA SATUAN]]="",),"",NOTA[[#This Row],[QTY]]*NOTA[[#This Row],[HARGA SATUAN]])</f>
        <v/>
      </c>
      <c r="AG517" s="37">
        <f ca="1">IF(NOTA[ID_H]="","",INDEX(NOTA[TANGGAL],MATCH(,INDIRECT(ADDRESS(ROW(NOTA[TANGGAL]),COLUMN(NOTA[TANGGAL]))&amp;":"&amp;ADDRESS(ROW(),COLUMN(NOTA[TANGGAL]))),-1)))</f>
        <v>45063</v>
      </c>
      <c r="AH517" s="35" t="str">
        <f ca="1">IF(NOTA[[#This Row],[NAMA BARANG]]="","",INDEX(NOTA[SUPPLIER],MATCH(,INDIRECT(ADDRESS(ROW(NOTA[ID]),COLUMN(NOTA[ID]))&amp;":"&amp;ADDRESS(ROW(),COLUMN(NOTA[ID]))),-1)))</f>
        <v>KENKO SINAR INDONESIA</v>
      </c>
      <c r="AI517" s="35" t="str">
        <f ca="1">IF(NOTA[[#This Row],[ID_H]]="","",IF(NOTA[[#This Row],[FAKTUR]]="",INDIRECT(ADDRESS(ROW()-1,COLUMN())),NOTA[[#This Row],[FAKTUR]]))</f>
        <v>ARTO MORO</v>
      </c>
      <c r="AJ517" s="27" t="str">
        <f ca="1">IF(NOTA[[#This Row],[ID]]="","",COUNTIF(NOTA[ID_H],NOTA[[#This Row],[ID_H]]))</f>
        <v/>
      </c>
      <c r="AK517" s="27">
        <f ca="1">IF(NOTA[[#This Row],[TGL.NOTA]]="",IF(NOTA[[#This Row],[SUPPLIER_H]]="","",AK516),MONTH(NOTA[[#This Row],[TGL.NOTA]]))</f>
        <v>5</v>
      </c>
      <c r="AL517" s="27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7" s="27" t="str">
        <f>IF(NOTA[[#This Row],[CONCAT4]]="","",_xlfn.IFNA(MATCH(NOTA[[#This Row],[CONCAT4]],[2]!RAW[CONCAT_H],0),FALSE))</f>
        <v/>
      </c>
      <c r="AQ517" s="145">
        <f>IF(NOTA[[#This Row],[CONCAT1]]="","",MATCH(NOTA[[#This Row],[CONCAT1]],[3]!db[NB NOTA_C],0)+1)</f>
        <v>1326</v>
      </c>
    </row>
    <row r="518" spans="1:43" ht="20.100000000000001" customHeight="1" x14ac:dyDescent="0.25">
      <c r="A51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36" t="str">
        <f>IF(NOTA[[#This Row],[ID_P]]="","",MATCH(NOTA[[#This Row],[ID_P]],[1]!B_MSK[N_ID],0))</f>
        <v/>
      </c>
      <c r="D518" s="36">
        <f ca="1">IF(NOTA[[#This Row],[NAMA BARANG]]="","",INDEX(NOTA[ID],MATCH(,INDIRECT(ADDRESS(ROW(NOTA[ID]),COLUMN(NOTA[ID]))&amp;":"&amp;ADDRESS(ROW(),COLUMN(NOTA[ID]))),-1)))</f>
        <v>90</v>
      </c>
      <c r="E518" s="14"/>
      <c r="F518" s="16"/>
      <c r="G518" s="16"/>
      <c r="H518" s="20"/>
      <c r="I518" s="16"/>
      <c r="J518" s="37"/>
      <c r="K518" s="16"/>
      <c r="L518" s="16" t="s">
        <v>738</v>
      </c>
      <c r="M518" s="28">
        <v>3</v>
      </c>
      <c r="N518" s="16"/>
      <c r="O518" s="16"/>
      <c r="P518" s="35"/>
      <c r="Q518" s="38">
        <v>3888000</v>
      </c>
      <c r="R518" s="28" t="s">
        <v>741</v>
      </c>
      <c r="S518" s="39">
        <v>0.17</v>
      </c>
      <c r="T518" s="39"/>
      <c r="U518" s="40"/>
      <c r="V518" s="26"/>
      <c r="W518" s="40">
        <f>IF(NOTA[[#This Row],[HARGA/ CTN]]="",NOTA[[#This Row],[JUMLAH_H]],NOTA[[#This Row],[HARGA/ CTN]]*IF(NOTA[[#This Row],[C]]="",0,NOTA[[#This Row],[C]]))</f>
        <v>11664000</v>
      </c>
      <c r="X518" s="40">
        <f>IF(NOTA[[#This Row],[JUMLAH]]="","",NOTA[[#This Row],[JUMLAH]]*NOTA[[#This Row],[DISC 1]])</f>
        <v>1982880.0000000002</v>
      </c>
      <c r="Y518" s="40">
        <f>IF(NOTA[[#This Row],[JUMLAH]]="","",(NOTA[[#This Row],[JUMLAH]]-NOTA[[#This Row],[DISC 1-]])*NOTA[[#This Row],[DISC 2]])</f>
        <v>0</v>
      </c>
      <c r="Z518" s="40">
        <f>IF(NOTA[[#This Row],[JUMLAH]]="","",NOTA[[#This Row],[DISC 1-]]+NOTA[[#This Row],[DISC 2-]])</f>
        <v>1982880.0000000002</v>
      </c>
      <c r="AA518" s="40">
        <f>IF(NOTA[[#This Row],[JUMLAH]]="","",NOTA[[#This Row],[JUMLAH]]-NOTA[[#This Row],[DISC]])</f>
        <v>9681120</v>
      </c>
      <c r="AB518" s="40"/>
      <c r="AC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3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18" s="40" t="str">
        <f>IF(OR(NOTA[[#This Row],[QTY]]="",NOTA[[#This Row],[HARGA SATUAN]]="",),"",NOTA[[#This Row],[QTY]]*NOTA[[#This Row],[HARGA SATUAN]])</f>
        <v/>
      </c>
      <c r="AG518" s="37">
        <f ca="1">IF(NOTA[ID_H]="","",INDEX(NOTA[TANGGAL],MATCH(,INDIRECT(ADDRESS(ROW(NOTA[TANGGAL]),COLUMN(NOTA[TANGGAL]))&amp;":"&amp;ADDRESS(ROW(),COLUMN(NOTA[TANGGAL]))),-1)))</f>
        <v>45063</v>
      </c>
      <c r="AH518" s="35" t="str">
        <f ca="1">IF(NOTA[[#This Row],[NAMA BARANG]]="","",INDEX(NOTA[SUPPLIER],MATCH(,INDIRECT(ADDRESS(ROW(NOTA[ID]),COLUMN(NOTA[ID]))&amp;":"&amp;ADDRESS(ROW(),COLUMN(NOTA[ID]))),-1)))</f>
        <v>KENKO SINAR INDONESIA</v>
      </c>
      <c r="AI518" s="35" t="str">
        <f ca="1">IF(NOTA[[#This Row],[ID_H]]="","",IF(NOTA[[#This Row],[FAKTUR]]="",INDIRECT(ADDRESS(ROW()-1,COLUMN())),NOTA[[#This Row],[FAKTUR]]))</f>
        <v>ARTO MORO</v>
      </c>
      <c r="AJ518" s="27" t="str">
        <f ca="1">IF(NOTA[[#This Row],[ID]]="","",COUNTIF(NOTA[ID_H],NOTA[[#This Row],[ID_H]]))</f>
        <v/>
      </c>
      <c r="AK518" s="27">
        <f ca="1">IF(NOTA[[#This Row],[TGL.NOTA]]="",IF(NOTA[[#This Row],[SUPPLIER_H]]="","",AK517),MONTH(NOTA[[#This Row],[TGL.NOTA]]))</f>
        <v>5</v>
      </c>
      <c r="AL518" s="27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5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5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5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27" t="str">
        <f>IF(NOTA[[#This Row],[CONCAT4]]="","",_xlfn.IFNA(MATCH(NOTA[[#This Row],[CONCAT4]],[2]!RAW[CONCAT_H],0),FALSE))</f>
        <v/>
      </c>
      <c r="AQ518" s="145">
        <f>IF(NOTA[[#This Row],[CONCAT1]]="","",MATCH(NOTA[[#This Row],[CONCAT1]],[3]!db[NB NOTA_C],0)+1)</f>
        <v>1235</v>
      </c>
    </row>
    <row r="519" spans="1:43" ht="20.100000000000001" customHeight="1" x14ac:dyDescent="0.25">
      <c r="A51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36" t="str">
        <f>IF(NOTA[[#This Row],[ID_P]]="","",MATCH(NOTA[[#This Row],[ID_P]],[1]!B_MSK[N_ID],0))</f>
        <v/>
      </c>
      <c r="D519" s="36">
        <f ca="1">IF(NOTA[[#This Row],[NAMA BARANG]]="","",INDEX(NOTA[ID],MATCH(,INDIRECT(ADDRESS(ROW(NOTA[ID]),COLUMN(NOTA[ID]))&amp;":"&amp;ADDRESS(ROW(),COLUMN(NOTA[ID]))),-1)))</f>
        <v>90</v>
      </c>
      <c r="E519" s="14"/>
      <c r="F519" s="16"/>
      <c r="G519" s="16"/>
      <c r="H519" s="20"/>
      <c r="I519" s="16"/>
      <c r="J519" s="37"/>
      <c r="K519" s="16"/>
      <c r="L519" s="16" t="s">
        <v>673</v>
      </c>
      <c r="M519" s="28">
        <v>2</v>
      </c>
      <c r="N519" s="16"/>
      <c r="O519" s="16"/>
      <c r="P519" s="35"/>
      <c r="Q519" s="38">
        <v>900000</v>
      </c>
      <c r="R519" s="28" t="s">
        <v>712</v>
      </c>
      <c r="S519" s="39">
        <v>0.17</v>
      </c>
      <c r="T519" s="39"/>
      <c r="U519" s="40"/>
      <c r="V519" s="26"/>
      <c r="W519" s="40">
        <f>IF(NOTA[[#This Row],[HARGA/ CTN]]="",NOTA[[#This Row],[JUMLAH_H]],NOTA[[#This Row],[HARGA/ CTN]]*IF(NOTA[[#This Row],[C]]="",0,NOTA[[#This Row],[C]]))</f>
        <v>1800000</v>
      </c>
      <c r="X519" s="40">
        <f>IF(NOTA[[#This Row],[JUMLAH]]="","",NOTA[[#This Row],[JUMLAH]]*NOTA[[#This Row],[DISC 1]])</f>
        <v>306000</v>
      </c>
      <c r="Y519" s="40">
        <f>IF(NOTA[[#This Row],[JUMLAH]]="","",(NOTA[[#This Row],[JUMLAH]]-NOTA[[#This Row],[DISC 1-]])*NOTA[[#This Row],[DISC 2]])</f>
        <v>0</v>
      </c>
      <c r="Z519" s="40">
        <f>IF(NOTA[[#This Row],[JUMLAH]]="","",NOTA[[#This Row],[DISC 1-]]+NOTA[[#This Row],[DISC 2-]])</f>
        <v>306000</v>
      </c>
      <c r="AA519" s="40">
        <f>IF(NOTA[[#This Row],[JUMLAH]]="","",NOTA[[#This Row],[JUMLAH]]-NOTA[[#This Row],[DISC]])</f>
        <v>1494000</v>
      </c>
      <c r="AB519" s="40"/>
      <c r="AC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3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19" s="40" t="str">
        <f>IF(OR(NOTA[[#This Row],[QTY]]="",NOTA[[#This Row],[HARGA SATUAN]]="",),"",NOTA[[#This Row],[QTY]]*NOTA[[#This Row],[HARGA SATUAN]])</f>
        <v/>
      </c>
      <c r="AG519" s="37">
        <f ca="1">IF(NOTA[ID_H]="","",INDEX(NOTA[TANGGAL],MATCH(,INDIRECT(ADDRESS(ROW(NOTA[TANGGAL]),COLUMN(NOTA[TANGGAL]))&amp;":"&amp;ADDRESS(ROW(),COLUMN(NOTA[TANGGAL]))),-1)))</f>
        <v>45063</v>
      </c>
      <c r="AH519" s="35" t="str">
        <f ca="1">IF(NOTA[[#This Row],[NAMA BARANG]]="","",INDEX(NOTA[SUPPLIER],MATCH(,INDIRECT(ADDRESS(ROW(NOTA[ID]),COLUMN(NOTA[ID]))&amp;":"&amp;ADDRESS(ROW(),COLUMN(NOTA[ID]))),-1)))</f>
        <v>KENKO SINAR INDONESIA</v>
      </c>
      <c r="AI519" s="35" t="str">
        <f ca="1">IF(NOTA[[#This Row],[ID_H]]="","",IF(NOTA[[#This Row],[FAKTUR]]="",INDIRECT(ADDRESS(ROW()-1,COLUMN())),NOTA[[#This Row],[FAKTUR]]))</f>
        <v>ARTO MORO</v>
      </c>
      <c r="AJ519" s="27" t="str">
        <f ca="1">IF(NOTA[[#This Row],[ID]]="","",COUNTIF(NOTA[ID_H],NOTA[[#This Row],[ID_H]]))</f>
        <v/>
      </c>
      <c r="AK519" s="27">
        <f ca="1">IF(NOTA[[#This Row],[TGL.NOTA]]="",IF(NOTA[[#This Row],[SUPPLIER_H]]="","",AK517),MONTH(NOTA[[#This Row],[TGL.NOTA]]))</f>
        <v>5</v>
      </c>
      <c r="AL519" s="27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5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5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5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27" t="str">
        <f>IF(NOTA[[#This Row],[CONCAT4]]="","",_xlfn.IFNA(MATCH(NOTA[[#This Row],[CONCAT4]],[2]!RAW[CONCAT_H],0),FALSE))</f>
        <v/>
      </c>
      <c r="AQ519" s="145">
        <f>IF(NOTA[[#This Row],[CONCAT1]]="","",MATCH(NOTA[[#This Row],[CONCAT1]],[3]!db[NB NOTA_C],0)+1)</f>
        <v>1147</v>
      </c>
    </row>
    <row r="520" spans="1:43" ht="20.100000000000001" customHeight="1" x14ac:dyDescent="0.25">
      <c r="A52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36" t="str">
        <f>IF(NOTA[[#This Row],[ID_P]]="","",MATCH(NOTA[[#This Row],[ID_P]],[1]!B_MSK[N_ID],0))</f>
        <v/>
      </c>
      <c r="D520" s="36">
        <f ca="1">IF(NOTA[[#This Row],[NAMA BARANG]]="","",INDEX(NOTA[ID],MATCH(,INDIRECT(ADDRESS(ROW(NOTA[ID]),COLUMN(NOTA[ID]))&amp;":"&amp;ADDRESS(ROW(),COLUMN(NOTA[ID]))),-1)))</f>
        <v>90</v>
      </c>
      <c r="E520" s="14"/>
      <c r="F520" s="16"/>
      <c r="G520" s="16"/>
      <c r="H520" s="20"/>
      <c r="I520" s="16"/>
      <c r="J520" s="37"/>
      <c r="K520" s="16"/>
      <c r="L520" s="16" t="s">
        <v>736</v>
      </c>
      <c r="M520" s="28">
        <v>1</v>
      </c>
      <c r="N520" s="16"/>
      <c r="O520" s="16"/>
      <c r="P520" s="35"/>
      <c r="Q520" s="38">
        <v>1584000</v>
      </c>
      <c r="R520" s="28" t="s">
        <v>151</v>
      </c>
      <c r="S520" s="39">
        <v>0.17</v>
      </c>
      <c r="T520" s="39"/>
      <c r="U520" s="40"/>
      <c r="V520" s="26"/>
      <c r="W520" s="40">
        <f>IF(NOTA[[#This Row],[HARGA/ CTN]]="",NOTA[[#This Row],[JUMLAH_H]],NOTA[[#This Row],[HARGA/ CTN]]*IF(NOTA[[#This Row],[C]]="",0,NOTA[[#This Row],[C]]))</f>
        <v>1584000</v>
      </c>
      <c r="X520" s="40">
        <f>IF(NOTA[[#This Row],[JUMLAH]]="","",NOTA[[#This Row],[JUMLAH]]*NOTA[[#This Row],[DISC 1]])</f>
        <v>269280</v>
      </c>
      <c r="Y520" s="40">
        <f>IF(NOTA[[#This Row],[JUMLAH]]="","",(NOTA[[#This Row],[JUMLAH]]-NOTA[[#This Row],[DISC 1-]])*NOTA[[#This Row],[DISC 2]])</f>
        <v>0</v>
      </c>
      <c r="Z520" s="40">
        <f>IF(NOTA[[#This Row],[JUMLAH]]="","",NOTA[[#This Row],[DISC 1-]]+NOTA[[#This Row],[DISC 2-]])</f>
        <v>269280</v>
      </c>
      <c r="AA520" s="40">
        <f>IF(NOTA[[#This Row],[JUMLAH]]="","",NOTA[[#This Row],[JUMLAH]]-NOTA[[#This Row],[DISC]])</f>
        <v>1314720</v>
      </c>
      <c r="AB520" s="40"/>
      <c r="AC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3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520" s="40" t="str">
        <f>IF(OR(NOTA[[#This Row],[QTY]]="",NOTA[[#This Row],[HARGA SATUAN]]="",),"",NOTA[[#This Row],[QTY]]*NOTA[[#This Row],[HARGA SATUAN]])</f>
        <v/>
      </c>
      <c r="AG520" s="37">
        <f ca="1">IF(NOTA[ID_H]="","",INDEX(NOTA[TANGGAL],MATCH(,INDIRECT(ADDRESS(ROW(NOTA[TANGGAL]),COLUMN(NOTA[TANGGAL]))&amp;":"&amp;ADDRESS(ROW(),COLUMN(NOTA[TANGGAL]))),-1)))</f>
        <v>45063</v>
      </c>
      <c r="AH520" s="35" t="str">
        <f ca="1">IF(NOTA[[#This Row],[NAMA BARANG]]="","",INDEX(NOTA[SUPPLIER],MATCH(,INDIRECT(ADDRESS(ROW(NOTA[ID]),COLUMN(NOTA[ID]))&amp;":"&amp;ADDRESS(ROW(),COLUMN(NOTA[ID]))),-1)))</f>
        <v>KENKO SINAR INDONESIA</v>
      </c>
      <c r="AI520" s="35" t="str">
        <f ca="1">IF(NOTA[[#This Row],[ID_H]]="","",IF(NOTA[[#This Row],[FAKTUR]]="",INDIRECT(ADDRESS(ROW()-1,COLUMN())),NOTA[[#This Row],[FAKTUR]]))</f>
        <v>ARTO MORO</v>
      </c>
      <c r="AJ520" s="27" t="str">
        <f ca="1">IF(NOTA[[#This Row],[ID]]="","",COUNTIF(NOTA[ID_H],NOTA[[#This Row],[ID_H]]))</f>
        <v/>
      </c>
      <c r="AK520" s="27">
        <f ca="1">IF(NOTA[[#This Row],[TGL.NOTA]]="",IF(NOTA[[#This Row],[SUPPLIER_H]]="","",AK519),MONTH(NOTA[[#This Row],[TGL.NOTA]]))</f>
        <v>5</v>
      </c>
      <c r="AL520" s="27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5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5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5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0" s="27" t="str">
        <f>IF(NOTA[[#This Row],[CONCAT4]]="","",_xlfn.IFNA(MATCH(NOTA[[#This Row],[CONCAT4]],[2]!RAW[CONCAT_H],0),FALSE))</f>
        <v/>
      </c>
      <c r="AQ520" s="145">
        <f>IF(NOTA[[#This Row],[CONCAT1]]="","",MATCH(NOTA[[#This Row],[CONCAT1]],[3]!db[NB NOTA_C],0)+1)</f>
        <v>1378</v>
      </c>
    </row>
    <row r="521" spans="1:43" ht="20.100000000000001" customHeight="1" x14ac:dyDescent="0.25">
      <c r="A52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36" t="str">
        <f>IF(NOTA[[#This Row],[ID_P]]="","",MATCH(NOTA[[#This Row],[ID_P]],[1]!B_MSK[N_ID],0))</f>
        <v/>
      </c>
      <c r="D521" s="36">
        <f ca="1">IF(NOTA[[#This Row],[NAMA BARANG]]="","",INDEX(NOTA[ID],MATCH(,INDIRECT(ADDRESS(ROW(NOTA[ID]),COLUMN(NOTA[ID]))&amp;":"&amp;ADDRESS(ROW(),COLUMN(NOTA[ID]))),-1)))</f>
        <v>90</v>
      </c>
      <c r="E521" s="14"/>
      <c r="F521" s="16"/>
      <c r="G521" s="16"/>
      <c r="H521" s="20"/>
      <c r="I521" s="16"/>
      <c r="J521" s="37"/>
      <c r="K521" s="16"/>
      <c r="L521" s="186" t="s">
        <v>693</v>
      </c>
      <c r="M521" s="28">
        <v>1</v>
      </c>
      <c r="N521" s="16"/>
      <c r="O521" s="16"/>
      <c r="P521" s="35"/>
      <c r="Q521" s="38">
        <v>1987200</v>
      </c>
      <c r="R521" s="28" t="s">
        <v>151</v>
      </c>
      <c r="S521" s="39">
        <v>0.17</v>
      </c>
      <c r="T521" s="39"/>
      <c r="U521" s="40"/>
      <c r="V521" s="26"/>
      <c r="W521" s="40">
        <f>IF(NOTA[[#This Row],[HARGA/ CTN]]="",NOTA[[#This Row],[JUMLAH_H]],NOTA[[#This Row],[HARGA/ CTN]]*IF(NOTA[[#This Row],[C]]="",0,NOTA[[#This Row],[C]]))</f>
        <v>1987200</v>
      </c>
      <c r="X521" s="40">
        <f>IF(NOTA[[#This Row],[JUMLAH]]="","",NOTA[[#This Row],[JUMLAH]]*NOTA[[#This Row],[DISC 1]])</f>
        <v>337824</v>
      </c>
      <c r="Y521" s="40">
        <f>IF(NOTA[[#This Row],[JUMLAH]]="","",(NOTA[[#This Row],[JUMLAH]]-NOTA[[#This Row],[DISC 1-]])*NOTA[[#This Row],[DISC 2]])</f>
        <v>0</v>
      </c>
      <c r="Z521" s="40">
        <f>IF(NOTA[[#This Row],[JUMLAH]]="","",NOTA[[#This Row],[DISC 1-]]+NOTA[[#This Row],[DISC 2-]])</f>
        <v>337824</v>
      </c>
      <c r="AA521" s="40">
        <f>IF(NOTA[[#This Row],[JUMLAH]]="","",NOTA[[#This Row],[JUMLAH]]-NOTA[[#This Row],[DISC]])</f>
        <v>1649376</v>
      </c>
      <c r="AB521" s="40"/>
      <c r="AC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3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521" s="40" t="str">
        <f>IF(OR(NOTA[[#This Row],[QTY]]="",NOTA[[#This Row],[HARGA SATUAN]]="",),"",NOTA[[#This Row],[QTY]]*NOTA[[#This Row],[HARGA SATUAN]])</f>
        <v/>
      </c>
      <c r="AG521" s="37">
        <f ca="1">IF(NOTA[ID_H]="","",INDEX(NOTA[TANGGAL],MATCH(,INDIRECT(ADDRESS(ROW(NOTA[TANGGAL]),COLUMN(NOTA[TANGGAL]))&amp;":"&amp;ADDRESS(ROW(),COLUMN(NOTA[TANGGAL]))),-1)))</f>
        <v>45063</v>
      </c>
      <c r="AH521" s="35" t="str">
        <f ca="1">IF(NOTA[[#This Row],[NAMA BARANG]]="","",INDEX(NOTA[SUPPLIER],MATCH(,INDIRECT(ADDRESS(ROW(NOTA[ID]),COLUMN(NOTA[ID]))&amp;":"&amp;ADDRESS(ROW(),COLUMN(NOTA[ID]))),-1)))</f>
        <v>KENKO SINAR INDONESIA</v>
      </c>
      <c r="AI521" s="35" t="str">
        <f ca="1">IF(NOTA[[#This Row],[ID_H]]="","",IF(NOTA[[#This Row],[FAKTUR]]="",INDIRECT(ADDRESS(ROW()-1,COLUMN())),NOTA[[#This Row],[FAKTUR]]))</f>
        <v>ARTO MORO</v>
      </c>
      <c r="AJ521" s="27" t="str">
        <f ca="1">IF(NOTA[[#This Row],[ID]]="","",COUNTIF(NOTA[ID_H],NOTA[[#This Row],[ID_H]]))</f>
        <v/>
      </c>
      <c r="AK521" s="27">
        <f ca="1">IF(NOTA[[#This Row],[TGL.NOTA]]="",IF(NOTA[[#This Row],[SUPPLIER_H]]="","",AK520),MONTH(NOTA[[#This Row],[TGL.NOTA]]))</f>
        <v>5</v>
      </c>
      <c r="AL521" s="27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5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5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5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27" t="str">
        <f>IF(NOTA[[#This Row],[CONCAT4]]="","",_xlfn.IFNA(MATCH(NOTA[[#This Row],[CONCAT4]],[2]!RAW[CONCAT_H],0),FALSE))</f>
        <v/>
      </c>
      <c r="AQ521" s="145">
        <f>IF(NOTA[[#This Row],[CONCAT1]]="","",MATCH(NOTA[[#This Row],[CONCAT1]],[3]!db[NB NOTA_C],0)+1)</f>
        <v>1186</v>
      </c>
    </row>
    <row r="522" spans="1:43" ht="20.100000000000001" customHeight="1" x14ac:dyDescent="0.25">
      <c r="A52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36" t="str">
        <f>IF(NOTA[[#This Row],[ID_P]]="","",MATCH(NOTA[[#This Row],[ID_P]],[1]!B_MSK[N_ID],0))</f>
        <v/>
      </c>
      <c r="D522" s="36">
        <f ca="1">IF(NOTA[[#This Row],[NAMA BARANG]]="","",INDEX(NOTA[ID],MATCH(,INDIRECT(ADDRESS(ROW(NOTA[ID]),COLUMN(NOTA[ID]))&amp;":"&amp;ADDRESS(ROW(),COLUMN(NOTA[ID]))),-1)))</f>
        <v>90</v>
      </c>
      <c r="E522" s="14"/>
      <c r="F522" s="16"/>
      <c r="G522" s="16"/>
      <c r="H522" s="20"/>
      <c r="I522" s="16"/>
      <c r="J522" s="37"/>
      <c r="K522" s="16"/>
      <c r="L522" s="16" t="s">
        <v>684</v>
      </c>
      <c r="M522" s="28">
        <v>2</v>
      </c>
      <c r="N522" s="16"/>
      <c r="O522" s="16"/>
      <c r="P522" s="35"/>
      <c r="Q522" s="38">
        <v>2376000</v>
      </c>
      <c r="R522" s="28" t="s">
        <v>149</v>
      </c>
      <c r="S522" s="39">
        <v>0.17</v>
      </c>
      <c r="T522" s="39"/>
      <c r="U522" s="40"/>
      <c r="V522" s="26"/>
      <c r="W522" s="40">
        <f>IF(NOTA[[#This Row],[HARGA/ CTN]]="",NOTA[[#This Row],[JUMLAH_H]],NOTA[[#This Row],[HARGA/ CTN]]*IF(NOTA[[#This Row],[C]]="",0,NOTA[[#This Row],[C]]))</f>
        <v>4752000</v>
      </c>
      <c r="X522" s="40">
        <f>IF(NOTA[[#This Row],[JUMLAH]]="","",NOTA[[#This Row],[JUMLAH]]*NOTA[[#This Row],[DISC 1]])</f>
        <v>807840</v>
      </c>
      <c r="Y522" s="40">
        <f>IF(NOTA[[#This Row],[JUMLAH]]="","",(NOTA[[#This Row],[JUMLAH]]-NOTA[[#This Row],[DISC 1-]])*NOTA[[#This Row],[DISC 2]])</f>
        <v>0</v>
      </c>
      <c r="Z522" s="40">
        <f>IF(NOTA[[#This Row],[JUMLAH]]="","",NOTA[[#This Row],[DISC 1-]]+NOTA[[#This Row],[DISC 2-]])</f>
        <v>807840</v>
      </c>
      <c r="AA522" s="40">
        <f>IF(NOTA[[#This Row],[JUMLAH]]="","",NOTA[[#This Row],[JUMLAH]]-NOTA[[#This Row],[DISC]])</f>
        <v>3944160</v>
      </c>
      <c r="AB522" s="40"/>
      <c r="AC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3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22" s="40" t="str">
        <f>IF(OR(NOTA[[#This Row],[QTY]]="",NOTA[[#This Row],[HARGA SATUAN]]="",),"",NOTA[[#This Row],[QTY]]*NOTA[[#This Row],[HARGA SATUAN]])</f>
        <v/>
      </c>
      <c r="AG522" s="37">
        <f ca="1">IF(NOTA[ID_H]="","",INDEX(NOTA[TANGGAL],MATCH(,INDIRECT(ADDRESS(ROW(NOTA[TANGGAL]),COLUMN(NOTA[TANGGAL]))&amp;":"&amp;ADDRESS(ROW(),COLUMN(NOTA[TANGGAL]))),-1)))</f>
        <v>45063</v>
      </c>
      <c r="AH522" s="35" t="str">
        <f ca="1">IF(NOTA[[#This Row],[NAMA BARANG]]="","",INDEX(NOTA[SUPPLIER],MATCH(,INDIRECT(ADDRESS(ROW(NOTA[ID]),COLUMN(NOTA[ID]))&amp;":"&amp;ADDRESS(ROW(),COLUMN(NOTA[ID]))),-1)))</f>
        <v>KENKO SINAR INDONESIA</v>
      </c>
      <c r="AI522" s="35" t="str">
        <f ca="1">IF(NOTA[[#This Row],[ID_H]]="","",IF(NOTA[[#This Row],[FAKTUR]]="",INDIRECT(ADDRESS(ROW()-1,COLUMN())),NOTA[[#This Row],[FAKTUR]]))</f>
        <v>ARTO MORO</v>
      </c>
      <c r="AJ522" s="27" t="str">
        <f ca="1">IF(NOTA[[#This Row],[ID]]="","",COUNTIF(NOTA[ID_H],NOTA[[#This Row],[ID_H]]))</f>
        <v/>
      </c>
      <c r="AK522" s="27">
        <f ca="1">IF(NOTA[[#This Row],[TGL.NOTA]]="",IF(NOTA[[#This Row],[SUPPLIER_H]]="","",AK521),MONTH(NOTA[[#This Row],[TGL.NOTA]]))</f>
        <v>5</v>
      </c>
      <c r="AL522" s="27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2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27" t="str">
        <f>IF(NOTA[[#This Row],[CONCAT4]]="","",_xlfn.IFNA(MATCH(NOTA[[#This Row],[CONCAT4]],[2]!RAW[CONCAT_H],0),FALSE))</f>
        <v/>
      </c>
      <c r="AQ522" s="145">
        <f>IF(NOTA[[#This Row],[CONCAT1]]="","",MATCH(NOTA[[#This Row],[CONCAT1]],[3]!db[NB NOTA_C],0)+1)</f>
        <v>1298</v>
      </c>
    </row>
    <row r="523" spans="1:43" ht="20.100000000000001" customHeight="1" x14ac:dyDescent="0.25">
      <c r="A52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36" t="str">
        <f>IF(NOTA[[#This Row],[ID_P]]="","",MATCH(NOTA[[#This Row],[ID_P]],[1]!B_MSK[N_ID],0))</f>
        <v/>
      </c>
      <c r="D523" s="36">
        <f ca="1">IF(NOTA[[#This Row],[NAMA BARANG]]="","",INDEX(NOTA[ID],MATCH(,INDIRECT(ADDRESS(ROW(NOTA[ID]),COLUMN(NOTA[ID]))&amp;":"&amp;ADDRESS(ROW(),COLUMN(NOTA[ID]))),-1)))</f>
        <v>90</v>
      </c>
      <c r="E523" s="14"/>
      <c r="F523" s="16"/>
      <c r="G523" s="16"/>
      <c r="H523" s="20"/>
      <c r="I523" s="16"/>
      <c r="J523" s="37"/>
      <c r="K523" s="16"/>
      <c r="L523" s="16" t="s">
        <v>681</v>
      </c>
      <c r="M523" s="28">
        <v>2</v>
      </c>
      <c r="N523" s="16"/>
      <c r="O523" s="16"/>
      <c r="P523" s="35"/>
      <c r="Q523" s="38">
        <v>2592000</v>
      </c>
      <c r="R523" s="28" t="s">
        <v>729</v>
      </c>
      <c r="S523" s="39">
        <v>0.17</v>
      </c>
      <c r="T523" s="39"/>
      <c r="U523" s="40"/>
      <c r="V523" s="26"/>
      <c r="W523" s="40">
        <f>IF(NOTA[[#This Row],[HARGA/ CTN]]="",NOTA[[#This Row],[JUMLAH_H]],NOTA[[#This Row],[HARGA/ CTN]]*IF(NOTA[[#This Row],[C]]="",0,NOTA[[#This Row],[C]]))</f>
        <v>5184000</v>
      </c>
      <c r="X523" s="40">
        <f>IF(NOTA[[#This Row],[JUMLAH]]="","",NOTA[[#This Row],[JUMLAH]]*NOTA[[#This Row],[DISC 1]])</f>
        <v>881280.00000000012</v>
      </c>
      <c r="Y523" s="40">
        <f>IF(NOTA[[#This Row],[JUMLAH]]="","",(NOTA[[#This Row],[JUMLAH]]-NOTA[[#This Row],[DISC 1-]])*NOTA[[#This Row],[DISC 2]])</f>
        <v>0</v>
      </c>
      <c r="Z523" s="40">
        <f>IF(NOTA[[#This Row],[JUMLAH]]="","",NOTA[[#This Row],[DISC 1-]]+NOTA[[#This Row],[DISC 2-]])</f>
        <v>881280.00000000012</v>
      </c>
      <c r="AA523" s="40">
        <f>IF(NOTA[[#This Row],[JUMLAH]]="","",NOTA[[#This Row],[JUMLAH]]-NOTA[[#This Row],[DISC]])</f>
        <v>4302720</v>
      </c>
      <c r="AB523" s="40"/>
      <c r="AC5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6483052</v>
      </c>
      <c r="AD52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31652548</v>
      </c>
      <c r="AE523" s="3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23" s="40" t="str">
        <f>IF(OR(NOTA[[#This Row],[QTY]]="",NOTA[[#This Row],[HARGA SATUAN]]="",),"",NOTA[[#This Row],[QTY]]*NOTA[[#This Row],[HARGA SATUAN]])</f>
        <v/>
      </c>
      <c r="AG523" s="37">
        <f ca="1">IF(NOTA[ID_H]="","",INDEX(NOTA[TANGGAL],MATCH(,INDIRECT(ADDRESS(ROW(NOTA[TANGGAL]),COLUMN(NOTA[TANGGAL]))&amp;":"&amp;ADDRESS(ROW(),COLUMN(NOTA[TANGGAL]))),-1)))</f>
        <v>45063</v>
      </c>
      <c r="AH523" s="35" t="str">
        <f ca="1">IF(NOTA[[#This Row],[NAMA BARANG]]="","",INDEX(NOTA[SUPPLIER],MATCH(,INDIRECT(ADDRESS(ROW(NOTA[ID]),COLUMN(NOTA[ID]))&amp;":"&amp;ADDRESS(ROW(),COLUMN(NOTA[ID]))),-1)))</f>
        <v>KENKO SINAR INDONESIA</v>
      </c>
      <c r="AI523" s="35" t="str">
        <f ca="1">IF(NOTA[[#This Row],[ID_H]]="","",IF(NOTA[[#This Row],[FAKTUR]]="",INDIRECT(ADDRESS(ROW()-1,COLUMN())),NOTA[[#This Row],[FAKTUR]]))</f>
        <v>ARTO MORO</v>
      </c>
      <c r="AJ523" s="27" t="str">
        <f ca="1">IF(NOTA[[#This Row],[ID]]="","",COUNTIF(NOTA[ID_H],NOTA[[#This Row],[ID_H]]))</f>
        <v/>
      </c>
      <c r="AK523" s="27">
        <f ca="1">IF(NOTA[[#This Row],[TGL.NOTA]]="",IF(NOTA[[#This Row],[SUPPLIER_H]]="","",AK522),MONTH(NOTA[[#This Row],[TGL.NOTA]]))</f>
        <v>5</v>
      </c>
      <c r="AL523" s="27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3" s="27" t="str">
        <f>IF(NOTA[[#This Row],[CONCAT4]]="","",_xlfn.IFNA(MATCH(NOTA[[#This Row],[CONCAT4]],[2]!RAW[CONCAT_H],0),FALSE))</f>
        <v/>
      </c>
      <c r="AQ523" s="145">
        <f>IF(NOTA[[#This Row],[CONCAT1]]="","",MATCH(NOTA[[#This Row],[CONCAT1]],[3]!db[NB NOTA_C],0)+1)</f>
        <v>1296</v>
      </c>
    </row>
    <row r="524" spans="1:43" ht="20.100000000000001" customHeight="1" x14ac:dyDescent="0.25">
      <c r="A52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36" t="str">
        <f>IF(NOTA[[#This Row],[ID_P]]="","",MATCH(NOTA[[#This Row],[ID_P]],[1]!B_MSK[N_ID],0))</f>
        <v/>
      </c>
      <c r="D524" s="36" t="str">
        <f ca="1">IF(NOTA[[#This Row],[NAMA BARANG]]="","",INDEX(NOTA[ID],MATCH(,INDIRECT(ADDRESS(ROW(NOTA[ID]),COLUMN(NOTA[ID]))&amp;":"&amp;ADDRESS(ROW(),COLUMN(NOTA[ID]))),-1)))</f>
        <v/>
      </c>
      <c r="E524" s="14"/>
      <c r="F524" s="16"/>
      <c r="G524" s="16"/>
      <c r="H524" s="20"/>
      <c r="I524" s="16"/>
      <c r="J524" s="37"/>
      <c r="K524" s="16"/>
      <c r="L524" s="16"/>
      <c r="M524" s="28"/>
      <c r="N524" s="16"/>
      <c r="O524" s="16"/>
      <c r="P524" s="35"/>
      <c r="Q524" s="38"/>
      <c r="R524" s="28"/>
      <c r="S524" s="39"/>
      <c r="T524" s="39"/>
      <c r="U524" s="40"/>
      <c r="V524" s="26"/>
      <c r="W524" s="40" t="str">
        <f>IF(NOTA[[#This Row],[HARGA/ CTN]]="",NOTA[[#This Row],[JUMLAH_H]],NOTA[[#This Row],[HARGA/ CTN]]*IF(NOTA[[#This Row],[C]]="",0,NOTA[[#This Row],[C]]))</f>
        <v/>
      </c>
      <c r="X524" s="40" t="str">
        <f>IF(NOTA[[#This Row],[JUMLAH]]="","",NOTA[[#This Row],[JUMLAH]]*NOTA[[#This Row],[DISC 1]])</f>
        <v/>
      </c>
      <c r="Y524" s="40" t="str">
        <f>IF(NOTA[[#This Row],[JUMLAH]]="","",(NOTA[[#This Row],[JUMLAH]]-NOTA[[#This Row],[DISC 1-]])*NOTA[[#This Row],[DISC 2]])</f>
        <v/>
      </c>
      <c r="Z524" s="40" t="str">
        <f>IF(NOTA[[#This Row],[JUMLAH]]="","",NOTA[[#This Row],[DISC 1-]]+NOTA[[#This Row],[DISC 2-]])</f>
        <v/>
      </c>
      <c r="AA524" s="40" t="str">
        <f>IF(NOTA[[#This Row],[JUMLAH]]="","",NOTA[[#This Row],[JUMLAH]]-NOTA[[#This Row],[DISC]])</f>
        <v/>
      </c>
      <c r="AB524" s="40"/>
      <c r="AC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4" s="40" t="str">
        <f>IF(OR(NOTA[[#This Row],[QTY]]="",NOTA[[#This Row],[HARGA SATUAN]]="",),"",NOTA[[#This Row],[QTY]]*NOTA[[#This Row],[HARGA SATUAN]])</f>
        <v/>
      </c>
      <c r="AG524" s="37" t="str">
        <f ca="1">IF(NOTA[ID_H]="","",INDEX(NOTA[TANGGAL],MATCH(,INDIRECT(ADDRESS(ROW(NOTA[TANGGAL]),COLUMN(NOTA[TANGGAL]))&amp;":"&amp;ADDRESS(ROW(),COLUMN(NOTA[TANGGAL]))),-1)))</f>
        <v/>
      </c>
      <c r="AH524" s="35" t="str">
        <f ca="1">IF(NOTA[[#This Row],[NAMA BARANG]]="","",INDEX(NOTA[SUPPLIER],MATCH(,INDIRECT(ADDRESS(ROW(NOTA[ID]),COLUMN(NOTA[ID]))&amp;":"&amp;ADDRESS(ROW(),COLUMN(NOTA[ID]))),-1)))</f>
        <v/>
      </c>
      <c r="AI524" s="35" t="str">
        <f ca="1">IF(NOTA[[#This Row],[ID_H]]="","",IF(NOTA[[#This Row],[FAKTUR]]="",INDIRECT(ADDRESS(ROW()-1,COLUMN())),NOTA[[#This Row],[FAKTUR]]))</f>
        <v/>
      </c>
      <c r="AJ524" s="27" t="str">
        <f ca="1">IF(NOTA[[#This Row],[ID]]="","",COUNTIF(NOTA[ID_H],NOTA[[#This Row],[ID_H]]))</f>
        <v/>
      </c>
      <c r="AK524" s="27" t="str">
        <f ca="1">IF(NOTA[[#This Row],[TGL.NOTA]]="",IF(NOTA[[#This Row],[SUPPLIER_H]]="","",AK523),MONTH(NOTA[[#This Row],[TGL.NOTA]]))</f>
        <v/>
      </c>
      <c r="AL524" s="27" t="str">
        <f>LOWER(SUBSTITUTE(SUBSTITUTE(SUBSTITUTE(SUBSTITUTE(SUBSTITUTE(SUBSTITUTE(SUBSTITUTE(SUBSTITUTE(SUBSTITUTE(NOTA[NAMA BARANG]," ",),".",""),"-",""),"(",""),")",""),",",""),"/",""),"""",""),"+",""))</f>
        <v/>
      </c>
      <c r="AM5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27" t="str">
        <f>IF(NOTA[[#This Row],[CONCAT4]]="","",_xlfn.IFNA(MATCH(NOTA[[#This Row],[CONCAT4]],[2]!RAW[CONCAT_H],0),FALSE))</f>
        <v/>
      </c>
      <c r="AQ524" s="145" t="str">
        <f>IF(NOTA[[#This Row],[CONCAT1]]="","",MATCH(NOTA[[#This Row],[CONCAT1]],[3]!db[NB NOTA_C],0)+1)</f>
        <v/>
      </c>
    </row>
    <row r="525" spans="1:43" ht="20.100000000000001" customHeight="1" x14ac:dyDescent="0.25">
      <c r="A525" s="35">
        <f ca="1">IF(INDIRECT(ADDRESS(ROW()-1,COLUMN(NOTA[[#Headers],[ID]])))="ID",1,IF(NOTA[[#This Row],[FAKTUR]]="","",COUNT(INDIRECT(ADDRESS(ROW(NOTA[ID]),COLUMN(NOTA[ID]))&amp;":"&amp;ADDRESS(ROW()-1,COLUMN(NOTA[ID]))))+1))</f>
        <v>91</v>
      </c>
      <c r="B52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DUT_1905_23H-2</v>
      </c>
      <c r="C525" s="36" t="e">
        <f ca="1">IF(NOTA[[#This Row],[ID_P]]="","",MATCH(NOTA[[#This Row],[ID_P]],[1]!B_MSK[N_ID],0))</f>
        <v>#REF!</v>
      </c>
      <c r="D525" s="36">
        <f ca="1">IF(NOTA[[#This Row],[NAMA BARANG]]="","",INDEX(NOTA[ID],MATCH(,INDIRECT(ADDRESS(ROW(NOTA[ID]),COLUMN(NOTA[ID]))&amp;":"&amp;ADDRESS(ROW(),COLUMN(NOTA[ID]))),-1)))</f>
        <v>91</v>
      </c>
      <c r="E525" s="93">
        <v>45065</v>
      </c>
      <c r="F525" s="16" t="s">
        <v>249</v>
      </c>
      <c r="G525" s="16" t="s">
        <v>112</v>
      </c>
      <c r="H525" s="20" t="s">
        <v>742</v>
      </c>
      <c r="I525" s="94"/>
      <c r="J525" s="96">
        <v>45062</v>
      </c>
      <c r="K525" s="94"/>
      <c r="L525" s="16" t="s">
        <v>743</v>
      </c>
      <c r="M525" s="97">
        <v>3</v>
      </c>
      <c r="N525" s="94">
        <v>324</v>
      </c>
      <c r="O525" s="16" t="s">
        <v>160</v>
      </c>
      <c r="P525" s="98">
        <v>12500</v>
      </c>
      <c r="Q525" s="99"/>
      <c r="R525" s="28" t="s">
        <v>744</v>
      </c>
      <c r="S525" s="100"/>
      <c r="T525" s="100"/>
      <c r="U525" s="101"/>
      <c r="V525" s="102"/>
      <c r="W525" s="40">
        <f>IF(NOTA[[#This Row],[HARGA/ CTN]]="",NOTA[[#This Row],[JUMLAH_H]],NOTA[[#This Row],[HARGA/ CTN]]*IF(NOTA[[#This Row],[C]]="",0,NOTA[[#This Row],[C]]))</f>
        <v>4050000</v>
      </c>
      <c r="X525" s="40">
        <f>IF(NOTA[[#This Row],[JUMLAH]]="","",NOTA[[#This Row],[JUMLAH]]*NOTA[[#This Row],[DISC 1]])</f>
        <v>0</v>
      </c>
      <c r="Y525" s="40">
        <f>IF(NOTA[[#This Row],[JUMLAH]]="","",(NOTA[[#This Row],[JUMLAH]]-NOTA[[#This Row],[DISC 1-]])*NOTA[[#This Row],[DISC 2]])</f>
        <v>0</v>
      </c>
      <c r="Z525" s="40">
        <f>IF(NOTA[[#This Row],[JUMLAH]]="","",NOTA[[#This Row],[DISC 1-]]+NOTA[[#This Row],[DISC 2-]])</f>
        <v>0</v>
      </c>
      <c r="AA525" s="40">
        <f>IF(NOTA[[#This Row],[JUMLAH]]="","",NOTA[[#This Row],[JUMLAH]]-NOTA[[#This Row],[DISC]])</f>
        <v>4050000</v>
      </c>
      <c r="AB525" s="40"/>
      <c r="AC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3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25" s="40">
        <f>IF(OR(NOTA[[#This Row],[QTY]]="",NOTA[[#This Row],[HARGA SATUAN]]="",),"",NOTA[[#This Row],[QTY]]*NOTA[[#This Row],[HARGA SATUAN]])</f>
        <v>4050000</v>
      </c>
      <c r="AG525" s="37">
        <f ca="1">IF(NOTA[ID_H]="","",INDEX(NOTA[TANGGAL],MATCH(,INDIRECT(ADDRESS(ROW(NOTA[TANGGAL]),COLUMN(NOTA[TANGGAL]))&amp;":"&amp;ADDRESS(ROW(),COLUMN(NOTA[TANGGAL]))),-1)))</f>
        <v>45065</v>
      </c>
      <c r="AH525" s="35" t="str">
        <f ca="1">IF(NOTA[[#This Row],[NAMA BARANG]]="","",INDEX(NOTA[SUPPLIER],MATCH(,INDIRECT(ADDRESS(ROW(NOTA[ID]),COLUMN(NOTA[ID]))&amp;":"&amp;ADDRESS(ROW(),COLUMN(NOTA[ID]))),-1)))</f>
        <v>DUTA BUANA</v>
      </c>
      <c r="AI525" s="35" t="str">
        <f ca="1">IF(NOTA[[#This Row],[ID_H]]="","",IF(NOTA[[#This Row],[FAKTUR]]="",INDIRECT(ADDRESS(ROW()-1,COLUMN())),NOTA[[#This Row],[FAKTUR]]))</f>
        <v>UNTANA</v>
      </c>
      <c r="AJ525" s="27">
        <f ca="1">IF(NOTA[[#This Row],[ID]]="","",COUNTIF(NOTA[ID_H],NOTA[[#This Row],[ID_H]]))</f>
        <v>2</v>
      </c>
      <c r="AK525" s="27">
        <f>IF(NOTA[[#This Row],[TGL.NOTA]]="",IF(NOTA[[#This Row],[SUPPLIER_H]]="","",AK524),MONTH(NOTA[[#This Row],[TGL.NOTA]]))</f>
        <v>5</v>
      </c>
      <c r="AL525" s="27" t="str">
        <f>LOWER(SUBSTITUTE(SUBSTITUTE(SUBSTITUTE(SUBSTITUTE(SUBSTITUTE(SUBSTITUTE(SUBSTITUTE(SUBSTITUTE(SUBSTITUTE(NOTA[NAMA BARANG]," ",),".",""),"-",""),"(",""),")",""),",",""),"/",""),"""",""),"+",""))</f>
        <v>sticknotetfpn0244</v>
      </c>
      <c r="AM5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sticknotetfpn02441350000</v>
      </c>
      <c r="AN5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sticknotetfpn02441350000</v>
      </c>
      <c r="AO525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133/ 05-23H45062sticknotetfpn0244</v>
      </c>
      <c r="AP525" s="27" t="e">
        <f>IF(NOTA[[#This Row],[CONCAT4]]="","",_xlfn.IFNA(MATCH(NOTA[[#This Row],[CONCAT4]],[2]!RAW[CONCAT_H],0),FALSE))</f>
        <v>#REF!</v>
      </c>
      <c r="AQ525" s="145" t="e">
        <f>IF(NOTA[[#This Row],[CONCAT1]]="","",MATCH(NOTA[[#This Row],[CONCAT1]],[3]!db[NB NOTA_C],0)+1)</f>
        <v>#N/A</v>
      </c>
    </row>
    <row r="526" spans="1:43" ht="20.100000000000001" customHeight="1" x14ac:dyDescent="0.25">
      <c r="A52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36" t="str">
        <f>IF(NOTA[[#This Row],[ID_P]]="","",MATCH(NOTA[[#This Row],[ID_P]],[1]!B_MSK[N_ID],0))</f>
        <v/>
      </c>
      <c r="D526" s="36">
        <f ca="1">IF(NOTA[[#This Row],[NAMA BARANG]]="","",INDEX(NOTA[ID],MATCH(,INDIRECT(ADDRESS(ROW(NOTA[ID]),COLUMN(NOTA[ID]))&amp;":"&amp;ADDRESS(ROW(),COLUMN(NOTA[ID]))),-1)))</f>
        <v>91</v>
      </c>
      <c r="E526" s="93"/>
      <c r="F526" s="94"/>
      <c r="G526" s="94"/>
      <c r="H526" s="95"/>
      <c r="I526" s="94"/>
      <c r="J526" s="96"/>
      <c r="K526" s="94"/>
      <c r="L526" s="16" t="s">
        <v>745</v>
      </c>
      <c r="M526" s="97">
        <v>3</v>
      </c>
      <c r="N526" s="94">
        <v>600</v>
      </c>
      <c r="O526" s="16" t="s">
        <v>125</v>
      </c>
      <c r="P526" s="98">
        <v>10000</v>
      </c>
      <c r="Q526" s="99"/>
      <c r="R526" s="28" t="s">
        <v>746</v>
      </c>
      <c r="S526" s="100"/>
      <c r="T526" s="100"/>
      <c r="U526" s="101"/>
      <c r="V526" s="102"/>
      <c r="W526" s="40">
        <f>IF(NOTA[[#This Row],[HARGA/ CTN]]="",NOTA[[#This Row],[JUMLAH_H]],NOTA[[#This Row],[HARGA/ CTN]]*IF(NOTA[[#This Row],[C]]="",0,NOTA[[#This Row],[C]]))</f>
        <v>6000000</v>
      </c>
      <c r="X526" s="40">
        <f>IF(NOTA[[#This Row],[JUMLAH]]="","",NOTA[[#This Row],[JUMLAH]]*NOTA[[#This Row],[DISC 1]])</f>
        <v>0</v>
      </c>
      <c r="Y526" s="40">
        <f>IF(NOTA[[#This Row],[JUMLAH]]="","",(NOTA[[#This Row],[JUMLAH]]-NOTA[[#This Row],[DISC 1-]])*NOTA[[#This Row],[DISC 2]])</f>
        <v>0</v>
      </c>
      <c r="Z526" s="40">
        <f>IF(NOTA[[#This Row],[JUMLAH]]="","",NOTA[[#This Row],[DISC 1-]]+NOTA[[#This Row],[DISC 2-]])</f>
        <v>0</v>
      </c>
      <c r="AA526" s="40">
        <f>IF(NOTA[[#This Row],[JUMLAH]]="","",NOTA[[#This Row],[JUMLAH]]-NOTA[[#This Row],[DISC]])</f>
        <v>6000000</v>
      </c>
      <c r="AB526" s="40"/>
      <c r="AC52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6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526" s="3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F526" s="40">
        <f>IF(OR(NOTA[[#This Row],[QTY]]="",NOTA[[#This Row],[HARGA SATUAN]]="",),"",NOTA[[#This Row],[QTY]]*NOTA[[#This Row],[HARGA SATUAN]])</f>
        <v>6000000</v>
      </c>
      <c r="AG526" s="37">
        <f ca="1">IF(NOTA[ID_H]="","",INDEX(NOTA[TANGGAL],MATCH(,INDIRECT(ADDRESS(ROW(NOTA[TANGGAL]),COLUMN(NOTA[TANGGAL]))&amp;":"&amp;ADDRESS(ROW(),COLUMN(NOTA[TANGGAL]))),-1)))</f>
        <v>45065</v>
      </c>
      <c r="AH526" s="35" t="str">
        <f ca="1">IF(NOTA[[#This Row],[NAMA BARANG]]="","",INDEX(NOTA[SUPPLIER],MATCH(,INDIRECT(ADDRESS(ROW(NOTA[ID]),COLUMN(NOTA[ID]))&amp;":"&amp;ADDRESS(ROW(),COLUMN(NOTA[ID]))),-1)))</f>
        <v>DUTA BUANA</v>
      </c>
      <c r="AI526" s="35" t="str">
        <f ca="1">IF(NOTA[[#This Row],[ID_H]]="","",IF(NOTA[[#This Row],[FAKTUR]]="",INDIRECT(ADDRESS(ROW()-1,COLUMN())),NOTA[[#This Row],[FAKTUR]]))</f>
        <v>UNTANA</v>
      </c>
      <c r="AJ526" s="27" t="str">
        <f ca="1">IF(NOTA[[#This Row],[ID]]="","",COUNTIF(NOTA[ID_H],NOTA[[#This Row],[ID_H]]))</f>
        <v/>
      </c>
      <c r="AK526" s="27">
        <f ca="1">IF(NOTA[[#This Row],[TGL.NOTA]]="",IF(NOTA[[#This Row],[SUPPLIER_H]]="","",AK525),MONTH(NOTA[[#This Row],[TGL.NOTA]]))</f>
        <v>5</v>
      </c>
      <c r="AL526" s="27" t="str">
        <f>LOWER(SUBSTITUTE(SUBSTITUTE(SUBSTITUTE(SUBSTITUTE(SUBSTITUTE(SUBSTITUTE(SUBSTITUTE(SUBSTITUTE(SUBSTITUTE(NOTA[NAMA BARANG]," ",),".",""),"-",""),"(",""),")",""),",",""),"/",""),"""",""),"+",""))</f>
        <v>garisantf1988</v>
      </c>
      <c r="AM5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garisantf19882000000</v>
      </c>
      <c r="AN5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garisantf19882000000</v>
      </c>
      <c r="AO5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27" t="str">
        <f>IF(NOTA[[#This Row],[CONCAT4]]="","",_xlfn.IFNA(MATCH(NOTA[[#This Row],[CONCAT4]],[2]!RAW[CONCAT_H],0),FALSE))</f>
        <v/>
      </c>
      <c r="AQ526" s="145" t="e">
        <f>IF(NOTA[[#This Row],[CONCAT1]]="","",MATCH(NOTA[[#This Row],[CONCAT1]],[3]!db[NB NOTA_C],0)+1)</f>
        <v>#N/A</v>
      </c>
    </row>
    <row r="527" spans="1:43" ht="20.100000000000001" customHeight="1" x14ac:dyDescent="0.25">
      <c r="A52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36" t="str">
        <f>IF(NOTA[[#This Row],[ID_P]]="","",MATCH(NOTA[[#This Row],[ID_P]],[1]!B_MSK[N_ID],0))</f>
        <v/>
      </c>
      <c r="D527" s="36" t="str">
        <f ca="1">IF(NOTA[[#This Row],[NAMA BARANG]]="","",INDEX(NOTA[ID],MATCH(,INDIRECT(ADDRESS(ROW(NOTA[ID]),COLUMN(NOTA[ID]))&amp;":"&amp;ADDRESS(ROW(),COLUMN(NOTA[ID]))),-1)))</f>
        <v/>
      </c>
      <c r="E527" s="93"/>
      <c r="F527" s="94"/>
      <c r="G527" s="94"/>
      <c r="H527" s="95"/>
      <c r="I527" s="94"/>
      <c r="J527" s="96"/>
      <c r="K527" s="94"/>
      <c r="L527" s="94"/>
      <c r="M527" s="97"/>
      <c r="N527" s="94"/>
      <c r="O527" s="94"/>
      <c r="P527" s="98"/>
      <c r="Q527" s="99"/>
      <c r="R527" s="97"/>
      <c r="S527" s="100"/>
      <c r="T527" s="100"/>
      <c r="U527" s="101"/>
      <c r="V527" s="102"/>
      <c r="W527" s="40" t="str">
        <f>IF(NOTA[[#This Row],[HARGA/ CTN]]="",NOTA[[#This Row],[JUMLAH_H]],NOTA[[#This Row],[HARGA/ CTN]]*IF(NOTA[[#This Row],[C]]="",0,NOTA[[#This Row],[C]]))</f>
        <v/>
      </c>
      <c r="X527" s="40" t="str">
        <f>IF(NOTA[[#This Row],[JUMLAH]]="","",NOTA[[#This Row],[JUMLAH]]*NOTA[[#This Row],[DISC 1]])</f>
        <v/>
      </c>
      <c r="Y527" s="40" t="str">
        <f>IF(NOTA[[#This Row],[JUMLAH]]="","",(NOTA[[#This Row],[JUMLAH]]-NOTA[[#This Row],[DISC 1-]])*NOTA[[#This Row],[DISC 2]])</f>
        <v/>
      </c>
      <c r="Z527" s="40" t="str">
        <f>IF(NOTA[[#This Row],[JUMLAH]]="","",NOTA[[#This Row],[DISC 1-]]+NOTA[[#This Row],[DISC 2-]])</f>
        <v/>
      </c>
      <c r="AA527" s="40" t="str">
        <f>IF(NOTA[[#This Row],[JUMLAH]]="","",NOTA[[#This Row],[JUMLAH]]-NOTA[[#This Row],[DISC]])</f>
        <v/>
      </c>
      <c r="AB527" s="40"/>
      <c r="AC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7" s="40" t="str">
        <f>IF(OR(NOTA[[#This Row],[QTY]]="",NOTA[[#This Row],[HARGA SATUAN]]="",),"",NOTA[[#This Row],[QTY]]*NOTA[[#This Row],[HARGA SATUAN]])</f>
        <v/>
      </c>
      <c r="AG527" s="37" t="str">
        <f ca="1">IF(NOTA[ID_H]="","",INDEX(NOTA[TANGGAL],MATCH(,INDIRECT(ADDRESS(ROW(NOTA[TANGGAL]),COLUMN(NOTA[TANGGAL]))&amp;":"&amp;ADDRESS(ROW(),COLUMN(NOTA[TANGGAL]))),-1)))</f>
        <v/>
      </c>
      <c r="AH527" s="35" t="str">
        <f ca="1">IF(NOTA[[#This Row],[NAMA BARANG]]="","",INDEX(NOTA[SUPPLIER],MATCH(,INDIRECT(ADDRESS(ROW(NOTA[ID]),COLUMN(NOTA[ID]))&amp;":"&amp;ADDRESS(ROW(),COLUMN(NOTA[ID]))),-1)))</f>
        <v/>
      </c>
      <c r="AI527" s="35" t="str">
        <f ca="1">IF(NOTA[[#This Row],[ID_H]]="","",IF(NOTA[[#This Row],[FAKTUR]]="",INDIRECT(ADDRESS(ROW()-1,COLUMN())),NOTA[[#This Row],[FAKTUR]]))</f>
        <v/>
      </c>
      <c r="AJ527" s="27" t="str">
        <f ca="1">IF(NOTA[[#This Row],[ID]]="","",COUNTIF(NOTA[ID_H],NOTA[[#This Row],[ID_H]]))</f>
        <v/>
      </c>
      <c r="AK527" s="27" t="str">
        <f ca="1">IF(NOTA[[#This Row],[TGL.NOTA]]="",IF(NOTA[[#This Row],[SUPPLIER_H]]="","",AK526),MONTH(NOTA[[#This Row],[TGL.NOTA]]))</f>
        <v/>
      </c>
      <c r="AL527" s="27" t="str">
        <f>LOWER(SUBSTITUTE(SUBSTITUTE(SUBSTITUTE(SUBSTITUTE(SUBSTITUTE(SUBSTITUTE(SUBSTITUTE(SUBSTITUTE(SUBSTITUTE(NOTA[NAMA BARANG]," ",),".",""),"-",""),"(",""),")",""),",",""),"/",""),"""",""),"+",""))</f>
        <v/>
      </c>
      <c r="AM5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7" s="27" t="str">
        <f>IF(NOTA[[#This Row],[CONCAT4]]="","",_xlfn.IFNA(MATCH(NOTA[[#This Row],[CONCAT4]],[2]!RAW[CONCAT_H],0),FALSE))</f>
        <v/>
      </c>
      <c r="AQ527" s="145" t="str">
        <f>IF(NOTA[[#This Row],[CONCAT1]]="","",MATCH(NOTA[[#This Row],[CONCAT1]],[3]!db[NB NOTA_C],0)+1)</f>
        <v/>
      </c>
    </row>
    <row r="528" spans="1:43" ht="20.100000000000001" customHeight="1" x14ac:dyDescent="0.25">
      <c r="A528" s="35">
        <f ca="1">IF(INDIRECT(ADDRESS(ROW()-1,COLUMN(NOTA[[#Headers],[ID]])))="ID",1,IF(NOTA[[#This Row],[FAKTUR]]="","",COUNT(INDIRECT(ADDRESS(ROW(NOTA[ID]),COLUMN(NOTA[ID]))&amp;":"&amp;ADDRESS(ROW()-1,COLUMN(NOTA[ID]))))+1))</f>
        <v>92</v>
      </c>
      <c r="B528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DUT_1705_23H-1</v>
      </c>
      <c r="C528" s="36" t="e">
        <f ca="1">IF(NOTA[[#This Row],[ID_P]]="","",MATCH(NOTA[[#This Row],[ID_P]],[1]!B_MSK[N_ID],0))</f>
        <v>#REF!</v>
      </c>
      <c r="D528" s="36">
        <f ca="1">IF(NOTA[[#This Row],[NAMA BARANG]]="","",INDEX(NOTA[ID],MATCH(,INDIRECT(ADDRESS(ROW(NOTA[ID]),COLUMN(NOTA[ID]))&amp;":"&amp;ADDRESS(ROW(),COLUMN(NOTA[ID]))),-1)))</f>
        <v>92</v>
      </c>
      <c r="E528" s="14">
        <v>45063</v>
      </c>
      <c r="F528" s="16" t="s">
        <v>249</v>
      </c>
      <c r="G528" s="16" t="s">
        <v>112</v>
      </c>
      <c r="H528" s="20" t="s">
        <v>747</v>
      </c>
      <c r="I528" s="16"/>
      <c r="J528" s="37">
        <v>45062</v>
      </c>
      <c r="K528" s="16"/>
      <c r="L528" s="16" t="s">
        <v>748</v>
      </c>
      <c r="M528" s="28">
        <v>5</v>
      </c>
      <c r="N528" s="16">
        <v>480</v>
      </c>
      <c r="O528" s="16" t="s">
        <v>125</v>
      </c>
      <c r="P528" s="35">
        <v>30500</v>
      </c>
      <c r="Q528" s="38"/>
      <c r="R528" s="28" t="s">
        <v>175</v>
      </c>
      <c r="S528" s="39"/>
      <c r="T528" s="39"/>
      <c r="U528" s="40"/>
      <c r="V528" s="26"/>
      <c r="W528" s="40">
        <f>IF(NOTA[[#This Row],[HARGA/ CTN]]="",NOTA[[#This Row],[JUMLAH_H]],NOTA[[#This Row],[HARGA/ CTN]]*IF(NOTA[[#This Row],[C]]="",0,NOTA[[#This Row],[C]]))</f>
        <v>14640000</v>
      </c>
      <c r="X528" s="40">
        <f>IF(NOTA[[#This Row],[JUMLAH]]="","",NOTA[[#This Row],[JUMLAH]]*NOTA[[#This Row],[DISC 1]])</f>
        <v>0</v>
      </c>
      <c r="Y528" s="40">
        <f>IF(NOTA[[#This Row],[JUMLAH]]="","",(NOTA[[#This Row],[JUMLAH]]-NOTA[[#This Row],[DISC 1-]])*NOTA[[#This Row],[DISC 2]])</f>
        <v>0</v>
      </c>
      <c r="Z528" s="40">
        <f>IF(NOTA[[#This Row],[JUMLAH]]="","",NOTA[[#This Row],[DISC 1-]]+NOTA[[#This Row],[DISC 2-]])</f>
        <v>0</v>
      </c>
      <c r="AA528" s="40">
        <f>IF(NOTA[[#This Row],[JUMLAH]]="","",NOTA[[#This Row],[JUMLAH]]-NOTA[[#This Row],[DISC]])</f>
        <v>14640000</v>
      </c>
      <c r="AB528" s="40"/>
      <c r="AC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8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28" s="35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28" s="40">
        <f>IF(OR(NOTA[[#This Row],[QTY]]="",NOTA[[#This Row],[HARGA SATUAN]]="",),"",NOTA[[#This Row],[QTY]]*NOTA[[#This Row],[HARGA SATUAN]])</f>
        <v>14640000</v>
      </c>
      <c r="AG528" s="37">
        <f ca="1">IF(NOTA[ID_H]="","",INDEX(NOTA[TANGGAL],MATCH(,INDIRECT(ADDRESS(ROW(NOTA[TANGGAL]),COLUMN(NOTA[TANGGAL]))&amp;":"&amp;ADDRESS(ROW(),COLUMN(NOTA[TANGGAL]))),-1)))</f>
        <v>45063</v>
      </c>
      <c r="AH528" s="35" t="str">
        <f ca="1">IF(NOTA[[#This Row],[NAMA BARANG]]="","",INDEX(NOTA[SUPPLIER],MATCH(,INDIRECT(ADDRESS(ROW(NOTA[ID]),COLUMN(NOTA[ID]))&amp;":"&amp;ADDRESS(ROW(),COLUMN(NOTA[ID]))),-1)))</f>
        <v>DUTA BUANA</v>
      </c>
      <c r="AI528" s="35" t="str">
        <f ca="1">IF(NOTA[[#This Row],[ID_H]]="","",IF(NOTA[[#This Row],[FAKTUR]]="",INDIRECT(ADDRESS(ROW()-1,COLUMN())),NOTA[[#This Row],[FAKTUR]]))</f>
        <v>UNTANA</v>
      </c>
      <c r="AJ528" s="27">
        <f ca="1">IF(NOTA[[#This Row],[ID]]="","",COUNTIF(NOTA[ID_H],NOTA[[#This Row],[ID_H]]))</f>
        <v>1</v>
      </c>
      <c r="AK528" s="27">
        <f>IF(NOTA[[#This Row],[TGL.NOTA]]="",IF(NOTA[[#This Row],[SUPPLIER_H]]="","",AK527),MONTH(NOTA[[#This Row],[TGL.NOTA]]))</f>
        <v>5</v>
      </c>
      <c r="AL528" s="27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M52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</v>
      </c>
      <c r="AN52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</v>
      </c>
      <c r="AO528" s="27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132/ 05-23H45062ballpengeltf311503mmhightechknock</v>
      </c>
      <c r="AP528" s="27" t="e">
        <f>IF(NOTA[[#This Row],[CONCAT4]]="","",_xlfn.IFNA(MATCH(NOTA[[#This Row],[CONCAT4]],[2]!RAW[CONCAT_H],0),FALSE))</f>
        <v>#REF!</v>
      </c>
      <c r="AQ528" s="145">
        <f>IF(NOTA[[#This Row],[CONCAT1]]="","",MATCH(NOTA[[#This Row],[CONCAT1]],[3]!db[NB NOTA_C],0)+1)</f>
        <v>110</v>
      </c>
    </row>
    <row r="529" spans="1:43" ht="20.100000000000001" customHeight="1" x14ac:dyDescent="0.25">
      <c r="A52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36" t="str">
        <f>IF(NOTA[[#This Row],[ID_P]]="","",MATCH(NOTA[[#This Row],[ID_P]],[1]!B_MSK[N_ID],0))</f>
        <v/>
      </c>
      <c r="D529" s="36" t="str">
        <f ca="1">IF(NOTA[[#This Row],[NAMA BARANG]]="","",INDEX(NOTA[ID],MATCH(,INDIRECT(ADDRESS(ROW(NOTA[ID]),COLUMN(NOTA[ID]))&amp;":"&amp;ADDRESS(ROW(),COLUMN(NOTA[ID]))),-1)))</f>
        <v/>
      </c>
      <c r="E529" s="14"/>
      <c r="F529" s="16"/>
      <c r="G529" s="16"/>
      <c r="H529" s="20"/>
      <c r="I529" s="16"/>
      <c r="J529" s="37"/>
      <c r="K529" s="16"/>
      <c r="L529" s="16"/>
      <c r="M529" s="28"/>
      <c r="N529" s="16"/>
      <c r="O529" s="16"/>
      <c r="P529" s="35"/>
      <c r="Q529" s="38"/>
      <c r="R529" s="28"/>
      <c r="S529" s="39"/>
      <c r="T529" s="39"/>
      <c r="U529" s="40"/>
      <c r="V529" s="26"/>
      <c r="W529" s="40" t="str">
        <f>IF(NOTA[[#This Row],[HARGA/ CTN]]="",NOTA[[#This Row],[JUMLAH_H]],NOTA[[#This Row],[HARGA/ CTN]]*IF(NOTA[[#This Row],[C]]="",0,NOTA[[#This Row],[C]]))</f>
        <v/>
      </c>
      <c r="X529" s="40" t="str">
        <f>IF(NOTA[[#This Row],[JUMLAH]]="","",NOTA[[#This Row],[JUMLAH]]*NOTA[[#This Row],[DISC 1]])</f>
        <v/>
      </c>
      <c r="Y529" s="40" t="str">
        <f>IF(NOTA[[#This Row],[JUMLAH]]="","",(NOTA[[#This Row],[JUMLAH]]-NOTA[[#This Row],[DISC 1-]])*NOTA[[#This Row],[DISC 2]])</f>
        <v/>
      </c>
      <c r="Z529" s="40" t="str">
        <f>IF(NOTA[[#This Row],[JUMLAH]]="","",NOTA[[#This Row],[DISC 1-]]+NOTA[[#This Row],[DISC 2-]])</f>
        <v/>
      </c>
      <c r="AA529" s="40" t="str">
        <f>IF(NOTA[[#This Row],[JUMLAH]]="","",NOTA[[#This Row],[JUMLAH]]-NOTA[[#This Row],[DISC]])</f>
        <v/>
      </c>
      <c r="AB529" s="40"/>
      <c r="AC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9" s="40" t="str">
        <f>IF(OR(NOTA[[#This Row],[QTY]]="",NOTA[[#This Row],[HARGA SATUAN]]="",),"",NOTA[[#This Row],[QTY]]*NOTA[[#This Row],[HARGA SATUAN]])</f>
        <v/>
      </c>
      <c r="AG529" s="37" t="str">
        <f ca="1">IF(NOTA[ID_H]="","",INDEX(NOTA[TANGGAL],MATCH(,INDIRECT(ADDRESS(ROW(NOTA[TANGGAL]),COLUMN(NOTA[TANGGAL]))&amp;":"&amp;ADDRESS(ROW(),COLUMN(NOTA[TANGGAL]))),-1)))</f>
        <v/>
      </c>
      <c r="AH529" s="35" t="str">
        <f ca="1">IF(NOTA[[#This Row],[NAMA BARANG]]="","",INDEX(NOTA[SUPPLIER],MATCH(,INDIRECT(ADDRESS(ROW(NOTA[ID]),COLUMN(NOTA[ID]))&amp;":"&amp;ADDRESS(ROW(),COLUMN(NOTA[ID]))),-1)))</f>
        <v/>
      </c>
      <c r="AI529" s="35" t="str">
        <f ca="1">IF(NOTA[[#This Row],[ID_H]]="","",IF(NOTA[[#This Row],[FAKTUR]]="",INDIRECT(ADDRESS(ROW()-1,COLUMN())),NOTA[[#This Row],[FAKTUR]]))</f>
        <v/>
      </c>
      <c r="AJ529" s="27" t="str">
        <f ca="1">IF(NOTA[[#This Row],[ID]]="","",COUNTIF(NOTA[ID_H],NOTA[[#This Row],[ID_H]]))</f>
        <v/>
      </c>
      <c r="AK529" s="27" t="str">
        <f ca="1">IF(NOTA[[#This Row],[TGL.NOTA]]="",IF(NOTA[[#This Row],[SUPPLIER_H]]="","",AK528),MONTH(NOTA[[#This Row],[TGL.NOTA]]))</f>
        <v/>
      </c>
      <c r="AL529" s="27" t="str">
        <f>LOWER(SUBSTITUTE(SUBSTITUTE(SUBSTITUTE(SUBSTITUTE(SUBSTITUTE(SUBSTITUTE(SUBSTITUTE(SUBSTITUTE(SUBSTITUTE(NOTA[NAMA BARANG]," ",),".",""),"-",""),"(",""),")",""),",",""),"/",""),"""",""),"+",""))</f>
        <v/>
      </c>
      <c r="AM52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27" t="str">
        <f>IF(NOTA[[#This Row],[CONCAT4]]="","",_xlfn.IFNA(MATCH(NOTA[[#This Row],[CONCAT4]],[2]!RAW[CONCAT_H],0),FALSE))</f>
        <v/>
      </c>
      <c r="AQ529" s="145" t="str">
        <f>IF(NOTA[[#This Row],[CONCAT1]]="","",MATCH(NOTA[[#This Row],[CONCAT1]],[3]!db[NB NOTA_C],0)+1)</f>
        <v/>
      </c>
    </row>
    <row r="530" spans="1:43" ht="20.100000000000001" customHeight="1" x14ac:dyDescent="0.25">
      <c r="A530" s="35">
        <f ca="1">IF(INDIRECT(ADDRESS(ROW()-1,COLUMN(NOTA[[#Headers],[ID]])))="ID",1,IF(NOTA[[#This Row],[FAKTUR]]="","",COUNT(INDIRECT(ADDRESS(ROW(NOTA[ID]),COLUMN(NOTA[ID]))&amp;":"&amp;ADDRESS(ROW()-1,COLUMN(NOTA[ID]))))+1))</f>
        <v>93</v>
      </c>
      <c r="B530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PPW_1705_ 23-2</v>
      </c>
      <c r="C530" s="36" t="e">
        <f ca="1">IF(NOTA[[#This Row],[ID_P]]="","",MATCH(NOTA[[#This Row],[ID_P]],[1]!B_MSK[N_ID],0))</f>
        <v>#REF!</v>
      </c>
      <c r="D530" s="36">
        <f ca="1">IF(NOTA[[#This Row],[NAMA BARANG]]="","",INDEX(NOTA[ID],MATCH(,INDIRECT(ADDRESS(ROW(NOTA[ID]),COLUMN(NOTA[ID]))&amp;":"&amp;ADDRESS(ROW(),COLUMN(NOTA[ID]))),-1)))</f>
        <v>93</v>
      </c>
      <c r="E530" s="14"/>
      <c r="F530" s="16" t="s">
        <v>382</v>
      </c>
      <c r="G530" s="16" t="s">
        <v>112</v>
      </c>
      <c r="H530" s="20" t="s">
        <v>749</v>
      </c>
      <c r="I530" s="16"/>
      <c r="J530" s="37">
        <v>45061</v>
      </c>
      <c r="K530" s="16"/>
      <c r="L530" s="16" t="s">
        <v>750</v>
      </c>
      <c r="M530" s="28"/>
      <c r="N530" s="16">
        <v>200</v>
      </c>
      <c r="O530" s="16" t="s">
        <v>146</v>
      </c>
      <c r="P530" s="35">
        <v>18880</v>
      </c>
      <c r="Q530" s="38"/>
      <c r="R530" s="28"/>
      <c r="S530" s="39">
        <v>0.2</v>
      </c>
      <c r="T530" s="39">
        <v>0.04</v>
      </c>
      <c r="U530" s="40"/>
      <c r="V530" s="26"/>
      <c r="W530" s="40">
        <f>IF(NOTA[[#This Row],[HARGA/ CTN]]="",NOTA[[#This Row],[JUMLAH_H]],NOTA[[#This Row],[HARGA/ CTN]]*IF(NOTA[[#This Row],[C]]="",0,NOTA[[#This Row],[C]]))</f>
        <v>3776000</v>
      </c>
      <c r="X530" s="40">
        <f>IF(NOTA[[#This Row],[JUMLAH]]="","",NOTA[[#This Row],[JUMLAH]]*NOTA[[#This Row],[DISC 1]])</f>
        <v>755200</v>
      </c>
      <c r="Y530" s="40">
        <f>IF(NOTA[[#This Row],[JUMLAH]]="","",(NOTA[[#This Row],[JUMLAH]]-NOTA[[#This Row],[DISC 1-]])*NOTA[[#This Row],[DISC 2]])</f>
        <v>120832</v>
      </c>
      <c r="Z530" s="40">
        <f>IF(NOTA[[#This Row],[JUMLAH]]="","",NOTA[[#This Row],[DISC 1-]]+NOTA[[#This Row],[DISC 2-]])</f>
        <v>876032</v>
      </c>
      <c r="AA530" s="40">
        <f>IF(NOTA[[#This Row],[JUMLAH]]="","",NOTA[[#This Row],[JUMLAH]]-NOTA[[#This Row],[DISC]])</f>
        <v>2899968</v>
      </c>
      <c r="AB530" s="40"/>
      <c r="AC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35">
        <f>IF(NOTA[[#This Row],[NAMA BARANG]]="","",IF(NOTA[[#This Row],[JUMLAH_H]]="",NOTA[[#This Row],[HARGA/ CTN]],NOTA[[#This Row],[QTY]]*NOTA[[#This Row],[HARGA SATUAN]]/IF(ISNUMBER(NOTA[[#This Row],[C]]),NOTA[[#This Row],[C]],1)))</f>
        <v>3776000</v>
      </c>
      <c r="AF530" s="40">
        <f>IF(OR(NOTA[[#This Row],[QTY]]="",NOTA[[#This Row],[HARGA SATUAN]]="",),"",NOTA[[#This Row],[QTY]]*NOTA[[#This Row],[HARGA SATUAN]])</f>
        <v>3776000</v>
      </c>
      <c r="AG530" s="37">
        <f ca="1">IF(NOTA[ID_H]="","",INDEX(NOTA[TANGGAL],MATCH(,INDIRECT(ADDRESS(ROW(NOTA[TANGGAL]),COLUMN(NOTA[TANGGAL]))&amp;":"&amp;ADDRESS(ROW(),COLUMN(NOTA[TANGGAL]))),-1)))</f>
        <v>45063</v>
      </c>
      <c r="AH530" s="35" t="str">
        <f ca="1">IF(NOTA[[#This Row],[NAMA BARANG]]="","",INDEX(NOTA[SUPPLIER],MATCH(,INDIRECT(ADDRESS(ROW(NOTA[ID]),COLUMN(NOTA[ID]))&amp;":"&amp;ADDRESS(ROW(),COLUMN(NOTA[ID]))),-1)))</f>
        <v>PPW</v>
      </c>
      <c r="AI530" s="35" t="str">
        <f ca="1">IF(NOTA[[#This Row],[ID_H]]="","",IF(NOTA[[#This Row],[FAKTUR]]="",INDIRECT(ADDRESS(ROW()-1,COLUMN())),NOTA[[#This Row],[FAKTUR]]))</f>
        <v>UNTANA</v>
      </c>
      <c r="AJ530" s="27">
        <f ca="1">IF(NOTA[[#This Row],[ID]]="","",COUNTIF(NOTA[ID_H],NOTA[[#This Row],[ID_H]]))</f>
        <v>2</v>
      </c>
      <c r="AK530" s="27">
        <f>IF(NOTA[[#This Row],[TGL.NOTA]]="",IF(NOTA[[#This Row],[SUPPLIER_H]]="","",AK529),MONTH(NOTA[[#This Row],[TGL.NOTA]]))</f>
        <v>5</v>
      </c>
      <c r="AL530" s="27" t="str">
        <f>LOWER(SUBSTITUTE(SUBSTITUTE(SUBSTITUTE(SUBSTITUTE(SUBSTITUTE(SUBSTITUTE(SUBSTITUTE(SUBSTITUTE(SUBSTITUTE(NOTA[NAMA BARANG]," ",),".",""),"-",""),"(",""),")",""),",",""),"/",""),"""",""),"+",""))</f>
        <v>bt15cm</v>
      </c>
      <c r="AM53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bt15cm37760000.20.04</v>
      </c>
      <c r="AN53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bt15cm188800.20.04</v>
      </c>
      <c r="AO530" s="27" t="str">
        <f>IF(NOTA[[#This Row],[SUPPLIER]]="","",NOTA[[#This Row],[SUPPLIER]]&amp;NOTA[[#This Row],[FAKTUR]]&amp;NOTA[[#This Row],[NO.NOTA]]&amp;NOTA[[#This Row],[NO.SJ]]&amp;NOTA[[#This Row],[TGL.NOTA]]&amp;NOTA[[#This Row],[CONCAT1]])</f>
        <v>PPWUNTANA0272/ HW/ V/ 2345061bt15cm</v>
      </c>
      <c r="AP530" s="27" t="e">
        <f>IF(NOTA[[#This Row],[CONCAT4]]="","",_xlfn.IFNA(MATCH(NOTA[[#This Row],[CONCAT4]],[2]!RAW[CONCAT_H],0),FALSE))</f>
        <v>#REF!</v>
      </c>
      <c r="AQ530" s="145">
        <f>IF(NOTA[[#This Row],[CONCAT1]]="","",MATCH(NOTA[[#This Row],[CONCAT1]],[3]!db[NB NOTA_C],0)+1)</f>
        <v>366</v>
      </c>
    </row>
    <row r="531" spans="1:43" ht="20.100000000000001" customHeight="1" x14ac:dyDescent="0.25">
      <c r="A53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36" t="str">
        <f>IF(NOTA[[#This Row],[ID_P]]="","",MATCH(NOTA[[#This Row],[ID_P]],[1]!B_MSK[N_ID],0))</f>
        <v/>
      </c>
      <c r="D531" s="36">
        <f ca="1">IF(NOTA[[#This Row],[NAMA BARANG]]="","",INDEX(NOTA[ID],MATCH(,INDIRECT(ADDRESS(ROW(NOTA[ID]),COLUMN(NOTA[ID]))&amp;":"&amp;ADDRESS(ROW(),COLUMN(NOTA[ID]))),-1)))</f>
        <v>93</v>
      </c>
      <c r="E531" s="14"/>
      <c r="F531" s="16"/>
      <c r="G531" s="16"/>
      <c r="H531" s="20"/>
      <c r="I531" s="16"/>
      <c r="J531" s="37"/>
      <c r="K531" s="16"/>
      <c r="L531" s="16" t="s">
        <v>562</v>
      </c>
      <c r="M531" s="28"/>
      <c r="N531" s="16">
        <v>500</v>
      </c>
      <c r="O531" s="16" t="s">
        <v>146</v>
      </c>
      <c r="P531" s="35">
        <v>26780</v>
      </c>
      <c r="Q531" s="38"/>
      <c r="R531" s="28"/>
      <c r="S531" s="39">
        <v>0.2</v>
      </c>
      <c r="T531" s="39">
        <v>0.04</v>
      </c>
      <c r="U531" s="40"/>
      <c r="V531" s="26"/>
      <c r="W531" s="40">
        <f>IF(NOTA[[#This Row],[HARGA/ CTN]]="",NOTA[[#This Row],[JUMLAH_H]],NOTA[[#This Row],[HARGA/ CTN]]*IF(NOTA[[#This Row],[C]]="",0,NOTA[[#This Row],[C]]))</f>
        <v>13390000</v>
      </c>
      <c r="X531" s="40">
        <f>IF(NOTA[[#This Row],[JUMLAH]]="","",NOTA[[#This Row],[JUMLAH]]*NOTA[[#This Row],[DISC 1]])</f>
        <v>2678000</v>
      </c>
      <c r="Y531" s="40">
        <f>IF(NOTA[[#This Row],[JUMLAH]]="","",(NOTA[[#This Row],[JUMLAH]]-NOTA[[#This Row],[DISC 1-]])*NOTA[[#This Row],[DISC 2]])</f>
        <v>428480</v>
      </c>
      <c r="Z531" s="40">
        <f>IF(NOTA[[#This Row],[JUMLAH]]="","",NOTA[[#This Row],[DISC 1-]]+NOTA[[#This Row],[DISC 2-]])</f>
        <v>3106480</v>
      </c>
      <c r="AA531" s="40">
        <f>IF(NOTA[[#This Row],[JUMLAH]]="","",NOTA[[#This Row],[JUMLAH]]-NOTA[[#This Row],[DISC]])</f>
        <v>10283520</v>
      </c>
      <c r="AB531" s="40"/>
      <c r="AC5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3982512</v>
      </c>
      <c r="AD531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13183488</v>
      </c>
      <c r="AE531" s="35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F531" s="40">
        <f>IF(OR(NOTA[[#This Row],[QTY]]="",NOTA[[#This Row],[HARGA SATUAN]]="",),"",NOTA[[#This Row],[QTY]]*NOTA[[#This Row],[HARGA SATUAN]])</f>
        <v>13390000</v>
      </c>
      <c r="AG531" s="37">
        <f ca="1">IF(NOTA[ID_H]="","",INDEX(NOTA[TANGGAL],MATCH(,INDIRECT(ADDRESS(ROW(NOTA[TANGGAL]),COLUMN(NOTA[TANGGAL]))&amp;":"&amp;ADDRESS(ROW(),COLUMN(NOTA[TANGGAL]))),-1)))</f>
        <v>45063</v>
      </c>
      <c r="AH531" s="35" t="str">
        <f ca="1">IF(NOTA[[#This Row],[NAMA BARANG]]="","",INDEX(NOTA[SUPPLIER],MATCH(,INDIRECT(ADDRESS(ROW(NOTA[ID]),COLUMN(NOTA[ID]))&amp;":"&amp;ADDRESS(ROW(),COLUMN(NOTA[ID]))),-1)))</f>
        <v>PPW</v>
      </c>
      <c r="AI531" s="35" t="str">
        <f ca="1">IF(NOTA[[#This Row],[ID_H]]="","",IF(NOTA[[#This Row],[FAKTUR]]="",INDIRECT(ADDRESS(ROW()-1,COLUMN())),NOTA[[#This Row],[FAKTUR]]))</f>
        <v>UNTANA</v>
      </c>
      <c r="AJ531" s="27" t="str">
        <f ca="1">IF(NOTA[[#This Row],[ID]]="","",COUNTIF(NOTA[ID_H],NOTA[[#This Row],[ID_H]]))</f>
        <v/>
      </c>
      <c r="AK531" s="27">
        <f ca="1">IF(NOTA[[#This Row],[TGL.NOTA]]="",IF(NOTA[[#This Row],[SUPPLIER_H]]="","",AK530),MONTH(NOTA[[#This Row],[TGL.NOTA]]))</f>
        <v>5</v>
      </c>
      <c r="AL531" s="27" t="str">
        <f>LOWER(SUBSTITUTE(SUBSTITUTE(SUBSTITUTE(SUBSTITUTE(SUBSTITUTE(SUBSTITUTE(SUBSTITUTE(SUBSTITUTE(SUBSTITUTE(NOTA[NAMA BARANG]," ",),".",""),"-",""),"(",""),")",""),",",""),"/",""),"""",""),"+",""))</f>
        <v>bt30cm</v>
      </c>
      <c r="AM53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N53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O53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27" t="str">
        <f>IF(NOTA[[#This Row],[CONCAT4]]="","",_xlfn.IFNA(MATCH(NOTA[[#This Row],[CONCAT4]],[2]!RAW[CONCAT_H],0),FALSE))</f>
        <v/>
      </c>
      <c r="AQ531" s="145">
        <f>IF(NOTA[[#This Row],[CONCAT1]]="","",MATCH(NOTA[[#This Row],[CONCAT1]],[3]!db[NB NOTA_C],0)+1)</f>
        <v>368</v>
      </c>
    </row>
    <row r="532" spans="1:43" ht="20.100000000000001" customHeight="1" x14ac:dyDescent="0.25">
      <c r="A53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36" t="str">
        <f>IF(NOTA[[#This Row],[ID_P]]="","",MATCH(NOTA[[#This Row],[ID_P]],[1]!B_MSK[N_ID],0))</f>
        <v/>
      </c>
      <c r="D532" s="36" t="str">
        <f ca="1">IF(NOTA[[#This Row],[NAMA BARANG]]="","",INDEX(NOTA[ID],MATCH(,INDIRECT(ADDRESS(ROW(NOTA[ID]),COLUMN(NOTA[ID]))&amp;":"&amp;ADDRESS(ROW(),COLUMN(NOTA[ID]))),-1)))</f>
        <v/>
      </c>
      <c r="E532" s="14"/>
      <c r="F532" s="16"/>
      <c r="G532" s="16"/>
      <c r="H532" s="20"/>
      <c r="I532" s="16"/>
      <c r="J532" s="37"/>
      <c r="K532" s="16"/>
      <c r="L532" s="16"/>
      <c r="M532" s="28"/>
      <c r="N532" s="16"/>
      <c r="O532" s="16"/>
      <c r="P532" s="35"/>
      <c r="Q532" s="38"/>
      <c r="R532" s="28"/>
      <c r="S532" s="39"/>
      <c r="T532" s="39"/>
      <c r="U532" s="40"/>
      <c r="V532" s="26"/>
      <c r="W532" s="40" t="str">
        <f>IF(NOTA[[#This Row],[HARGA/ CTN]]="",NOTA[[#This Row],[JUMLAH_H]],NOTA[[#This Row],[HARGA/ CTN]]*IF(NOTA[[#This Row],[C]]="",0,NOTA[[#This Row],[C]]))</f>
        <v/>
      </c>
      <c r="X532" s="40" t="str">
        <f>IF(NOTA[[#This Row],[JUMLAH]]="","",NOTA[[#This Row],[JUMLAH]]*NOTA[[#This Row],[DISC 1]])</f>
        <v/>
      </c>
      <c r="Y532" s="40" t="str">
        <f>IF(NOTA[[#This Row],[JUMLAH]]="","",(NOTA[[#This Row],[JUMLAH]]-NOTA[[#This Row],[DISC 1-]])*NOTA[[#This Row],[DISC 2]])</f>
        <v/>
      </c>
      <c r="Z532" s="40" t="str">
        <f>IF(NOTA[[#This Row],[JUMLAH]]="","",NOTA[[#This Row],[DISC 1-]]+NOTA[[#This Row],[DISC 2-]])</f>
        <v/>
      </c>
      <c r="AA532" s="40" t="str">
        <f>IF(NOTA[[#This Row],[JUMLAH]]="","",NOTA[[#This Row],[JUMLAH]]-NOTA[[#This Row],[DISC]])</f>
        <v/>
      </c>
      <c r="AB532" s="40"/>
      <c r="AC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40" t="str">
        <f>IF(OR(NOTA[[#This Row],[QTY]]="",NOTA[[#This Row],[HARGA SATUAN]]="",),"",NOTA[[#This Row],[QTY]]*NOTA[[#This Row],[HARGA SATUAN]])</f>
        <v/>
      </c>
      <c r="AG532" s="37" t="str">
        <f ca="1">IF(NOTA[ID_H]="","",INDEX(NOTA[TANGGAL],MATCH(,INDIRECT(ADDRESS(ROW(NOTA[TANGGAL]),COLUMN(NOTA[TANGGAL]))&amp;":"&amp;ADDRESS(ROW(),COLUMN(NOTA[TANGGAL]))),-1)))</f>
        <v/>
      </c>
      <c r="AH532" s="35" t="str">
        <f ca="1">IF(NOTA[[#This Row],[NAMA BARANG]]="","",INDEX(NOTA[SUPPLIER],MATCH(,INDIRECT(ADDRESS(ROW(NOTA[ID]),COLUMN(NOTA[ID]))&amp;":"&amp;ADDRESS(ROW(),COLUMN(NOTA[ID]))),-1)))</f>
        <v/>
      </c>
      <c r="AI532" s="35" t="str">
        <f ca="1">IF(NOTA[[#This Row],[ID_H]]="","",IF(NOTA[[#This Row],[FAKTUR]]="",INDIRECT(ADDRESS(ROW()-1,COLUMN())),NOTA[[#This Row],[FAKTUR]]))</f>
        <v/>
      </c>
      <c r="AJ532" s="27" t="str">
        <f ca="1">IF(NOTA[[#This Row],[ID]]="","",COUNTIF(NOTA[ID_H],NOTA[[#This Row],[ID_H]]))</f>
        <v/>
      </c>
      <c r="AK532" s="27" t="str">
        <f ca="1">IF(NOTA[[#This Row],[TGL.NOTA]]="",IF(NOTA[[#This Row],[SUPPLIER_H]]="","",AK531),MONTH(NOTA[[#This Row],[TGL.NOTA]]))</f>
        <v/>
      </c>
      <c r="AL532" s="27" t="str">
        <f>LOWER(SUBSTITUTE(SUBSTITUTE(SUBSTITUTE(SUBSTITUTE(SUBSTITUTE(SUBSTITUTE(SUBSTITUTE(SUBSTITUTE(SUBSTITUTE(NOTA[NAMA BARANG]," ",),".",""),"-",""),"(",""),")",""),",",""),"/",""),"""",""),"+",""))</f>
        <v/>
      </c>
      <c r="AM53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2" s="27" t="str">
        <f>IF(NOTA[[#This Row],[CONCAT4]]="","",_xlfn.IFNA(MATCH(NOTA[[#This Row],[CONCAT4]],[2]!RAW[CONCAT_H],0),FALSE))</f>
        <v/>
      </c>
      <c r="AQ532" s="145" t="str">
        <f>IF(NOTA[[#This Row],[CONCAT1]]="","",MATCH(NOTA[[#This Row],[CONCAT1]],[3]!db[NB NOTA_C],0)+1)</f>
        <v/>
      </c>
    </row>
    <row r="533" spans="1:43" ht="20.100000000000001" customHeight="1" x14ac:dyDescent="0.25">
      <c r="A533" s="35">
        <f ca="1">IF(INDIRECT(ADDRESS(ROW()-1,COLUMN(NOTA[[#Headers],[ID]])))="ID",1,IF(NOTA[[#This Row],[FAKTUR]]="","",COUNT(INDIRECT(ADDRESS(ROW(NOTA[ID]),COLUMN(NOTA[ID]))&amp;":"&amp;ADDRESS(ROW()-1,COLUMN(NOTA[ID]))))+1))</f>
        <v>94</v>
      </c>
      <c r="B533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SBS_1705_LAN-1</v>
      </c>
      <c r="C533" s="36" t="e">
        <f ca="1">IF(NOTA[[#This Row],[ID_P]]="","",MATCH(NOTA[[#This Row],[ID_P]],[1]!B_MSK[N_ID],0))</f>
        <v>#REF!</v>
      </c>
      <c r="D533" s="36">
        <f ca="1">IF(NOTA[[#This Row],[NAMA BARANG]]="","",INDEX(NOTA[ID],MATCH(,INDIRECT(ADDRESS(ROW(NOTA[ID]),COLUMN(NOTA[ID]))&amp;":"&amp;ADDRESS(ROW(),COLUMN(NOTA[ID]))),-1)))</f>
        <v>94</v>
      </c>
      <c r="E533" s="14"/>
      <c r="F533" s="16" t="s">
        <v>111</v>
      </c>
      <c r="G533" s="16" t="s">
        <v>112</v>
      </c>
      <c r="H533" s="20" t="s">
        <v>123</v>
      </c>
      <c r="I533" s="16" t="s">
        <v>751</v>
      </c>
      <c r="J533" s="37">
        <v>45061</v>
      </c>
      <c r="K533" s="16"/>
      <c r="L533" s="16" t="s">
        <v>752</v>
      </c>
      <c r="M533" s="28">
        <v>3</v>
      </c>
      <c r="N533" s="16">
        <v>480</v>
      </c>
      <c r="O533" s="16" t="s">
        <v>262</v>
      </c>
      <c r="P533" s="35">
        <v>78000</v>
      </c>
      <c r="Q533" s="38"/>
      <c r="R533" s="28" t="s">
        <v>753</v>
      </c>
      <c r="S533" s="39"/>
      <c r="T533" s="39"/>
      <c r="U533" s="40"/>
      <c r="V533" s="26"/>
      <c r="W533" s="40">
        <f>IF(NOTA[[#This Row],[HARGA/ CTN]]="",NOTA[[#This Row],[JUMLAH_H]],NOTA[[#This Row],[HARGA/ CTN]]*IF(NOTA[[#This Row],[C]]="",0,NOTA[[#This Row],[C]]))</f>
        <v>37440000</v>
      </c>
      <c r="X533" s="40">
        <f>IF(NOTA[[#This Row],[JUMLAH]]="","",NOTA[[#This Row],[JUMLAH]]*NOTA[[#This Row],[DISC 1]])</f>
        <v>0</v>
      </c>
      <c r="Y533" s="40">
        <f>IF(NOTA[[#This Row],[JUMLAH]]="","",(NOTA[[#This Row],[JUMLAH]]-NOTA[[#This Row],[DISC 1-]])*NOTA[[#This Row],[DISC 2]])</f>
        <v>0</v>
      </c>
      <c r="Z533" s="40">
        <f>IF(NOTA[[#This Row],[JUMLAH]]="","",NOTA[[#This Row],[DISC 1-]]+NOTA[[#This Row],[DISC 2-]])</f>
        <v>0</v>
      </c>
      <c r="AA533" s="40">
        <f>IF(NOTA[[#This Row],[JUMLAH]]="","",NOTA[[#This Row],[JUMLAH]]-NOTA[[#This Row],[DISC]])</f>
        <v>37440000</v>
      </c>
      <c r="AB533" s="40"/>
      <c r="AC53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37440000</v>
      </c>
      <c r="AE533" s="35">
        <f>IF(NOTA[[#This Row],[NAMA BARANG]]="","",IF(NOTA[[#This Row],[JUMLAH_H]]="",NOTA[[#This Row],[HARGA/ CTN]],NOTA[[#This Row],[QTY]]*NOTA[[#This Row],[HARGA SATUAN]]/IF(ISNUMBER(NOTA[[#This Row],[C]]),NOTA[[#This Row],[C]],1)))</f>
        <v>12480000</v>
      </c>
      <c r="AF533" s="40">
        <f>IF(OR(NOTA[[#This Row],[QTY]]="",NOTA[[#This Row],[HARGA SATUAN]]="",),"",NOTA[[#This Row],[QTY]]*NOTA[[#This Row],[HARGA SATUAN]])</f>
        <v>37440000</v>
      </c>
      <c r="AG533" s="37">
        <f ca="1">IF(NOTA[ID_H]="","",INDEX(NOTA[TANGGAL],MATCH(,INDIRECT(ADDRESS(ROW(NOTA[TANGGAL]),COLUMN(NOTA[TANGGAL]))&amp;":"&amp;ADDRESS(ROW(),COLUMN(NOTA[TANGGAL]))),-1)))</f>
        <v>45063</v>
      </c>
      <c r="AH533" s="35" t="str">
        <f ca="1">IF(NOTA[[#This Row],[NAMA BARANG]]="","",INDEX(NOTA[SUPPLIER],MATCH(,INDIRECT(ADDRESS(ROW(NOTA[ID]),COLUMN(NOTA[ID]))&amp;":"&amp;ADDRESS(ROW(),COLUMN(NOTA[ID]))),-1)))</f>
        <v>SBS</v>
      </c>
      <c r="AI533" s="35" t="str">
        <f ca="1">IF(NOTA[[#This Row],[ID_H]]="","",IF(NOTA[[#This Row],[FAKTUR]]="",INDIRECT(ADDRESS(ROW()-1,COLUMN())),NOTA[[#This Row],[FAKTUR]]))</f>
        <v>UNTANA</v>
      </c>
      <c r="AJ533" s="27">
        <f ca="1">IF(NOTA[[#This Row],[ID]]="","",COUNTIF(NOTA[ID_H],NOTA[[#This Row],[ID_H]]))</f>
        <v>1</v>
      </c>
      <c r="AK533" s="27">
        <f>IF(NOTA[[#This Row],[TGL.NOTA]]="",IF(NOTA[[#This Row],[SUPPLIER_H]]="","",AK532),MONTH(NOTA[[#This Row],[TGL.NOTA]]))</f>
        <v>5</v>
      </c>
      <c r="AL533" s="27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M53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correctiontapemt737a5x16refill12480000</v>
      </c>
      <c r="AN53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correctiontapemt737a5x16refill12480000</v>
      </c>
      <c r="AO533" s="27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JALANTH020/5/202345061correctiontapemt737a5x16refill</v>
      </c>
      <c r="AP533" s="27" t="e">
        <f>IF(NOTA[[#This Row],[CONCAT4]]="","",_xlfn.IFNA(MATCH(NOTA[[#This Row],[CONCAT4]],[2]!RAW[CONCAT_H],0),FALSE))</f>
        <v>#REF!</v>
      </c>
      <c r="AQ533" s="145">
        <f>IF(NOTA[[#This Row],[CONCAT1]]="","",MATCH(NOTA[[#This Row],[CONCAT1]],[3]!db[NB NOTA_C],0)+1)</f>
        <v>579</v>
      </c>
    </row>
    <row r="534" spans="1:43" ht="20.100000000000001" customHeight="1" x14ac:dyDescent="0.25">
      <c r="A53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36" t="str">
        <f>IF(NOTA[[#This Row],[ID_P]]="","",MATCH(NOTA[[#This Row],[ID_P]],[1]!B_MSK[N_ID],0))</f>
        <v/>
      </c>
      <c r="D534" s="36" t="str">
        <f ca="1">IF(NOTA[[#This Row],[NAMA BARANG]]="","",INDEX(NOTA[ID],MATCH(,INDIRECT(ADDRESS(ROW(NOTA[ID]),COLUMN(NOTA[ID]))&amp;":"&amp;ADDRESS(ROW(),COLUMN(NOTA[ID]))),-1)))</f>
        <v/>
      </c>
      <c r="E534" s="14"/>
      <c r="F534" s="16"/>
      <c r="G534" s="16"/>
      <c r="H534" s="20"/>
      <c r="I534" s="16"/>
      <c r="J534" s="37"/>
      <c r="K534" s="16"/>
      <c r="L534" s="16"/>
      <c r="M534" s="28"/>
      <c r="N534" s="16"/>
      <c r="O534" s="16"/>
      <c r="P534" s="35"/>
      <c r="Q534" s="38"/>
      <c r="R534" s="28"/>
      <c r="S534" s="39"/>
      <c r="T534" s="39"/>
      <c r="U534" s="40"/>
      <c r="V534" s="26"/>
      <c r="W534" s="40" t="str">
        <f>IF(NOTA[[#This Row],[HARGA/ CTN]]="",NOTA[[#This Row],[JUMLAH_H]],NOTA[[#This Row],[HARGA/ CTN]]*IF(NOTA[[#This Row],[C]]="",0,NOTA[[#This Row],[C]]))</f>
        <v/>
      </c>
      <c r="X534" s="40" t="str">
        <f>IF(NOTA[[#This Row],[JUMLAH]]="","",NOTA[[#This Row],[JUMLAH]]*NOTA[[#This Row],[DISC 1]])</f>
        <v/>
      </c>
      <c r="Y534" s="40" t="str">
        <f>IF(NOTA[[#This Row],[JUMLAH]]="","",(NOTA[[#This Row],[JUMLAH]]-NOTA[[#This Row],[DISC 1-]])*NOTA[[#This Row],[DISC 2]])</f>
        <v/>
      </c>
      <c r="Z534" s="40" t="str">
        <f>IF(NOTA[[#This Row],[JUMLAH]]="","",NOTA[[#This Row],[DISC 1-]]+NOTA[[#This Row],[DISC 2-]])</f>
        <v/>
      </c>
      <c r="AA534" s="40" t="str">
        <f>IF(NOTA[[#This Row],[JUMLAH]]="","",NOTA[[#This Row],[JUMLAH]]-NOTA[[#This Row],[DISC]])</f>
        <v/>
      </c>
      <c r="AB534" s="40"/>
      <c r="AC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40" t="str">
        <f>IF(OR(NOTA[[#This Row],[QTY]]="",NOTA[[#This Row],[HARGA SATUAN]]="",),"",NOTA[[#This Row],[QTY]]*NOTA[[#This Row],[HARGA SATUAN]])</f>
        <v/>
      </c>
      <c r="AG534" s="37" t="str">
        <f ca="1">IF(NOTA[ID_H]="","",INDEX(NOTA[TANGGAL],MATCH(,INDIRECT(ADDRESS(ROW(NOTA[TANGGAL]),COLUMN(NOTA[TANGGAL]))&amp;":"&amp;ADDRESS(ROW(),COLUMN(NOTA[TANGGAL]))),-1)))</f>
        <v/>
      </c>
      <c r="AH534" s="35" t="str">
        <f ca="1">IF(NOTA[[#This Row],[NAMA BARANG]]="","",INDEX(NOTA[SUPPLIER],MATCH(,INDIRECT(ADDRESS(ROW(NOTA[ID]),COLUMN(NOTA[ID]))&amp;":"&amp;ADDRESS(ROW(),COLUMN(NOTA[ID]))),-1)))</f>
        <v/>
      </c>
      <c r="AI534" s="35" t="str">
        <f ca="1">IF(NOTA[[#This Row],[ID_H]]="","",IF(NOTA[[#This Row],[FAKTUR]]="",INDIRECT(ADDRESS(ROW()-1,COLUMN())),NOTA[[#This Row],[FAKTUR]]))</f>
        <v/>
      </c>
      <c r="AJ534" s="27" t="str">
        <f ca="1">IF(NOTA[[#This Row],[ID]]="","",COUNTIF(NOTA[ID_H],NOTA[[#This Row],[ID_H]]))</f>
        <v/>
      </c>
      <c r="AK534" s="27" t="str">
        <f ca="1">IF(NOTA[[#This Row],[TGL.NOTA]]="",IF(NOTA[[#This Row],[SUPPLIER_H]]="","",AK533),MONTH(NOTA[[#This Row],[TGL.NOTA]]))</f>
        <v/>
      </c>
      <c r="AL534" s="27" t="str">
        <f>LOWER(SUBSTITUTE(SUBSTITUTE(SUBSTITUTE(SUBSTITUTE(SUBSTITUTE(SUBSTITUTE(SUBSTITUTE(SUBSTITUTE(SUBSTITUTE(NOTA[NAMA BARANG]," ",),".",""),"-",""),"(",""),")",""),",",""),"/",""),"""",""),"+",""))</f>
        <v/>
      </c>
      <c r="AM53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27" t="str">
        <f>IF(NOTA[[#This Row],[CONCAT4]]="","",_xlfn.IFNA(MATCH(NOTA[[#This Row],[CONCAT4]],[2]!RAW[CONCAT_H],0),FALSE))</f>
        <v/>
      </c>
      <c r="AQ534" s="145" t="str">
        <f>IF(NOTA[[#This Row],[CONCAT1]]="","",MATCH(NOTA[[#This Row],[CONCAT1]],[3]!db[NB NOTA_C],0)+1)</f>
        <v/>
      </c>
    </row>
    <row r="535" spans="1:43" ht="20.100000000000001" customHeight="1" x14ac:dyDescent="0.25">
      <c r="A535" s="35">
        <f ca="1">IF(INDIRECT(ADDRESS(ROW()-1,COLUMN(NOTA[[#Headers],[ID]])))="ID",1,IF(NOTA[[#This Row],[FAKTUR]]="","",COUNT(INDIRECT(ADDRESS(ROW(NOTA[ID]),COLUMN(NOTA[ID]))&amp;":"&amp;ADDRESS(ROW()-1,COLUMN(NOTA[ID]))))+1))</f>
        <v>95</v>
      </c>
      <c r="B535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SBS_1905_7BI-5</v>
      </c>
      <c r="C535" s="36" t="e">
        <f ca="1">IF(NOTA[[#This Row],[ID_P]]="","",MATCH(NOTA[[#This Row],[ID_P]],[1]!B_MSK[N_ID],0))</f>
        <v>#REF!</v>
      </c>
      <c r="D535" s="36">
        <f ca="1">IF(NOTA[[#This Row],[NAMA BARANG]]="","",INDEX(NOTA[ID],MATCH(,INDIRECT(ADDRESS(ROW(NOTA[ID]),COLUMN(NOTA[ID]))&amp;":"&amp;ADDRESS(ROW(),COLUMN(NOTA[ID]))),-1)))</f>
        <v>95</v>
      </c>
      <c r="E535" s="14">
        <v>45065</v>
      </c>
      <c r="F535" s="16" t="s">
        <v>111</v>
      </c>
      <c r="G535" s="16" t="s">
        <v>112</v>
      </c>
      <c r="H535" s="20" t="s">
        <v>792</v>
      </c>
      <c r="I535" s="16"/>
      <c r="J535" s="37">
        <v>45056</v>
      </c>
      <c r="K535" s="16"/>
      <c r="L535" s="16" t="s">
        <v>466</v>
      </c>
      <c r="M535" s="28">
        <v>3</v>
      </c>
      <c r="N535" s="16">
        <v>576</v>
      </c>
      <c r="O535" s="16" t="s">
        <v>160</v>
      </c>
      <c r="P535" s="35">
        <v>9200</v>
      </c>
      <c r="Q535" s="38"/>
      <c r="R535" s="28" t="s">
        <v>427</v>
      </c>
      <c r="S535" s="39"/>
      <c r="T535" s="39"/>
      <c r="U535" s="40"/>
      <c r="V535" s="26"/>
      <c r="W535" s="40">
        <f>IF(NOTA[[#This Row],[HARGA/ CTN]]="",NOTA[[#This Row],[JUMLAH_H]],NOTA[[#This Row],[HARGA/ CTN]]*IF(NOTA[[#This Row],[C]]="",0,NOTA[[#This Row],[C]]))</f>
        <v>5299200</v>
      </c>
      <c r="X535" s="40">
        <f>IF(NOTA[[#This Row],[JUMLAH]]="","",NOTA[[#This Row],[JUMLAH]]*NOTA[[#This Row],[DISC 1]])</f>
        <v>0</v>
      </c>
      <c r="Y535" s="40">
        <f>IF(NOTA[[#This Row],[JUMLAH]]="","",(NOTA[[#This Row],[JUMLAH]]-NOTA[[#This Row],[DISC 1-]])*NOTA[[#This Row],[DISC 2]])</f>
        <v>0</v>
      </c>
      <c r="Z535" s="40">
        <f>IF(NOTA[[#This Row],[JUMLAH]]="","",NOTA[[#This Row],[DISC 1-]]+NOTA[[#This Row],[DISC 2-]])</f>
        <v>0</v>
      </c>
      <c r="AA535" s="40">
        <f>IF(NOTA[[#This Row],[JUMLAH]]="","",NOTA[[#This Row],[JUMLAH]]-NOTA[[#This Row],[DISC]])</f>
        <v>5299200</v>
      </c>
      <c r="AB535" s="40"/>
      <c r="AC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35">
        <f>IF(NOTA[[#This Row],[NAMA BARANG]]="","",IF(NOTA[[#This Row],[JUMLAH_H]]="",NOTA[[#This Row],[HARGA/ CTN]],NOTA[[#This Row],[QTY]]*NOTA[[#This Row],[HARGA SATUAN]]/IF(ISNUMBER(NOTA[[#This Row],[C]]),NOTA[[#This Row],[C]],1)))</f>
        <v>1766400</v>
      </c>
      <c r="AF535" s="40">
        <f>IF(OR(NOTA[[#This Row],[QTY]]="",NOTA[[#This Row],[HARGA SATUAN]]="",),"",NOTA[[#This Row],[QTY]]*NOTA[[#This Row],[HARGA SATUAN]])</f>
        <v>5299200</v>
      </c>
      <c r="AG535" s="37">
        <f ca="1">IF(NOTA[ID_H]="","",INDEX(NOTA[TANGGAL],MATCH(,INDIRECT(ADDRESS(ROW(NOTA[TANGGAL]),COLUMN(NOTA[TANGGAL]))&amp;":"&amp;ADDRESS(ROW(),COLUMN(NOTA[TANGGAL]))),-1)))</f>
        <v>45065</v>
      </c>
      <c r="AH535" s="35" t="str">
        <f ca="1">IF(NOTA[[#This Row],[NAMA BARANG]]="","",INDEX(NOTA[SUPPLIER],MATCH(,INDIRECT(ADDRESS(ROW(NOTA[ID]),COLUMN(NOTA[ID]))&amp;":"&amp;ADDRESS(ROW(),COLUMN(NOTA[ID]))),-1)))</f>
        <v>SBS</v>
      </c>
      <c r="AI535" s="35" t="str">
        <f ca="1">IF(NOTA[[#This Row],[ID_H]]="","",IF(NOTA[[#This Row],[FAKTUR]]="",INDIRECT(ADDRESS(ROW()-1,COLUMN())),NOTA[[#This Row],[FAKTUR]]))</f>
        <v>UNTANA</v>
      </c>
      <c r="AJ535" s="27">
        <f ca="1">IF(NOTA[[#This Row],[ID]]="","",COUNTIF(NOTA[ID_H],NOTA[[#This Row],[ID_H]]))</f>
        <v>5</v>
      </c>
      <c r="AK535" s="27">
        <f>IF(NOTA[[#This Row],[TGL.NOTA]]="",IF(NOTA[[#This Row],[SUPPLIER_H]]="","",AK534),MONTH(NOTA[[#This Row],[TGL.NOTA]]))</f>
        <v>5</v>
      </c>
      <c r="AL535" s="27" t="str">
        <f>LOWER(SUBSTITUTE(SUBSTITUTE(SUBSTITUTE(SUBSTITUTE(SUBSTITUTE(SUBSTITUTE(SUBSTITUTE(SUBSTITUTE(SUBSTITUTE(NOTA[NAMA BARANG]," ",),".",""),"-",""),"(",""),")",""),",",""),"/",""),"""",""),"+",""))</f>
        <v>pcmgp6508975x22puasr</v>
      </c>
      <c r="AM53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pcmgp6508975x22puasr1766400</v>
      </c>
      <c r="AN53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pcmgp6508975x22puasr1766400</v>
      </c>
      <c r="AO535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SBSUNTANAVE0267BI45056pcmgp6508975x22puasr</v>
      </c>
      <c r="AP535" s="27" t="e">
        <f>IF(NOTA[[#This Row],[CONCAT4]]="","",_xlfn.IFNA(MATCH(NOTA[[#This Row],[CONCAT4]],[2]!RAW[CONCAT_H],0),FALSE))</f>
        <v>#REF!</v>
      </c>
      <c r="AQ535" s="145" t="e">
        <f>IF(NOTA[[#This Row],[CONCAT1]]="","",MATCH(NOTA[[#This Row],[CONCAT1]],[3]!db[NB NOTA_C],0)+1)</f>
        <v>#N/A</v>
      </c>
    </row>
    <row r="536" spans="1:43" ht="20.100000000000001" customHeight="1" x14ac:dyDescent="0.25">
      <c r="A53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36" t="str">
        <f>IF(NOTA[[#This Row],[ID_P]]="","",MATCH(NOTA[[#This Row],[ID_P]],[1]!B_MSK[N_ID],0))</f>
        <v/>
      </c>
      <c r="D536" s="36">
        <f ca="1">IF(NOTA[[#This Row],[NAMA BARANG]]="","",INDEX(NOTA[ID],MATCH(,INDIRECT(ADDRESS(ROW(NOTA[ID]),COLUMN(NOTA[ID]))&amp;":"&amp;ADDRESS(ROW(),COLUMN(NOTA[ID]))),-1)))</f>
        <v>95</v>
      </c>
      <c r="E536" s="14"/>
      <c r="F536" s="16"/>
      <c r="G536" s="16"/>
      <c r="H536" s="20"/>
      <c r="I536" s="16"/>
      <c r="J536" s="37"/>
      <c r="K536" s="16"/>
      <c r="L536" s="16" t="s">
        <v>467</v>
      </c>
      <c r="M536" s="28">
        <v>3</v>
      </c>
      <c r="N536" s="16">
        <v>432</v>
      </c>
      <c r="O536" s="16" t="s">
        <v>160</v>
      </c>
      <c r="P536" s="35">
        <v>11600</v>
      </c>
      <c r="Q536" s="38"/>
      <c r="R536" s="28"/>
      <c r="S536" s="39"/>
      <c r="T536" s="39"/>
      <c r="U536" s="40"/>
      <c r="V536" s="26"/>
      <c r="W536" s="40">
        <f>IF(NOTA[[#This Row],[HARGA/ CTN]]="",NOTA[[#This Row],[JUMLAH_H]],NOTA[[#This Row],[HARGA/ CTN]]*IF(NOTA[[#This Row],[C]]="",0,NOTA[[#This Row],[C]]))</f>
        <v>5011200</v>
      </c>
      <c r="X536" s="40">
        <f>IF(NOTA[[#This Row],[JUMLAH]]="","",NOTA[[#This Row],[JUMLAH]]*NOTA[[#This Row],[DISC 1]])</f>
        <v>0</v>
      </c>
      <c r="Y536" s="40">
        <f>IF(NOTA[[#This Row],[JUMLAH]]="","",(NOTA[[#This Row],[JUMLAH]]-NOTA[[#This Row],[DISC 1-]])*NOTA[[#This Row],[DISC 2]])</f>
        <v>0</v>
      </c>
      <c r="Z536" s="40">
        <f>IF(NOTA[[#This Row],[JUMLAH]]="","",NOTA[[#This Row],[DISC 1-]]+NOTA[[#This Row],[DISC 2-]])</f>
        <v>0</v>
      </c>
      <c r="AA536" s="40">
        <f>IF(NOTA[[#This Row],[JUMLAH]]="","",NOTA[[#This Row],[JUMLAH]]-NOTA[[#This Row],[DISC]])</f>
        <v>5011200</v>
      </c>
      <c r="AB536" s="40"/>
      <c r="AC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36" s="40">
        <f>IF(OR(NOTA[[#This Row],[QTY]]="",NOTA[[#This Row],[HARGA SATUAN]]="",),"",NOTA[[#This Row],[QTY]]*NOTA[[#This Row],[HARGA SATUAN]])</f>
        <v>5011200</v>
      </c>
      <c r="AG536" s="37">
        <f ca="1">IF(NOTA[ID_H]="","",INDEX(NOTA[TANGGAL],MATCH(,INDIRECT(ADDRESS(ROW(NOTA[TANGGAL]),COLUMN(NOTA[TANGGAL]))&amp;":"&amp;ADDRESS(ROW(),COLUMN(NOTA[TANGGAL]))),-1)))</f>
        <v>45065</v>
      </c>
      <c r="AH536" s="35" t="str">
        <f ca="1">IF(NOTA[[#This Row],[NAMA BARANG]]="","",INDEX(NOTA[SUPPLIER],MATCH(,INDIRECT(ADDRESS(ROW(NOTA[ID]),COLUMN(NOTA[ID]))&amp;":"&amp;ADDRESS(ROW(),COLUMN(NOTA[ID]))),-1)))</f>
        <v>SBS</v>
      </c>
      <c r="AI536" s="35" t="str">
        <f ca="1">IF(NOTA[[#This Row],[ID_H]]="","",IF(NOTA[[#This Row],[FAKTUR]]="",INDIRECT(ADDRESS(ROW()-1,COLUMN())),NOTA[[#This Row],[FAKTUR]]))</f>
        <v>UNTANA</v>
      </c>
      <c r="AJ536" s="27" t="str">
        <f ca="1">IF(NOTA[[#This Row],[ID]]="","",COUNTIF(NOTA[ID_H],NOTA[[#This Row],[ID_H]]))</f>
        <v/>
      </c>
      <c r="AK536" s="27">
        <f ca="1">IF(NOTA[[#This Row],[TGL.NOTA]]="",IF(NOTA[[#This Row],[SUPPLIER_H]]="","",AK535),MONTH(NOTA[[#This Row],[TGL.NOTA]]))</f>
        <v>5</v>
      </c>
      <c r="AL536" s="27" t="str">
        <f>LOWER(SUBSTITUTE(SUBSTITUTE(SUBSTITUTE(SUBSTITUTE(SUBSTITUTE(SUBSTITUTE(SUBSTITUTE(SUBSTITUTE(SUBSTITUTE(NOTA[NAMA BARANG]," ",),".",""),"-",""),"(",""),")",""),",",""),"/",""),"""",""),"+",""))</f>
        <v>pcmgp929478x225pugltunicorn</v>
      </c>
      <c r="AM53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pcmgp929478x225pugltunicorn1670400</v>
      </c>
      <c r="AN53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pcmgp929478x225pugltunicorn1670400</v>
      </c>
      <c r="AO53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6" s="27" t="str">
        <f>IF(NOTA[[#This Row],[CONCAT4]]="","",_xlfn.IFNA(MATCH(NOTA[[#This Row],[CONCAT4]],[2]!RAW[CONCAT_H],0),FALSE))</f>
        <v/>
      </c>
      <c r="AQ536" s="145" t="e">
        <f>IF(NOTA[[#This Row],[CONCAT1]]="","",MATCH(NOTA[[#This Row],[CONCAT1]],[3]!db[NB NOTA_C],0)+1)</f>
        <v>#N/A</v>
      </c>
    </row>
    <row r="537" spans="1:43" ht="20.100000000000001" customHeight="1" x14ac:dyDescent="0.25">
      <c r="A537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36" t="str">
        <f>IF(NOTA[[#This Row],[ID_P]]="","",MATCH(NOTA[[#This Row],[ID_P]],[1]!B_MSK[N_ID],0))</f>
        <v/>
      </c>
      <c r="D537" s="36">
        <f ca="1">IF(NOTA[[#This Row],[NAMA BARANG]]="","",INDEX(NOTA[ID],MATCH(,INDIRECT(ADDRESS(ROW(NOTA[ID]),COLUMN(NOTA[ID]))&amp;":"&amp;ADDRESS(ROW(),COLUMN(NOTA[ID]))),-1)))</f>
        <v>95</v>
      </c>
      <c r="E537" s="93"/>
      <c r="F537" s="94"/>
      <c r="G537" s="94"/>
      <c r="H537" s="95"/>
      <c r="I537" s="94"/>
      <c r="J537" s="96"/>
      <c r="K537" s="94"/>
      <c r="L537" s="16" t="s">
        <v>754</v>
      </c>
      <c r="M537" s="97">
        <v>3</v>
      </c>
      <c r="N537" s="94">
        <v>432</v>
      </c>
      <c r="O537" s="16" t="s">
        <v>160</v>
      </c>
      <c r="P537" s="98">
        <v>11600</v>
      </c>
      <c r="Q537" s="99"/>
      <c r="R537" s="97"/>
      <c r="S537" s="100"/>
      <c r="T537" s="100"/>
      <c r="U537" s="101"/>
      <c r="V537" s="102"/>
      <c r="W537" s="40">
        <f>IF(NOTA[[#This Row],[HARGA/ CTN]]="",NOTA[[#This Row],[JUMLAH_H]],NOTA[[#This Row],[HARGA/ CTN]]*IF(NOTA[[#This Row],[C]]="",0,NOTA[[#This Row],[C]]))</f>
        <v>5011200</v>
      </c>
      <c r="X537" s="40">
        <f>IF(NOTA[[#This Row],[JUMLAH]]="","",NOTA[[#This Row],[JUMLAH]]*NOTA[[#This Row],[DISC 1]])</f>
        <v>0</v>
      </c>
      <c r="Y537" s="40">
        <f>IF(NOTA[[#This Row],[JUMLAH]]="","",(NOTA[[#This Row],[JUMLAH]]-NOTA[[#This Row],[DISC 1-]])*NOTA[[#This Row],[DISC 2]])</f>
        <v>0</v>
      </c>
      <c r="Z537" s="40">
        <f>IF(NOTA[[#This Row],[JUMLAH]]="","",NOTA[[#This Row],[DISC 1-]]+NOTA[[#This Row],[DISC 2-]])</f>
        <v>0</v>
      </c>
      <c r="AA537" s="40">
        <f>IF(NOTA[[#This Row],[JUMLAH]]="","",NOTA[[#This Row],[JUMLAH]]-NOTA[[#This Row],[DISC]])</f>
        <v>5011200</v>
      </c>
      <c r="AB537" s="40"/>
      <c r="AC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37" s="40">
        <f>IF(OR(NOTA[[#This Row],[QTY]]="",NOTA[[#This Row],[HARGA SATUAN]]="",),"",NOTA[[#This Row],[QTY]]*NOTA[[#This Row],[HARGA SATUAN]])</f>
        <v>5011200</v>
      </c>
      <c r="AG537" s="37">
        <f ca="1">IF(NOTA[ID_H]="","",INDEX(NOTA[TANGGAL],MATCH(,INDIRECT(ADDRESS(ROW(NOTA[TANGGAL]),COLUMN(NOTA[TANGGAL]))&amp;":"&amp;ADDRESS(ROW(),COLUMN(NOTA[TANGGAL]))),-1)))</f>
        <v>45065</v>
      </c>
      <c r="AH537" s="35" t="str">
        <f ca="1">IF(NOTA[[#This Row],[NAMA BARANG]]="","",INDEX(NOTA[SUPPLIER],MATCH(,INDIRECT(ADDRESS(ROW(NOTA[ID]),COLUMN(NOTA[ID]))&amp;":"&amp;ADDRESS(ROW(),COLUMN(NOTA[ID]))),-1)))</f>
        <v>SBS</v>
      </c>
      <c r="AI537" s="35" t="str">
        <f ca="1">IF(NOTA[[#This Row],[ID_H]]="","",IF(NOTA[[#This Row],[FAKTUR]]="",INDIRECT(ADDRESS(ROW()-1,COLUMN())),NOTA[[#This Row],[FAKTUR]]))</f>
        <v>UNTANA</v>
      </c>
      <c r="AJ537" s="27" t="str">
        <f ca="1">IF(NOTA[[#This Row],[ID]]="","",COUNTIF(NOTA[ID_H],NOTA[[#This Row],[ID_H]]))</f>
        <v/>
      </c>
      <c r="AK537" s="27">
        <f ca="1">IF(NOTA[[#This Row],[TGL.NOTA]]="",IF(NOTA[[#This Row],[SUPPLIER_H]]="","",AK536),MONTH(NOTA[[#This Row],[TGL.NOTA]]))</f>
        <v>5</v>
      </c>
      <c r="AL537" s="27" t="str">
        <f>LOWER(SUBSTITUTE(SUBSTITUTE(SUBSTITUTE(SUBSTITUTE(SUBSTITUTE(SUBSTITUTE(SUBSTITUTE(SUBSTITUTE(SUBSTITUTE(NOTA[NAMA BARANG]," ",),".",""),"-",""),"(",""),")",""),",",""),"/",""),"""",""),"+",""))</f>
        <v>pcmgp93728x23puagltsr</v>
      </c>
      <c r="AM53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pcmgp93728x23puagltsr1670400</v>
      </c>
      <c r="AN53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pcmgp93728x23puagltsr1670400</v>
      </c>
      <c r="AO53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27" t="str">
        <f>IF(NOTA[[#This Row],[CONCAT4]]="","",_xlfn.IFNA(MATCH(NOTA[[#This Row],[CONCAT4]],[2]!RAW[CONCAT_H],0),FALSE))</f>
        <v/>
      </c>
      <c r="AQ537" s="145" t="e">
        <f>IF(NOTA[[#This Row],[CONCAT1]]="","",MATCH(NOTA[[#This Row],[CONCAT1]],[3]!db[NB NOTA_C],0)+1)</f>
        <v>#N/A</v>
      </c>
    </row>
    <row r="538" spans="1:43" ht="20.100000000000001" customHeight="1" x14ac:dyDescent="0.25">
      <c r="A53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36" t="str">
        <f>IF(NOTA[[#This Row],[ID_P]]="","",MATCH(NOTA[[#This Row],[ID_P]],[1]!B_MSK[N_ID],0))</f>
        <v/>
      </c>
      <c r="D538" s="36">
        <f ca="1">IF(NOTA[[#This Row],[NAMA BARANG]]="","",INDEX(NOTA[ID],MATCH(,INDIRECT(ADDRESS(ROW(NOTA[ID]),COLUMN(NOTA[ID]))&amp;":"&amp;ADDRESS(ROW(),COLUMN(NOTA[ID]))),-1)))</f>
        <v>95</v>
      </c>
      <c r="E538" s="14"/>
      <c r="F538" s="16"/>
      <c r="G538" s="16"/>
      <c r="H538" s="20"/>
      <c r="I538" s="16"/>
      <c r="J538" s="37"/>
      <c r="K538" s="16"/>
      <c r="L538" s="16" t="s">
        <v>755</v>
      </c>
      <c r="M538" s="28">
        <v>3</v>
      </c>
      <c r="N538" s="16">
        <v>432</v>
      </c>
      <c r="O538" s="16" t="s">
        <v>160</v>
      </c>
      <c r="P538" s="35">
        <v>11600</v>
      </c>
      <c r="Q538" s="38"/>
      <c r="R538" s="28"/>
      <c r="S538" s="39"/>
      <c r="T538" s="39"/>
      <c r="U538" s="40"/>
      <c r="V538" s="26"/>
      <c r="W538" s="40">
        <f>IF(NOTA[[#This Row],[HARGA/ CTN]]="",NOTA[[#This Row],[JUMLAH_H]],NOTA[[#This Row],[HARGA/ CTN]]*IF(NOTA[[#This Row],[C]]="",0,NOTA[[#This Row],[C]]))</f>
        <v>5011200</v>
      </c>
      <c r="X538" s="40">
        <f>IF(NOTA[[#This Row],[JUMLAH]]="","",NOTA[[#This Row],[JUMLAH]]*NOTA[[#This Row],[DISC 1]])</f>
        <v>0</v>
      </c>
      <c r="Y538" s="40">
        <f>IF(NOTA[[#This Row],[JUMLAH]]="","",(NOTA[[#This Row],[JUMLAH]]-NOTA[[#This Row],[DISC 1-]])*NOTA[[#This Row],[DISC 2]])</f>
        <v>0</v>
      </c>
      <c r="Z538" s="40">
        <f>IF(NOTA[[#This Row],[JUMLAH]]="","",NOTA[[#This Row],[DISC 1-]]+NOTA[[#This Row],[DISC 2-]])</f>
        <v>0</v>
      </c>
      <c r="AA538" s="40">
        <f>IF(NOTA[[#This Row],[JUMLAH]]="","",NOTA[[#This Row],[JUMLAH]]-NOTA[[#This Row],[DISC]])</f>
        <v>5011200</v>
      </c>
      <c r="AB538" s="40"/>
      <c r="AC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38" s="40">
        <f>IF(OR(NOTA[[#This Row],[QTY]]="",NOTA[[#This Row],[HARGA SATUAN]]="",),"",NOTA[[#This Row],[QTY]]*NOTA[[#This Row],[HARGA SATUAN]])</f>
        <v>5011200</v>
      </c>
      <c r="AG538" s="37">
        <f ca="1">IF(NOTA[ID_H]="","",INDEX(NOTA[TANGGAL],MATCH(,INDIRECT(ADDRESS(ROW(NOTA[TANGGAL]),COLUMN(NOTA[TANGGAL]))&amp;":"&amp;ADDRESS(ROW(),COLUMN(NOTA[TANGGAL]))),-1)))</f>
        <v>45065</v>
      </c>
      <c r="AH538" s="35" t="str">
        <f ca="1">IF(NOTA[[#This Row],[NAMA BARANG]]="","",INDEX(NOTA[SUPPLIER],MATCH(,INDIRECT(ADDRESS(ROW(NOTA[ID]),COLUMN(NOTA[ID]))&amp;":"&amp;ADDRESS(ROW(),COLUMN(NOTA[ID]))),-1)))</f>
        <v>SBS</v>
      </c>
      <c r="AI538" s="35" t="str">
        <f ca="1">IF(NOTA[[#This Row],[ID_H]]="","",IF(NOTA[[#This Row],[FAKTUR]]="",INDIRECT(ADDRESS(ROW()-1,COLUMN())),NOTA[[#This Row],[FAKTUR]]))</f>
        <v>UNTANA</v>
      </c>
      <c r="AJ538" s="27" t="str">
        <f ca="1">IF(NOTA[[#This Row],[ID]]="","",COUNTIF(NOTA[ID_H],NOTA[[#This Row],[ID_H]]))</f>
        <v/>
      </c>
      <c r="AK538" s="27">
        <f ca="1">IF(NOTA[[#This Row],[TGL.NOTA]]="",IF(NOTA[[#This Row],[SUPPLIER_H]]="","",AK537),MONTH(NOTA[[#This Row],[TGL.NOTA]]))</f>
        <v>5</v>
      </c>
      <c r="AL538" s="27" t="str">
        <f>LOWER(SUBSTITUTE(SUBSTITUTE(SUBSTITUTE(SUBSTITUTE(SUBSTITUTE(SUBSTITUTE(SUBSTITUTE(SUBSTITUTE(SUBSTITUTE(NOTA[NAMA BARANG]," ",),".",""),"-",""),"(",""),")",""),",",""),"/",""),"""",""),"+",""))</f>
        <v>pcmgp93728x23puagltastro</v>
      </c>
      <c r="AM53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pcmgp93728x23puagltastro1670400</v>
      </c>
      <c r="AN53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pcmgp93728x23puagltastro1670400</v>
      </c>
      <c r="AO53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27" t="str">
        <f>IF(NOTA[[#This Row],[CONCAT4]]="","",_xlfn.IFNA(MATCH(NOTA[[#This Row],[CONCAT4]],[2]!RAW[CONCAT_H],0),FALSE))</f>
        <v/>
      </c>
      <c r="AQ538" s="145" t="e">
        <f>IF(NOTA[[#This Row],[CONCAT1]]="","",MATCH(NOTA[[#This Row],[CONCAT1]],[3]!db[NB NOTA_C],0)+1)</f>
        <v>#N/A</v>
      </c>
    </row>
    <row r="539" spans="1:43" ht="20.100000000000001" customHeight="1" x14ac:dyDescent="0.25">
      <c r="A53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36" t="str">
        <f>IF(NOTA[[#This Row],[ID_P]]="","",MATCH(NOTA[[#This Row],[ID_P]],[1]!B_MSK[N_ID],0))</f>
        <v/>
      </c>
      <c r="D539" s="36">
        <f ca="1">IF(NOTA[[#This Row],[NAMA BARANG]]="","",INDEX(NOTA[ID],MATCH(,INDIRECT(ADDRESS(ROW(NOTA[ID]),COLUMN(NOTA[ID]))&amp;":"&amp;ADDRESS(ROW(),COLUMN(NOTA[ID]))),-1)))</f>
        <v>95</v>
      </c>
      <c r="E539" s="93"/>
      <c r="F539" s="94"/>
      <c r="G539" s="94"/>
      <c r="H539" s="95"/>
      <c r="I539" s="94"/>
      <c r="J539" s="96"/>
      <c r="K539" s="94"/>
      <c r="L539" s="16" t="s">
        <v>471</v>
      </c>
      <c r="M539" s="97">
        <v>3</v>
      </c>
      <c r="N539" s="94">
        <v>432</v>
      </c>
      <c r="O539" s="16" t="s">
        <v>160</v>
      </c>
      <c r="P539" s="98">
        <v>11600</v>
      </c>
      <c r="Q539" s="99"/>
      <c r="R539" s="97"/>
      <c r="S539" s="100"/>
      <c r="T539" s="100"/>
      <c r="U539" s="101"/>
      <c r="V539" s="102"/>
      <c r="W539" s="40">
        <f>IF(NOTA[[#This Row],[HARGA/ CTN]]="",NOTA[[#This Row],[JUMLAH_H]],NOTA[[#This Row],[HARGA/ CTN]]*IF(NOTA[[#This Row],[C]]="",0,NOTA[[#This Row],[C]]))</f>
        <v>5011200</v>
      </c>
      <c r="X539" s="40">
        <f>IF(NOTA[[#This Row],[JUMLAH]]="","",NOTA[[#This Row],[JUMLAH]]*NOTA[[#This Row],[DISC 1]])</f>
        <v>0</v>
      </c>
      <c r="Y539" s="40">
        <f>IF(NOTA[[#This Row],[JUMLAH]]="","",(NOTA[[#This Row],[JUMLAH]]-NOTA[[#This Row],[DISC 1-]])*NOTA[[#This Row],[DISC 2]])</f>
        <v>0</v>
      </c>
      <c r="Z539" s="40">
        <f>IF(NOTA[[#This Row],[JUMLAH]]="","",NOTA[[#This Row],[DISC 1-]]+NOTA[[#This Row],[DISC 2-]])</f>
        <v>0</v>
      </c>
      <c r="AA539" s="40">
        <f>IF(NOTA[[#This Row],[JUMLAH]]="","",NOTA[[#This Row],[JUMLAH]]-NOTA[[#This Row],[DISC]])</f>
        <v>5011200</v>
      </c>
      <c r="AB539" s="40"/>
      <c r="AC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9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25344000</v>
      </c>
      <c r="AE539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39" s="40">
        <f>IF(OR(NOTA[[#This Row],[QTY]]="",NOTA[[#This Row],[HARGA SATUAN]]="",),"",NOTA[[#This Row],[QTY]]*NOTA[[#This Row],[HARGA SATUAN]])</f>
        <v>5011200</v>
      </c>
      <c r="AG539" s="37">
        <f ca="1">IF(NOTA[ID_H]="","",INDEX(NOTA[TANGGAL],MATCH(,INDIRECT(ADDRESS(ROW(NOTA[TANGGAL]),COLUMN(NOTA[TANGGAL]))&amp;":"&amp;ADDRESS(ROW(),COLUMN(NOTA[TANGGAL]))),-1)))</f>
        <v>45065</v>
      </c>
      <c r="AH539" s="35" t="str">
        <f ca="1">IF(NOTA[[#This Row],[NAMA BARANG]]="","",INDEX(NOTA[SUPPLIER],MATCH(,INDIRECT(ADDRESS(ROW(NOTA[ID]),COLUMN(NOTA[ID]))&amp;":"&amp;ADDRESS(ROW(),COLUMN(NOTA[ID]))),-1)))</f>
        <v>SBS</v>
      </c>
      <c r="AI539" s="35" t="str">
        <f ca="1">IF(NOTA[[#This Row],[ID_H]]="","",IF(NOTA[[#This Row],[FAKTUR]]="",INDIRECT(ADDRESS(ROW()-1,COLUMN())),NOTA[[#This Row],[FAKTUR]]))</f>
        <v>UNTANA</v>
      </c>
      <c r="AJ539" s="27" t="str">
        <f ca="1">IF(NOTA[[#This Row],[ID]]="","",COUNTIF(NOTA[ID_H],NOTA[[#This Row],[ID_H]]))</f>
        <v/>
      </c>
      <c r="AK539" s="27">
        <f ca="1">IF(NOTA[[#This Row],[TGL.NOTA]]="",IF(NOTA[[#This Row],[SUPPLIER_H]]="","",AK538),MONTH(NOTA[[#This Row],[TGL.NOTA]]))</f>
        <v>5</v>
      </c>
      <c r="AL539" s="27" t="str">
        <f>LOWER(SUBSTITUTE(SUBSTITUTE(SUBSTITUTE(SUBSTITUTE(SUBSTITUTE(SUBSTITUTE(SUBSTITUTE(SUBSTITUTE(SUBSTITUTE(NOTA[NAMA BARANG]," ",),".",""),"-",""),"(",""),")",""),",",""),"/",""),"""",""),"+",""))</f>
        <v>pcmgp93748x23puagltlucu</v>
      </c>
      <c r="AM53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pcmgp93748x23puagltlucu1670400</v>
      </c>
      <c r="AN53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pcmgp93748x23puagltlucu1670400</v>
      </c>
      <c r="AO53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9" s="27" t="str">
        <f>IF(NOTA[[#This Row],[CONCAT4]]="","",_xlfn.IFNA(MATCH(NOTA[[#This Row],[CONCAT4]],[2]!RAW[CONCAT_H],0),FALSE))</f>
        <v/>
      </c>
      <c r="AQ539" s="145" t="e">
        <f>IF(NOTA[[#This Row],[CONCAT1]]="","",MATCH(NOTA[[#This Row],[CONCAT1]],[3]!db[NB NOTA_C],0)+1)</f>
        <v>#N/A</v>
      </c>
    </row>
    <row r="540" spans="1:43" ht="20.100000000000001" customHeight="1" x14ac:dyDescent="0.25">
      <c r="A54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36" t="str">
        <f>IF(NOTA[[#This Row],[ID_P]]="","",MATCH(NOTA[[#This Row],[ID_P]],[1]!B_MSK[N_ID],0))</f>
        <v/>
      </c>
      <c r="D540" s="36" t="str">
        <f ca="1">IF(NOTA[[#This Row],[NAMA BARANG]]="","",INDEX(NOTA[ID],MATCH(,INDIRECT(ADDRESS(ROW(NOTA[ID]),COLUMN(NOTA[ID]))&amp;":"&amp;ADDRESS(ROW(),COLUMN(NOTA[ID]))),-1)))</f>
        <v/>
      </c>
      <c r="E540" s="93"/>
      <c r="F540" s="94"/>
      <c r="G540" s="94"/>
      <c r="H540" s="95"/>
      <c r="I540" s="94"/>
      <c r="J540" s="96"/>
      <c r="K540" s="94"/>
      <c r="L540" s="94"/>
      <c r="M540" s="97"/>
      <c r="N540" s="94"/>
      <c r="O540" s="94"/>
      <c r="P540" s="98"/>
      <c r="Q540" s="99"/>
      <c r="R540" s="97"/>
      <c r="S540" s="100"/>
      <c r="T540" s="100"/>
      <c r="U540" s="101"/>
      <c r="V540" s="102"/>
      <c r="W540" s="40" t="str">
        <f>IF(NOTA[[#This Row],[HARGA/ CTN]]="",NOTA[[#This Row],[JUMLAH_H]],NOTA[[#This Row],[HARGA/ CTN]]*IF(NOTA[[#This Row],[C]]="",0,NOTA[[#This Row],[C]]))</f>
        <v/>
      </c>
      <c r="X540" s="40" t="str">
        <f>IF(NOTA[[#This Row],[JUMLAH]]="","",NOTA[[#This Row],[JUMLAH]]*NOTA[[#This Row],[DISC 1]])</f>
        <v/>
      </c>
      <c r="Y540" s="40" t="str">
        <f>IF(NOTA[[#This Row],[JUMLAH]]="","",(NOTA[[#This Row],[JUMLAH]]-NOTA[[#This Row],[DISC 1-]])*NOTA[[#This Row],[DISC 2]])</f>
        <v/>
      </c>
      <c r="Z540" s="40" t="str">
        <f>IF(NOTA[[#This Row],[JUMLAH]]="","",NOTA[[#This Row],[DISC 1-]]+NOTA[[#This Row],[DISC 2-]])</f>
        <v/>
      </c>
      <c r="AA540" s="40" t="str">
        <f>IF(NOTA[[#This Row],[JUMLAH]]="","",NOTA[[#This Row],[JUMLAH]]-NOTA[[#This Row],[DISC]])</f>
        <v/>
      </c>
      <c r="AB540" s="40"/>
      <c r="AC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0" s="40" t="str">
        <f>IF(OR(NOTA[[#This Row],[QTY]]="",NOTA[[#This Row],[HARGA SATUAN]]="",),"",NOTA[[#This Row],[QTY]]*NOTA[[#This Row],[HARGA SATUAN]])</f>
        <v/>
      </c>
      <c r="AG540" s="37" t="str">
        <f ca="1">IF(NOTA[ID_H]="","",INDEX(NOTA[TANGGAL],MATCH(,INDIRECT(ADDRESS(ROW(NOTA[TANGGAL]),COLUMN(NOTA[TANGGAL]))&amp;":"&amp;ADDRESS(ROW(),COLUMN(NOTA[TANGGAL]))),-1)))</f>
        <v/>
      </c>
      <c r="AH540" s="35" t="str">
        <f ca="1">IF(NOTA[[#This Row],[NAMA BARANG]]="","",INDEX(NOTA[SUPPLIER],MATCH(,INDIRECT(ADDRESS(ROW(NOTA[ID]),COLUMN(NOTA[ID]))&amp;":"&amp;ADDRESS(ROW(),COLUMN(NOTA[ID]))),-1)))</f>
        <v/>
      </c>
      <c r="AI540" s="35" t="str">
        <f ca="1">IF(NOTA[[#This Row],[ID_H]]="","",IF(NOTA[[#This Row],[FAKTUR]]="",INDIRECT(ADDRESS(ROW()-1,COLUMN())),NOTA[[#This Row],[FAKTUR]]))</f>
        <v/>
      </c>
      <c r="AJ540" s="27" t="str">
        <f ca="1">IF(NOTA[[#This Row],[ID]]="","",COUNTIF(NOTA[ID_H],NOTA[[#This Row],[ID_H]]))</f>
        <v/>
      </c>
      <c r="AK540" s="27" t="str">
        <f ca="1">IF(NOTA[[#This Row],[TGL.NOTA]]="",IF(NOTA[[#This Row],[SUPPLIER_H]]="","",AK539),MONTH(NOTA[[#This Row],[TGL.NOTA]]))</f>
        <v/>
      </c>
      <c r="AL540" s="27" t="str">
        <f>LOWER(SUBSTITUTE(SUBSTITUTE(SUBSTITUTE(SUBSTITUTE(SUBSTITUTE(SUBSTITUTE(SUBSTITUTE(SUBSTITUTE(SUBSTITUTE(NOTA[NAMA BARANG]," ",),".",""),"-",""),"(",""),")",""),",",""),"/",""),"""",""),"+",""))</f>
        <v/>
      </c>
      <c r="AM54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27" t="str">
        <f>IF(NOTA[[#This Row],[CONCAT4]]="","",_xlfn.IFNA(MATCH(NOTA[[#This Row],[CONCAT4]],[2]!RAW[CONCAT_H],0),FALSE))</f>
        <v/>
      </c>
      <c r="AQ540" s="145" t="str">
        <f>IF(NOTA[[#This Row],[CONCAT1]]="","",MATCH(NOTA[[#This Row],[CONCAT1]],[3]!db[NB NOTA_C],0)+1)</f>
        <v/>
      </c>
    </row>
    <row r="541" spans="1:43" ht="20.100000000000001" customHeight="1" x14ac:dyDescent="0.25">
      <c r="A541" s="35">
        <f ca="1">IF(INDIRECT(ADDRESS(ROW()-1,COLUMN(NOTA[[#Headers],[ID]])))="ID",1,IF(NOTA[[#This Row],[FAKTUR]]="","",COUNT(INDIRECT(ADDRESS(ROW(NOTA[ID]),COLUMN(NOTA[ID]))&amp;":"&amp;ADDRESS(ROW()-1,COLUMN(NOTA[ID]))))+1))</f>
        <v>96</v>
      </c>
      <c r="B541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SBS_1905_6BI-5</v>
      </c>
      <c r="C541" s="36" t="e">
        <f ca="1">IF(NOTA[[#This Row],[ID_P]]="","",MATCH(NOTA[[#This Row],[ID_P]],[1]!B_MSK[N_ID],0))</f>
        <v>#REF!</v>
      </c>
      <c r="D541" s="36">
        <f ca="1">IF(NOTA[[#This Row],[NAMA BARANG]]="","",INDEX(NOTA[ID],MATCH(,INDIRECT(ADDRESS(ROW(NOTA[ID]),COLUMN(NOTA[ID]))&amp;":"&amp;ADDRESS(ROW(),COLUMN(NOTA[ID]))),-1)))</f>
        <v>96</v>
      </c>
      <c r="E541" s="93"/>
      <c r="F541" s="16" t="s">
        <v>111</v>
      </c>
      <c r="G541" s="16" t="s">
        <v>112</v>
      </c>
      <c r="H541" s="20" t="s">
        <v>793</v>
      </c>
      <c r="I541" s="94"/>
      <c r="J541" s="96">
        <v>45056</v>
      </c>
      <c r="K541" s="94"/>
      <c r="L541" s="16" t="s">
        <v>468</v>
      </c>
      <c r="M541" s="97">
        <v>3</v>
      </c>
      <c r="N541" s="94">
        <v>504</v>
      </c>
      <c r="O541" s="16" t="s">
        <v>160</v>
      </c>
      <c r="P541" s="98">
        <v>11850</v>
      </c>
      <c r="Q541" s="99"/>
      <c r="R541" s="97"/>
      <c r="S541" s="100"/>
      <c r="T541" s="100"/>
      <c r="U541" s="101"/>
      <c r="V541" s="102"/>
      <c r="W541" s="40">
        <f>IF(NOTA[[#This Row],[HARGA/ CTN]]="",NOTA[[#This Row],[JUMLAH_H]],NOTA[[#This Row],[HARGA/ CTN]]*IF(NOTA[[#This Row],[C]]="",0,NOTA[[#This Row],[C]]))</f>
        <v>5972400</v>
      </c>
      <c r="X541" s="40">
        <f>IF(NOTA[[#This Row],[JUMLAH]]="","",NOTA[[#This Row],[JUMLAH]]*NOTA[[#This Row],[DISC 1]])</f>
        <v>0</v>
      </c>
      <c r="Y541" s="40">
        <f>IF(NOTA[[#This Row],[JUMLAH]]="","",(NOTA[[#This Row],[JUMLAH]]-NOTA[[#This Row],[DISC 1-]])*NOTA[[#This Row],[DISC 2]])</f>
        <v>0</v>
      </c>
      <c r="Z541" s="40">
        <f>IF(NOTA[[#This Row],[JUMLAH]]="","",NOTA[[#This Row],[DISC 1-]]+NOTA[[#This Row],[DISC 2-]])</f>
        <v>0</v>
      </c>
      <c r="AA541" s="40">
        <f>IF(NOTA[[#This Row],[JUMLAH]]="","",NOTA[[#This Row],[JUMLAH]]-NOTA[[#This Row],[DISC]])</f>
        <v>5972400</v>
      </c>
      <c r="AB541" s="40"/>
      <c r="AC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35">
        <f>IF(NOTA[[#This Row],[NAMA BARANG]]="","",IF(NOTA[[#This Row],[JUMLAH_H]]="",NOTA[[#This Row],[HARGA/ CTN]],NOTA[[#This Row],[QTY]]*NOTA[[#This Row],[HARGA SATUAN]]/IF(ISNUMBER(NOTA[[#This Row],[C]]),NOTA[[#This Row],[C]],1)))</f>
        <v>1990800</v>
      </c>
      <c r="AF541" s="40">
        <f>IF(OR(NOTA[[#This Row],[QTY]]="",NOTA[[#This Row],[HARGA SATUAN]]="",),"",NOTA[[#This Row],[QTY]]*NOTA[[#This Row],[HARGA SATUAN]])</f>
        <v>5972400</v>
      </c>
      <c r="AG541" s="37">
        <f ca="1">IF(NOTA[ID_H]="","",INDEX(NOTA[TANGGAL],MATCH(,INDIRECT(ADDRESS(ROW(NOTA[TANGGAL]),COLUMN(NOTA[TANGGAL]))&amp;":"&amp;ADDRESS(ROW(),COLUMN(NOTA[TANGGAL]))),-1)))</f>
        <v>45065</v>
      </c>
      <c r="AH541" s="35" t="str">
        <f ca="1">IF(NOTA[[#This Row],[NAMA BARANG]]="","",INDEX(NOTA[SUPPLIER],MATCH(,INDIRECT(ADDRESS(ROW(NOTA[ID]),COLUMN(NOTA[ID]))&amp;":"&amp;ADDRESS(ROW(),COLUMN(NOTA[ID]))),-1)))</f>
        <v>SBS</v>
      </c>
      <c r="AI541" s="35" t="str">
        <f ca="1">IF(NOTA[[#This Row],[ID_H]]="","",IF(NOTA[[#This Row],[FAKTUR]]="",INDIRECT(ADDRESS(ROW()-1,COLUMN())),NOTA[[#This Row],[FAKTUR]]))</f>
        <v>UNTANA</v>
      </c>
      <c r="AJ541" s="27">
        <f ca="1">IF(NOTA[[#This Row],[ID]]="","",COUNTIF(NOTA[ID_H],NOTA[[#This Row],[ID_H]]))</f>
        <v>5</v>
      </c>
      <c r="AK541" s="27">
        <f>IF(NOTA[[#This Row],[TGL.NOTA]]="",IF(NOTA[[#This Row],[SUPPLIER_H]]="","",AK540),MONTH(NOTA[[#This Row],[TGL.NOTA]]))</f>
        <v>5</v>
      </c>
      <c r="AL541" s="27" t="str">
        <f>LOWER(SUBSTITUTE(SUBSTITUTE(SUBSTITUTE(SUBSTITUTE(SUBSTITUTE(SUBSTITUTE(SUBSTITUTE(SUBSTITUTE(SUBSTITUTE(NOTA[NAMA BARANG]," ",),".",""),"-",""),"(",""),")",""),",",""),"/",""),"""",""),"+",""))</f>
        <v>pcmgp934227x215setbt21</v>
      </c>
      <c r="AM54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pcmgp934227x215setbt211990800</v>
      </c>
      <c r="AN54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pcmgp934227x215setbt211990800</v>
      </c>
      <c r="AO541" s="27" t="str">
        <f>IF(NOTA[[#This Row],[SUPPLIER]]="","",NOTA[[#This Row],[SUPPLIER]]&amp;NOTA[[#This Row],[FAKTUR]]&amp;NOTA[[#This Row],[NO.NOTA]]&amp;NOTA[[#This Row],[NO.SJ]]&amp;NOTA[[#This Row],[TGL.NOTA]]&amp;NOTA[[#This Row],[CONCAT1]])</f>
        <v>SBSUNTANAVE0266BI45056pcmgp934227x215setbt21</v>
      </c>
      <c r="AP541" s="27" t="e">
        <f>IF(NOTA[[#This Row],[CONCAT4]]="","",_xlfn.IFNA(MATCH(NOTA[[#This Row],[CONCAT4]],[2]!RAW[CONCAT_H],0),FALSE))</f>
        <v>#REF!</v>
      </c>
      <c r="AQ541" s="145" t="e">
        <f>IF(NOTA[[#This Row],[CONCAT1]]="","",MATCH(NOTA[[#This Row],[CONCAT1]],[3]!db[NB NOTA_C],0)+1)</f>
        <v>#N/A</v>
      </c>
    </row>
    <row r="542" spans="1:43" ht="20.100000000000001" customHeight="1" x14ac:dyDescent="0.25">
      <c r="A542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36" t="str">
        <f>IF(NOTA[[#This Row],[ID_P]]="","",MATCH(NOTA[[#This Row],[ID_P]],[1]!B_MSK[N_ID],0))</f>
        <v/>
      </c>
      <c r="D542" s="36">
        <f ca="1">IF(NOTA[[#This Row],[NAMA BARANG]]="","",INDEX(NOTA[ID],MATCH(,INDIRECT(ADDRESS(ROW(NOTA[ID]),COLUMN(NOTA[ID]))&amp;":"&amp;ADDRESS(ROW(),COLUMN(NOTA[ID]))),-1)))</f>
        <v>96</v>
      </c>
      <c r="E542" s="93"/>
      <c r="F542" s="94"/>
      <c r="G542" s="94"/>
      <c r="H542" s="95"/>
      <c r="I542" s="94"/>
      <c r="J542" s="96"/>
      <c r="K542" s="94"/>
      <c r="L542" s="16" t="s">
        <v>475</v>
      </c>
      <c r="M542" s="97">
        <v>3</v>
      </c>
      <c r="N542" s="94">
        <v>432</v>
      </c>
      <c r="O542" s="16" t="s">
        <v>160</v>
      </c>
      <c r="P542" s="98">
        <v>15500</v>
      </c>
      <c r="Q542" s="99"/>
      <c r="R542" s="97"/>
      <c r="S542" s="100"/>
      <c r="T542" s="100"/>
      <c r="U542" s="101"/>
      <c r="V542" s="102"/>
      <c r="W542" s="40">
        <f>IF(NOTA[[#This Row],[HARGA/ CTN]]="",NOTA[[#This Row],[JUMLAH_H]],NOTA[[#This Row],[HARGA/ CTN]]*IF(NOTA[[#This Row],[C]]="",0,NOTA[[#This Row],[C]]))</f>
        <v>6696000</v>
      </c>
      <c r="X542" s="40">
        <f>IF(NOTA[[#This Row],[JUMLAH]]="","",NOTA[[#This Row],[JUMLAH]]*NOTA[[#This Row],[DISC 1]])</f>
        <v>0</v>
      </c>
      <c r="Y542" s="40">
        <f>IF(NOTA[[#This Row],[JUMLAH]]="","",(NOTA[[#This Row],[JUMLAH]]-NOTA[[#This Row],[DISC 1-]])*NOTA[[#This Row],[DISC 2]])</f>
        <v>0</v>
      </c>
      <c r="Z542" s="40">
        <f>IF(NOTA[[#This Row],[JUMLAH]]="","",NOTA[[#This Row],[DISC 1-]]+NOTA[[#This Row],[DISC 2-]])</f>
        <v>0</v>
      </c>
      <c r="AA542" s="40">
        <f>IF(NOTA[[#This Row],[JUMLAH]]="","",NOTA[[#This Row],[JUMLAH]]-NOTA[[#This Row],[DISC]])</f>
        <v>6696000</v>
      </c>
      <c r="AB542" s="40"/>
      <c r="AC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35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F542" s="40">
        <f>IF(OR(NOTA[[#This Row],[QTY]]="",NOTA[[#This Row],[HARGA SATUAN]]="",),"",NOTA[[#This Row],[QTY]]*NOTA[[#This Row],[HARGA SATUAN]])</f>
        <v>6696000</v>
      </c>
      <c r="AG542" s="37">
        <f ca="1">IF(NOTA[ID_H]="","",INDEX(NOTA[TANGGAL],MATCH(,INDIRECT(ADDRESS(ROW(NOTA[TANGGAL]),COLUMN(NOTA[TANGGAL]))&amp;":"&amp;ADDRESS(ROW(),COLUMN(NOTA[TANGGAL]))),-1)))</f>
        <v>45065</v>
      </c>
      <c r="AH542" s="35" t="str">
        <f ca="1">IF(NOTA[[#This Row],[NAMA BARANG]]="","",INDEX(NOTA[SUPPLIER],MATCH(,INDIRECT(ADDRESS(ROW(NOTA[ID]),COLUMN(NOTA[ID]))&amp;":"&amp;ADDRESS(ROW(),COLUMN(NOTA[ID]))),-1)))</f>
        <v>SBS</v>
      </c>
      <c r="AI542" s="35" t="str">
        <f ca="1">IF(NOTA[[#This Row],[ID_H]]="","",IF(NOTA[[#This Row],[FAKTUR]]="",INDIRECT(ADDRESS(ROW()-1,COLUMN())),NOTA[[#This Row],[FAKTUR]]))</f>
        <v>UNTANA</v>
      </c>
      <c r="AJ542" s="27" t="str">
        <f ca="1">IF(NOTA[[#This Row],[ID]]="","",COUNTIF(NOTA[ID_H],NOTA[[#This Row],[ID_H]]))</f>
        <v/>
      </c>
      <c r="AK542" s="27">
        <f ca="1">IF(NOTA[[#This Row],[TGL.NOTA]]="",IF(NOTA[[#This Row],[SUPPLIER_H]]="","",AK541),MONTH(NOTA[[#This Row],[TGL.NOTA]]))</f>
        <v>5</v>
      </c>
      <c r="AL542" s="27" t="str">
        <f>LOWER(SUBSTITUTE(SUBSTITUTE(SUBSTITUTE(SUBSTITUTE(SUBSTITUTE(SUBSTITUTE(SUBSTITUTE(SUBSTITUTE(SUBSTITUTE(NOTA[NAMA BARANG]," ",),".",""),"-",""),"(",""),")",""),",",""),"/",""),"""",""),"+",""))</f>
        <v>pcmlpy66118x23puad</v>
      </c>
      <c r="AM54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pcmlpy66118x23puad2232000</v>
      </c>
      <c r="AN54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pcmlpy66118x23puad2232000</v>
      </c>
      <c r="AO54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27" t="str">
        <f>IF(NOTA[[#This Row],[CONCAT4]]="","",_xlfn.IFNA(MATCH(NOTA[[#This Row],[CONCAT4]],[2]!RAW[CONCAT_H],0),FALSE))</f>
        <v/>
      </c>
      <c r="AQ542" s="145" t="e">
        <f>IF(NOTA[[#This Row],[CONCAT1]]="","",MATCH(NOTA[[#This Row],[CONCAT1]],[3]!db[NB NOTA_C],0)+1)</f>
        <v>#N/A</v>
      </c>
    </row>
    <row r="543" spans="1:43" ht="20.100000000000001" customHeight="1" x14ac:dyDescent="0.25">
      <c r="A54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36" t="str">
        <f>IF(NOTA[[#This Row],[ID_P]]="","",MATCH(NOTA[[#This Row],[ID_P]],[1]!B_MSK[N_ID],0))</f>
        <v/>
      </c>
      <c r="D543" s="36">
        <f ca="1">IF(NOTA[[#This Row],[NAMA BARANG]]="","",INDEX(NOTA[ID],MATCH(,INDIRECT(ADDRESS(ROW(NOTA[ID]),COLUMN(NOTA[ID]))&amp;":"&amp;ADDRESS(ROW(),COLUMN(NOTA[ID]))),-1)))</f>
        <v>96</v>
      </c>
      <c r="E543" s="93"/>
      <c r="F543" s="94"/>
      <c r="G543" s="94"/>
      <c r="H543" s="95"/>
      <c r="I543" s="94"/>
      <c r="J543" s="96"/>
      <c r="K543" s="94"/>
      <c r="L543" s="16" t="s">
        <v>756</v>
      </c>
      <c r="M543" s="97">
        <v>2</v>
      </c>
      <c r="N543" s="94">
        <v>288</v>
      </c>
      <c r="O543" s="16" t="s">
        <v>160</v>
      </c>
      <c r="P543" s="98">
        <v>11600</v>
      </c>
      <c r="Q543" s="99"/>
      <c r="R543" s="97"/>
      <c r="S543" s="100"/>
      <c r="T543" s="100"/>
      <c r="U543" s="101"/>
      <c r="V543" s="102"/>
      <c r="W543" s="40">
        <f>IF(NOTA[[#This Row],[HARGA/ CTN]]="",NOTA[[#This Row],[JUMLAH_H]],NOTA[[#This Row],[HARGA/ CTN]]*IF(NOTA[[#This Row],[C]]="",0,NOTA[[#This Row],[C]]))</f>
        <v>3340800</v>
      </c>
      <c r="X543" s="40">
        <f>IF(NOTA[[#This Row],[JUMLAH]]="","",NOTA[[#This Row],[JUMLAH]]*NOTA[[#This Row],[DISC 1]])</f>
        <v>0</v>
      </c>
      <c r="Y543" s="40">
        <f>IF(NOTA[[#This Row],[JUMLAH]]="","",(NOTA[[#This Row],[JUMLAH]]-NOTA[[#This Row],[DISC 1-]])*NOTA[[#This Row],[DISC 2]])</f>
        <v>0</v>
      </c>
      <c r="Z543" s="40">
        <f>IF(NOTA[[#This Row],[JUMLAH]]="","",NOTA[[#This Row],[DISC 1-]]+NOTA[[#This Row],[DISC 2-]])</f>
        <v>0</v>
      </c>
      <c r="AA543" s="40">
        <f>IF(NOTA[[#This Row],[JUMLAH]]="","",NOTA[[#This Row],[JUMLAH]]-NOTA[[#This Row],[DISC]])</f>
        <v>3340800</v>
      </c>
      <c r="AB543" s="40"/>
      <c r="AC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3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43" s="40">
        <f>IF(OR(NOTA[[#This Row],[QTY]]="",NOTA[[#This Row],[HARGA SATUAN]]="",),"",NOTA[[#This Row],[QTY]]*NOTA[[#This Row],[HARGA SATUAN]])</f>
        <v>3340800</v>
      </c>
      <c r="AG543" s="37">
        <f ca="1">IF(NOTA[ID_H]="","",INDEX(NOTA[TANGGAL],MATCH(,INDIRECT(ADDRESS(ROW(NOTA[TANGGAL]),COLUMN(NOTA[TANGGAL]))&amp;":"&amp;ADDRESS(ROW(),COLUMN(NOTA[TANGGAL]))),-1)))</f>
        <v>45065</v>
      </c>
      <c r="AH543" s="35" t="str">
        <f ca="1">IF(NOTA[[#This Row],[NAMA BARANG]]="","",INDEX(NOTA[SUPPLIER],MATCH(,INDIRECT(ADDRESS(ROW(NOTA[ID]),COLUMN(NOTA[ID]))&amp;":"&amp;ADDRESS(ROW(),COLUMN(NOTA[ID]))),-1)))</f>
        <v>SBS</v>
      </c>
      <c r="AI543" s="35" t="str">
        <f ca="1">IF(NOTA[[#This Row],[ID_H]]="","",IF(NOTA[[#This Row],[FAKTUR]]="",INDIRECT(ADDRESS(ROW()-1,COLUMN())),NOTA[[#This Row],[FAKTUR]]))</f>
        <v>UNTANA</v>
      </c>
      <c r="AJ543" s="27" t="str">
        <f ca="1">IF(NOTA[[#This Row],[ID]]="","",COUNTIF(NOTA[ID_H],NOTA[[#This Row],[ID_H]]))</f>
        <v/>
      </c>
      <c r="AK543" s="27">
        <f ca="1">IF(NOTA[[#This Row],[TGL.NOTA]]="",IF(NOTA[[#This Row],[SUPPLIER_H]]="","",AK542),MONTH(NOTA[[#This Row],[TGL.NOTA]]))</f>
        <v>5</v>
      </c>
      <c r="AL543" s="27" t="str">
        <f>LOWER(SUBSTITUTE(SUBSTITUTE(SUBSTITUTE(SUBSTITUTE(SUBSTITUTE(SUBSTITUTE(SUBSTITUTE(SUBSTITUTE(SUBSTITUTE(NOTA[NAMA BARANG]," ",),".",""),"-",""),"(",""),")",""),",",""),"/",""),"""",""),"+",""))</f>
        <v>pcmlpy66178x23puaglt</v>
      </c>
      <c r="AM54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pcmlpy66178x23puaglt1670400</v>
      </c>
      <c r="AN54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pcmlpy66178x23puaglt1670400</v>
      </c>
      <c r="AO54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27" t="str">
        <f>IF(NOTA[[#This Row],[CONCAT4]]="","",_xlfn.IFNA(MATCH(NOTA[[#This Row],[CONCAT4]],[2]!RAW[CONCAT_H],0),FALSE))</f>
        <v/>
      </c>
      <c r="AQ543" s="145" t="e">
        <f>IF(NOTA[[#This Row],[CONCAT1]]="","",MATCH(NOTA[[#This Row],[CONCAT1]],[3]!db[NB NOTA_C],0)+1)</f>
        <v>#N/A</v>
      </c>
    </row>
    <row r="544" spans="1:43" ht="20.100000000000001" customHeight="1" x14ac:dyDescent="0.25">
      <c r="A54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36" t="str">
        <f>IF(NOTA[[#This Row],[ID_P]]="","",MATCH(NOTA[[#This Row],[ID_P]],[1]!B_MSK[N_ID],0))</f>
        <v/>
      </c>
      <c r="D544" s="36">
        <f ca="1">IF(NOTA[[#This Row],[NAMA BARANG]]="","",INDEX(NOTA[ID],MATCH(,INDIRECT(ADDRESS(ROW(NOTA[ID]),COLUMN(NOTA[ID]))&amp;":"&amp;ADDRESS(ROW(),COLUMN(NOTA[ID]))),-1)))</f>
        <v>96</v>
      </c>
      <c r="E544" s="93"/>
      <c r="F544" s="94"/>
      <c r="G544" s="94"/>
      <c r="H544" s="95"/>
      <c r="I544" s="94"/>
      <c r="J544" s="96"/>
      <c r="K544" s="94"/>
      <c r="L544" s="16" t="s">
        <v>757</v>
      </c>
      <c r="M544" s="97">
        <v>3</v>
      </c>
      <c r="N544" s="94">
        <v>576</v>
      </c>
      <c r="O544" s="16" t="s">
        <v>160</v>
      </c>
      <c r="P544" s="98">
        <v>10500</v>
      </c>
      <c r="Q544" s="99"/>
      <c r="R544" s="97"/>
      <c r="S544" s="100"/>
      <c r="T544" s="100"/>
      <c r="U544" s="101"/>
      <c r="V544" s="102"/>
      <c r="W544" s="40">
        <f>IF(NOTA[[#This Row],[HARGA/ CTN]]="",NOTA[[#This Row],[JUMLAH_H]],NOTA[[#This Row],[HARGA/ CTN]]*IF(NOTA[[#This Row],[C]]="",0,NOTA[[#This Row],[C]]))</f>
        <v>6048000</v>
      </c>
      <c r="X544" s="40">
        <f>IF(NOTA[[#This Row],[JUMLAH]]="","",NOTA[[#This Row],[JUMLAH]]*NOTA[[#This Row],[DISC 1]])</f>
        <v>0</v>
      </c>
      <c r="Y544" s="40">
        <f>IF(NOTA[[#This Row],[JUMLAH]]="","",(NOTA[[#This Row],[JUMLAH]]-NOTA[[#This Row],[DISC 1-]])*NOTA[[#This Row],[DISC 2]])</f>
        <v>0</v>
      </c>
      <c r="Z544" s="40">
        <f>IF(NOTA[[#This Row],[JUMLAH]]="","",NOTA[[#This Row],[DISC 1-]]+NOTA[[#This Row],[DISC 2-]])</f>
        <v>0</v>
      </c>
      <c r="AA544" s="40">
        <f>IF(NOTA[[#This Row],[JUMLAH]]="","",NOTA[[#This Row],[JUMLAH]]-NOTA[[#This Row],[DISC]])</f>
        <v>6048000</v>
      </c>
      <c r="AB544" s="40"/>
      <c r="AC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3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544" s="40">
        <f>IF(OR(NOTA[[#This Row],[QTY]]="",NOTA[[#This Row],[HARGA SATUAN]]="",),"",NOTA[[#This Row],[QTY]]*NOTA[[#This Row],[HARGA SATUAN]])</f>
        <v>6048000</v>
      </c>
      <c r="AG544" s="37">
        <f ca="1">IF(NOTA[ID_H]="","",INDEX(NOTA[TANGGAL],MATCH(,INDIRECT(ADDRESS(ROW(NOTA[TANGGAL]),COLUMN(NOTA[TANGGAL]))&amp;":"&amp;ADDRESS(ROW(),COLUMN(NOTA[TANGGAL]))),-1)))</f>
        <v>45065</v>
      </c>
      <c r="AH544" s="35" t="str">
        <f ca="1">IF(NOTA[[#This Row],[NAMA BARANG]]="","",INDEX(NOTA[SUPPLIER],MATCH(,INDIRECT(ADDRESS(ROW(NOTA[ID]),COLUMN(NOTA[ID]))&amp;":"&amp;ADDRESS(ROW(),COLUMN(NOTA[ID]))),-1)))</f>
        <v>SBS</v>
      </c>
      <c r="AI544" s="35" t="str">
        <f ca="1">IF(NOTA[[#This Row],[ID_H]]="","",IF(NOTA[[#This Row],[FAKTUR]]="",INDIRECT(ADDRESS(ROW()-1,COLUMN())),NOTA[[#This Row],[FAKTUR]]))</f>
        <v>UNTANA</v>
      </c>
      <c r="AJ544" s="27" t="str">
        <f ca="1">IF(NOTA[[#This Row],[ID]]="","",COUNTIF(NOTA[ID_H],NOTA[[#This Row],[ID_H]]))</f>
        <v/>
      </c>
      <c r="AK544" s="27">
        <f ca="1">IF(NOTA[[#This Row],[TGL.NOTA]]="",IF(NOTA[[#This Row],[SUPPLIER_H]]="","",AK543),MONTH(NOTA[[#This Row],[TGL.NOTA]]))</f>
        <v>5</v>
      </c>
      <c r="AL544" s="27" t="str">
        <f>LOWER(SUBSTITUTE(SUBSTITUTE(SUBSTITUTE(SUBSTITUTE(SUBSTITUTE(SUBSTITUTE(SUBSTITUTE(SUBSTITUTE(SUBSTITUTE(NOTA[NAMA BARANG]," ",),".",""),"-",""),"(",""),")",""),",",""),"/",""),"""",""),"+",""))</f>
        <v>pcmlpy66775x22puatimbuld</v>
      </c>
      <c r="AM54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pcmlpy66775x22puatimbuld2016000</v>
      </c>
      <c r="AN54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pcmlpy66775x22puatimbuld2016000</v>
      </c>
      <c r="AO54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27" t="str">
        <f>IF(NOTA[[#This Row],[CONCAT4]]="","",_xlfn.IFNA(MATCH(NOTA[[#This Row],[CONCAT4]],[2]!RAW[CONCAT_H],0),FALSE))</f>
        <v/>
      </c>
      <c r="AQ544" s="145" t="e">
        <f>IF(NOTA[[#This Row],[CONCAT1]]="","",MATCH(NOTA[[#This Row],[CONCAT1]],[3]!db[NB NOTA_C],0)+1)</f>
        <v>#N/A</v>
      </c>
    </row>
    <row r="545" spans="1:43" ht="20.100000000000001" customHeight="1" x14ac:dyDescent="0.25">
      <c r="A545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36" t="str">
        <f>IF(NOTA[[#This Row],[ID_P]]="","",MATCH(NOTA[[#This Row],[ID_P]],[1]!B_MSK[N_ID],0))</f>
        <v/>
      </c>
      <c r="D545" s="36">
        <f ca="1">IF(NOTA[[#This Row],[NAMA BARANG]]="","",INDEX(NOTA[ID],MATCH(,INDIRECT(ADDRESS(ROW(NOTA[ID]),COLUMN(NOTA[ID]))&amp;":"&amp;ADDRESS(ROW(),COLUMN(NOTA[ID]))),-1)))</f>
        <v>96</v>
      </c>
      <c r="E545" s="93"/>
      <c r="F545" s="94"/>
      <c r="G545" s="94"/>
      <c r="H545" s="95"/>
      <c r="I545" s="94"/>
      <c r="J545" s="96"/>
      <c r="K545" s="94"/>
      <c r="L545" s="16" t="s">
        <v>758</v>
      </c>
      <c r="M545" s="97">
        <v>3</v>
      </c>
      <c r="N545" s="94">
        <v>360</v>
      </c>
      <c r="O545" s="16" t="s">
        <v>160</v>
      </c>
      <c r="P545" s="98">
        <v>14200</v>
      </c>
      <c r="Q545" s="99"/>
      <c r="R545" s="97"/>
      <c r="S545" s="100"/>
      <c r="T545" s="100"/>
      <c r="U545" s="101"/>
      <c r="V545" s="102"/>
      <c r="W545" s="40">
        <f>IF(NOTA[[#This Row],[HARGA/ CTN]]="",NOTA[[#This Row],[JUMLAH_H]],NOTA[[#This Row],[HARGA/ CTN]]*IF(NOTA[[#This Row],[C]]="",0,NOTA[[#This Row],[C]]))</f>
        <v>5112000</v>
      </c>
      <c r="X545" s="40">
        <f>IF(NOTA[[#This Row],[JUMLAH]]="","",NOTA[[#This Row],[JUMLAH]]*NOTA[[#This Row],[DISC 1]])</f>
        <v>0</v>
      </c>
      <c r="Y545" s="40">
        <f>IF(NOTA[[#This Row],[JUMLAH]]="","",(NOTA[[#This Row],[JUMLAH]]-NOTA[[#This Row],[DISC 1-]])*NOTA[[#This Row],[DISC 2]])</f>
        <v>0</v>
      </c>
      <c r="Z545" s="40">
        <f>IF(NOTA[[#This Row],[JUMLAH]]="","",NOTA[[#This Row],[DISC 1-]]+NOTA[[#This Row],[DISC 2-]])</f>
        <v>0</v>
      </c>
      <c r="AA545" s="40">
        <f>IF(NOTA[[#This Row],[JUMLAH]]="","",NOTA[[#This Row],[JUMLAH]]-NOTA[[#This Row],[DISC]])</f>
        <v>5112000</v>
      </c>
      <c r="AB545" s="40"/>
      <c r="AC5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45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27169200</v>
      </c>
      <c r="AE545" s="3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545" s="40">
        <f>IF(OR(NOTA[[#This Row],[QTY]]="",NOTA[[#This Row],[HARGA SATUAN]]="",),"",NOTA[[#This Row],[QTY]]*NOTA[[#This Row],[HARGA SATUAN]])</f>
        <v>5112000</v>
      </c>
      <c r="AG545" s="37">
        <f ca="1">IF(NOTA[ID_H]="","",INDEX(NOTA[TANGGAL],MATCH(,INDIRECT(ADDRESS(ROW(NOTA[TANGGAL]),COLUMN(NOTA[TANGGAL]))&amp;":"&amp;ADDRESS(ROW(),COLUMN(NOTA[TANGGAL]))),-1)))</f>
        <v>45065</v>
      </c>
      <c r="AH545" s="35" t="str">
        <f ca="1">IF(NOTA[[#This Row],[NAMA BARANG]]="","",INDEX(NOTA[SUPPLIER],MATCH(,INDIRECT(ADDRESS(ROW(NOTA[ID]),COLUMN(NOTA[ID]))&amp;":"&amp;ADDRESS(ROW(),COLUMN(NOTA[ID]))),-1)))</f>
        <v>SBS</v>
      </c>
      <c r="AI545" s="35" t="str">
        <f ca="1">IF(NOTA[[#This Row],[ID_H]]="","",IF(NOTA[[#This Row],[FAKTUR]]="",INDIRECT(ADDRESS(ROW()-1,COLUMN())),NOTA[[#This Row],[FAKTUR]]))</f>
        <v>UNTANA</v>
      </c>
      <c r="AJ545" s="27" t="str">
        <f ca="1">IF(NOTA[[#This Row],[ID]]="","",COUNTIF(NOTA[ID_H],NOTA[[#This Row],[ID_H]]))</f>
        <v/>
      </c>
      <c r="AK545" s="27">
        <f ca="1">IF(NOTA[[#This Row],[TGL.NOTA]]="",IF(NOTA[[#This Row],[SUPPLIER_H]]="","",AK544),MONTH(NOTA[[#This Row],[TGL.NOTA]]))</f>
        <v>5</v>
      </c>
      <c r="AL545" s="27" t="str">
        <f>LOWER(SUBSTITUTE(SUBSTITUTE(SUBSTITUTE(SUBSTITUTE(SUBSTITUTE(SUBSTITUTE(SUBSTITUTE(SUBSTITUTE(SUBSTITUTE(NOTA[NAMA BARANG]," ",),".",""),"-",""),"(",""),")",""),",",""),"/",""),"""",""),"+",""))</f>
        <v>pcmxu008012x22pudy</v>
      </c>
      <c r="AM54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pcmxu008012x22pudy1704000</v>
      </c>
      <c r="AN54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pcmxu008012x22pudy1704000</v>
      </c>
      <c r="AO54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27" t="str">
        <f>IF(NOTA[[#This Row],[CONCAT4]]="","",_xlfn.IFNA(MATCH(NOTA[[#This Row],[CONCAT4]],[2]!RAW[CONCAT_H],0),FALSE))</f>
        <v/>
      </c>
      <c r="AQ545" s="145" t="e">
        <f>IF(NOTA[[#This Row],[CONCAT1]]="","",MATCH(NOTA[[#This Row],[CONCAT1]],[3]!db[NB NOTA_C],0)+1)</f>
        <v>#N/A</v>
      </c>
    </row>
    <row r="546" spans="1:43" ht="20.100000000000001" customHeight="1" x14ac:dyDescent="0.25">
      <c r="A546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36" t="str">
        <f>IF(NOTA[[#This Row],[ID_P]]="","",MATCH(NOTA[[#This Row],[ID_P]],[1]!B_MSK[N_ID],0))</f>
        <v/>
      </c>
      <c r="D546" s="36" t="str">
        <f ca="1">IF(NOTA[[#This Row],[NAMA BARANG]]="","",INDEX(NOTA[ID],MATCH(,INDIRECT(ADDRESS(ROW(NOTA[ID]),COLUMN(NOTA[ID]))&amp;":"&amp;ADDRESS(ROW(),COLUMN(NOTA[ID]))),-1)))</f>
        <v/>
      </c>
      <c r="E546" s="14"/>
      <c r="F546" s="16"/>
      <c r="G546" s="16"/>
      <c r="H546" s="20"/>
      <c r="I546" s="16"/>
      <c r="J546" s="37"/>
      <c r="K546" s="16"/>
      <c r="L546" s="16"/>
      <c r="M546" s="28"/>
      <c r="N546" s="16"/>
      <c r="O546" s="16"/>
      <c r="P546" s="35"/>
      <c r="Q546" s="38"/>
      <c r="R546" s="28"/>
      <c r="S546" s="39"/>
      <c r="T546" s="39"/>
      <c r="U546" s="40"/>
      <c r="V546" s="26"/>
      <c r="W546" s="40" t="str">
        <f>IF(NOTA[[#This Row],[HARGA/ CTN]]="",NOTA[[#This Row],[JUMLAH_H]],NOTA[[#This Row],[HARGA/ CTN]]*IF(NOTA[[#This Row],[C]]="",0,NOTA[[#This Row],[C]]))</f>
        <v/>
      </c>
      <c r="X546" s="40" t="str">
        <f>IF(NOTA[[#This Row],[JUMLAH]]="","",NOTA[[#This Row],[JUMLAH]]*NOTA[[#This Row],[DISC 1]])</f>
        <v/>
      </c>
      <c r="Y546" s="40" t="str">
        <f>IF(NOTA[[#This Row],[JUMLAH]]="","",(NOTA[[#This Row],[JUMLAH]]-NOTA[[#This Row],[DISC 1-]])*NOTA[[#This Row],[DISC 2]])</f>
        <v/>
      </c>
      <c r="Z546" s="40" t="str">
        <f>IF(NOTA[[#This Row],[JUMLAH]]="","",NOTA[[#This Row],[DISC 1-]]+NOTA[[#This Row],[DISC 2-]])</f>
        <v/>
      </c>
      <c r="AA546" s="40" t="str">
        <f>IF(NOTA[[#This Row],[JUMLAH]]="","",NOTA[[#This Row],[JUMLAH]]-NOTA[[#This Row],[DISC]])</f>
        <v/>
      </c>
      <c r="AB546" s="40"/>
      <c r="AC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6" s="40" t="str">
        <f>IF(OR(NOTA[[#This Row],[QTY]]="",NOTA[[#This Row],[HARGA SATUAN]]="",),"",NOTA[[#This Row],[QTY]]*NOTA[[#This Row],[HARGA SATUAN]])</f>
        <v/>
      </c>
      <c r="AG546" s="37" t="str">
        <f ca="1">IF(NOTA[ID_H]="","",INDEX(NOTA[TANGGAL],MATCH(,INDIRECT(ADDRESS(ROW(NOTA[TANGGAL]),COLUMN(NOTA[TANGGAL]))&amp;":"&amp;ADDRESS(ROW(),COLUMN(NOTA[TANGGAL]))),-1)))</f>
        <v/>
      </c>
      <c r="AH546" s="35" t="str">
        <f ca="1">IF(NOTA[[#This Row],[NAMA BARANG]]="","",INDEX(NOTA[SUPPLIER],MATCH(,INDIRECT(ADDRESS(ROW(NOTA[ID]),COLUMN(NOTA[ID]))&amp;":"&amp;ADDRESS(ROW(),COLUMN(NOTA[ID]))),-1)))</f>
        <v/>
      </c>
      <c r="AI546" s="35" t="str">
        <f ca="1">IF(NOTA[[#This Row],[ID_H]]="","",IF(NOTA[[#This Row],[FAKTUR]]="",INDIRECT(ADDRESS(ROW()-1,COLUMN())),NOTA[[#This Row],[FAKTUR]]))</f>
        <v/>
      </c>
      <c r="AJ546" s="27" t="str">
        <f ca="1">IF(NOTA[[#This Row],[ID]]="","",COUNTIF(NOTA[ID_H],NOTA[[#This Row],[ID_H]]))</f>
        <v/>
      </c>
      <c r="AK546" s="27" t="str">
        <f ca="1">IF(NOTA[[#This Row],[TGL.NOTA]]="",IF(NOTA[[#This Row],[SUPPLIER_H]]="","",AK545),MONTH(NOTA[[#This Row],[TGL.NOTA]]))</f>
        <v/>
      </c>
      <c r="AL546" s="27" t="str">
        <f>LOWER(SUBSTITUTE(SUBSTITUTE(SUBSTITUTE(SUBSTITUTE(SUBSTITUTE(SUBSTITUTE(SUBSTITUTE(SUBSTITUTE(SUBSTITUTE(NOTA[NAMA BARANG]," ",),".",""),"-",""),"(",""),")",""),",",""),"/",""),"""",""),"+",""))</f>
        <v/>
      </c>
      <c r="AM54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27" t="str">
        <f>IF(NOTA[[#This Row],[CONCAT4]]="","",_xlfn.IFNA(MATCH(NOTA[[#This Row],[CONCAT4]],[2]!RAW[CONCAT_H],0),FALSE))</f>
        <v/>
      </c>
      <c r="AQ546" s="145" t="str">
        <f>IF(NOTA[[#This Row],[CONCAT1]]="","",MATCH(NOTA[[#This Row],[CONCAT1]],[3]!db[NB NOTA_C],0)+1)</f>
        <v/>
      </c>
    </row>
    <row r="547" spans="1:43" ht="20.100000000000001" customHeight="1" x14ac:dyDescent="0.25">
      <c r="A547" s="35">
        <f ca="1">IF(INDIRECT(ADDRESS(ROW()-1,COLUMN(NOTA[[#Headers],[ID]])))="ID",1,IF(NOTA[[#This Row],[FAKTUR]]="","",COUNT(INDIRECT(ADDRESS(ROW(NOTA[ID]),COLUMN(NOTA[ID]))&amp;":"&amp;ADDRESS(ROW()-1,COLUMN(NOTA[ID]))))+1))</f>
        <v>97</v>
      </c>
      <c r="B547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MSI_1905_212-4</v>
      </c>
      <c r="C547" s="36" t="e">
        <f ca="1">IF(NOTA[[#This Row],[ID_P]]="","",MATCH(NOTA[[#This Row],[ID_P]],[1]!B_MSK[N_ID],0))</f>
        <v>#REF!</v>
      </c>
      <c r="D547" s="36">
        <f ca="1">IF(NOTA[[#This Row],[NAMA BARANG]]="","",INDEX(NOTA[ID],MATCH(,INDIRECT(ADDRESS(ROW(NOTA[ID]),COLUMN(NOTA[ID]))&amp;":"&amp;ADDRESS(ROW(),COLUMN(NOTA[ID]))),-1)))</f>
        <v>97</v>
      </c>
      <c r="E547" s="14"/>
      <c r="F547" s="16" t="s">
        <v>759</v>
      </c>
      <c r="G547" s="16" t="s">
        <v>112</v>
      </c>
      <c r="H547" s="20" t="s">
        <v>760</v>
      </c>
      <c r="I547" s="16"/>
      <c r="J547" s="37">
        <v>45054</v>
      </c>
      <c r="K547" s="16"/>
      <c r="L547" s="16" t="s">
        <v>761</v>
      </c>
      <c r="M547" s="28">
        <v>10</v>
      </c>
      <c r="N547" s="16">
        <v>2400</v>
      </c>
      <c r="O547" s="16" t="s">
        <v>262</v>
      </c>
      <c r="P547" s="35">
        <v>5850</v>
      </c>
      <c r="Q547" s="38"/>
      <c r="R547" s="28"/>
      <c r="S547" s="39"/>
      <c r="T547" s="39"/>
      <c r="U547" s="40"/>
      <c r="V547" s="26"/>
      <c r="W547" s="40">
        <f>IF(NOTA[[#This Row],[HARGA/ CTN]]="",NOTA[[#This Row],[JUMLAH_H]],NOTA[[#This Row],[HARGA/ CTN]]*IF(NOTA[[#This Row],[C]]="",0,NOTA[[#This Row],[C]]))</f>
        <v>14040000</v>
      </c>
      <c r="X547" s="40">
        <f>IF(NOTA[[#This Row],[JUMLAH]]="","",NOTA[[#This Row],[JUMLAH]]*NOTA[[#This Row],[DISC 1]])</f>
        <v>0</v>
      </c>
      <c r="Y547" s="40">
        <f>IF(NOTA[[#This Row],[JUMLAH]]="","",(NOTA[[#This Row],[JUMLAH]]-NOTA[[#This Row],[DISC 1-]])*NOTA[[#This Row],[DISC 2]])</f>
        <v>0</v>
      </c>
      <c r="Z547" s="40">
        <f>IF(NOTA[[#This Row],[JUMLAH]]="","",NOTA[[#This Row],[DISC 1-]]+NOTA[[#This Row],[DISC 2-]])</f>
        <v>0</v>
      </c>
      <c r="AA547" s="40">
        <f>IF(NOTA[[#This Row],[JUMLAH]]="","",NOTA[[#This Row],[JUMLAH]]-NOTA[[#This Row],[DISC]])</f>
        <v>14040000</v>
      </c>
      <c r="AB547" s="40"/>
      <c r="AC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3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47" s="40">
        <f>IF(OR(NOTA[[#This Row],[QTY]]="",NOTA[[#This Row],[HARGA SATUAN]]="",),"",NOTA[[#This Row],[QTY]]*NOTA[[#This Row],[HARGA SATUAN]])</f>
        <v>14040000</v>
      </c>
      <c r="AG547" s="37">
        <f ca="1">IF(NOTA[ID_H]="","",INDEX(NOTA[TANGGAL],MATCH(,INDIRECT(ADDRESS(ROW(NOTA[TANGGAL]),COLUMN(NOTA[TANGGAL]))&amp;":"&amp;ADDRESS(ROW(),COLUMN(NOTA[TANGGAL]))),-1)))</f>
        <v>45065</v>
      </c>
      <c r="AH547" s="35" t="str">
        <f ca="1">IF(NOTA[[#This Row],[NAMA BARANG]]="","",INDEX(NOTA[SUPPLIER],MATCH(,INDIRECT(ADDRESS(ROW(NOTA[ID]),COLUMN(NOTA[ID]))&amp;":"&amp;ADDRESS(ROW(),COLUMN(NOTA[ID]))),-1)))</f>
        <v>MSI</v>
      </c>
      <c r="AI547" s="35" t="str">
        <f ca="1">IF(NOTA[[#This Row],[ID_H]]="","",IF(NOTA[[#This Row],[FAKTUR]]="",INDIRECT(ADDRESS(ROW()-1,COLUMN())),NOTA[[#This Row],[FAKTUR]]))</f>
        <v>UNTANA</v>
      </c>
      <c r="AJ547" s="27">
        <f ca="1">IF(NOTA[[#This Row],[ID]]="","",COUNTIF(NOTA[ID_H],NOTA[[#This Row],[ID_H]]))</f>
        <v>4</v>
      </c>
      <c r="AK547" s="27">
        <f>IF(NOTA[[#This Row],[TGL.NOTA]]="",IF(NOTA[[#This Row],[SUPPLIER_H]]="","",AK546),MONTH(NOTA[[#This Row],[TGL.NOTA]]))</f>
        <v>5</v>
      </c>
      <c r="AL547" s="27" t="str">
        <f>LOWER(SUBSTITUTE(SUBSTITUTE(SUBSTITUTE(SUBSTITUTE(SUBSTITUTE(SUBSTITUTE(SUBSTITUTE(SUBSTITUTE(SUBSTITUTE(NOTA[NAMA BARANG]," ",),".",""),"-",""),"(",""),")",""),",",""),"/",""),"""",""),"+",""))</f>
        <v>refillgelfancyvrg2017superhero</v>
      </c>
      <c r="AM54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refillgelfancyvrg2017superhero1404000</v>
      </c>
      <c r="AN54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refillgelfancyvrg2017superhero1404000</v>
      </c>
      <c r="AO547" s="27" t="str">
        <f>IF(NOTA[[#This Row],[SUPPLIER]]="","",NOTA[[#This Row],[SUPPLIER]]&amp;NOTA[[#This Row],[FAKTUR]]&amp;NOTA[[#This Row],[NO.NOTA]]&amp;NOTA[[#This Row],[NO.SJ]]&amp;NOTA[[#This Row],[TGL.NOTA]]&amp;NOTA[[#This Row],[CONCAT1]])</f>
        <v>MSIUNTANA23/I/21245054refillgelfancyvrg2017superhero</v>
      </c>
      <c r="AP547" s="27" t="e">
        <f>IF(NOTA[[#This Row],[CONCAT4]]="","",_xlfn.IFNA(MATCH(NOTA[[#This Row],[CONCAT4]],[2]!RAW[CONCAT_H],0),FALSE))</f>
        <v>#REF!</v>
      </c>
      <c r="AQ547" s="145">
        <f>IF(NOTA[[#This Row],[CONCAT1]]="","",MATCH(NOTA[[#This Row],[CONCAT1]],[3]!db[NB NOTA_C],0)+1)</f>
        <v>2083</v>
      </c>
    </row>
    <row r="548" spans="1:43" ht="20.100000000000001" customHeight="1" x14ac:dyDescent="0.25">
      <c r="A548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36" t="str">
        <f>IF(NOTA[[#This Row],[ID_P]]="","",MATCH(NOTA[[#This Row],[ID_P]],[1]!B_MSK[N_ID],0))</f>
        <v/>
      </c>
      <c r="D548" s="36">
        <f ca="1">IF(NOTA[[#This Row],[NAMA BARANG]]="","",INDEX(NOTA[ID],MATCH(,INDIRECT(ADDRESS(ROW(NOTA[ID]),COLUMN(NOTA[ID]))&amp;":"&amp;ADDRESS(ROW(),COLUMN(NOTA[ID]))),-1)))</f>
        <v>97</v>
      </c>
      <c r="E548" s="14"/>
      <c r="F548" s="16"/>
      <c r="G548" s="16"/>
      <c r="H548" s="20"/>
      <c r="I548" s="16"/>
      <c r="J548" s="37"/>
      <c r="K548" s="16"/>
      <c r="L548" s="16" t="s">
        <v>762</v>
      </c>
      <c r="M548" s="28">
        <v>10</v>
      </c>
      <c r="N548" s="16">
        <v>2400</v>
      </c>
      <c r="O548" s="16" t="s">
        <v>262</v>
      </c>
      <c r="P548" s="35">
        <v>5850</v>
      </c>
      <c r="Q548" s="38"/>
      <c r="R548" s="28"/>
      <c r="S548" s="39"/>
      <c r="T548" s="39"/>
      <c r="U548" s="40"/>
      <c r="V548" s="26"/>
      <c r="W548" s="40">
        <f>IF(NOTA[[#This Row],[HARGA/ CTN]]="",NOTA[[#This Row],[JUMLAH_H]],NOTA[[#This Row],[HARGA/ CTN]]*IF(NOTA[[#This Row],[C]]="",0,NOTA[[#This Row],[C]]))</f>
        <v>14040000</v>
      </c>
      <c r="X548" s="40">
        <f>IF(NOTA[[#This Row],[JUMLAH]]="","",NOTA[[#This Row],[JUMLAH]]*NOTA[[#This Row],[DISC 1]])</f>
        <v>0</v>
      </c>
      <c r="Y548" s="40">
        <f>IF(NOTA[[#This Row],[JUMLAH]]="","",(NOTA[[#This Row],[JUMLAH]]-NOTA[[#This Row],[DISC 1-]])*NOTA[[#This Row],[DISC 2]])</f>
        <v>0</v>
      </c>
      <c r="Z548" s="40">
        <f>IF(NOTA[[#This Row],[JUMLAH]]="","",NOTA[[#This Row],[DISC 1-]]+NOTA[[#This Row],[DISC 2-]])</f>
        <v>0</v>
      </c>
      <c r="AA548" s="40">
        <f>IF(NOTA[[#This Row],[JUMLAH]]="","",NOTA[[#This Row],[JUMLAH]]-NOTA[[#This Row],[DISC]])</f>
        <v>14040000</v>
      </c>
      <c r="AB548" s="40"/>
      <c r="AC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3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48" s="40">
        <f>IF(OR(NOTA[[#This Row],[QTY]]="",NOTA[[#This Row],[HARGA SATUAN]]="",),"",NOTA[[#This Row],[QTY]]*NOTA[[#This Row],[HARGA SATUAN]])</f>
        <v>14040000</v>
      </c>
      <c r="AG548" s="37">
        <f ca="1">IF(NOTA[ID_H]="","",INDEX(NOTA[TANGGAL],MATCH(,INDIRECT(ADDRESS(ROW(NOTA[TANGGAL]),COLUMN(NOTA[TANGGAL]))&amp;":"&amp;ADDRESS(ROW(),COLUMN(NOTA[TANGGAL]))),-1)))</f>
        <v>45065</v>
      </c>
      <c r="AH548" s="35" t="str">
        <f ca="1">IF(NOTA[[#This Row],[NAMA BARANG]]="","",INDEX(NOTA[SUPPLIER],MATCH(,INDIRECT(ADDRESS(ROW(NOTA[ID]),COLUMN(NOTA[ID]))&amp;":"&amp;ADDRESS(ROW(),COLUMN(NOTA[ID]))),-1)))</f>
        <v>MSI</v>
      </c>
      <c r="AI548" s="35" t="str">
        <f ca="1">IF(NOTA[[#This Row],[ID_H]]="","",IF(NOTA[[#This Row],[FAKTUR]]="",INDIRECT(ADDRESS(ROW()-1,COLUMN())),NOTA[[#This Row],[FAKTUR]]))</f>
        <v>UNTANA</v>
      </c>
      <c r="AJ548" s="27" t="str">
        <f ca="1">IF(NOTA[[#This Row],[ID]]="","",COUNTIF(NOTA[ID_H],NOTA[[#This Row],[ID_H]]))</f>
        <v/>
      </c>
      <c r="AK548" s="27">
        <f ca="1">IF(NOTA[[#This Row],[TGL.NOTA]]="",IF(NOTA[[#This Row],[SUPPLIER_H]]="","",AK547),MONTH(NOTA[[#This Row],[TGL.NOTA]]))</f>
        <v>5</v>
      </c>
      <c r="AL548" s="27" t="str">
        <f>LOWER(SUBSTITUTE(SUBSTITUTE(SUBSTITUTE(SUBSTITUTE(SUBSTITUTE(SUBSTITUTE(SUBSTITUTE(SUBSTITUTE(SUBSTITUTE(NOTA[NAMA BARANG]," ",),".",""),"-",""),"(",""),")",""),",",""),"/",""),"""",""),"+",""))</f>
        <v>refillgelfancyvrg2018tsumtsum</v>
      </c>
      <c r="AM54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refillgelfancyvrg2018tsumtsum1404000</v>
      </c>
      <c r="AN54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refillgelfancyvrg2018tsumtsum1404000</v>
      </c>
      <c r="AO54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27" t="str">
        <f>IF(NOTA[[#This Row],[CONCAT4]]="","",_xlfn.IFNA(MATCH(NOTA[[#This Row],[CONCAT4]],[2]!RAW[CONCAT_H],0),FALSE))</f>
        <v/>
      </c>
      <c r="AQ548" s="145">
        <f>IF(NOTA[[#This Row],[CONCAT1]]="","",MATCH(NOTA[[#This Row],[CONCAT1]],[3]!db[NB NOTA_C],0)+1)</f>
        <v>2084</v>
      </c>
    </row>
    <row r="549" spans="1:43" ht="20.100000000000001" customHeight="1" x14ac:dyDescent="0.25">
      <c r="A549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36" t="str">
        <f>IF(NOTA[[#This Row],[ID_P]]="","",MATCH(NOTA[[#This Row],[ID_P]],[1]!B_MSK[N_ID],0))</f>
        <v/>
      </c>
      <c r="D549" s="36">
        <f ca="1">IF(NOTA[[#This Row],[NAMA BARANG]]="","",INDEX(NOTA[ID],MATCH(,INDIRECT(ADDRESS(ROW(NOTA[ID]),COLUMN(NOTA[ID]))&amp;":"&amp;ADDRESS(ROW(),COLUMN(NOTA[ID]))),-1)))</f>
        <v>97</v>
      </c>
      <c r="E549" s="14"/>
      <c r="F549" s="16"/>
      <c r="G549" s="16"/>
      <c r="H549" s="20"/>
      <c r="I549" s="16"/>
      <c r="J549" s="37"/>
      <c r="K549" s="16"/>
      <c r="L549" s="16" t="s">
        <v>764</v>
      </c>
      <c r="M549" s="28">
        <v>10</v>
      </c>
      <c r="N549" s="16">
        <v>2400</v>
      </c>
      <c r="O549" s="16" t="s">
        <v>262</v>
      </c>
      <c r="P549" s="35">
        <v>5850</v>
      </c>
      <c r="Q549" s="38"/>
      <c r="R549" s="28"/>
      <c r="S549" s="39"/>
      <c r="T549" s="39"/>
      <c r="U549" s="40"/>
      <c r="V549" s="26"/>
      <c r="W549" s="40">
        <f>IF(NOTA[[#This Row],[HARGA/ CTN]]="",NOTA[[#This Row],[JUMLAH_H]],NOTA[[#This Row],[HARGA/ CTN]]*IF(NOTA[[#This Row],[C]]="",0,NOTA[[#This Row],[C]]))</f>
        <v>14040000</v>
      </c>
      <c r="X549" s="40">
        <f>IF(NOTA[[#This Row],[JUMLAH]]="","",NOTA[[#This Row],[JUMLAH]]*NOTA[[#This Row],[DISC 1]])</f>
        <v>0</v>
      </c>
      <c r="Y549" s="40">
        <f>IF(NOTA[[#This Row],[JUMLAH]]="","",(NOTA[[#This Row],[JUMLAH]]-NOTA[[#This Row],[DISC 1-]])*NOTA[[#This Row],[DISC 2]])</f>
        <v>0</v>
      </c>
      <c r="Z549" s="40">
        <f>IF(NOTA[[#This Row],[JUMLAH]]="","",NOTA[[#This Row],[DISC 1-]]+NOTA[[#This Row],[DISC 2-]])</f>
        <v>0</v>
      </c>
      <c r="AA549" s="40">
        <f>IF(NOTA[[#This Row],[JUMLAH]]="","",NOTA[[#This Row],[JUMLAH]]-NOTA[[#This Row],[DISC]])</f>
        <v>14040000</v>
      </c>
      <c r="AB549" s="40"/>
      <c r="AC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3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49" s="40">
        <f>IF(OR(NOTA[[#This Row],[QTY]]="",NOTA[[#This Row],[HARGA SATUAN]]="",),"",NOTA[[#This Row],[QTY]]*NOTA[[#This Row],[HARGA SATUAN]])</f>
        <v>14040000</v>
      </c>
      <c r="AG549" s="37">
        <f ca="1">IF(NOTA[ID_H]="","",INDEX(NOTA[TANGGAL],MATCH(,INDIRECT(ADDRESS(ROW(NOTA[TANGGAL]),COLUMN(NOTA[TANGGAL]))&amp;":"&amp;ADDRESS(ROW(),COLUMN(NOTA[TANGGAL]))),-1)))</f>
        <v>45065</v>
      </c>
      <c r="AH549" s="35" t="str">
        <f ca="1">IF(NOTA[[#This Row],[NAMA BARANG]]="","",INDEX(NOTA[SUPPLIER],MATCH(,INDIRECT(ADDRESS(ROW(NOTA[ID]),COLUMN(NOTA[ID]))&amp;":"&amp;ADDRESS(ROW(),COLUMN(NOTA[ID]))),-1)))</f>
        <v>MSI</v>
      </c>
      <c r="AI549" s="35" t="str">
        <f ca="1">IF(NOTA[[#This Row],[ID_H]]="","",IF(NOTA[[#This Row],[FAKTUR]]="",INDIRECT(ADDRESS(ROW()-1,COLUMN())),NOTA[[#This Row],[FAKTUR]]))</f>
        <v>UNTANA</v>
      </c>
      <c r="AJ549" s="27" t="str">
        <f ca="1">IF(NOTA[[#This Row],[ID]]="","",COUNTIF(NOTA[ID_H],NOTA[[#This Row],[ID_H]]))</f>
        <v/>
      </c>
      <c r="AK549" s="27">
        <f ca="1">IF(NOTA[[#This Row],[TGL.NOTA]]="",IF(NOTA[[#This Row],[SUPPLIER_H]]="","",AK548),MONTH(NOTA[[#This Row],[TGL.NOTA]]))</f>
        <v>5</v>
      </c>
      <c r="AL549" s="27" t="str">
        <f>LOWER(SUBSTITUTE(SUBSTITUTE(SUBSTITUTE(SUBSTITUTE(SUBSTITUTE(SUBSTITUTE(SUBSTITUTE(SUBSTITUTE(SUBSTITUTE(NOTA[NAMA BARANG]," ",),".",""),"-",""),"(",""),")",""),",",""),"/",""),"""",""),"+",""))</f>
        <v>refillgelfancyvrg2021barbiegirl</v>
      </c>
      <c r="AM54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refillgelfancyvrg2021barbiegirl1404000</v>
      </c>
      <c r="AN54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refillgelfancyvrg2021barbiegirl1404000</v>
      </c>
      <c r="AO54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9" s="27" t="str">
        <f>IF(NOTA[[#This Row],[CONCAT4]]="","",_xlfn.IFNA(MATCH(NOTA[[#This Row],[CONCAT4]],[2]!RAW[CONCAT_H],0),FALSE))</f>
        <v/>
      </c>
      <c r="AQ549" s="145" t="e">
        <f>IF(NOTA[[#This Row],[CONCAT1]]="","",MATCH(NOTA[[#This Row],[CONCAT1]],[3]!db[NB NOTA_C],0)+1)</f>
        <v>#N/A</v>
      </c>
    </row>
    <row r="550" spans="1:43" ht="20.100000000000001" customHeight="1" x14ac:dyDescent="0.25">
      <c r="A550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6" t="str">
        <f>IF(NOTA[[#This Row],[ID_P]]="","",MATCH(NOTA[[#This Row],[ID_P]],[1]!B_MSK[N_ID],0))</f>
        <v/>
      </c>
      <c r="D550" s="36">
        <f ca="1">IF(NOTA[[#This Row],[NAMA BARANG]]="","",INDEX(NOTA[ID],MATCH(,INDIRECT(ADDRESS(ROW(NOTA[ID]),COLUMN(NOTA[ID]))&amp;":"&amp;ADDRESS(ROW(),COLUMN(NOTA[ID]))),-1)))</f>
        <v>97</v>
      </c>
      <c r="E550" s="14"/>
      <c r="F550" s="16"/>
      <c r="G550" s="16"/>
      <c r="H550" s="20"/>
      <c r="I550" s="16"/>
      <c r="J550" s="37"/>
      <c r="K550" s="16"/>
      <c r="L550" s="16" t="s">
        <v>763</v>
      </c>
      <c r="M550" s="28">
        <v>10</v>
      </c>
      <c r="N550" s="16">
        <v>2400</v>
      </c>
      <c r="O550" s="16" t="s">
        <v>262</v>
      </c>
      <c r="P550" s="35">
        <v>5850</v>
      </c>
      <c r="Q550" s="38"/>
      <c r="R550" s="28"/>
      <c r="S550" s="39"/>
      <c r="T550" s="39"/>
      <c r="U550" s="40"/>
      <c r="V550" s="26"/>
      <c r="W550" s="40">
        <f>IF(NOTA[[#This Row],[HARGA/ CTN]]="",NOTA[[#This Row],[JUMLAH_H]],NOTA[[#This Row],[HARGA/ CTN]]*IF(NOTA[[#This Row],[C]]="",0,NOTA[[#This Row],[C]]))</f>
        <v>14040000</v>
      </c>
      <c r="X550" s="40">
        <f>IF(NOTA[[#This Row],[JUMLAH]]="","",NOTA[[#This Row],[JUMLAH]]*NOTA[[#This Row],[DISC 1]])</f>
        <v>0</v>
      </c>
      <c r="Y550" s="40">
        <f>IF(NOTA[[#This Row],[JUMLAH]]="","",(NOTA[[#This Row],[JUMLAH]]-NOTA[[#This Row],[DISC 1-]])*NOTA[[#This Row],[DISC 2]])</f>
        <v>0</v>
      </c>
      <c r="Z550" s="40">
        <f>IF(NOTA[[#This Row],[JUMLAH]]="","",NOTA[[#This Row],[DISC 1-]]+NOTA[[#This Row],[DISC 2-]])</f>
        <v>0</v>
      </c>
      <c r="AA550" s="40">
        <f>IF(NOTA[[#This Row],[JUMLAH]]="","",NOTA[[#This Row],[JUMLAH]]-NOTA[[#This Row],[DISC]])</f>
        <v>14040000</v>
      </c>
      <c r="AB550" s="40"/>
      <c r="AC5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0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56160000</v>
      </c>
      <c r="AE550" s="3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550" s="40">
        <f>IF(OR(NOTA[[#This Row],[QTY]]="",NOTA[[#This Row],[HARGA SATUAN]]="",),"",NOTA[[#This Row],[QTY]]*NOTA[[#This Row],[HARGA SATUAN]])</f>
        <v>14040000</v>
      </c>
      <c r="AG550" s="37">
        <f ca="1">IF(NOTA[ID_H]="","",INDEX(NOTA[TANGGAL],MATCH(,INDIRECT(ADDRESS(ROW(NOTA[TANGGAL]),COLUMN(NOTA[TANGGAL]))&amp;":"&amp;ADDRESS(ROW(),COLUMN(NOTA[TANGGAL]))),-1)))</f>
        <v>45065</v>
      </c>
      <c r="AH550" s="35" t="str">
        <f ca="1">IF(NOTA[[#This Row],[NAMA BARANG]]="","",INDEX(NOTA[SUPPLIER],MATCH(,INDIRECT(ADDRESS(ROW(NOTA[ID]),COLUMN(NOTA[ID]))&amp;":"&amp;ADDRESS(ROW(),COLUMN(NOTA[ID]))),-1)))</f>
        <v>MSI</v>
      </c>
      <c r="AI550" s="35" t="str">
        <f ca="1">IF(NOTA[[#This Row],[ID_H]]="","",IF(NOTA[[#This Row],[FAKTUR]]="",INDIRECT(ADDRESS(ROW()-1,COLUMN())),NOTA[[#This Row],[FAKTUR]]))</f>
        <v>UNTANA</v>
      </c>
      <c r="AJ550" s="27" t="str">
        <f ca="1">IF(NOTA[[#This Row],[ID]]="","",COUNTIF(NOTA[ID_H],NOTA[[#This Row],[ID_H]]))</f>
        <v/>
      </c>
      <c r="AK550" s="27">
        <f ca="1">IF(NOTA[[#This Row],[TGL.NOTA]]="",IF(NOTA[[#This Row],[SUPPLIER_H]]="","",AK549),MONTH(NOTA[[#This Row],[TGL.NOTA]]))</f>
        <v>5</v>
      </c>
      <c r="AL550" s="27" t="str">
        <f>LOWER(SUBSTITUTE(SUBSTITUTE(SUBSTITUTE(SUBSTITUTE(SUBSTITUTE(SUBSTITUTE(SUBSTITUTE(SUBSTITUTE(SUBSTITUTE(NOTA[NAMA BARANG]," ",),".",""),"-",""),"(",""),")",""),",",""),"/",""),"""",""),"+",""))</f>
        <v>refillgelfancyvrg2022rescuebots</v>
      </c>
      <c r="AM55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refillgelfancyvrg2022rescuebots1404000</v>
      </c>
      <c r="AN55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refillgelfancyvrg2022rescuebots1404000</v>
      </c>
      <c r="AO55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27" t="str">
        <f>IF(NOTA[[#This Row],[CONCAT4]]="","",_xlfn.IFNA(MATCH(NOTA[[#This Row],[CONCAT4]],[2]!RAW[CONCAT_H],0),FALSE))</f>
        <v/>
      </c>
      <c r="AQ550" s="145" t="e">
        <f>IF(NOTA[[#This Row],[CONCAT1]]="","",MATCH(NOTA[[#This Row],[CONCAT1]],[3]!db[NB NOTA_C],0)+1)</f>
        <v>#N/A</v>
      </c>
    </row>
    <row r="551" spans="1:43" ht="20.100000000000001" customHeight="1" x14ac:dyDescent="0.25">
      <c r="A551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6" t="str">
        <f>IF(NOTA[[#This Row],[ID_P]]="","",MATCH(NOTA[[#This Row],[ID_P]],[1]!B_MSK[N_ID],0))</f>
        <v/>
      </c>
      <c r="D551" s="36" t="str">
        <f ca="1">IF(NOTA[[#This Row],[NAMA BARANG]]="","",INDEX(NOTA[ID],MATCH(,INDIRECT(ADDRESS(ROW(NOTA[ID]),COLUMN(NOTA[ID]))&amp;":"&amp;ADDRESS(ROW(),COLUMN(NOTA[ID]))),-1)))</f>
        <v/>
      </c>
      <c r="E551" s="14"/>
      <c r="F551" s="16"/>
      <c r="G551" s="16"/>
      <c r="H551" s="20"/>
      <c r="I551" s="16"/>
      <c r="J551" s="37"/>
      <c r="K551" s="16"/>
      <c r="L551" s="16"/>
      <c r="M551" s="28"/>
      <c r="N551" s="16"/>
      <c r="O551" s="16"/>
      <c r="P551" s="35"/>
      <c r="Q551" s="38"/>
      <c r="R551" s="28"/>
      <c r="S551" s="39"/>
      <c r="T551" s="39"/>
      <c r="U551" s="40"/>
      <c r="V551" s="26"/>
      <c r="W551" s="40" t="str">
        <f>IF(NOTA[[#This Row],[HARGA/ CTN]]="",NOTA[[#This Row],[JUMLAH_H]],NOTA[[#This Row],[HARGA/ CTN]]*IF(NOTA[[#This Row],[C]]="",0,NOTA[[#This Row],[C]]))</f>
        <v/>
      </c>
      <c r="X551" s="40" t="str">
        <f>IF(NOTA[[#This Row],[JUMLAH]]="","",NOTA[[#This Row],[JUMLAH]]*NOTA[[#This Row],[DISC 1]])</f>
        <v/>
      </c>
      <c r="Y551" s="40" t="str">
        <f>IF(NOTA[[#This Row],[JUMLAH]]="","",(NOTA[[#This Row],[JUMLAH]]-NOTA[[#This Row],[DISC 1-]])*NOTA[[#This Row],[DISC 2]])</f>
        <v/>
      </c>
      <c r="Z551" s="40" t="str">
        <f>IF(NOTA[[#This Row],[JUMLAH]]="","",NOTA[[#This Row],[DISC 1-]]+NOTA[[#This Row],[DISC 2-]])</f>
        <v/>
      </c>
      <c r="AA551" s="40" t="str">
        <f>IF(NOTA[[#This Row],[JUMLAH]]="","",NOTA[[#This Row],[JUMLAH]]-NOTA[[#This Row],[DISC]])</f>
        <v/>
      </c>
      <c r="AB551" s="40"/>
      <c r="AC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3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1" s="40" t="str">
        <f>IF(OR(NOTA[[#This Row],[QTY]]="",NOTA[[#This Row],[HARGA SATUAN]]="",),"",NOTA[[#This Row],[QTY]]*NOTA[[#This Row],[HARGA SATUAN]])</f>
        <v/>
      </c>
      <c r="AG551" s="37" t="str">
        <f ca="1">IF(NOTA[ID_H]="","",INDEX(NOTA[TANGGAL],MATCH(,INDIRECT(ADDRESS(ROW(NOTA[TANGGAL]),COLUMN(NOTA[TANGGAL]))&amp;":"&amp;ADDRESS(ROW(),COLUMN(NOTA[TANGGAL]))),-1)))</f>
        <v/>
      </c>
      <c r="AH551" s="35" t="str">
        <f ca="1">IF(NOTA[[#This Row],[NAMA BARANG]]="","",INDEX(NOTA[SUPPLIER],MATCH(,INDIRECT(ADDRESS(ROW(NOTA[ID]),COLUMN(NOTA[ID]))&amp;":"&amp;ADDRESS(ROW(),COLUMN(NOTA[ID]))),-1)))</f>
        <v/>
      </c>
      <c r="AI551" s="35" t="str">
        <f ca="1">IF(NOTA[[#This Row],[ID_H]]="","",IF(NOTA[[#This Row],[FAKTUR]]="",INDIRECT(ADDRESS(ROW()-1,COLUMN())),NOTA[[#This Row],[FAKTUR]]))</f>
        <v/>
      </c>
      <c r="AJ551" s="27" t="str">
        <f ca="1">IF(NOTA[[#This Row],[ID]]="","",COUNTIF(NOTA[ID_H],NOTA[[#This Row],[ID_H]]))</f>
        <v/>
      </c>
      <c r="AK551" s="27" t="str">
        <f ca="1">IF(NOTA[[#This Row],[TGL.NOTA]]="",IF(NOTA[[#This Row],[SUPPLIER_H]]="","",AK550),MONTH(NOTA[[#This Row],[TGL.NOTA]]))</f>
        <v/>
      </c>
      <c r="AL551" s="27" t="str">
        <f>LOWER(SUBSTITUTE(SUBSTITUTE(SUBSTITUTE(SUBSTITUTE(SUBSTITUTE(SUBSTITUTE(SUBSTITUTE(SUBSTITUTE(SUBSTITUTE(NOTA[NAMA BARANG]," ",),".",""),"-",""),"(",""),")",""),",",""),"/",""),"""",""),"+",""))</f>
        <v/>
      </c>
      <c r="AM55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1" s="27" t="str">
        <f>IF(NOTA[[#This Row],[CONCAT4]]="","",_xlfn.IFNA(MATCH(NOTA[[#This Row],[CONCAT4]],[2]!RAW[CONCAT_H],0),FALSE))</f>
        <v/>
      </c>
      <c r="AQ551" s="145" t="str">
        <f>IF(NOTA[[#This Row],[CONCAT1]]="","",MATCH(NOTA[[#This Row],[CONCAT1]],[3]!db[NB NOTA_C],0)+1)</f>
        <v/>
      </c>
    </row>
    <row r="552" spans="1:43" ht="20.100000000000001" customHeight="1" x14ac:dyDescent="0.25">
      <c r="A552" s="35">
        <f ca="1">IF(INDIRECT(ADDRESS(ROW()-1,COLUMN(NOTA[[#Headers],[ID]])))="ID",1,IF(NOTA[[#This Row],[FAKTUR]]="","",COUNT(INDIRECT(ADDRESS(ROW(NOTA[ID]),COLUMN(NOTA[ID]))&amp;":"&amp;ADDRESS(ROW()-1,COLUMN(NOTA[ID]))))+1))</f>
        <v>98</v>
      </c>
      <c r="B552" s="3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ALP_1905_X21-2</v>
      </c>
      <c r="C552" s="36" t="e">
        <f ca="1">IF(NOTA[[#This Row],[ID_P]]="","",MATCH(NOTA[[#This Row],[ID_P]],[1]!B_MSK[N_ID],0))</f>
        <v>#REF!</v>
      </c>
      <c r="D552" s="36">
        <f ca="1">IF(NOTA[[#This Row],[NAMA BARANG]]="","",INDEX(NOTA[ID],MATCH(,INDIRECT(ADDRESS(ROW(NOTA[ID]),COLUMN(NOTA[ID]))&amp;":"&amp;ADDRESS(ROW(),COLUMN(NOTA[ID]))),-1)))</f>
        <v>98</v>
      </c>
      <c r="E552" s="14"/>
      <c r="F552" s="16" t="s">
        <v>765</v>
      </c>
      <c r="G552" s="16" t="s">
        <v>112</v>
      </c>
      <c r="H552" s="20" t="s">
        <v>766</v>
      </c>
      <c r="I552" s="16"/>
      <c r="J552" s="37">
        <v>45062</v>
      </c>
      <c r="K552" s="16"/>
      <c r="L552" s="16" t="s">
        <v>767</v>
      </c>
      <c r="M552" s="28">
        <v>2</v>
      </c>
      <c r="N552" s="16">
        <v>600</v>
      </c>
      <c r="O552" s="16" t="s">
        <v>457</v>
      </c>
      <c r="P552" s="35">
        <v>6500</v>
      </c>
      <c r="Q552" s="38"/>
      <c r="R552" s="28" t="s">
        <v>458</v>
      </c>
      <c r="S552" s="39"/>
      <c r="T552" s="39"/>
      <c r="U552" s="40"/>
      <c r="V552" s="26"/>
      <c r="W552" s="40">
        <f>IF(NOTA[[#This Row],[HARGA/ CTN]]="",NOTA[[#This Row],[JUMLAH_H]],NOTA[[#This Row],[HARGA/ CTN]]*IF(NOTA[[#This Row],[C]]="",0,NOTA[[#This Row],[C]]))</f>
        <v>3900000</v>
      </c>
      <c r="X552" s="40">
        <f>IF(NOTA[[#This Row],[JUMLAH]]="","",NOTA[[#This Row],[JUMLAH]]*NOTA[[#This Row],[DISC 1]])</f>
        <v>0</v>
      </c>
      <c r="Y552" s="40">
        <f>IF(NOTA[[#This Row],[JUMLAH]]="","",(NOTA[[#This Row],[JUMLAH]]-NOTA[[#This Row],[DISC 1-]])*NOTA[[#This Row],[DISC 2]])</f>
        <v>0</v>
      </c>
      <c r="Z552" s="40">
        <f>IF(NOTA[[#This Row],[JUMLAH]]="","",NOTA[[#This Row],[DISC 1-]]+NOTA[[#This Row],[DISC 2-]])</f>
        <v>0</v>
      </c>
      <c r="AA552" s="40">
        <f>IF(NOTA[[#This Row],[JUMLAH]]="","",NOTA[[#This Row],[JUMLAH]]-NOTA[[#This Row],[DISC]])</f>
        <v>3900000</v>
      </c>
      <c r="AB552" s="40"/>
      <c r="AC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4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3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52" s="40">
        <f>IF(OR(NOTA[[#This Row],[QTY]]="",NOTA[[#This Row],[HARGA SATUAN]]="",),"",NOTA[[#This Row],[QTY]]*NOTA[[#This Row],[HARGA SATUAN]])</f>
        <v>3900000</v>
      </c>
      <c r="AG552" s="37">
        <f ca="1">IF(NOTA[ID_H]="","",INDEX(NOTA[TANGGAL],MATCH(,INDIRECT(ADDRESS(ROW(NOTA[TANGGAL]),COLUMN(NOTA[TANGGAL]))&amp;":"&amp;ADDRESS(ROW(),COLUMN(NOTA[TANGGAL]))),-1)))</f>
        <v>45065</v>
      </c>
      <c r="AH552" s="35" t="str">
        <f ca="1">IF(NOTA[[#This Row],[NAMA BARANG]]="","",INDEX(NOTA[SUPPLIER],MATCH(,INDIRECT(ADDRESS(ROW(NOTA[ID]),COLUMN(NOTA[ID]))&amp;":"&amp;ADDRESS(ROW(),COLUMN(NOTA[ID]))),-1)))</f>
        <v>ALPHINDO</v>
      </c>
      <c r="AI552" s="35" t="str">
        <f ca="1">IF(NOTA[[#This Row],[ID_H]]="","",IF(NOTA[[#This Row],[FAKTUR]]="",INDIRECT(ADDRESS(ROW()-1,COLUMN())),NOTA[[#This Row],[FAKTUR]]))</f>
        <v>UNTANA</v>
      </c>
      <c r="AJ552" s="27">
        <f ca="1">IF(NOTA[[#This Row],[ID]]="","",COUNTIF(NOTA[ID_H],NOTA[[#This Row],[ID_H]]))</f>
        <v>2</v>
      </c>
      <c r="AK552" s="27">
        <f>IF(NOTA[[#This Row],[TGL.NOTA]]="",IF(NOTA[[#This Row],[SUPPLIER_H]]="","",AK551),MONTH(NOTA[[#This Row],[TGL.NOTA]]))</f>
        <v>5</v>
      </c>
      <c r="AL552" s="27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M55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N55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O552" s="27" t="str">
        <f>IF(NOTA[[#This Row],[SUPPLIER]]="","",NOTA[[#This Row],[SUPPLIER]]&amp;NOTA[[#This Row],[FAKTUR]]&amp;NOTA[[#This Row],[NO.NOTA]]&amp;NOTA[[#This Row],[NO.SJ]]&amp;NOTA[[#This Row],[TGL.NOTA]]&amp;NOTA[[#This Row],[CONCAT1]])</f>
        <v>ALPHINDOUNTANAFELIX2145062sampulopplemalexanderkwarto</v>
      </c>
      <c r="AP552" s="27" t="e">
        <f>IF(NOTA[[#This Row],[CONCAT4]]="","",_xlfn.IFNA(MATCH(NOTA[[#This Row],[CONCAT4]],[2]!RAW[CONCAT_H],0),FALSE))</f>
        <v>#REF!</v>
      </c>
      <c r="AQ552" s="145" t="e">
        <f>IF(NOTA[[#This Row],[CONCAT1]]="","",MATCH(NOTA[[#This Row],[CONCAT1]],[3]!db[NB NOTA_C],0)+1)</f>
        <v>#N/A</v>
      </c>
    </row>
    <row r="553" spans="1:43" ht="20.100000000000001" customHeight="1" x14ac:dyDescent="0.25">
      <c r="A553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6" t="str">
        <f>IF(NOTA[[#This Row],[ID_P]]="","",MATCH(NOTA[[#This Row],[ID_P]],[1]!B_MSK[N_ID],0))</f>
        <v/>
      </c>
      <c r="D553" s="36">
        <f ca="1">IF(NOTA[[#This Row],[NAMA BARANG]]="","",INDEX(NOTA[ID],MATCH(,INDIRECT(ADDRESS(ROW(NOTA[ID]),COLUMN(NOTA[ID]))&amp;":"&amp;ADDRESS(ROW(),COLUMN(NOTA[ID]))),-1)))</f>
        <v>98</v>
      </c>
      <c r="E553" s="14"/>
      <c r="F553" s="16"/>
      <c r="G553" s="16"/>
      <c r="H553" s="20"/>
      <c r="I553" s="16"/>
      <c r="J553" s="37"/>
      <c r="K553" s="16"/>
      <c r="L553" s="16" t="s">
        <v>768</v>
      </c>
      <c r="M553" s="28">
        <v>2</v>
      </c>
      <c r="N553" s="16">
        <v>600</v>
      </c>
      <c r="O553" s="16" t="s">
        <v>457</v>
      </c>
      <c r="P553" s="35">
        <v>8500</v>
      </c>
      <c r="Q553" s="38"/>
      <c r="R553" s="28" t="s">
        <v>458</v>
      </c>
      <c r="S553" s="39"/>
      <c r="T553" s="39"/>
      <c r="U553" s="40"/>
      <c r="V553" s="26"/>
      <c r="W553" s="40">
        <f>IF(NOTA[[#This Row],[HARGA/ CTN]]="",NOTA[[#This Row],[JUMLAH_H]],NOTA[[#This Row],[HARGA/ CTN]]*IF(NOTA[[#This Row],[C]]="",0,NOTA[[#This Row],[C]]))</f>
        <v>5100000</v>
      </c>
      <c r="X553" s="40">
        <f>IF(NOTA[[#This Row],[JUMLAH]]="","",NOTA[[#This Row],[JUMLAH]]*NOTA[[#This Row],[DISC 1]])</f>
        <v>0</v>
      </c>
      <c r="Y553" s="40">
        <f>IF(NOTA[[#This Row],[JUMLAH]]="","",(NOTA[[#This Row],[JUMLAH]]-NOTA[[#This Row],[DISC 1-]])*NOTA[[#This Row],[DISC 2]])</f>
        <v>0</v>
      </c>
      <c r="Z553" s="40">
        <f>IF(NOTA[[#This Row],[JUMLAH]]="","",NOTA[[#This Row],[DISC 1-]]+NOTA[[#This Row],[DISC 2-]])</f>
        <v>0</v>
      </c>
      <c r="AA553" s="40">
        <f>IF(NOTA[[#This Row],[JUMLAH]]="","",NOTA[[#This Row],[JUMLAH]]-NOTA[[#This Row],[DISC]])</f>
        <v>5100000</v>
      </c>
      <c r="AB553" s="40"/>
      <c r="AC5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3" s="4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553" s="3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553" s="40">
        <f>IF(OR(NOTA[[#This Row],[QTY]]="",NOTA[[#This Row],[HARGA SATUAN]]="",),"",NOTA[[#This Row],[QTY]]*NOTA[[#This Row],[HARGA SATUAN]])</f>
        <v>5100000</v>
      </c>
      <c r="AG553" s="37">
        <f ca="1">IF(NOTA[ID_H]="","",INDEX(NOTA[TANGGAL],MATCH(,INDIRECT(ADDRESS(ROW(NOTA[TANGGAL]),COLUMN(NOTA[TANGGAL]))&amp;":"&amp;ADDRESS(ROW(),COLUMN(NOTA[TANGGAL]))),-1)))</f>
        <v>45065</v>
      </c>
      <c r="AH553" s="35" t="str">
        <f ca="1">IF(NOTA[[#This Row],[NAMA BARANG]]="","",INDEX(NOTA[SUPPLIER],MATCH(,INDIRECT(ADDRESS(ROW(NOTA[ID]),COLUMN(NOTA[ID]))&amp;":"&amp;ADDRESS(ROW(),COLUMN(NOTA[ID]))),-1)))</f>
        <v>ALPHINDO</v>
      </c>
      <c r="AI553" s="35" t="str">
        <f ca="1">IF(NOTA[[#This Row],[ID_H]]="","",IF(NOTA[[#This Row],[FAKTUR]]="",INDIRECT(ADDRESS(ROW()-1,COLUMN())),NOTA[[#This Row],[FAKTUR]]))</f>
        <v>UNTANA</v>
      </c>
      <c r="AJ553" s="27" t="str">
        <f ca="1">IF(NOTA[[#This Row],[ID]]="","",COUNTIF(NOTA[ID_H],NOTA[[#This Row],[ID_H]]))</f>
        <v/>
      </c>
      <c r="AK553" s="27">
        <f ca="1">IF(NOTA[[#This Row],[TGL.NOTA]]="",IF(NOTA[[#This Row],[SUPPLIER_H]]="","",AK552),MONTH(NOTA[[#This Row],[TGL.NOTA]]))</f>
        <v>5</v>
      </c>
      <c r="AL553" s="27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M55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N55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O55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27" t="str">
        <f>IF(NOTA[[#This Row],[CONCAT4]]="","",_xlfn.IFNA(MATCH(NOTA[[#This Row],[CONCAT4]],[2]!RAW[CONCAT_H],0),FALSE))</f>
        <v/>
      </c>
      <c r="AQ553" s="145" t="e">
        <f>IF(NOTA[[#This Row],[CONCAT1]]="","",MATCH(NOTA[[#This Row],[CONCAT1]],[3]!db[NB NOTA_C],0)+1)</f>
        <v>#N/A</v>
      </c>
    </row>
    <row r="554" spans="1:43" ht="20.100000000000001" customHeight="1" x14ac:dyDescent="0.25">
      <c r="A554" s="3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104" t="str">
        <f>IF(NOTA[[#This Row],[ID_P]]="","",MATCH(NOTA[[#This Row],[ID_P]],[1]!B_MSK[N_ID],0))</f>
        <v/>
      </c>
      <c r="D554" s="104" t="str">
        <f ca="1">IF(NOTA[[#This Row],[NAMA BARANG]]="","",INDEX(NOTA[ID],MATCH(,INDIRECT(ADDRESS(ROW(NOTA[ID]),COLUMN(NOTA[ID]))&amp;":"&amp;ADDRESS(ROW(),COLUMN(NOTA[ID]))),-1)))</f>
        <v/>
      </c>
      <c r="E554" s="105"/>
      <c r="F554" s="106"/>
      <c r="G554" s="106"/>
      <c r="H554" s="107"/>
      <c r="I554" s="106"/>
      <c r="J554" s="108"/>
      <c r="K554" s="106"/>
      <c r="L554" s="106"/>
      <c r="M554" s="109"/>
      <c r="N554" s="106"/>
      <c r="O554" s="106"/>
      <c r="P554" s="103"/>
      <c r="Q554" s="110"/>
      <c r="R554" s="109"/>
      <c r="S554" s="111"/>
      <c r="T554" s="111"/>
      <c r="U554" s="112"/>
      <c r="V554" s="26"/>
      <c r="W554" s="112" t="str">
        <f>IF(NOTA[[#This Row],[HARGA/ CTN]]="",NOTA[[#This Row],[JUMLAH_H]],NOTA[[#This Row],[HARGA/ CTN]]*IF(NOTA[[#This Row],[C]]="",0,NOTA[[#This Row],[C]]))</f>
        <v/>
      </c>
      <c r="X554" s="112" t="str">
        <f>IF(NOTA[[#This Row],[JUMLAH]]="","",NOTA[[#This Row],[JUMLAH]]*NOTA[[#This Row],[DISC 1]])</f>
        <v/>
      </c>
      <c r="Y554" s="112" t="str">
        <f>IF(NOTA[[#This Row],[JUMLAH]]="","",(NOTA[[#This Row],[JUMLAH]]-NOTA[[#This Row],[DISC 1-]])*NOTA[[#This Row],[DISC 2]])</f>
        <v/>
      </c>
      <c r="Z554" s="112" t="str">
        <f>IF(NOTA[[#This Row],[JUMLAH]]="","",NOTA[[#This Row],[DISC 1-]]+NOTA[[#This Row],[DISC 2-]])</f>
        <v/>
      </c>
      <c r="AA554" s="112" t="str">
        <f>IF(NOTA[[#This Row],[JUMLAH]]="","",NOTA[[#This Row],[JUMLAH]]-NOTA[[#This Row],[DISC]])</f>
        <v/>
      </c>
      <c r="AB554" s="112"/>
      <c r="AC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4" s="112" t="str">
        <f>IF(OR(NOTA[[#This Row],[QTY]]="",NOTA[[#This Row],[HARGA SATUAN]]="",),"",NOTA[[#This Row],[QTY]]*NOTA[[#This Row],[HARGA SATUAN]])</f>
        <v/>
      </c>
      <c r="AG554" s="108" t="str">
        <f ca="1">IF(NOTA[ID_H]="","",INDEX(NOTA[TANGGAL],MATCH(,INDIRECT(ADDRESS(ROW(NOTA[TANGGAL]),COLUMN(NOTA[TANGGAL]))&amp;":"&amp;ADDRESS(ROW(),COLUMN(NOTA[TANGGAL]))),-1)))</f>
        <v/>
      </c>
      <c r="AH554" s="103" t="str">
        <f ca="1">IF(NOTA[[#This Row],[NAMA BARANG]]="","",INDEX(NOTA[SUPPLIER],MATCH(,INDIRECT(ADDRESS(ROW(NOTA[ID]),COLUMN(NOTA[ID]))&amp;":"&amp;ADDRESS(ROW(),COLUMN(NOTA[ID]))),-1)))</f>
        <v/>
      </c>
      <c r="AI554" s="103" t="str">
        <f ca="1">IF(NOTA[[#This Row],[ID_H]]="","",IF(NOTA[[#This Row],[FAKTUR]]="",INDIRECT(ADDRESS(ROW()-1,COLUMN())),NOTA[[#This Row],[FAKTUR]]))</f>
        <v/>
      </c>
      <c r="AJ554" s="27" t="str">
        <f ca="1">IF(NOTA[[#This Row],[ID]]="","",COUNTIF(NOTA[ID_H],NOTA[[#This Row],[ID_H]]))</f>
        <v/>
      </c>
      <c r="AK554" s="27" t="str">
        <f ca="1">IF(NOTA[[#This Row],[TGL.NOTA]]="",IF(NOTA[[#This Row],[SUPPLIER_H]]="","",AK553),MONTH(NOTA[[#This Row],[TGL.NOTA]]))</f>
        <v/>
      </c>
      <c r="AL554" s="27" t="str">
        <f>LOWER(SUBSTITUTE(SUBSTITUTE(SUBSTITUTE(SUBSTITUTE(SUBSTITUTE(SUBSTITUTE(SUBSTITUTE(SUBSTITUTE(SUBSTITUTE(NOTA[NAMA BARANG]," ",),".",""),"-",""),"(",""),")",""),",",""),"/",""),"""",""),"+",""))</f>
        <v/>
      </c>
      <c r="AM55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27" t="str">
        <f>IF(NOTA[[#This Row],[CONCAT4]]="","",_xlfn.IFNA(MATCH(NOTA[[#This Row],[CONCAT4]],[2]!RAW[CONCAT_H],0),FALSE))</f>
        <v/>
      </c>
      <c r="AQ554" s="145" t="str">
        <f>IF(NOTA[[#This Row],[CONCAT1]]="","",MATCH(NOTA[[#This Row],[CONCAT1]],[3]!db[NB NOTA_C],0)+1)</f>
        <v/>
      </c>
    </row>
    <row r="555" spans="1:43" ht="20.100000000000001" customHeight="1" x14ac:dyDescent="0.25">
      <c r="A555" s="103">
        <f ca="1">IF(INDIRECT(ADDRESS(ROW()-1,COLUMN(NOTA[[#Headers],[ID]])))="ID",1,IF(NOTA[[#This Row],[FAKTUR]]="","",COUNT(INDIRECT(ADDRESS(ROW(NOTA[ID]),COLUMN(NOTA[ID]))&amp;":"&amp;ADDRESS(ROW()-1,COLUMN(NOTA[ID]))))+1))</f>
        <v>99</v>
      </c>
      <c r="B555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DBS_1905_723-1</v>
      </c>
      <c r="C555" s="104" t="e">
        <f ca="1">IF(NOTA[[#This Row],[ID_P]]="","",MATCH(NOTA[[#This Row],[ID_P]],[1]!B_MSK[N_ID],0))</f>
        <v>#REF!</v>
      </c>
      <c r="D555" s="104">
        <f ca="1">IF(NOTA[[#This Row],[NAMA BARANG]]="","",INDEX(NOTA[ID],MATCH(,INDIRECT(ADDRESS(ROW(NOTA[ID]),COLUMN(NOTA[ID]))&amp;":"&amp;ADDRESS(ROW(),COLUMN(NOTA[ID]))),-1)))</f>
        <v>99</v>
      </c>
      <c r="E555" s="105"/>
      <c r="F555" s="16" t="s">
        <v>168</v>
      </c>
      <c r="G555" s="16" t="s">
        <v>112</v>
      </c>
      <c r="H555" s="20" t="s">
        <v>769</v>
      </c>
      <c r="I555" s="106"/>
      <c r="J555" s="108">
        <v>45057</v>
      </c>
      <c r="K555" s="106"/>
      <c r="L555" s="16" t="s">
        <v>770</v>
      </c>
      <c r="M555" s="109">
        <v>2</v>
      </c>
      <c r="N555" s="106">
        <v>80</v>
      </c>
      <c r="O555" s="16" t="s">
        <v>160</v>
      </c>
      <c r="P555" s="103">
        <v>16500</v>
      </c>
      <c r="Q555" s="110"/>
      <c r="R555" s="28" t="s">
        <v>771</v>
      </c>
      <c r="S555" s="111"/>
      <c r="T555" s="111"/>
      <c r="U555" s="112"/>
      <c r="V555" s="26"/>
      <c r="W555" s="112">
        <f>IF(NOTA[[#This Row],[HARGA/ CTN]]="",NOTA[[#This Row],[JUMLAH_H]],NOTA[[#This Row],[HARGA/ CTN]]*IF(NOTA[[#This Row],[C]]="",0,NOTA[[#This Row],[C]]))</f>
        <v>1320000</v>
      </c>
      <c r="X555" s="112">
        <f>IF(NOTA[[#This Row],[JUMLAH]]="","",NOTA[[#This Row],[JUMLAH]]*NOTA[[#This Row],[DISC 1]])</f>
        <v>0</v>
      </c>
      <c r="Y555" s="112">
        <f>IF(NOTA[[#This Row],[JUMLAH]]="","",(NOTA[[#This Row],[JUMLAH]]-NOTA[[#This Row],[DISC 1-]])*NOTA[[#This Row],[DISC 2]])</f>
        <v>0</v>
      </c>
      <c r="Z555" s="112">
        <f>IF(NOTA[[#This Row],[JUMLAH]]="","",NOTA[[#This Row],[DISC 1-]]+NOTA[[#This Row],[DISC 2-]])</f>
        <v>0</v>
      </c>
      <c r="AA555" s="112">
        <f>IF(NOTA[[#This Row],[JUMLAH]]="","",NOTA[[#This Row],[JUMLAH]]-NOTA[[#This Row],[DISC]])</f>
        <v>1320000</v>
      </c>
      <c r="AB555" s="112"/>
      <c r="AC55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5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E555" s="103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F555" s="112">
        <f>IF(OR(NOTA[[#This Row],[QTY]]="",NOTA[[#This Row],[HARGA SATUAN]]="",),"",NOTA[[#This Row],[QTY]]*NOTA[[#This Row],[HARGA SATUAN]])</f>
        <v>1320000</v>
      </c>
      <c r="AG555" s="108">
        <f ca="1">IF(NOTA[ID_H]="","",INDEX(NOTA[TANGGAL],MATCH(,INDIRECT(ADDRESS(ROW(NOTA[TANGGAL]),COLUMN(NOTA[TANGGAL]))&amp;":"&amp;ADDRESS(ROW(),COLUMN(NOTA[TANGGAL]))),-1)))</f>
        <v>45065</v>
      </c>
      <c r="AH555" s="103" t="str">
        <f ca="1">IF(NOTA[[#This Row],[NAMA BARANG]]="","",INDEX(NOTA[SUPPLIER],MATCH(,INDIRECT(ADDRESS(ROW(NOTA[ID]),COLUMN(NOTA[ID]))&amp;":"&amp;ADDRESS(ROW(),COLUMN(NOTA[ID]))),-1)))</f>
        <v>DB STATIONERY</v>
      </c>
      <c r="AI555" s="103" t="str">
        <f ca="1">IF(NOTA[[#This Row],[ID_H]]="","",IF(NOTA[[#This Row],[FAKTUR]]="",INDIRECT(ADDRESS(ROW()-1,COLUMN())),NOTA[[#This Row],[FAKTUR]]))</f>
        <v>UNTANA</v>
      </c>
      <c r="AJ555" s="27">
        <f ca="1">IF(NOTA[[#This Row],[ID]]="","",COUNTIF(NOTA[ID_H],NOTA[[#This Row],[ID_H]]))</f>
        <v>1</v>
      </c>
      <c r="AK555" s="27">
        <f>IF(NOTA[[#This Row],[TGL.NOTA]]="",IF(NOTA[[#This Row],[SUPPLIER_H]]="","",AK554),MONTH(NOTA[[#This Row],[TGL.NOTA]]))</f>
        <v>5</v>
      </c>
      <c r="AL555" s="27" t="str">
        <f>LOWER(SUBSTITUTE(SUBSTITUTE(SUBSTITUTE(SUBSTITUTE(SUBSTITUTE(SUBSTITUTE(SUBSTITUTE(SUBSTITUTE(SUBSTITUTE(NOTA[NAMA BARANG]," ",),".",""),"-",""),"(",""),")",""),",",""),"/",""),"""",""),"+",""))</f>
        <v>hapusandebozzzhitamdbh40h</v>
      </c>
      <c r="AM55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hapusandebozzzhitamdbh40h660000</v>
      </c>
      <c r="AN55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hapusandebozzzhitamdbh40h660000</v>
      </c>
      <c r="AO555" s="27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STATIONERYUNTANAJUE267/2345057hapusandebozzzhitamdbh40h</v>
      </c>
      <c r="AP555" s="27" t="e">
        <f>IF(NOTA[[#This Row],[CONCAT4]]="","",_xlfn.IFNA(MATCH(NOTA[[#This Row],[CONCAT4]],[2]!RAW[CONCAT_H],0),FALSE))</f>
        <v>#REF!</v>
      </c>
      <c r="AQ555" s="145" t="e">
        <f>IF(NOTA[[#This Row],[CONCAT1]]="","",MATCH(NOTA[[#This Row],[CONCAT1]],[3]!db[NB NOTA_C],0)+1)</f>
        <v>#N/A</v>
      </c>
    </row>
    <row r="556" spans="1:43" ht="20.100000000000001" customHeight="1" x14ac:dyDescent="0.25">
      <c r="A55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104" t="str">
        <f>IF(NOTA[[#This Row],[ID_P]]="","",MATCH(NOTA[[#This Row],[ID_P]],[1]!B_MSK[N_ID],0))</f>
        <v/>
      </c>
      <c r="D556" s="104" t="str">
        <f ca="1">IF(NOTA[[#This Row],[NAMA BARANG]]="","",INDEX(NOTA[ID],MATCH(,INDIRECT(ADDRESS(ROW(NOTA[ID]),COLUMN(NOTA[ID]))&amp;":"&amp;ADDRESS(ROW(),COLUMN(NOTA[ID]))),-1)))</f>
        <v/>
      </c>
      <c r="E556" s="105"/>
      <c r="F556" s="106"/>
      <c r="G556" s="106"/>
      <c r="H556" s="107"/>
      <c r="I556" s="106"/>
      <c r="J556" s="108"/>
      <c r="K556" s="106"/>
      <c r="L556" s="106"/>
      <c r="M556" s="109"/>
      <c r="N556" s="106"/>
      <c r="O556" s="106"/>
      <c r="P556" s="103"/>
      <c r="Q556" s="110"/>
      <c r="R556" s="109"/>
      <c r="S556" s="111"/>
      <c r="T556" s="111"/>
      <c r="U556" s="112"/>
      <c r="V556" s="26"/>
      <c r="W556" s="112" t="str">
        <f>IF(NOTA[[#This Row],[HARGA/ CTN]]="",NOTA[[#This Row],[JUMLAH_H]],NOTA[[#This Row],[HARGA/ CTN]]*IF(NOTA[[#This Row],[C]]="",0,NOTA[[#This Row],[C]]))</f>
        <v/>
      </c>
      <c r="X556" s="112" t="str">
        <f>IF(NOTA[[#This Row],[JUMLAH]]="","",NOTA[[#This Row],[JUMLAH]]*NOTA[[#This Row],[DISC 1]])</f>
        <v/>
      </c>
      <c r="Y556" s="112" t="str">
        <f>IF(NOTA[[#This Row],[JUMLAH]]="","",(NOTA[[#This Row],[JUMLAH]]-NOTA[[#This Row],[DISC 1-]])*NOTA[[#This Row],[DISC 2]])</f>
        <v/>
      </c>
      <c r="Z556" s="112" t="str">
        <f>IF(NOTA[[#This Row],[JUMLAH]]="","",NOTA[[#This Row],[DISC 1-]]+NOTA[[#This Row],[DISC 2-]])</f>
        <v/>
      </c>
      <c r="AA556" s="112" t="str">
        <f>IF(NOTA[[#This Row],[JUMLAH]]="","",NOTA[[#This Row],[JUMLAH]]-NOTA[[#This Row],[DISC]])</f>
        <v/>
      </c>
      <c r="AB556" s="112"/>
      <c r="AC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112" t="str">
        <f>IF(OR(NOTA[[#This Row],[QTY]]="",NOTA[[#This Row],[HARGA SATUAN]]="",),"",NOTA[[#This Row],[QTY]]*NOTA[[#This Row],[HARGA SATUAN]])</f>
        <v/>
      </c>
      <c r="AG556" s="108" t="str">
        <f ca="1">IF(NOTA[ID_H]="","",INDEX(NOTA[TANGGAL],MATCH(,INDIRECT(ADDRESS(ROW(NOTA[TANGGAL]),COLUMN(NOTA[TANGGAL]))&amp;":"&amp;ADDRESS(ROW(),COLUMN(NOTA[TANGGAL]))),-1)))</f>
        <v/>
      </c>
      <c r="AH556" s="103" t="str">
        <f ca="1">IF(NOTA[[#This Row],[NAMA BARANG]]="","",INDEX(NOTA[SUPPLIER],MATCH(,INDIRECT(ADDRESS(ROW(NOTA[ID]),COLUMN(NOTA[ID]))&amp;":"&amp;ADDRESS(ROW(),COLUMN(NOTA[ID]))),-1)))</f>
        <v/>
      </c>
      <c r="AI556" s="103" t="str">
        <f ca="1">IF(NOTA[[#This Row],[ID_H]]="","",IF(NOTA[[#This Row],[FAKTUR]]="",INDIRECT(ADDRESS(ROW()-1,COLUMN())),NOTA[[#This Row],[FAKTUR]]))</f>
        <v/>
      </c>
      <c r="AJ556" s="27" t="str">
        <f ca="1">IF(NOTA[[#This Row],[ID]]="","",COUNTIF(NOTA[ID_H],NOTA[[#This Row],[ID_H]]))</f>
        <v/>
      </c>
      <c r="AK556" s="27" t="str">
        <f ca="1">IF(NOTA[[#This Row],[TGL.NOTA]]="",IF(NOTA[[#This Row],[SUPPLIER_H]]="","",AK555),MONTH(NOTA[[#This Row],[TGL.NOTA]]))</f>
        <v/>
      </c>
      <c r="AL556" s="27" t="str">
        <f>LOWER(SUBSTITUTE(SUBSTITUTE(SUBSTITUTE(SUBSTITUTE(SUBSTITUTE(SUBSTITUTE(SUBSTITUTE(SUBSTITUTE(SUBSTITUTE(NOTA[NAMA BARANG]," ",),".",""),"-",""),"(",""),")",""),",",""),"/",""),"""",""),"+",""))</f>
        <v/>
      </c>
      <c r="AM55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27" t="str">
        <f>IF(NOTA[[#This Row],[CONCAT4]]="","",_xlfn.IFNA(MATCH(NOTA[[#This Row],[CONCAT4]],[2]!RAW[CONCAT_H],0),FALSE))</f>
        <v/>
      </c>
      <c r="AQ556" s="145" t="str">
        <f>IF(NOTA[[#This Row],[CONCAT1]]="","",MATCH(NOTA[[#This Row],[CONCAT1]],[3]!db[NB NOTA_C],0)+1)</f>
        <v/>
      </c>
    </row>
    <row r="557" spans="1:43" ht="20.100000000000001" customHeight="1" x14ac:dyDescent="0.25">
      <c r="A557" s="103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LAY_2005_045-1</v>
      </c>
      <c r="C557" s="104" t="e">
        <f ca="1">IF(NOTA[[#This Row],[ID_P]]="","",MATCH(NOTA[[#This Row],[ID_P]],[1]!B_MSK[N_ID],0))</f>
        <v>#REF!</v>
      </c>
      <c r="D557" s="104">
        <f ca="1">IF(NOTA[[#This Row],[NAMA BARANG]]="","",INDEX(NOTA[ID],MATCH(,INDIRECT(ADDRESS(ROW(NOTA[ID]),COLUMN(NOTA[ID]))&amp;":"&amp;ADDRESS(ROW(),COLUMN(NOTA[ID]))),-1)))</f>
        <v>100</v>
      </c>
      <c r="E557" s="105">
        <v>45066</v>
      </c>
      <c r="F557" s="16" t="s">
        <v>28</v>
      </c>
      <c r="G557" s="16" t="s">
        <v>24</v>
      </c>
      <c r="H557" s="20" t="s">
        <v>772</v>
      </c>
      <c r="I557" s="106"/>
      <c r="J557" s="108">
        <v>45062</v>
      </c>
      <c r="K557" s="16"/>
      <c r="L557" s="16" t="s">
        <v>773</v>
      </c>
      <c r="M557" s="109">
        <v>30</v>
      </c>
      <c r="N557" s="106">
        <v>3000</v>
      </c>
      <c r="O557" s="16" t="s">
        <v>457</v>
      </c>
      <c r="P557" s="103">
        <v>14000</v>
      </c>
      <c r="Q557" s="110"/>
      <c r="R557" s="28" t="s">
        <v>774</v>
      </c>
      <c r="S557" s="111">
        <v>0.1</v>
      </c>
      <c r="T557" s="111"/>
      <c r="U557" s="112"/>
      <c r="V557" s="26"/>
      <c r="W557" s="112">
        <f>IF(NOTA[[#This Row],[HARGA/ CTN]]="",NOTA[[#This Row],[JUMLAH_H]],NOTA[[#This Row],[HARGA/ CTN]]*IF(NOTA[[#This Row],[C]]="",0,NOTA[[#This Row],[C]]))</f>
        <v>42000000</v>
      </c>
      <c r="X557" s="112">
        <f>IF(NOTA[[#This Row],[JUMLAH]]="","",NOTA[[#This Row],[JUMLAH]]*NOTA[[#This Row],[DISC 1]])</f>
        <v>4200000</v>
      </c>
      <c r="Y557" s="112">
        <f>IF(NOTA[[#This Row],[JUMLAH]]="","",(NOTA[[#This Row],[JUMLAH]]-NOTA[[#This Row],[DISC 1-]])*NOTA[[#This Row],[DISC 2]])</f>
        <v>0</v>
      </c>
      <c r="Z557" s="112">
        <f>IF(NOTA[[#This Row],[JUMLAH]]="","",NOTA[[#This Row],[DISC 1-]]+NOTA[[#This Row],[DISC 2-]])</f>
        <v>4200000</v>
      </c>
      <c r="AA557" s="112">
        <f>IF(NOTA[[#This Row],[JUMLAH]]="","",NOTA[[#This Row],[JUMLAH]]-NOTA[[#This Row],[DISC]])</f>
        <v>37800000</v>
      </c>
      <c r="AB557" s="112"/>
      <c r="AC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4200000</v>
      </c>
      <c r="AD557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37800000</v>
      </c>
      <c r="AE557" s="103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57" s="112">
        <f>IF(OR(NOTA[[#This Row],[QTY]]="",NOTA[[#This Row],[HARGA SATUAN]]="",),"",NOTA[[#This Row],[QTY]]*NOTA[[#This Row],[HARGA SATUAN]])</f>
        <v>42000000</v>
      </c>
      <c r="AG557" s="108">
        <f ca="1">IF(NOTA[ID_H]="","",INDEX(NOTA[TANGGAL],MATCH(,INDIRECT(ADDRESS(ROW(NOTA[TANGGAL]),COLUMN(NOTA[TANGGAL]))&amp;":"&amp;ADDRESS(ROW(),COLUMN(NOTA[TANGGAL]))),-1)))</f>
        <v>45066</v>
      </c>
      <c r="AH557" s="103" t="str">
        <f ca="1">IF(NOTA[[#This Row],[NAMA BARANG]]="","",INDEX(NOTA[SUPPLIER],MATCH(,INDIRECT(ADDRESS(ROW(NOTA[ID]),COLUMN(NOTA[ID]))&amp;":"&amp;ADDRESS(ROW(),COLUMN(NOTA[ID]))),-1)))</f>
        <v>LAYS</v>
      </c>
      <c r="AI557" s="103" t="str">
        <f ca="1">IF(NOTA[[#This Row],[ID_H]]="","",IF(NOTA[[#This Row],[FAKTUR]]="",INDIRECT(ADDRESS(ROW()-1,COLUMN())),NOTA[[#This Row],[FAKTUR]]))</f>
        <v>ARTO MORO</v>
      </c>
      <c r="AJ557" s="27">
        <f ca="1">IF(NOTA[[#This Row],[ID]]="","",COUNTIF(NOTA[ID_H],NOTA[[#This Row],[ID_H]]))</f>
        <v>1</v>
      </c>
      <c r="AK557" s="27">
        <f>IF(NOTA[[#This Row],[TGL.NOTA]]="",IF(NOTA[[#This Row],[SUPPLIER_H]]="","",AK556),MONTH(NOTA[[#This Row],[TGL.NOTA]]))</f>
        <v>5</v>
      </c>
      <c r="AL557" s="27" t="str">
        <f>LOWER(SUBSTITUTE(SUBSTITUTE(SUBSTITUTE(SUBSTITUTE(SUBSTITUTE(SUBSTITUTE(SUBSTITUTE(SUBSTITUTE(SUBSTITUTE(NOTA[NAMA BARANG]," ",),".",""),"-",""),"(",""),")",""),",",""),"/",""),"""",""),"+",""))</f>
        <v>isigwno10</v>
      </c>
      <c r="AM55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N55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O557" s="27" t="str">
        <f>IF(NOTA[[#This Row],[SUPPLIER]]="","",NOTA[[#This Row],[SUPPLIER]]&amp;NOTA[[#This Row],[FAKTUR]]&amp;NOTA[[#This Row],[NO.NOTA]]&amp;NOTA[[#This Row],[NO.SJ]]&amp;NOTA[[#This Row],[TGL.NOTA]]&amp;NOTA[[#This Row],[CONCAT1]])</f>
        <v>LAYSARTO MOROL20504545062isigwno10</v>
      </c>
      <c r="AP557" s="27" t="e">
        <f>IF(NOTA[[#This Row],[CONCAT4]]="","",_xlfn.IFNA(MATCH(NOTA[[#This Row],[CONCAT4]],[2]!RAW[CONCAT_H],0),FALSE))</f>
        <v>#REF!</v>
      </c>
      <c r="AQ557" s="145">
        <f>IF(NOTA[[#This Row],[CONCAT1]]="","",MATCH(NOTA[[#This Row],[CONCAT1]],[3]!db[NB NOTA_C],0)+1)</f>
        <v>1085</v>
      </c>
    </row>
    <row r="558" spans="1:43" ht="20.100000000000001" customHeight="1" x14ac:dyDescent="0.25">
      <c r="A55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104" t="str">
        <f>IF(NOTA[[#This Row],[ID_P]]="","",MATCH(NOTA[[#This Row],[ID_P]],[1]!B_MSK[N_ID],0))</f>
        <v/>
      </c>
      <c r="D558" s="104" t="str">
        <f ca="1">IF(NOTA[[#This Row],[NAMA BARANG]]="","",INDEX(NOTA[ID],MATCH(,INDIRECT(ADDRESS(ROW(NOTA[ID]),COLUMN(NOTA[ID]))&amp;":"&amp;ADDRESS(ROW(),COLUMN(NOTA[ID]))),-1)))</f>
        <v/>
      </c>
      <c r="E558" s="105"/>
      <c r="F558" s="106"/>
      <c r="G558" s="106"/>
      <c r="H558" s="107"/>
      <c r="I558" s="106"/>
      <c r="J558" s="108"/>
      <c r="K558" s="106"/>
      <c r="L558" s="106"/>
      <c r="M558" s="109"/>
      <c r="N558" s="106"/>
      <c r="O558" s="106"/>
      <c r="P558" s="103"/>
      <c r="Q558" s="110"/>
      <c r="R558" s="109"/>
      <c r="S558" s="111"/>
      <c r="T558" s="111"/>
      <c r="U558" s="112"/>
      <c r="V558" s="26"/>
      <c r="W558" s="112" t="str">
        <f>IF(NOTA[[#This Row],[HARGA/ CTN]]="",NOTA[[#This Row],[JUMLAH_H]],NOTA[[#This Row],[HARGA/ CTN]]*IF(NOTA[[#This Row],[C]]="",0,NOTA[[#This Row],[C]]))</f>
        <v/>
      </c>
      <c r="X558" s="112" t="str">
        <f>IF(NOTA[[#This Row],[JUMLAH]]="","",NOTA[[#This Row],[JUMLAH]]*NOTA[[#This Row],[DISC 1]])</f>
        <v/>
      </c>
      <c r="Y558" s="112" t="str">
        <f>IF(NOTA[[#This Row],[JUMLAH]]="","",(NOTA[[#This Row],[JUMLAH]]-NOTA[[#This Row],[DISC 1-]])*NOTA[[#This Row],[DISC 2]])</f>
        <v/>
      </c>
      <c r="Z558" s="112" t="str">
        <f>IF(NOTA[[#This Row],[JUMLAH]]="","",NOTA[[#This Row],[DISC 1-]]+NOTA[[#This Row],[DISC 2-]])</f>
        <v/>
      </c>
      <c r="AA558" s="112" t="str">
        <f>IF(NOTA[[#This Row],[JUMLAH]]="","",NOTA[[#This Row],[JUMLAH]]-NOTA[[#This Row],[DISC]])</f>
        <v/>
      </c>
      <c r="AB558" s="112"/>
      <c r="AC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112" t="str">
        <f>IF(OR(NOTA[[#This Row],[QTY]]="",NOTA[[#This Row],[HARGA SATUAN]]="",),"",NOTA[[#This Row],[QTY]]*NOTA[[#This Row],[HARGA SATUAN]])</f>
        <v/>
      </c>
      <c r="AG558" s="108" t="str">
        <f ca="1">IF(NOTA[ID_H]="","",INDEX(NOTA[TANGGAL],MATCH(,INDIRECT(ADDRESS(ROW(NOTA[TANGGAL]),COLUMN(NOTA[TANGGAL]))&amp;":"&amp;ADDRESS(ROW(),COLUMN(NOTA[TANGGAL]))),-1)))</f>
        <v/>
      </c>
      <c r="AH558" s="103" t="str">
        <f ca="1">IF(NOTA[[#This Row],[NAMA BARANG]]="","",INDEX(NOTA[SUPPLIER],MATCH(,INDIRECT(ADDRESS(ROW(NOTA[ID]),COLUMN(NOTA[ID]))&amp;":"&amp;ADDRESS(ROW(),COLUMN(NOTA[ID]))),-1)))</f>
        <v/>
      </c>
      <c r="AI558" s="103" t="str">
        <f ca="1">IF(NOTA[[#This Row],[ID_H]]="","",IF(NOTA[[#This Row],[FAKTUR]]="",INDIRECT(ADDRESS(ROW()-1,COLUMN())),NOTA[[#This Row],[FAKTUR]]))</f>
        <v/>
      </c>
      <c r="AJ558" s="27" t="str">
        <f ca="1">IF(NOTA[[#This Row],[ID]]="","",COUNTIF(NOTA[ID_H],NOTA[[#This Row],[ID_H]]))</f>
        <v/>
      </c>
      <c r="AK558" s="27" t="str">
        <f ca="1">IF(NOTA[[#This Row],[TGL.NOTA]]="",IF(NOTA[[#This Row],[SUPPLIER_H]]="","",AK557),MONTH(NOTA[[#This Row],[TGL.NOTA]]))</f>
        <v/>
      </c>
      <c r="AL558" s="27" t="str">
        <f>LOWER(SUBSTITUTE(SUBSTITUTE(SUBSTITUTE(SUBSTITUTE(SUBSTITUTE(SUBSTITUTE(SUBSTITUTE(SUBSTITUTE(SUBSTITUTE(NOTA[NAMA BARANG]," ",),".",""),"-",""),"(",""),")",""),",",""),"/",""),"""",""),"+",""))</f>
        <v/>
      </c>
      <c r="AM55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27" t="str">
        <f>IF(NOTA[[#This Row],[CONCAT4]]="","",_xlfn.IFNA(MATCH(NOTA[[#This Row],[CONCAT4]],[2]!RAW[CONCAT_H],0),FALSE))</f>
        <v/>
      </c>
      <c r="AQ558" s="145" t="str">
        <f>IF(NOTA[[#This Row],[CONCAT1]]="","",MATCH(NOTA[[#This Row],[CONCAT1]],[3]!db[NB NOTA_C],0)+1)</f>
        <v/>
      </c>
    </row>
    <row r="559" spans="1:43" ht="20.100000000000001" customHeight="1" x14ac:dyDescent="0.25">
      <c r="A559" s="103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KEN_2005_565-5</v>
      </c>
      <c r="C559" s="104" t="e">
        <f ca="1">IF(NOTA[[#This Row],[ID_P]]="","",MATCH(NOTA[[#This Row],[ID_P]],[1]!B_MSK[N_ID],0))</f>
        <v>#REF!</v>
      </c>
      <c r="D559" s="104">
        <f ca="1">IF(NOTA[[#This Row],[NAMA BARANG]]="","",INDEX(NOTA[ID],MATCH(,INDIRECT(ADDRESS(ROW(NOTA[ID]),COLUMN(NOTA[ID]))&amp;":"&amp;ADDRESS(ROW(),COLUMN(NOTA[ID]))),-1)))</f>
        <v>101</v>
      </c>
      <c r="E559" s="105"/>
      <c r="F559" s="16" t="s">
        <v>23</v>
      </c>
      <c r="G559" s="16" t="s">
        <v>24</v>
      </c>
      <c r="H559" s="20" t="s">
        <v>775</v>
      </c>
      <c r="I559" s="16" t="s">
        <v>779</v>
      </c>
      <c r="J559" s="108">
        <v>45062</v>
      </c>
      <c r="K559" s="106"/>
      <c r="L559" s="16" t="s">
        <v>776</v>
      </c>
      <c r="M559" s="109">
        <v>1</v>
      </c>
      <c r="N559" s="106"/>
      <c r="O559" s="106"/>
      <c r="P559" s="103"/>
      <c r="Q559" s="110">
        <v>1274400</v>
      </c>
      <c r="R559" s="28" t="s">
        <v>727</v>
      </c>
      <c r="S559" s="111">
        <v>0.17</v>
      </c>
      <c r="T559" s="111"/>
      <c r="U559" s="112"/>
      <c r="V559" s="26"/>
      <c r="W559" s="112">
        <f>IF(NOTA[[#This Row],[HARGA/ CTN]]="",NOTA[[#This Row],[JUMLAH_H]],NOTA[[#This Row],[HARGA/ CTN]]*IF(NOTA[[#This Row],[C]]="",0,NOTA[[#This Row],[C]]))</f>
        <v>1274400</v>
      </c>
      <c r="X559" s="112">
        <f>IF(NOTA[[#This Row],[JUMLAH]]="","",NOTA[[#This Row],[JUMLAH]]*NOTA[[#This Row],[DISC 1]])</f>
        <v>216648.00000000003</v>
      </c>
      <c r="Y559" s="112">
        <f>IF(NOTA[[#This Row],[JUMLAH]]="","",(NOTA[[#This Row],[JUMLAH]]-NOTA[[#This Row],[DISC 1-]])*NOTA[[#This Row],[DISC 2]])</f>
        <v>0</v>
      </c>
      <c r="Z559" s="112">
        <f>IF(NOTA[[#This Row],[JUMLAH]]="","",NOTA[[#This Row],[DISC 1-]]+NOTA[[#This Row],[DISC 2-]])</f>
        <v>216648.00000000003</v>
      </c>
      <c r="AA559" s="112">
        <f>IF(NOTA[[#This Row],[JUMLAH]]="","",NOTA[[#This Row],[JUMLAH]]-NOTA[[#This Row],[DISC]])</f>
        <v>1057752</v>
      </c>
      <c r="AB559" s="112"/>
      <c r="AC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103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559" s="112" t="str">
        <f>IF(OR(NOTA[[#This Row],[QTY]]="",NOTA[[#This Row],[HARGA SATUAN]]="",),"",NOTA[[#This Row],[QTY]]*NOTA[[#This Row],[HARGA SATUAN]])</f>
        <v/>
      </c>
      <c r="AG559" s="108">
        <f ca="1">IF(NOTA[ID_H]="","",INDEX(NOTA[TANGGAL],MATCH(,INDIRECT(ADDRESS(ROW(NOTA[TANGGAL]),COLUMN(NOTA[TANGGAL]))&amp;":"&amp;ADDRESS(ROW(),COLUMN(NOTA[TANGGAL]))),-1)))</f>
        <v>45066</v>
      </c>
      <c r="AH559" s="103" t="str">
        <f ca="1">IF(NOTA[[#This Row],[NAMA BARANG]]="","",INDEX(NOTA[SUPPLIER],MATCH(,INDIRECT(ADDRESS(ROW(NOTA[ID]),COLUMN(NOTA[ID]))&amp;":"&amp;ADDRESS(ROW(),COLUMN(NOTA[ID]))),-1)))</f>
        <v>KENKO SINAR INDONESIA</v>
      </c>
      <c r="AI559" s="103" t="str">
        <f ca="1">IF(NOTA[[#This Row],[ID_H]]="","",IF(NOTA[[#This Row],[FAKTUR]]="",INDIRECT(ADDRESS(ROW()-1,COLUMN())),NOTA[[#This Row],[FAKTUR]]))</f>
        <v>ARTO MORO</v>
      </c>
      <c r="AJ559" s="27">
        <f ca="1">IF(NOTA[[#This Row],[ID]]="","",COUNTIF(NOTA[ID_H],NOTA[[#This Row],[ID_H]]))</f>
        <v>5</v>
      </c>
      <c r="AK559" s="201">
        <f>IF(NOTA[[#This Row],[TGL.NOTA]]="",IF(NOTA[[#This Row],[SUPPLIER_H]]="","",AK558),MONTH(NOTA[[#This Row],[TGL.NOTA]]))</f>
        <v>5</v>
      </c>
      <c r="AL559" s="27" t="str">
        <f>LOWER(SUBSTITUTE(SUBSTITUTE(SUBSTITUTE(SUBSTITUTE(SUBSTITUTE(SUBSTITUTE(SUBSTITUTE(SUBSTITUTE(SUBSTITUTE(NOTA[NAMA BARANG]," ",),".",""),"-",""),"(",""),")",""),",",""),"/",""),"""",""),"+",""))</f>
        <v>kenkostamppadno1</v>
      </c>
      <c r="AM55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55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559" s="27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MORO23051565SA 4161445062kenkostamppadno1</v>
      </c>
      <c r="AP559" s="27" t="e">
        <f>IF(NOTA[[#This Row],[CONCAT4]]="","",_xlfn.IFNA(MATCH(NOTA[[#This Row],[CONCAT4]],[2]!RAW[CONCAT_H],0),FALSE))</f>
        <v>#REF!</v>
      </c>
      <c r="AQ559" s="145">
        <f>IF(NOTA[[#This Row],[CONCAT1]]="","",MATCH(NOTA[[#This Row],[CONCAT1]],[3]!db[NB NOTA_C],0)+1)</f>
        <v>1398</v>
      </c>
    </row>
    <row r="560" spans="1:43" ht="20.100000000000001" customHeight="1" x14ac:dyDescent="0.25">
      <c r="A56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104" t="str">
        <f>IF(NOTA[[#This Row],[ID_P]]="","",MATCH(NOTA[[#This Row],[ID_P]],[1]!B_MSK[N_ID],0))</f>
        <v/>
      </c>
      <c r="D560" s="104">
        <f ca="1">IF(NOTA[[#This Row],[NAMA BARANG]]="","",INDEX(NOTA[ID],MATCH(,INDIRECT(ADDRESS(ROW(NOTA[ID]),COLUMN(NOTA[ID]))&amp;":"&amp;ADDRESS(ROW(),COLUMN(NOTA[ID]))),-1)))</f>
        <v>101</v>
      </c>
      <c r="E560" s="105"/>
      <c r="F560" s="106"/>
      <c r="G560" s="106"/>
      <c r="H560" s="107"/>
      <c r="I560" s="106"/>
      <c r="J560" s="108"/>
      <c r="K560" s="106"/>
      <c r="L560" s="16" t="s">
        <v>449</v>
      </c>
      <c r="M560" s="109">
        <v>2</v>
      </c>
      <c r="N560" s="106"/>
      <c r="O560" s="106"/>
      <c r="P560" s="103"/>
      <c r="Q560" s="110">
        <v>2952000</v>
      </c>
      <c r="R560" s="28" t="s">
        <v>232</v>
      </c>
      <c r="S560" s="111">
        <v>0.17</v>
      </c>
      <c r="T560" s="111"/>
      <c r="U560" s="112"/>
      <c r="V560" s="26"/>
      <c r="W560" s="112">
        <f>IF(NOTA[[#This Row],[HARGA/ CTN]]="",NOTA[[#This Row],[JUMLAH_H]],NOTA[[#This Row],[HARGA/ CTN]]*IF(NOTA[[#This Row],[C]]="",0,NOTA[[#This Row],[C]]))</f>
        <v>5904000</v>
      </c>
      <c r="X560" s="112">
        <f>IF(NOTA[[#This Row],[JUMLAH]]="","",NOTA[[#This Row],[JUMLAH]]*NOTA[[#This Row],[DISC 1]])</f>
        <v>1003680.0000000001</v>
      </c>
      <c r="Y560" s="112">
        <f>IF(NOTA[[#This Row],[JUMLAH]]="","",(NOTA[[#This Row],[JUMLAH]]-NOTA[[#This Row],[DISC 1-]])*NOTA[[#This Row],[DISC 2]])</f>
        <v>0</v>
      </c>
      <c r="Z560" s="112">
        <f>IF(NOTA[[#This Row],[JUMLAH]]="","",NOTA[[#This Row],[DISC 1-]]+NOTA[[#This Row],[DISC 2-]])</f>
        <v>1003680.0000000001</v>
      </c>
      <c r="AA560" s="112">
        <f>IF(NOTA[[#This Row],[JUMLAH]]="","",NOTA[[#This Row],[JUMLAH]]-NOTA[[#This Row],[DISC]])</f>
        <v>4900320</v>
      </c>
      <c r="AB560" s="112"/>
      <c r="AC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103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60" s="112" t="str">
        <f>IF(OR(NOTA[[#This Row],[QTY]]="",NOTA[[#This Row],[HARGA SATUAN]]="",),"",NOTA[[#This Row],[QTY]]*NOTA[[#This Row],[HARGA SATUAN]])</f>
        <v/>
      </c>
      <c r="AG560" s="108">
        <f ca="1">IF(NOTA[ID_H]="","",INDEX(NOTA[TANGGAL],MATCH(,INDIRECT(ADDRESS(ROW(NOTA[TANGGAL]),COLUMN(NOTA[TANGGAL]))&amp;":"&amp;ADDRESS(ROW(),COLUMN(NOTA[TANGGAL]))),-1)))</f>
        <v>45066</v>
      </c>
      <c r="AH560" s="103" t="str">
        <f ca="1">IF(NOTA[[#This Row],[NAMA BARANG]]="","",INDEX(NOTA[SUPPLIER],MATCH(,INDIRECT(ADDRESS(ROW(NOTA[ID]),COLUMN(NOTA[ID]))&amp;":"&amp;ADDRESS(ROW(),COLUMN(NOTA[ID]))),-1)))</f>
        <v>KENKO SINAR INDONESIA</v>
      </c>
      <c r="AI560" s="103" t="str">
        <f ca="1">IF(NOTA[[#This Row],[ID_H]]="","",IF(NOTA[[#This Row],[FAKTUR]]="",INDIRECT(ADDRESS(ROW()-1,COLUMN())),NOTA[[#This Row],[FAKTUR]]))</f>
        <v>ARTO MORO</v>
      </c>
      <c r="AJ560" s="27" t="str">
        <f ca="1">IF(NOTA[[#This Row],[ID]]="","",COUNTIF(NOTA[ID_H],NOTA[[#This Row],[ID_H]]))</f>
        <v/>
      </c>
      <c r="AK560" s="27">
        <f ca="1">IF(NOTA[[#This Row],[TGL.NOTA]]="",IF(NOTA[[#This Row],[SUPPLIER_H]]="","",AK559),MONTH(NOTA[[#This Row],[TGL.NOTA]]))</f>
        <v>5</v>
      </c>
      <c r="AL560" s="27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56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56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56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0" s="27" t="str">
        <f>IF(NOTA[[#This Row],[CONCAT4]]="","",_xlfn.IFNA(MATCH(NOTA[[#This Row],[CONCAT4]],[2]!RAW[CONCAT_H],0),FALSE))</f>
        <v/>
      </c>
      <c r="AQ560" s="145">
        <f>IF(NOTA[[#This Row],[CONCAT1]]="","",MATCH(NOTA[[#This Row],[CONCAT1]],[3]!db[NB NOTA_C],0)+1)</f>
        <v>1239</v>
      </c>
    </row>
    <row r="561" spans="1:43" ht="20.100000000000001" customHeight="1" x14ac:dyDescent="0.25">
      <c r="A56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104" t="str">
        <f>IF(NOTA[[#This Row],[ID_P]]="","",MATCH(NOTA[[#This Row],[ID_P]],[1]!B_MSK[N_ID],0))</f>
        <v/>
      </c>
      <c r="D561" s="104">
        <f ca="1">IF(NOTA[[#This Row],[NAMA BARANG]]="","",INDEX(NOTA[ID],MATCH(,INDIRECT(ADDRESS(ROW(NOTA[ID]),COLUMN(NOTA[ID]))&amp;":"&amp;ADDRESS(ROW(),COLUMN(NOTA[ID]))),-1)))</f>
        <v>101</v>
      </c>
      <c r="E561" s="105"/>
      <c r="F561" s="106"/>
      <c r="G561" s="106"/>
      <c r="H561" s="107"/>
      <c r="I561" s="106"/>
      <c r="J561" s="108"/>
      <c r="K561" s="106"/>
      <c r="L561" s="16" t="s">
        <v>801</v>
      </c>
      <c r="M561" s="109">
        <v>1</v>
      </c>
      <c r="N561" s="106"/>
      <c r="O561" s="106"/>
      <c r="P561" s="103"/>
      <c r="Q561" s="110">
        <v>1590000</v>
      </c>
      <c r="R561" s="28" t="s">
        <v>780</v>
      </c>
      <c r="S561" s="111">
        <v>0.17</v>
      </c>
      <c r="T561" s="111"/>
      <c r="U561" s="112"/>
      <c r="V561" s="26"/>
      <c r="W561" s="112">
        <f>IF(NOTA[[#This Row],[HARGA/ CTN]]="",NOTA[[#This Row],[JUMLAH_H]],NOTA[[#This Row],[HARGA/ CTN]]*IF(NOTA[[#This Row],[C]]="",0,NOTA[[#This Row],[C]]))</f>
        <v>1590000</v>
      </c>
      <c r="X561" s="112">
        <f>IF(NOTA[[#This Row],[JUMLAH]]="","",NOTA[[#This Row],[JUMLAH]]*NOTA[[#This Row],[DISC 1]])</f>
        <v>270300</v>
      </c>
      <c r="Y561" s="112">
        <f>IF(NOTA[[#This Row],[JUMLAH]]="","",(NOTA[[#This Row],[JUMLAH]]-NOTA[[#This Row],[DISC 1-]])*NOTA[[#This Row],[DISC 2]])</f>
        <v>0</v>
      </c>
      <c r="Z561" s="112">
        <f>IF(NOTA[[#This Row],[JUMLAH]]="","",NOTA[[#This Row],[DISC 1-]]+NOTA[[#This Row],[DISC 2-]])</f>
        <v>270300</v>
      </c>
      <c r="AA561" s="112">
        <f>IF(NOTA[[#This Row],[JUMLAH]]="","",NOTA[[#This Row],[JUMLAH]]-NOTA[[#This Row],[DISC]])</f>
        <v>1319700</v>
      </c>
      <c r="AB561" s="112"/>
      <c r="AC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103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561" s="112" t="str">
        <f>IF(OR(NOTA[[#This Row],[QTY]]="",NOTA[[#This Row],[HARGA SATUAN]]="",),"",NOTA[[#This Row],[QTY]]*NOTA[[#This Row],[HARGA SATUAN]])</f>
        <v/>
      </c>
      <c r="AG561" s="108">
        <f ca="1">IF(NOTA[ID_H]="","",INDEX(NOTA[TANGGAL],MATCH(,INDIRECT(ADDRESS(ROW(NOTA[TANGGAL]),COLUMN(NOTA[TANGGAL]))&amp;":"&amp;ADDRESS(ROW(),COLUMN(NOTA[TANGGAL]))),-1)))</f>
        <v>45066</v>
      </c>
      <c r="AH561" s="103" t="str">
        <f ca="1">IF(NOTA[[#This Row],[NAMA BARANG]]="","",INDEX(NOTA[SUPPLIER],MATCH(,INDIRECT(ADDRESS(ROW(NOTA[ID]),COLUMN(NOTA[ID]))&amp;":"&amp;ADDRESS(ROW(),COLUMN(NOTA[ID]))),-1)))</f>
        <v>KENKO SINAR INDONESIA</v>
      </c>
      <c r="AI561" s="103" t="str">
        <f ca="1">IF(NOTA[[#This Row],[ID_H]]="","",IF(NOTA[[#This Row],[FAKTUR]]="",INDIRECT(ADDRESS(ROW()-1,COLUMN())),NOTA[[#This Row],[FAKTUR]]))</f>
        <v>ARTO MORO</v>
      </c>
      <c r="AJ561" s="27" t="str">
        <f ca="1">IF(NOTA[[#This Row],[ID]]="","",COUNTIF(NOTA[ID_H],NOTA[[#This Row],[ID_H]]))</f>
        <v/>
      </c>
      <c r="AK561" s="27">
        <f ca="1">IF(NOTA[[#This Row],[TGL.NOTA]]="",IF(NOTA[[#This Row],[SUPPLIER_H]]="","",AK560),MONTH(NOTA[[#This Row],[TGL.NOTA]]))</f>
        <v>5</v>
      </c>
      <c r="AL561" s="27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56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56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56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27" t="str">
        <f>IF(NOTA[[#This Row],[CONCAT4]]="","",_xlfn.IFNA(MATCH(NOTA[[#This Row],[CONCAT4]],[2]!RAW[CONCAT_H],0),FALSE))</f>
        <v/>
      </c>
      <c r="AQ561" s="145">
        <f>IF(NOTA[[#This Row],[CONCAT1]]="","",MATCH(NOTA[[#This Row],[CONCAT1]],[3]!db[NB NOTA_C],0)+1)</f>
        <v>1143</v>
      </c>
    </row>
    <row r="562" spans="1:43" ht="20.100000000000001" customHeight="1" x14ac:dyDescent="0.25">
      <c r="A56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104" t="str">
        <f>IF(NOTA[[#This Row],[ID_P]]="","",MATCH(NOTA[[#This Row],[ID_P]],[1]!B_MSK[N_ID],0))</f>
        <v/>
      </c>
      <c r="D562" s="104">
        <f ca="1">IF(NOTA[[#This Row],[NAMA BARANG]]="","",INDEX(NOTA[ID],MATCH(,INDIRECT(ADDRESS(ROW(NOTA[ID]),COLUMN(NOTA[ID]))&amp;":"&amp;ADDRESS(ROW(),COLUMN(NOTA[ID]))),-1)))</f>
        <v>101</v>
      </c>
      <c r="E562" s="105"/>
      <c r="F562" s="106"/>
      <c r="G562" s="106"/>
      <c r="H562" s="107"/>
      <c r="I562" s="106"/>
      <c r="J562" s="108"/>
      <c r="K562" s="106"/>
      <c r="L562" s="16" t="s">
        <v>777</v>
      </c>
      <c r="M562" s="109">
        <v>3</v>
      </c>
      <c r="N562" s="106"/>
      <c r="O562" s="106"/>
      <c r="P562" s="103"/>
      <c r="Q562" s="110">
        <v>1476000</v>
      </c>
      <c r="R562" s="28" t="s">
        <v>270</v>
      </c>
      <c r="S562" s="111">
        <v>0.17</v>
      </c>
      <c r="T562" s="111"/>
      <c r="U562" s="112"/>
      <c r="V562" s="26"/>
      <c r="W562" s="112">
        <f>IF(NOTA[[#This Row],[HARGA/ CTN]]="",NOTA[[#This Row],[JUMLAH_H]],NOTA[[#This Row],[HARGA/ CTN]]*IF(NOTA[[#This Row],[C]]="",0,NOTA[[#This Row],[C]]))</f>
        <v>4428000</v>
      </c>
      <c r="X562" s="112">
        <f>IF(NOTA[[#This Row],[JUMLAH]]="","",NOTA[[#This Row],[JUMLAH]]*NOTA[[#This Row],[DISC 1]])</f>
        <v>752760</v>
      </c>
      <c r="Y562" s="112">
        <f>IF(NOTA[[#This Row],[JUMLAH]]="","",(NOTA[[#This Row],[JUMLAH]]-NOTA[[#This Row],[DISC 1-]])*NOTA[[#This Row],[DISC 2]])</f>
        <v>0</v>
      </c>
      <c r="Z562" s="112">
        <f>IF(NOTA[[#This Row],[JUMLAH]]="","",NOTA[[#This Row],[DISC 1-]]+NOTA[[#This Row],[DISC 2-]])</f>
        <v>752760</v>
      </c>
      <c r="AA562" s="112">
        <f>IF(NOTA[[#This Row],[JUMLAH]]="","",NOTA[[#This Row],[JUMLAH]]-NOTA[[#This Row],[DISC]])</f>
        <v>3675240</v>
      </c>
      <c r="AB562" s="112"/>
      <c r="AC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103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562" s="112" t="str">
        <f>IF(OR(NOTA[[#This Row],[QTY]]="",NOTA[[#This Row],[HARGA SATUAN]]="",),"",NOTA[[#This Row],[QTY]]*NOTA[[#This Row],[HARGA SATUAN]])</f>
        <v/>
      </c>
      <c r="AG562" s="108">
        <f ca="1">IF(NOTA[ID_H]="","",INDEX(NOTA[TANGGAL],MATCH(,INDIRECT(ADDRESS(ROW(NOTA[TANGGAL]),COLUMN(NOTA[TANGGAL]))&amp;":"&amp;ADDRESS(ROW(),COLUMN(NOTA[TANGGAL]))),-1)))</f>
        <v>45066</v>
      </c>
      <c r="AH562" s="103" t="str">
        <f ca="1">IF(NOTA[[#This Row],[NAMA BARANG]]="","",INDEX(NOTA[SUPPLIER],MATCH(,INDIRECT(ADDRESS(ROW(NOTA[ID]),COLUMN(NOTA[ID]))&amp;":"&amp;ADDRESS(ROW(),COLUMN(NOTA[ID]))),-1)))</f>
        <v>KENKO SINAR INDONESIA</v>
      </c>
      <c r="AI562" s="103" t="str">
        <f ca="1">IF(NOTA[[#This Row],[ID_H]]="","",IF(NOTA[[#This Row],[FAKTUR]]="",INDIRECT(ADDRESS(ROW()-1,COLUMN())),NOTA[[#This Row],[FAKTUR]]))</f>
        <v>ARTO MORO</v>
      </c>
      <c r="AJ562" s="27" t="str">
        <f ca="1">IF(NOTA[[#This Row],[ID]]="","",COUNTIF(NOTA[ID_H],NOTA[[#This Row],[ID_H]]))</f>
        <v/>
      </c>
      <c r="AK562" s="27">
        <f ca="1">IF(NOTA[[#This Row],[TGL.NOTA]]="",IF(NOTA[[#This Row],[SUPPLIER_H]]="","",AK561),MONTH(NOTA[[#This Row],[TGL.NOTA]]))</f>
        <v>5</v>
      </c>
      <c r="AL562" s="27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56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56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56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27" t="str">
        <f>IF(NOTA[[#This Row],[CONCAT4]]="","",_xlfn.IFNA(MATCH(NOTA[[#This Row],[CONCAT4]],[2]!RAW[CONCAT_H],0),FALSE))</f>
        <v/>
      </c>
      <c r="AQ562" s="145">
        <f>IF(NOTA[[#This Row],[CONCAT1]]="","",MATCH(NOTA[[#This Row],[CONCAT1]],[3]!db[NB NOTA_C],0)+1)</f>
        <v>1144</v>
      </c>
    </row>
    <row r="563" spans="1:43" ht="20.100000000000001" customHeight="1" x14ac:dyDescent="0.25">
      <c r="A56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104" t="str">
        <f>IF(NOTA[[#This Row],[ID_P]]="","",MATCH(NOTA[[#This Row],[ID_P]],[1]!B_MSK[N_ID],0))</f>
        <v/>
      </c>
      <c r="D563" s="104">
        <f ca="1">IF(NOTA[[#This Row],[NAMA BARANG]]="","",INDEX(NOTA[ID],MATCH(,INDIRECT(ADDRESS(ROW(NOTA[ID]),COLUMN(NOTA[ID]))&amp;":"&amp;ADDRESS(ROW(),COLUMN(NOTA[ID]))),-1)))</f>
        <v>101</v>
      </c>
      <c r="E563" s="105"/>
      <c r="F563" s="106"/>
      <c r="G563" s="106"/>
      <c r="H563" s="107"/>
      <c r="I563" s="106"/>
      <c r="J563" s="108"/>
      <c r="K563" s="106"/>
      <c r="L563" s="16" t="s">
        <v>778</v>
      </c>
      <c r="M563" s="109">
        <v>5</v>
      </c>
      <c r="N563" s="106"/>
      <c r="O563" s="106"/>
      <c r="P563" s="103"/>
      <c r="Q563" s="110">
        <v>1380000</v>
      </c>
      <c r="R563" s="28" t="s">
        <v>184</v>
      </c>
      <c r="S563" s="111">
        <v>0.17</v>
      </c>
      <c r="T563" s="111"/>
      <c r="U563" s="112"/>
      <c r="V563" s="26"/>
      <c r="W563" s="112">
        <f>IF(NOTA[[#This Row],[HARGA/ CTN]]="",NOTA[[#This Row],[JUMLAH_H]],NOTA[[#This Row],[HARGA/ CTN]]*IF(NOTA[[#This Row],[C]]="",0,NOTA[[#This Row],[C]]))</f>
        <v>6900000</v>
      </c>
      <c r="X563" s="112">
        <f>IF(NOTA[[#This Row],[JUMLAH]]="","",NOTA[[#This Row],[JUMLAH]]*NOTA[[#This Row],[DISC 1]])</f>
        <v>1173000</v>
      </c>
      <c r="Y563" s="112">
        <f>IF(NOTA[[#This Row],[JUMLAH]]="","",(NOTA[[#This Row],[JUMLAH]]-NOTA[[#This Row],[DISC 1-]])*NOTA[[#This Row],[DISC 2]])</f>
        <v>0</v>
      </c>
      <c r="Z563" s="112">
        <f>IF(NOTA[[#This Row],[JUMLAH]]="","",NOTA[[#This Row],[DISC 1-]]+NOTA[[#This Row],[DISC 2-]])</f>
        <v>1173000</v>
      </c>
      <c r="AA563" s="112">
        <f>IF(NOTA[[#This Row],[JUMLAH]]="","",NOTA[[#This Row],[JUMLAH]]-NOTA[[#This Row],[DISC]])</f>
        <v>5727000</v>
      </c>
      <c r="AB563" s="112"/>
      <c r="AC563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3416388</v>
      </c>
      <c r="AD563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16680012</v>
      </c>
      <c r="AE563" s="103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63" s="112" t="str">
        <f>IF(OR(NOTA[[#This Row],[QTY]]="",NOTA[[#This Row],[HARGA SATUAN]]="",),"",NOTA[[#This Row],[QTY]]*NOTA[[#This Row],[HARGA SATUAN]])</f>
        <v/>
      </c>
      <c r="AG563" s="108">
        <f ca="1">IF(NOTA[ID_H]="","",INDEX(NOTA[TANGGAL],MATCH(,INDIRECT(ADDRESS(ROW(NOTA[TANGGAL]),COLUMN(NOTA[TANGGAL]))&amp;":"&amp;ADDRESS(ROW(),COLUMN(NOTA[TANGGAL]))),-1)))</f>
        <v>45066</v>
      </c>
      <c r="AH563" s="103" t="str">
        <f ca="1">IF(NOTA[[#This Row],[NAMA BARANG]]="","",INDEX(NOTA[SUPPLIER],MATCH(,INDIRECT(ADDRESS(ROW(NOTA[ID]),COLUMN(NOTA[ID]))&amp;":"&amp;ADDRESS(ROW(),COLUMN(NOTA[ID]))),-1)))</f>
        <v>KENKO SINAR INDONESIA</v>
      </c>
      <c r="AI563" s="103" t="str">
        <f ca="1">IF(NOTA[[#This Row],[ID_H]]="","",IF(NOTA[[#This Row],[FAKTUR]]="",INDIRECT(ADDRESS(ROW()-1,COLUMN())),NOTA[[#This Row],[FAKTUR]]))</f>
        <v>ARTO MORO</v>
      </c>
      <c r="AJ563" s="27" t="str">
        <f ca="1">IF(NOTA[[#This Row],[ID]]="","",COUNTIF(NOTA[ID_H],NOTA[[#This Row],[ID_H]]))</f>
        <v/>
      </c>
      <c r="AK563" s="27">
        <f ca="1">IF(NOTA[[#This Row],[TGL.NOTA]]="",IF(NOTA[[#This Row],[SUPPLIER_H]]="","",AK562),MONTH(NOTA[[#This Row],[TGL.NOTA]]))</f>
        <v>5</v>
      </c>
      <c r="AL563" s="27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56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56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56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27" t="str">
        <f>IF(NOTA[[#This Row],[CONCAT4]]="","",_xlfn.IFNA(MATCH(NOTA[[#This Row],[CONCAT4]],[2]!RAW[CONCAT_H],0),FALSE))</f>
        <v/>
      </c>
      <c r="AQ563" s="145">
        <f>IF(NOTA[[#This Row],[CONCAT1]]="","",MATCH(NOTA[[#This Row],[CONCAT1]],[3]!db[NB NOTA_C],0)+1)</f>
        <v>1145</v>
      </c>
    </row>
    <row r="564" spans="1:43" ht="20.100000000000001" customHeight="1" x14ac:dyDescent="0.25">
      <c r="A56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104" t="str">
        <f>IF(NOTA[[#This Row],[ID_P]]="","",MATCH(NOTA[[#This Row],[ID_P]],[1]!B_MSK[N_ID],0))</f>
        <v/>
      </c>
      <c r="D564" s="104" t="str">
        <f ca="1">IF(NOTA[[#This Row],[NAMA BARANG]]="","",INDEX(NOTA[ID],MATCH(,INDIRECT(ADDRESS(ROW(NOTA[ID]),COLUMN(NOTA[ID]))&amp;":"&amp;ADDRESS(ROW(),COLUMN(NOTA[ID]))),-1)))</f>
        <v/>
      </c>
      <c r="E564" s="105"/>
      <c r="F564" s="106"/>
      <c r="G564" s="106"/>
      <c r="H564" s="107"/>
      <c r="I564" s="106"/>
      <c r="J564" s="108"/>
      <c r="K564" s="106"/>
      <c r="L564" s="106"/>
      <c r="M564" s="109"/>
      <c r="N564" s="106"/>
      <c r="O564" s="106"/>
      <c r="P564" s="103"/>
      <c r="Q564" s="110"/>
      <c r="R564" s="109"/>
      <c r="S564" s="111"/>
      <c r="T564" s="111"/>
      <c r="U564" s="112"/>
      <c r="V564" s="26"/>
      <c r="W564" s="112" t="str">
        <f>IF(NOTA[[#This Row],[HARGA/ CTN]]="",NOTA[[#This Row],[JUMLAH_H]],NOTA[[#This Row],[HARGA/ CTN]]*IF(NOTA[[#This Row],[C]]="",0,NOTA[[#This Row],[C]]))</f>
        <v/>
      </c>
      <c r="X564" s="112" t="str">
        <f>IF(NOTA[[#This Row],[JUMLAH]]="","",NOTA[[#This Row],[JUMLAH]]*NOTA[[#This Row],[DISC 1]])</f>
        <v/>
      </c>
      <c r="Y564" s="112" t="str">
        <f>IF(NOTA[[#This Row],[JUMLAH]]="","",(NOTA[[#This Row],[JUMLAH]]-NOTA[[#This Row],[DISC 1-]])*NOTA[[#This Row],[DISC 2]])</f>
        <v/>
      </c>
      <c r="Z564" s="112" t="str">
        <f>IF(NOTA[[#This Row],[JUMLAH]]="","",NOTA[[#This Row],[DISC 1-]]+NOTA[[#This Row],[DISC 2-]])</f>
        <v/>
      </c>
      <c r="AA564" s="112" t="str">
        <f>IF(NOTA[[#This Row],[JUMLAH]]="","",NOTA[[#This Row],[JUMLAH]]-NOTA[[#This Row],[DISC]])</f>
        <v/>
      </c>
      <c r="AB564" s="112"/>
      <c r="AC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10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112" t="str">
        <f>IF(OR(NOTA[[#This Row],[QTY]]="",NOTA[[#This Row],[HARGA SATUAN]]="",),"",NOTA[[#This Row],[QTY]]*NOTA[[#This Row],[HARGA SATUAN]])</f>
        <v/>
      </c>
      <c r="AG564" s="108" t="str">
        <f ca="1">IF(NOTA[ID_H]="","",INDEX(NOTA[TANGGAL],MATCH(,INDIRECT(ADDRESS(ROW(NOTA[TANGGAL]),COLUMN(NOTA[TANGGAL]))&amp;":"&amp;ADDRESS(ROW(),COLUMN(NOTA[TANGGAL]))),-1)))</f>
        <v/>
      </c>
      <c r="AH564" s="103" t="str">
        <f ca="1">IF(NOTA[[#This Row],[NAMA BARANG]]="","",INDEX(NOTA[SUPPLIER],MATCH(,INDIRECT(ADDRESS(ROW(NOTA[ID]),COLUMN(NOTA[ID]))&amp;":"&amp;ADDRESS(ROW(),COLUMN(NOTA[ID]))),-1)))</f>
        <v/>
      </c>
      <c r="AI564" s="103" t="str">
        <f ca="1">IF(NOTA[[#This Row],[ID_H]]="","",IF(NOTA[[#This Row],[FAKTUR]]="",INDIRECT(ADDRESS(ROW()-1,COLUMN())),NOTA[[#This Row],[FAKTUR]]))</f>
        <v/>
      </c>
      <c r="AJ564" s="27" t="str">
        <f ca="1">IF(NOTA[[#This Row],[ID]]="","",COUNTIF(NOTA[ID_H],NOTA[[#This Row],[ID_H]]))</f>
        <v/>
      </c>
      <c r="AK564" s="27" t="str">
        <f ca="1">IF(NOTA[[#This Row],[TGL.NOTA]]="",IF(NOTA[[#This Row],[SUPPLIER_H]]="","",AK563),MONTH(NOTA[[#This Row],[TGL.NOTA]]))</f>
        <v/>
      </c>
      <c r="AL564" s="27" t="str">
        <f>LOWER(SUBSTITUTE(SUBSTITUTE(SUBSTITUTE(SUBSTITUTE(SUBSTITUTE(SUBSTITUTE(SUBSTITUTE(SUBSTITUTE(SUBSTITUTE(NOTA[NAMA BARANG]," ",),".",""),"-",""),"(",""),")",""),",",""),"/",""),"""",""),"+",""))</f>
        <v/>
      </c>
      <c r="AM56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27" t="str">
        <f>IF(NOTA[[#This Row],[CONCAT4]]="","",_xlfn.IFNA(MATCH(NOTA[[#This Row],[CONCAT4]],[2]!RAW[CONCAT_H],0),FALSE))</f>
        <v/>
      </c>
      <c r="AQ564" s="145" t="str">
        <f>IF(NOTA[[#This Row],[CONCAT1]]="","",MATCH(NOTA[[#This Row],[CONCAT1]],[3]!db[NB NOTA_C],0)+1)</f>
        <v/>
      </c>
    </row>
    <row r="565" spans="1:43" ht="20.100000000000001" customHeight="1" x14ac:dyDescent="0.25">
      <c r="A565" s="103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5" s="10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ATA_2005_749-12</v>
      </c>
      <c r="C565" s="104" t="e">
        <f ca="1">IF(NOTA[[#This Row],[ID_P]]="","",MATCH(NOTA[[#This Row],[ID_P]],[1]!B_MSK[N_ID],0))</f>
        <v>#REF!</v>
      </c>
      <c r="D565" s="104">
        <f ca="1">IF(NOTA[[#This Row],[NAMA BARANG]]="","",INDEX(NOTA[ID],MATCH(,INDIRECT(ADDRESS(ROW(NOTA[ID]),COLUMN(NOTA[ID]))&amp;":"&amp;ADDRESS(ROW(),COLUMN(NOTA[ID]))),-1)))</f>
        <v>102</v>
      </c>
      <c r="E565" s="105"/>
      <c r="F565" s="16" t="s">
        <v>25</v>
      </c>
      <c r="G565" s="16" t="s">
        <v>24</v>
      </c>
      <c r="H565" s="20" t="s">
        <v>781</v>
      </c>
      <c r="I565" s="106"/>
      <c r="J565" s="108">
        <v>45062</v>
      </c>
      <c r="K565" s="106"/>
      <c r="L565" s="16" t="s">
        <v>513</v>
      </c>
      <c r="M565" s="109">
        <v>10</v>
      </c>
      <c r="N565" s="106">
        <v>7200</v>
      </c>
      <c r="O565" s="16" t="s">
        <v>160</v>
      </c>
      <c r="P565" s="103">
        <v>4800</v>
      </c>
      <c r="Q565" s="110"/>
      <c r="R565" s="28" t="s">
        <v>506</v>
      </c>
      <c r="S565" s="111">
        <v>0.125</v>
      </c>
      <c r="T565" s="111">
        <v>0.05</v>
      </c>
      <c r="U565" s="112"/>
      <c r="V565" s="26"/>
      <c r="W565" s="112">
        <f>IF(NOTA[[#This Row],[HARGA/ CTN]]="",NOTA[[#This Row],[JUMLAH_H]],NOTA[[#This Row],[HARGA/ CTN]]*IF(NOTA[[#This Row],[C]]="",0,NOTA[[#This Row],[C]]))</f>
        <v>34560000</v>
      </c>
      <c r="X565" s="112">
        <f>IF(NOTA[[#This Row],[JUMLAH]]="","",NOTA[[#This Row],[JUMLAH]]*NOTA[[#This Row],[DISC 1]])</f>
        <v>4320000</v>
      </c>
      <c r="Y565" s="112">
        <f>IF(NOTA[[#This Row],[JUMLAH]]="","",(NOTA[[#This Row],[JUMLAH]]-NOTA[[#This Row],[DISC 1-]])*NOTA[[#This Row],[DISC 2]])</f>
        <v>1512000</v>
      </c>
      <c r="Z565" s="112">
        <f>IF(NOTA[[#This Row],[JUMLAH]]="","",NOTA[[#This Row],[DISC 1-]]+NOTA[[#This Row],[DISC 2-]])</f>
        <v>5832000</v>
      </c>
      <c r="AA565" s="112">
        <f>IF(NOTA[[#This Row],[JUMLAH]]="","",NOTA[[#This Row],[JUMLAH]]-NOTA[[#This Row],[DISC]])</f>
        <v>28728000</v>
      </c>
      <c r="AB565" s="112"/>
      <c r="AC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10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565" s="112">
        <f>IF(OR(NOTA[[#This Row],[QTY]]="",NOTA[[#This Row],[HARGA SATUAN]]="",),"",NOTA[[#This Row],[QTY]]*NOTA[[#This Row],[HARGA SATUAN]])</f>
        <v>34560000</v>
      </c>
      <c r="AG565" s="108">
        <f ca="1">IF(NOTA[ID_H]="","",INDEX(NOTA[TANGGAL],MATCH(,INDIRECT(ADDRESS(ROW(NOTA[TANGGAL]),COLUMN(NOTA[TANGGAL]))&amp;":"&amp;ADDRESS(ROW(),COLUMN(NOTA[TANGGAL]))),-1)))</f>
        <v>45066</v>
      </c>
      <c r="AH565" s="103" t="str">
        <f ca="1">IF(NOTA[[#This Row],[NAMA BARANG]]="","",INDEX(NOTA[SUPPLIER],MATCH(,INDIRECT(ADDRESS(ROW(NOTA[ID]),COLUMN(NOTA[ID]))&amp;":"&amp;ADDRESS(ROW(),COLUMN(NOTA[ID]))),-1)))</f>
        <v>ATALI MAKMUR</v>
      </c>
      <c r="AI565" s="103" t="str">
        <f ca="1">IF(NOTA[[#This Row],[ID_H]]="","",IF(NOTA[[#This Row],[FAKTUR]]="",INDIRECT(ADDRESS(ROW()-1,COLUMN())),NOTA[[#This Row],[FAKTUR]]))</f>
        <v>ARTO MORO</v>
      </c>
      <c r="AJ565" s="27">
        <f ca="1">IF(NOTA[[#This Row],[ID]]="","",COUNTIF(NOTA[ID_H],NOTA[[#This Row],[ID_H]]))</f>
        <v>12</v>
      </c>
      <c r="AK565" s="27">
        <f>IF(NOTA[[#This Row],[TGL.NOTA]]="",IF(NOTA[[#This Row],[SUPPLIER_H]]="","",AK564),MONTH(NOTA[[#This Row],[TGL.NOTA]]))</f>
        <v>5</v>
      </c>
      <c r="AL565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56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56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565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MOROSA23050774945062correctiontapect522jk</v>
      </c>
      <c r="AP565" s="27" t="e">
        <f>IF(NOTA[[#This Row],[CONCAT4]]="","",_xlfn.IFNA(MATCH(NOTA[[#This Row],[CONCAT4]],[2]!RAW[CONCAT_H],0),FALSE))</f>
        <v>#REF!</v>
      </c>
      <c r="AQ565" s="145">
        <f>IF(NOTA[[#This Row],[CONCAT1]]="","",MATCH(NOTA[[#This Row],[CONCAT1]],[3]!db[NB NOTA_C],0)+1)</f>
        <v>565</v>
      </c>
    </row>
    <row r="566" spans="1:43" ht="20.100000000000001" customHeight="1" x14ac:dyDescent="0.25">
      <c r="A566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104" t="str">
        <f>IF(NOTA[[#This Row],[ID_P]]="","",MATCH(NOTA[[#This Row],[ID_P]],[1]!B_MSK[N_ID],0))</f>
        <v/>
      </c>
      <c r="D566" s="104">
        <f ca="1">IF(NOTA[[#This Row],[NAMA BARANG]]="","",INDEX(NOTA[ID],MATCH(,INDIRECT(ADDRESS(ROW(NOTA[ID]),COLUMN(NOTA[ID]))&amp;":"&amp;ADDRESS(ROW(),COLUMN(NOTA[ID]))),-1)))</f>
        <v>102</v>
      </c>
      <c r="E566" s="105"/>
      <c r="F566" s="106"/>
      <c r="G566" s="106"/>
      <c r="H566" s="107"/>
      <c r="I566" s="106"/>
      <c r="J566" s="108"/>
      <c r="K566" s="106"/>
      <c r="L566" s="16" t="s">
        <v>800</v>
      </c>
      <c r="M566" s="109">
        <v>2</v>
      </c>
      <c r="N566" s="106">
        <v>48</v>
      </c>
      <c r="O566" s="16" t="s">
        <v>252</v>
      </c>
      <c r="P566" s="103">
        <v>66900</v>
      </c>
      <c r="Q566" s="110"/>
      <c r="R566" s="28" t="s">
        <v>587</v>
      </c>
      <c r="S566" s="111">
        <v>0.125</v>
      </c>
      <c r="T566" s="111">
        <v>0.05</v>
      </c>
      <c r="U566" s="112"/>
      <c r="V566" s="26"/>
      <c r="W566" s="112">
        <f>IF(NOTA[[#This Row],[HARGA/ CTN]]="",NOTA[[#This Row],[JUMLAH_H]],NOTA[[#This Row],[HARGA/ CTN]]*IF(NOTA[[#This Row],[C]]="",0,NOTA[[#This Row],[C]]))</f>
        <v>3211200</v>
      </c>
      <c r="X566" s="112">
        <f>IF(NOTA[[#This Row],[JUMLAH]]="","",NOTA[[#This Row],[JUMLAH]]*NOTA[[#This Row],[DISC 1]])</f>
        <v>401400</v>
      </c>
      <c r="Y566" s="112">
        <f>IF(NOTA[[#This Row],[JUMLAH]]="","",(NOTA[[#This Row],[JUMLAH]]-NOTA[[#This Row],[DISC 1-]])*NOTA[[#This Row],[DISC 2]])</f>
        <v>140490</v>
      </c>
      <c r="Z566" s="112">
        <f>IF(NOTA[[#This Row],[JUMLAH]]="","",NOTA[[#This Row],[DISC 1-]]+NOTA[[#This Row],[DISC 2-]])</f>
        <v>541890</v>
      </c>
      <c r="AA566" s="112">
        <f>IF(NOTA[[#This Row],[JUMLAH]]="","",NOTA[[#This Row],[JUMLAH]]-NOTA[[#This Row],[DISC]])</f>
        <v>2669310</v>
      </c>
      <c r="AB566" s="112"/>
      <c r="AC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103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566" s="112">
        <f>IF(OR(NOTA[[#This Row],[QTY]]="",NOTA[[#This Row],[HARGA SATUAN]]="",),"",NOTA[[#This Row],[QTY]]*NOTA[[#This Row],[HARGA SATUAN]])</f>
        <v>3211200</v>
      </c>
      <c r="AG566" s="108">
        <f ca="1">IF(NOTA[ID_H]="","",INDEX(NOTA[TANGGAL],MATCH(,INDIRECT(ADDRESS(ROW(NOTA[TANGGAL]),COLUMN(NOTA[TANGGAL]))&amp;":"&amp;ADDRESS(ROW(),COLUMN(NOTA[TANGGAL]))),-1)))</f>
        <v>45066</v>
      </c>
      <c r="AH566" s="103" t="str">
        <f ca="1">IF(NOTA[[#This Row],[NAMA BARANG]]="","",INDEX(NOTA[SUPPLIER],MATCH(,INDIRECT(ADDRESS(ROW(NOTA[ID]),COLUMN(NOTA[ID]))&amp;":"&amp;ADDRESS(ROW(),COLUMN(NOTA[ID]))),-1)))</f>
        <v>ATALI MAKMUR</v>
      </c>
      <c r="AI566" s="103" t="str">
        <f ca="1">IF(NOTA[[#This Row],[ID_H]]="","",IF(NOTA[[#This Row],[FAKTUR]]="",INDIRECT(ADDRESS(ROW()-1,COLUMN())),NOTA[[#This Row],[FAKTUR]]))</f>
        <v>ARTO MORO</v>
      </c>
      <c r="AJ566" s="27" t="str">
        <f ca="1">IF(NOTA[[#This Row],[ID]]="","",COUNTIF(NOTA[ID_H],NOTA[[#This Row],[ID_H]]))</f>
        <v/>
      </c>
      <c r="AK566" s="27">
        <f ca="1">IF(NOTA[[#This Row],[TGL.NOTA]]="",IF(NOTA[[#This Row],[SUPPLIER_H]]="","",AK565),MONTH(NOTA[[#This Row],[TGL.NOTA]]))</f>
        <v>5</v>
      </c>
      <c r="AL566" s="27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56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56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56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27" t="str">
        <f>IF(NOTA[[#This Row],[CONCAT4]]="","",_xlfn.IFNA(MATCH(NOTA[[#This Row],[CONCAT4]],[2]!RAW[CONCAT_H],0),FALSE))</f>
        <v/>
      </c>
      <c r="AQ566" s="145">
        <f>IF(NOTA[[#This Row],[CONCAT1]]="","",MATCH(NOTA[[#This Row],[CONCAT1]],[3]!db[NB NOTA_C],0)+1)</f>
        <v>1709</v>
      </c>
    </row>
    <row r="567" spans="1:43" ht="20.100000000000001" customHeight="1" x14ac:dyDescent="0.25">
      <c r="A567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104" t="str">
        <f>IF(NOTA[[#This Row],[ID_P]]="","",MATCH(NOTA[[#This Row],[ID_P]],[1]!B_MSK[N_ID],0))</f>
        <v/>
      </c>
      <c r="D567" s="104">
        <f ca="1">IF(NOTA[[#This Row],[NAMA BARANG]]="","",INDEX(NOTA[ID],MATCH(,INDIRECT(ADDRESS(ROW(NOTA[ID]),COLUMN(NOTA[ID]))&amp;":"&amp;ADDRESS(ROW(),COLUMN(NOTA[ID]))),-1)))</f>
        <v>102</v>
      </c>
      <c r="E567" s="105"/>
      <c r="F567" s="106"/>
      <c r="G567" s="106"/>
      <c r="H567" s="107"/>
      <c r="I567" s="106"/>
      <c r="J567" s="108"/>
      <c r="K567" s="106"/>
      <c r="L567" s="16" t="s">
        <v>782</v>
      </c>
      <c r="M567" s="109">
        <v>2</v>
      </c>
      <c r="N567" s="106">
        <v>2000</v>
      </c>
      <c r="O567" s="16" t="s">
        <v>288</v>
      </c>
      <c r="P567" s="103">
        <v>2050</v>
      </c>
      <c r="Q567" s="110"/>
      <c r="R567" s="28" t="s">
        <v>500</v>
      </c>
      <c r="S567" s="111">
        <v>0.125</v>
      </c>
      <c r="T567" s="111">
        <v>0.05</v>
      </c>
      <c r="U567" s="112"/>
      <c r="V567" s="26"/>
      <c r="W567" s="112">
        <f>IF(NOTA[[#This Row],[HARGA/ CTN]]="",NOTA[[#This Row],[JUMLAH_H]],NOTA[[#This Row],[HARGA/ CTN]]*IF(NOTA[[#This Row],[C]]="",0,NOTA[[#This Row],[C]]))</f>
        <v>4100000</v>
      </c>
      <c r="X567" s="112">
        <f>IF(NOTA[[#This Row],[JUMLAH]]="","",NOTA[[#This Row],[JUMLAH]]*NOTA[[#This Row],[DISC 1]])</f>
        <v>512500</v>
      </c>
      <c r="Y567" s="112">
        <f>IF(NOTA[[#This Row],[JUMLAH]]="","",(NOTA[[#This Row],[JUMLAH]]-NOTA[[#This Row],[DISC 1-]])*NOTA[[#This Row],[DISC 2]])</f>
        <v>179375</v>
      </c>
      <c r="Z567" s="112">
        <f>IF(NOTA[[#This Row],[JUMLAH]]="","",NOTA[[#This Row],[DISC 1-]]+NOTA[[#This Row],[DISC 2-]])</f>
        <v>691875</v>
      </c>
      <c r="AA567" s="112">
        <f>IF(NOTA[[#This Row],[JUMLAH]]="","",NOTA[[#This Row],[JUMLAH]]-NOTA[[#This Row],[DISC]])</f>
        <v>3408125</v>
      </c>
      <c r="AB567" s="112"/>
      <c r="AC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103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567" s="112">
        <f>IF(OR(NOTA[[#This Row],[QTY]]="",NOTA[[#This Row],[HARGA SATUAN]]="",),"",NOTA[[#This Row],[QTY]]*NOTA[[#This Row],[HARGA SATUAN]])</f>
        <v>4100000</v>
      </c>
      <c r="AG567" s="108">
        <f ca="1">IF(NOTA[ID_H]="","",INDEX(NOTA[TANGGAL],MATCH(,INDIRECT(ADDRESS(ROW(NOTA[TANGGAL]),COLUMN(NOTA[TANGGAL]))&amp;":"&amp;ADDRESS(ROW(),COLUMN(NOTA[TANGGAL]))),-1)))</f>
        <v>45066</v>
      </c>
      <c r="AH567" s="103" t="str">
        <f ca="1">IF(NOTA[[#This Row],[NAMA BARANG]]="","",INDEX(NOTA[SUPPLIER],MATCH(,INDIRECT(ADDRESS(ROW(NOTA[ID]),COLUMN(NOTA[ID]))&amp;":"&amp;ADDRESS(ROW(),COLUMN(NOTA[ID]))),-1)))</f>
        <v>ATALI MAKMUR</v>
      </c>
      <c r="AI567" s="103" t="str">
        <f ca="1">IF(NOTA[[#This Row],[ID_H]]="","",IF(NOTA[[#This Row],[FAKTUR]]="",INDIRECT(ADDRESS(ROW()-1,COLUMN())),NOTA[[#This Row],[FAKTUR]]))</f>
        <v>ARTO MORO</v>
      </c>
      <c r="AJ567" s="27" t="str">
        <f ca="1">IF(NOTA[[#This Row],[ID]]="","",COUNTIF(NOTA[ID_H],NOTA[[#This Row],[ID_H]]))</f>
        <v/>
      </c>
      <c r="AK567" s="27">
        <f ca="1">IF(NOTA[[#This Row],[TGL.NOTA]]="",IF(NOTA[[#This Row],[SUPPLIER_H]]="","",AK566),MONTH(NOTA[[#This Row],[TGL.NOTA]]))</f>
        <v>5</v>
      </c>
      <c r="AL567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56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56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56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27" t="str">
        <f>IF(NOTA[[#This Row],[CONCAT4]]="","",_xlfn.IFNA(MATCH(NOTA[[#This Row],[CONCAT4]],[2]!RAW[CONCAT_H],0),FALSE))</f>
        <v/>
      </c>
      <c r="AQ567" s="145">
        <f>IF(NOTA[[#This Row],[CONCAT1]]="","",MATCH(NOTA[[#This Row],[CONCAT1]],[3]!db[NB NOTA_C],0)+1)</f>
        <v>1464</v>
      </c>
    </row>
    <row r="568" spans="1:43" ht="20.100000000000001" customHeight="1" x14ac:dyDescent="0.25">
      <c r="A568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104" t="str">
        <f>IF(NOTA[[#This Row],[ID_P]]="","",MATCH(NOTA[[#This Row],[ID_P]],[1]!B_MSK[N_ID],0))</f>
        <v/>
      </c>
      <c r="D568" s="104">
        <f ca="1">IF(NOTA[[#This Row],[NAMA BARANG]]="","",INDEX(NOTA[ID],MATCH(,INDIRECT(ADDRESS(ROW(NOTA[ID]),COLUMN(NOTA[ID]))&amp;":"&amp;ADDRESS(ROW(),COLUMN(NOTA[ID]))),-1)))</f>
        <v>102</v>
      </c>
      <c r="E568" s="105"/>
      <c r="F568" s="106"/>
      <c r="G568" s="106"/>
      <c r="H568" s="107"/>
      <c r="I568" s="106"/>
      <c r="J568" s="108"/>
      <c r="K568" s="106"/>
      <c r="L568" s="16" t="s">
        <v>783</v>
      </c>
      <c r="M568" s="109">
        <v>1</v>
      </c>
      <c r="N568" s="106">
        <v>864</v>
      </c>
      <c r="O568" s="16" t="s">
        <v>160</v>
      </c>
      <c r="P568" s="103">
        <v>2100</v>
      </c>
      <c r="Q568" s="110"/>
      <c r="R568" s="28" t="s">
        <v>295</v>
      </c>
      <c r="S568" s="111">
        <v>0.125</v>
      </c>
      <c r="T568" s="111">
        <v>0.05</v>
      </c>
      <c r="U568" s="112"/>
      <c r="V568" s="26"/>
      <c r="W568" s="112">
        <f>IF(NOTA[[#This Row],[HARGA/ CTN]]="",NOTA[[#This Row],[JUMLAH_H]],NOTA[[#This Row],[HARGA/ CTN]]*IF(NOTA[[#This Row],[C]]="",0,NOTA[[#This Row],[C]]))</f>
        <v>1814400</v>
      </c>
      <c r="X568" s="112">
        <f>IF(NOTA[[#This Row],[JUMLAH]]="","",NOTA[[#This Row],[JUMLAH]]*NOTA[[#This Row],[DISC 1]])</f>
        <v>226800</v>
      </c>
      <c r="Y568" s="112">
        <f>IF(NOTA[[#This Row],[JUMLAH]]="","",(NOTA[[#This Row],[JUMLAH]]-NOTA[[#This Row],[DISC 1-]])*NOTA[[#This Row],[DISC 2]])</f>
        <v>79380</v>
      </c>
      <c r="Z568" s="112">
        <f>IF(NOTA[[#This Row],[JUMLAH]]="","",NOTA[[#This Row],[DISC 1-]]+NOTA[[#This Row],[DISC 2-]])</f>
        <v>306180</v>
      </c>
      <c r="AA568" s="112">
        <f>IF(NOTA[[#This Row],[JUMLAH]]="","",NOTA[[#This Row],[JUMLAH]]-NOTA[[#This Row],[DISC]])</f>
        <v>1508220</v>
      </c>
      <c r="AB568" s="112"/>
      <c r="AC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103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68" s="112">
        <f>IF(OR(NOTA[[#This Row],[QTY]]="",NOTA[[#This Row],[HARGA SATUAN]]="",),"",NOTA[[#This Row],[QTY]]*NOTA[[#This Row],[HARGA SATUAN]])</f>
        <v>1814400</v>
      </c>
      <c r="AG568" s="108">
        <f ca="1">IF(NOTA[ID_H]="","",INDEX(NOTA[TANGGAL],MATCH(,INDIRECT(ADDRESS(ROW(NOTA[TANGGAL]),COLUMN(NOTA[TANGGAL]))&amp;":"&amp;ADDRESS(ROW(),COLUMN(NOTA[TANGGAL]))),-1)))</f>
        <v>45066</v>
      </c>
      <c r="AH568" s="103" t="str">
        <f ca="1">IF(NOTA[[#This Row],[NAMA BARANG]]="","",INDEX(NOTA[SUPPLIER],MATCH(,INDIRECT(ADDRESS(ROW(NOTA[ID]),COLUMN(NOTA[ID]))&amp;":"&amp;ADDRESS(ROW(),COLUMN(NOTA[ID]))),-1)))</f>
        <v>ATALI MAKMUR</v>
      </c>
      <c r="AI568" s="103" t="str">
        <f ca="1">IF(NOTA[[#This Row],[ID_H]]="","",IF(NOTA[[#This Row],[FAKTUR]]="",INDIRECT(ADDRESS(ROW()-1,COLUMN())),NOTA[[#This Row],[FAKTUR]]))</f>
        <v>ARTO MORO</v>
      </c>
      <c r="AJ568" s="27" t="str">
        <f ca="1">IF(NOTA[[#This Row],[ID]]="","",COUNTIF(NOTA[ID_H],NOTA[[#This Row],[ID_H]]))</f>
        <v/>
      </c>
      <c r="AK568" s="27">
        <f ca="1">IF(NOTA[[#This Row],[TGL.NOTA]]="",IF(NOTA[[#This Row],[SUPPLIER_H]]="","",AK567),MONTH(NOTA[[#This Row],[TGL.NOTA]]))</f>
        <v>5</v>
      </c>
      <c r="AL568" s="27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56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56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56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27" t="str">
        <f>IF(NOTA[[#This Row],[CONCAT4]]="","",_xlfn.IFNA(MATCH(NOTA[[#This Row],[CONCAT4]],[2]!RAW[CONCAT_H],0),FALSE))</f>
        <v/>
      </c>
      <c r="AQ568" s="145">
        <f>IF(NOTA[[#This Row],[CONCAT1]]="","",MATCH(NOTA[[#This Row],[CONCAT1]],[3]!db[NB NOTA_C],0)+1)</f>
        <v>1006</v>
      </c>
    </row>
    <row r="569" spans="1:43" ht="20.100000000000001" customHeight="1" x14ac:dyDescent="0.25">
      <c r="A569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104" t="str">
        <f>IF(NOTA[[#This Row],[ID_P]]="","",MATCH(NOTA[[#This Row],[ID_P]],[1]!B_MSK[N_ID],0))</f>
        <v/>
      </c>
      <c r="D569" s="104">
        <f ca="1">IF(NOTA[[#This Row],[NAMA BARANG]]="","",INDEX(NOTA[ID],MATCH(,INDIRECT(ADDRESS(ROW(NOTA[ID]),COLUMN(NOTA[ID]))&amp;":"&amp;ADDRESS(ROW(),COLUMN(NOTA[ID]))),-1)))</f>
        <v>102</v>
      </c>
      <c r="E569" s="105"/>
      <c r="F569" s="106"/>
      <c r="G569" s="106"/>
      <c r="H569" s="107"/>
      <c r="I569" s="106"/>
      <c r="J569" s="108"/>
      <c r="K569" s="106"/>
      <c r="L569" s="16" t="s">
        <v>784</v>
      </c>
      <c r="M569" s="109">
        <v>1</v>
      </c>
      <c r="N569" s="106">
        <v>864</v>
      </c>
      <c r="O569" s="16" t="s">
        <v>160</v>
      </c>
      <c r="P569" s="103">
        <v>2350</v>
      </c>
      <c r="Q569" s="110"/>
      <c r="R569" s="28" t="s">
        <v>295</v>
      </c>
      <c r="S569" s="111">
        <v>0.125</v>
      </c>
      <c r="T569" s="111">
        <v>0.05</v>
      </c>
      <c r="U569" s="112"/>
      <c r="V569" s="26"/>
      <c r="W569" s="112">
        <f>IF(NOTA[[#This Row],[HARGA/ CTN]]="",NOTA[[#This Row],[JUMLAH_H]],NOTA[[#This Row],[HARGA/ CTN]]*IF(NOTA[[#This Row],[C]]="",0,NOTA[[#This Row],[C]]))</f>
        <v>2030400</v>
      </c>
      <c r="X569" s="112">
        <f>IF(NOTA[[#This Row],[JUMLAH]]="","",NOTA[[#This Row],[JUMLAH]]*NOTA[[#This Row],[DISC 1]])</f>
        <v>253800</v>
      </c>
      <c r="Y569" s="112">
        <f>IF(NOTA[[#This Row],[JUMLAH]]="","",(NOTA[[#This Row],[JUMLAH]]-NOTA[[#This Row],[DISC 1-]])*NOTA[[#This Row],[DISC 2]])</f>
        <v>88830</v>
      </c>
      <c r="Z569" s="112">
        <f>IF(NOTA[[#This Row],[JUMLAH]]="","",NOTA[[#This Row],[DISC 1-]]+NOTA[[#This Row],[DISC 2-]])</f>
        <v>342630</v>
      </c>
      <c r="AA569" s="112">
        <f>IF(NOTA[[#This Row],[JUMLAH]]="","",NOTA[[#This Row],[JUMLAH]]-NOTA[[#This Row],[DISC]])</f>
        <v>1687770</v>
      </c>
      <c r="AB569" s="112"/>
      <c r="AC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103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569" s="112">
        <f>IF(OR(NOTA[[#This Row],[QTY]]="",NOTA[[#This Row],[HARGA SATUAN]]="",),"",NOTA[[#This Row],[QTY]]*NOTA[[#This Row],[HARGA SATUAN]])</f>
        <v>2030400</v>
      </c>
      <c r="AG569" s="108">
        <f ca="1">IF(NOTA[ID_H]="","",INDEX(NOTA[TANGGAL],MATCH(,INDIRECT(ADDRESS(ROW(NOTA[TANGGAL]),COLUMN(NOTA[TANGGAL]))&amp;":"&amp;ADDRESS(ROW(),COLUMN(NOTA[TANGGAL]))),-1)))</f>
        <v>45066</v>
      </c>
      <c r="AH569" s="103" t="str">
        <f ca="1">IF(NOTA[[#This Row],[NAMA BARANG]]="","",INDEX(NOTA[SUPPLIER],MATCH(,INDIRECT(ADDRESS(ROW(NOTA[ID]),COLUMN(NOTA[ID]))&amp;":"&amp;ADDRESS(ROW(),COLUMN(NOTA[ID]))),-1)))</f>
        <v>ATALI MAKMUR</v>
      </c>
      <c r="AI569" s="103" t="str">
        <f ca="1">IF(NOTA[[#This Row],[ID_H]]="","",IF(NOTA[[#This Row],[FAKTUR]]="",INDIRECT(ADDRESS(ROW()-1,COLUMN())),NOTA[[#This Row],[FAKTUR]]))</f>
        <v>ARTO MORO</v>
      </c>
      <c r="AJ569" s="27" t="str">
        <f ca="1">IF(NOTA[[#This Row],[ID]]="","",COUNTIF(NOTA[ID_H],NOTA[[#This Row],[ID_H]]))</f>
        <v/>
      </c>
      <c r="AK569" s="27">
        <f ca="1">IF(NOTA[[#This Row],[TGL.NOTA]]="",IF(NOTA[[#This Row],[SUPPLIER_H]]="","",AK568),MONTH(NOTA[[#This Row],[TGL.NOTA]]))</f>
        <v>5</v>
      </c>
      <c r="AL569" s="27" t="str">
        <f>LOWER(SUBSTITUTE(SUBSTITUTE(SUBSTITUTE(SUBSTITUTE(SUBSTITUTE(SUBSTITUTE(SUBSTITUTE(SUBSTITUTE(SUBSTITUTE(NOTA[NAMA BARANG]," ",),".",""),"-",""),"(",""),")",""),",",""),"/",""),"""",""),"+",""))</f>
        <v>gluestickgs105jk</v>
      </c>
      <c r="AM56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gluestickgs105jk20304000.1250.05</v>
      </c>
      <c r="AN56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gluestickgs105jk20304000.1250.05</v>
      </c>
      <c r="AO56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9" s="27" t="str">
        <f>IF(NOTA[[#This Row],[CONCAT4]]="","",_xlfn.IFNA(MATCH(NOTA[[#This Row],[CONCAT4]],[2]!RAW[CONCAT_H],0),FALSE))</f>
        <v/>
      </c>
      <c r="AQ569" s="145">
        <f>IF(NOTA[[#This Row],[CONCAT1]]="","",MATCH(NOTA[[#This Row],[CONCAT1]],[3]!db[NB NOTA_C],0)+1)</f>
        <v>1010</v>
      </c>
    </row>
    <row r="570" spans="1:43" ht="20.100000000000001" customHeight="1" x14ac:dyDescent="0.25">
      <c r="A570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104" t="str">
        <f>IF(NOTA[[#This Row],[ID_P]]="","",MATCH(NOTA[[#This Row],[ID_P]],[1]!B_MSK[N_ID],0))</f>
        <v/>
      </c>
      <c r="D570" s="104">
        <f ca="1">IF(NOTA[[#This Row],[NAMA BARANG]]="","",INDEX(NOTA[ID],MATCH(,INDIRECT(ADDRESS(ROW(NOTA[ID]),COLUMN(NOTA[ID]))&amp;":"&amp;ADDRESS(ROW(),COLUMN(NOTA[ID]))),-1)))</f>
        <v>102</v>
      </c>
      <c r="E570" s="105"/>
      <c r="F570" s="106"/>
      <c r="G570" s="106"/>
      <c r="H570" s="107"/>
      <c r="I570" s="106"/>
      <c r="J570" s="108"/>
      <c r="K570" s="106"/>
      <c r="L570" s="16" t="s">
        <v>621</v>
      </c>
      <c r="M570" s="109">
        <v>1</v>
      </c>
      <c r="N570" s="106">
        <v>216</v>
      </c>
      <c r="O570" s="16" t="s">
        <v>160</v>
      </c>
      <c r="P570" s="103">
        <v>4900</v>
      </c>
      <c r="Q570" s="110"/>
      <c r="R570" s="28" t="s">
        <v>622</v>
      </c>
      <c r="S570" s="111">
        <v>0.125</v>
      </c>
      <c r="T570" s="111">
        <v>0.05</v>
      </c>
      <c r="U570" s="112"/>
      <c r="V570" s="26"/>
      <c r="W570" s="112">
        <f>IF(NOTA[[#This Row],[HARGA/ CTN]]="",NOTA[[#This Row],[JUMLAH_H]],NOTA[[#This Row],[HARGA/ CTN]]*IF(NOTA[[#This Row],[C]]="",0,NOTA[[#This Row],[C]]))</f>
        <v>1058400</v>
      </c>
      <c r="X570" s="112">
        <f>IF(NOTA[[#This Row],[JUMLAH]]="","",NOTA[[#This Row],[JUMLAH]]*NOTA[[#This Row],[DISC 1]])</f>
        <v>132300</v>
      </c>
      <c r="Y570" s="112">
        <f>IF(NOTA[[#This Row],[JUMLAH]]="","",(NOTA[[#This Row],[JUMLAH]]-NOTA[[#This Row],[DISC 1-]])*NOTA[[#This Row],[DISC 2]])</f>
        <v>46305</v>
      </c>
      <c r="Z570" s="112">
        <f>IF(NOTA[[#This Row],[JUMLAH]]="","",NOTA[[#This Row],[DISC 1-]]+NOTA[[#This Row],[DISC 2-]])</f>
        <v>178605</v>
      </c>
      <c r="AA570" s="112">
        <f>IF(NOTA[[#This Row],[JUMLAH]]="","",NOTA[[#This Row],[JUMLAH]]-NOTA[[#This Row],[DISC]])</f>
        <v>879795</v>
      </c>
      <c r="AB570" s="112"/>
      <c r="AC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103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570" s="112">
        <f>IF(OR(NOTA[[#This Row],[QTY]]="",NOTA[[#This Row],[HARGA SATUAN]]="",),"",NOTA[[#This Row],[QTY]]*NOTA[[#This Row],[HARGA SATUAN]])</f>
        <v>1058400</v>
      </c>
      <c r="AG570" s="108">
        <f ca="1">IF(NOTA[ID_H]="","",INDEX(NOTA[TANGGAL],MATCH(,INDIRECT(ADDRESS(ROW(NOTA[TANGGAL]),COLUMN(NOTA[TANGGAL]))&amp;":"&amp;ADDRESS(ROW(),COLUMN(NOTA[TANGGAL]))),-1)))</f>
        <v>45066</v>
      </c>
      <c r="AH570" s="103" t="str">
        <f ca="1">IF(NOTA[[#This Row],[NAMA BARANG]]="","",INDEX(NOTA[SUPPLIER],MATCH(,INDIRECT(ADDRESS(ROW(NOTA[ID]),COLUMN(NOTA[ID]))&amp;":"&amp;ADDRESS(ROW(),COLUMN(NOTA[ID]))),-1)))</f>
        <v>ATALI MAKMUR</v>
      </c>
      <c r="AI570" s="103" t="str">
        <f ca="1">IF(NOTA[[#This Row],[ID_H]]="","",IF(NOTA[[#This Row],[FAKTUR]]="",INDIRECT(ADDRESS(ROW()-1,COLUMN())),NOTA[[#This Row],[FAKTUR]]))</f>
        <v>ARTO MORO</v>
      </c>
      <c r="AJ570" s="27" t="str">
        <f ca="1">IF(NOTA[[#This Row],[ID]]="","",COUNTIF(NOTA[ID_H],NOTA[[#This Row],[ID_H]]))</f>
        <v/>
      </c>
      <c r="AK570" s="27">
        <f ca="1">IF(NOTA[[#This Row],[TGL.NOTA]]="",IF(NOTA[[#This Row],[SUPPLIER_H]]="","",AK569),MONTH(NOTA[[#This Row],[TGL.NOTA]]))</f>
        <v>5</v>
      </c>
      <c r="AL570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57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57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57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27" t="str">
        <f>IF(NOTA[[#This Row],[CONCAT4]]="","",_xlfn.IFNA(MATCH(NOTA[[#This Row],[CONCAT4]],[2]!RAW[CONCAT_H],0),FALSE))</f>
        <v/>
      </c>
      <c r="AQ570" s="145">
        <f>IF(NOTA[[#This Row],[CONCAT1]]="","",MATCH(NOTA[[#This Row],[CONCAT1]],[3]!db[NB NOTA_C],0)+1)</f>
        <v>2170</v>
      </c>
    </row>
    <row r="571" spans="1:43" ht="20.100000000000001" customHeight="1" x14ac:dyDescent="0.25">
      <c r="A571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104" t="str">
        <f>IF(NOTA[[#This Row],[ID_P]]="","",MATCH(NOTA[[#This Row],[ID_P]],[1]!B_MSK[N_ID],0))</f>
        <v/>
      </c>
      <c r="D571" s="104">
        <f ca="1">IF(NOTA[[#This Row],[NAMA BARANG]]="","",INDEX(NOTA[ID],MATCH(,INDIRECT(ADDRESS(ROW(NOTA[ID]),COLUMN(NOTA[ID]))&amp;":"&amp;ADDRESS(ROW(),COLUMN(NOTA[ID]))),-1)))</f>
        <v>102</v>
      </c>
      <c r="E571" s="105"/>
      <c r="F571" s="106"/>
      <c r="G571" s="106"/>
      <c r="H571" s="107"/>
      <c r="I571" s="106"/>
      <c r="J571" s="108"/>
      <c r="K571" s="106"/>
      <c r="L571" s="16" t="s">
        <v>785</v>
      </c>
      <c r="M571" s="109">
        <v>1</v>
      </c>
      <c r="N571" s="106">
        <v>24</v>
      </c>
      <c r="O571" s="16" t="s">
        <v>160</v>
      </c>
      <c r="P571" s="103">
        <v>45500</v>
      </c>
      <c r="Q571" s="110"/>
      <c r="R571" s="28" t="s">
        <v>236</v>
      </c>
      <c r="S571" s="111">
        <v>0.125</v>
      </c>
      <c r="T571" s="111">
        <v>0.05</v>
      </c>
      <c r="U571" s="112"/>
      <c r="V571" s="26"/>
      <c r="W571" s="112">
        <f>IF(NOTA[[#This Row],[HARGA/ CTN]]="",NOTA[[#This Row],[JUMLAH_H]],NOTA[[#This Row],[HARGA/ CTN]]*IF(NOTA[[#This Row],[C]]="",0,NOTA[[#This Row],[C]]))</f>
        <v>1092000</v>
      </c>
      <c r="X571" s="112">
        <f>IF(NOTA[[#This Row],[JUMLAH]]="","",NOTA[[#This Row],[JUMLAH]]*NOTA[[#This Row],[DISC 1]])</f>
        <v>136500</v>
      </c>
      <c r="Y571" s="112">
        <f>IF(NOTA[[#This Row],[JUMLAH]]="","",(NOTA[[#This Row],[JUMLAH]]-NOTA[[#This Row],[DISC 1-]])*NOTA[[#This Row],[DISC 2]])</f>
        <v>47775</v>
      </c>
      <c r="Z571" s="112">
        <f>IF(NOTA[[#This Row],[JUMLAH]]="","",NOTA[[#This Row],[DISC 1-]]+NOTA[[#This Row],[DISC 2-]])</f>
        <v>184275</v>
      </c>
      <c r="AA571" s="112">
        <f>IF(NOTA[[#This Row],[JUMLAH]]="","",NOTA[[#This Row],[JUMLAH]]-NOTA[[#This Row],[DISC]])</f>
        <v>907725</v>
      </c>
      <c r="AB571" s="112"/>
      <c r="AC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103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571" s="112">
        <f>IF(OR(NOTA[[#This Row],[QTY]]="",NOTA[[#This Row],[HARGA SATUAN]]="",),"",NOTA[[#This Row],[QTY]]*NOTA[[#This Row],[HARGA SATUAN]])</f>
        <v>1092000</v>
      </c>
      <c r="AG571" s="108">
        <f ca="1">IF(NOTA[ID_H]="","",INDEX(NOTA[TANGGAL],MATCH(,INDIRECT(ADDRESS(ROW(NOTA[TANGGAL]),COLUMN(NOTA[TANGGAL]))&amp;":"&amp;ADDRESS(ROW(),COLUMN(NOTA[TANGGAL]))),-1)))</f>
        <v>45066</v>
      </c>
      <c r="AH571" s="103" t="str">
        <f ca="1">IF(NOTA[[#This Row],[NAMA BARANG]]="","",INDEX(NOTA[SUPPLIER],MATCH(,INDIRECT(ADDRESS(ROW(NOTA[ID]),COLUMN(NOTA[ID]))&amp;":"&amp;ADDRESS(ROW(),COLUMN(NOTA[ID]))),-1)))</f>
        <v>ATALI MAKMUR</v>
      </c>
      <c r="AI571" s="103" t="str">
        <f ca="1">IF(NOTA[[#This Row],[ID_H]]="","",IF(NOTA[[#This Row],[FAKTUR]]="",INDIRECT(ADDRESS(ROW()-1,COLUMN())),NOTA[[#This Row],[FAKTUR]]))</f>
        <v>ARTO MORO</v>
      </c>
      <c r="AJ571" s="27" t="str">
        <f ca="1">IF(NOTA[[#This Row],[ID]]="","",COUNTIF(NOTA[ID_H],NOTA[[#This Row],[ID_H]]))</f>
        <v/>
      </c>
      <c r="AK571" s="27">
        <f ca="1">IF(NOTA[[#This Row],[TGL.NOTA]]="",IF(NOTA[[#This Row],[SUPPLIER_H]]="","",AK570),MONTH(NOTA[[#This Row],[TGL.NOTA]]))</f>
        <v>5</v>
      </c>
      <c r="AL571" s="27" t="str">
        <f>LOWER(SUBSTITUTE(SUBSTITUTE(SUBSTITUTE(SUBSTITUTE(SUBSTITUTE(SUBSTITUTE(SUBSTITUTE(SUBSTITUTE(SUBSTITUTE(NOTA[NAMA BARANG]," ",),".",""),"-",""),"(",""),")",""),",",""),"/",""),"""",""),"+",""))</f>
        <v>punch85bjk</v>
      </c>
      <c r="AM57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57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57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1" s="27" t="str">
        <f>IF(NOTA[[#This Row],[CONCAT4]]="","",_xlfn.IFNA(MATCH(NOTA[[#This Row],[CONCAT4]],[2]!RAW[CONCAT_H],0),FALSE))</f>
        <v/>
      </c>
      <c r="AQ571" s="145">
        <f>IF(NOTA[[#This Row],[CONCAT1]]="","",MATCH(NOTA[[#This Row],[CONCAT1]],[3]!db[NB NOTA_C],0)+1)</f>
        <v>2068</v>
      </c>
    </row>
    <row r="572" spans="1:43" ht="20.100000000000001" customHeight="1" x14ac:dyDescent="0.25">
      <c r="A572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104" t="str">
        <f>IF(NOTA[[#This Row],[ID_P]]="","",MATCH(NOTA[[#This Row],[ID_P]],[1]!B_MSK[N_ID],0))</f>
        <v/>
      </c>
      <c r="D572" s="104">
        <f ca="1">IF(NOTA[[#This Row],[NAMA BARANG]]="","",INDEX(NOTA[ID],MATCH(,INDIRECT(ADDRESS(ROW(NOTA[ID]),COLUMN(NOTA[ID]))&amp;":"&amp;ADDRESS(ROW(),COLUMN(NOTA[ID]))),-1)))</f>
        <v>102</v>
      </c>
      <c r="E572" s="105"/>
      <c r="F572" s="106"/>
      <c r="G572" s="106"/>
      <c r="H572" s="107"/>
      <c r="I572" s="106"/>
      <c r="J572" s="108"/>
      <c r="K572" s="106"/>
      <c r="L572" s="16" t="s">
        <v>786</v>
      </c>
      <c r="M572" s="109"/>
      <c r="N572" s="106">
        <v>180</v>
      </c>
      <c r="O572" s="16" t="s">
        <v>160</v>
      </c>
      <c r="P572" s="103">
        <v>3700</v>
      </c>
      <c r="Q572" s="110"/>
      <c r="R572" s="28" t="s">
        <v>641</v>
      </c>
      <c r="S572" s="111">
        <v>0.125</v>
      </c>
      <c r="T572" s="111">
        <v>0.05</v>
      </c>
      <c r="U572" s="112"/>
      <c r="V572" s="26"/>
      <c r="W572" s="112">
        <f>IF(NOTA[[#This Row],[HARGA/ CTN]]="",NOTA[[#This Row],[JUMLAH_H]],NOTA[[#This Row],[HARGA/ CTN]]*IF(NOTA[[#This Row],[C]]="",0,NOTA[[#This Row],[C]]))</f>
        <v>666000</v>
      </c>
      <c r="X572" s="112">
        <f>IF(NOTA[[#This Row],[JUMLAH]]="","",NOTA[[#This Row],[JUMLAH]]*NOTA[[#This Row],[DISC 1]])</f>
        <v>83250</v>
      </c>
      <c r="Y572" s="112">
        <f>IF(NOTA[[#This Row],[JUMLAH]]="","",(NOTA[[#This Row],[JUMLAH]]-NOTA[[#This Row],[DISC 1-]])*NOTA[[#This Row],[DISC 2]])</f>
        <v>29137.5</v>
      </c>
      <c r="Z572" s="112">
        <f>IF(NOTA[[#This Row],[JUMLAH]]="","",NOTA[[#This Row],[DISC 1-]]+NOTA[[#This Row],[DISC 2-]])</f>
        <v>112387.5</v>
      </c>
      <c r="AA572" s="112">
        <f>IF(NOTA[[#This Row],[JUMLAH]]="","",NOTA[[#This Row],[JUMLAH]]-NOTA[[#This Row],[DISC]])</f>
        <v>553612.5</v>
      </c>
      <c r="AB572" s="112"/>
      <c r="AC57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72" s="112">
        <f>IF(OR(NOTA[[#This Row],[QTY]]="",NOTA[[#This Row],[HARGA SATUAN]]="",),"",NOTA[[#This Row],[QTY]]*NOTA[[#This Row],[HARGA SATUAN]])</f>
        <v>666000</v>
      </c>
      <c r="AG572" s="108">
        <f ca="1">IF(NOTA[ID_H]="","",INDEX(NOTA[TANGGAL],MATCH(,INDIRECT(ADDRESS(ROW(NOTA[TANGGAL]),COLUMN(NOTA[TANGGAL]))&amp;":"&amp;ADDRESS(ROW(),COLUMN(NOTA[TANGGAL]))),-1)))</f>
        <v>45066</v>
      </c>
      <c r="AH572" s="103" t="str">
        <f ca="1">IF(NOTA[[#This Row],[NAMA BARANG]]="","",INDEX(NOTA[SUPPLIER],MATCH(,INDIRECT(ADDRESS(ROW(NOTA[ID]),COLUMN(NOTA[ID]))&amp;":"&amp;ADDRESS(ROW(),COLUMN(NOTA[ID]))),-1)))</f>
        <v>ATALI MAKMUR</v>
      </c>
      <c r="AI572" s="103" t="str">
        <f ca="1">IF(NOTA[[#This Row],[ID_H]]="","",IF(NOTA[[#This Row],[FAKTUR]]="",INDIRECT(ADDRESS(ROW()-1,COLUMN())),NOTA[[#This Row],[FAKTUR]]))</f>
        <v>ARTO MORO</v>
      </c>
      <c r="AJ572" s="27" t="str">
        <f ca="1">IF(NOTA[[#This Row],[ID]]="","",COUNTIF(NOTA[ID_H],NOTA[[#This Row],[ID_H]]))</f>
        <v/>
      </c>
      <c r="AK572" s="27">
        <f ca="1">IF(NOTA[[#This Row],[TGL.NOTA]]="",IF(NOTA[[#This Row],[SUPPLIER_H]]="","",AK571),MONTH(NOTA[[#This Row],[TGL.NOTA]]))</f>
        <v>5</v>
      </c>
      <c r="AL572" s="27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7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7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7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27" t="str">
        <f>IF(NOTA[[#This Row],[CONCAT4]]="","",_xlfn.IFNA(MATCH(NOTA[[#This Row],[CONCAT4]],[2]!RAW[CONCAT_H],0),FALSE))</f>
        <v/>
      </c>
      <c r="AQ572" s="145">
        <f>IF(NOTA[[#This Row],[CONCAT1]]="","",MATCH(NOTA[[#This Row],[CONCAT1]],[3]!db[NB NOTA_C],0)+1)</f>
        <v>1058</v>
      </c>
    </row>
    <row r="573" spans="1:43" ht="20.100000000000001" customHeight="1" x14ac:dyDescent="0.25">
      <c r="A573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104" t="str">
        <f>IF(NOTA[[#This Row],[ID_P]]="","",MATCH(NOTA[[#This Row],[ID_P]],[1]!B_MSK[N_ID],0))</f>
        <v/>
      </c>
      <c r="D573" s="104">
        <f ca="1">IF(NOTA[[#This Row],[NAMA BARANG]]="","",INDEX(NOTA[ID],MATCH(,INDIRECT(ADDRESS(ROW(NOTA[ID]),COLUMN(NOTA[ID]))&amp;":"&amp;ADDRESS(ROW(),COLUMN(NOTA[ID]))),-1)))</f>
        <v>102</v>
      </c>
      <c r="E573" s="105"/>
      <c r="F573" s="16"/>
      <c r="G573" s="106"/>
      <c r="H573" s="107"/>
      <c r="I573" s="106"/>
      <c r="J573" s="108"/>
      <c r="K573" s="106"/>
      <c r="L573" s="16" t="s">
        <v>787</v>
      </c>
      <c r="M573" s="109"/>
      <c r="N573" s="106">
        <v>180</v>
      </c>
      <c r="O573" s="16" t="s">
        <v>160</v>
      </c>
      <c r="P573" s="103">
        <v>3700</v>
      </c>
      <c r="Q573" s="110"/>
      <c r="R573" s="28" t="s">
        <v>641</v>
      </c>
      <c r="S573" s="111">
        <v>0.125</v>
      </c>
      <c r="T573" s="111">
        <v>0.05</v>
      </c>
      <c r="U573" s="112"/>
      <c r="V573" s="26"/>
      <c r="W573" s="112">
        <f>IF(NOTA[[#This Row],[HARGA/ CTN]]="",NOTA[[#This Row],[JUMLAH_H]],NOTA[[#This Row],[HARGA/ CTN]]*IF(NOTA[[#This Row],[C]]="",0,NOTA[[#This Row],[C]]))</f>
        <v>666000</v>
      </c>
      <c r="X573" s="112">
        <f>IF(NOTA[[#This Row],[JUMLAH]]="","",NOTA[[#This Row],[JUMLAH]]*NOTA[[#This Row],[DISC 1]])</f>
        <v>83250</v>
      </c>
      <c r="Y573" s="112">
        <f>IF(NOTA[[#This Row],[JUMLAH]]="","",(NOTA[[#This Row],[JUMLAH]]-NOTA[[#This Row],[DISC 1-]])*NOTA[[#This Row],[DISC 2]])</f>
        <v>29137.5</v>
      </c>
      <c r="Z573" s="112">
        <f>IF(NOTA[[#This Row],[JUMLAH]]="","",NOTA[[#This Row],[DISC 1-]]+NOTA[[#This Row],[DISC 2-]])</f>
        <v>112387.5</v>
      </c>
      <c r="AA573" s="112">
        <f>IF(NOTA[[#This Row],[JUMLAH]]="","",NOTA[[#This Row],[JUMLAH]]-NOTA[[#This Row],[DISC]])</f>
        <v>553612.5</v>
      </c>
      <c r="AB573" s="112"/>
      <c r="AC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103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73" s="112">
        <f>IF(OR(NOTA[[#This Row],[QTY]]="",NOTA[[#This Row],[HARGA SATUAN]]="",),"",NOTA[[#This Row],[QTY]]*NOTA[[#This Row],[HARGA SATUAN]])</f>
        <v>666000</v>
      </c>
      <c r="AG573" s="108">
        <f ca="1">IF(NOTA[ID_H]="","",INDEX(NOTA[TANGGAL],MATCH(,INDIRECT(ADDRESS(ROW(NOTA[TANGGAL]),COLUMN(NOTA[TANGGAL]))&amp;":"&amp;ADDRESS(ROW(),COLUMN(NOTA[TANGGAL]))),-1)))</f>
        <v>45066</v>
      </c>
      <c r="AH573" s="103" t="str">
        <f ca="1">IF(NOTA[[#This Row],[NAMA BARANG]]="","",INDEX(NOTA[SUPPLIER],MATCH(,INDIRECT(ADDRESS(ROW(NOTA[ID]),COLUMN(NOTA[ID]))&amp;":"&amp;ADDRESS(ROW(),COLUMN(NOTA[ID]))),-1)))</f>
        <v>ATALI MAKMUR</v>
      </c>
      <c r="AI573" s="103" t="str">
        <f ca="1">IF(NOTA[[#This Row],[ID_H]]="","",IF(NOTA[[#This Row],[FAKTUR]]="",INDIRECT(ADDRESS(ROW()-1,COLUMN())),NOTA[[#This Row],[FAKTUR]]))</f>
        <v>ARTO MORO</v>
      </c>
      <c r="AJ573" s="27" t="str">
        <f ca="1">IF(NOTA[[#This Row],[ID]]="","",COUNTIF(NOTA[ID_H],NOTA[[#This Row],[ID_H]]))</f>
        <v/>
      </c>
      <c r="AK573" s="27">
        <f ca="1">IF(NOTA[[#This Row],[TGL.NOTA]]="",IF(NOTA[[#This Row],[SUPPLIER_H]]="","",AK572),MONTH(NOTA[[#This Row],[TGL.NOTA]]))</f>
        <v>5</v>
      </c>
      <c r="AL573" s="27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7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7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7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27" t="str">
        <f>IF(NOTA[[#This Row],[CONCAT4]]="","",_xlfn.IFNA(MATCH(NOTA[[#This Row],[CONCAT4]],[2]!RAW[CONCAT_H],0),FALSE))</f>
        <v/>
      </c>
      <c r="AQ573" s="145">
        <f>IF(NOTA[[#This Row],[CONCAT1]]="","",MATCH(NOTA[[#This Row],[CONCAT1]],[3]!db[NB NOTA_C],0)+1)</f>
        <v>1059</v>
      </c>
    </row>
    <row r="574" spans="1:43" ht="20.100000000000001" customHeight="1" x14ac:dyDescent="0.25">
      <c r="A574" s="10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10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104" t="str">
        <f>IF(NOTA[[#This Row],[ID_P]]="","",MATCH(NOTA[[#This Row],[ID_P]],[1]!B_MSK[N_ID],0))</f>
        <v/>
      </c>
      <c r="D574" s="104">
        <f ca="1">IF(NOTA[[#This Row],[NAMA BARANG]]="","",INDEX(NOTA[ID],MATCH(,INDIRECT(ADDRESS(ROW(NOTA[ID]),COLUMN(NOTA[ID]))&amp;":"&amp;ADDRESS(ROW(),COLUMN(NOTA[ID]))),-1)))</f>
        <v>102</v>
      </c>
      <c r="E574" s="105"/>
      <c r="F574" s="106"/>
      <c r="G574" s="106"/>
      <c r="H574" s="107"/>
      <c r="I574" s="106"/>
      <c r="J574" s="108"/>
      <c r="K574" s="106"/>
      <c r="L574" s="16" t="s">
        <v>788</v>
      </c>
      <c r="M574" s="109"/>
      <c r="N574" s="106">
        <v>120</v>
      </c>
      <c r="O574" s="16" t="s">
        <v>160</v>
      </c>
      <c r="P574" s="103">
        <v>3700</v>
      </c>
      <c r="Q574" s="110"/>
      <c r="R574" s="28" t="s">
        <v>641</v>
      </c>
      <c r="S574" s="111">
        <v>0.125</v>
      </c>
      <c r="T574" s="111">
        <v>0.05</v>
      </c>
      <c r="U574" s="112"/>
      <c r="V574" s="26"/>
      <c r="W574" s="112">
        <f>IF(NOTA[[#This Row],[HARGA/ CTN]]="",NOTA[[#This Row],[JUMLAH_H]],NOTA[[#This Row],[HARGA/ CTN]]*IF(NOTA[[#This Row],[C]]="",0,NOTA[[#This Row],[C]]))</f>
        <v>444000</v>
      </c>
      <c r="X574" s="112">
        <f>IF(NOTA[[#This Row],[JUMLAH]]="","",NOTA[[#This Row],[JUMLAH]]*NOTA[[#This Row],[DISC 1]])</f>
        <v>55500</v>
      </c>
      <c r="Y574" s="112">
        <f>IF(NOTA[[#This Row],[JUMLAH]]="","",(NOTA[[#This Row],[JUMLAH]]-NOTA[[#This Row],[DISC 1-]])*NOTA[[#This Row],[DISC 2]])</f>
        <v>19425</v>
      </c>
      <c r="Z574" s="112">
        <f>IF(NOTA[[#This Row],[JUMLAH]]="","",NOTA[[#This Row],[DISC 1-]]+NOTA[[#This Row],[DISC 2-]])</f>
        <v>74925</v>
      </c>
      <c r="AA574" s="112">
        <f>IF(NOTA[[#This Row],[JUMLAH]]="","",NOTA[[#This Row],[JUMLAH]]-NOTA[[#This Row],[DISC]])</f>
        <v>369075</v>
      </c>
      <c r="AB574" s="112"/>
      <c r="AC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103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74" s="112">
        <f>IF(OR(NOTA[[#This Row],[QTY]]="",NOTA[[#This Row],[HARGA SATUAN]]="",),"",NOTA[[#This Row],[QTY]]*NOTA[[#This Row],[HARGA SATUAN]])</f>
        <v>444000</v>
      </c>
      <c r="AG574" s="108">
        <f ca="1">IF(NOTA[ID_H]="","",INDEX(NOTA[TANGGAL],MATCH(,INDIRECT(ADDRESS(ROW(NOTA[TANGGAL]),COLUMN(NOTA[TANGGAL]))&amp;":"&amp;ADDRESS(ROW(),COLUMN(NOTA[TANGGAL]))),-1)))</f>
        <v>45066</v>
      </c>
      <c r="AH574" s="103" t="str">
        <f ca="1">IF(NOTA[[#This Row],[NAMA BARANG]]="","",INDEX(NOTA[SUPPLIER],MATCH(,INDIRECT(ADDRESS(ROW(NOTA[ID]),COLUMN(NOTA[ID]))&amp;":"&amp;ADDRESS(ROW(),COLUMN(NOTA[ID]))),-1)))</f>
        <v>ATALI MAKMUR</v>
      </c>
      <c r="AI574" s="103" t="str">
        <f ca="1">IF(NOTA[[#This Row],[ID_H]]="","",IF(NOTA[[#This Row],[FAKTUR]]="",INDIRECT(ADDRESS(ROW()-1,COLUMN())),NOTA[[#This Row],[FAKTUR]]))</f>
        <v>ARTO MORO</v>
      </c>
      <c r="AJ574" s="27" t="str">
        <f ca="1">IF(NOTA[[#This Row],[ID]]="","",COUNTIF(NOTA[ID_H],NOTA[[#This Row],[ID_H]]))</f>
        <v/>
      </c>
      <c r="AK574" s="27">
        <f ca="1">IF(NOTA[[#This Row],[TGL.NOTA]]="",IF(NOTA[[#This Row],[SUPPLIER_H]]="","",AK573),MONTH(NOTA[[#This Row],[TGL.NOTA]]))</f>
        <v>5</v>
      </c>
      <c r="AL574" s="27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7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7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7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27" t="str">
        <f>IF(NOTA[[#This Row],[CONCAT4]]="","",_xlfn.IFNA(MATCH(NOTA[[#This Row],[CONCAT4]],[2]!RAW[CONCAT_H],0),FALSE))</f>
        <v/>
      </c>
      <c r="AQ574" s="145">
        <f>IF(NOTA[[#This Row],[CONCAT1]]="","",MATCH(NOTA[[#This Row],[CONCAT1]],[3]!db[NB NOTA_C],0)+1)</f>
        <v>1060</v>
      </c>
    </row>
    <row r="575" spans="1:43" ht="20.100000000000001" customHeight="1" x14ac:dyDescent="0.25">
      <c r="A5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>
        <f ca="1">IF(NOTA[[#This Row],[NAMA BARANG]]="","",INDEX(NOTA[ID],MATCH(,INDIRECT(ADDRESS(ROW(NOTA[ID]),COLUMN(NOTA[ID]))&amp;":"&amp;ADDRESS(ROW(),COLUMN(NOTA[ID]))),-1)))</f>
        <v>102</v>
      </c>
      <c r="E575" s="113"/>
      <c r="H575" s="54"/>
      <c r="L575" s="16" t="s">
        <v>789</v>
      </c>
      <c r="N575" s="106">
        <v>120</v>
      </c>
      <c r="O575" s="16" t="s">
        <v>160</v>
      </c>
      <c r="P575" s="103">
        <v>3700</v>
      </c>
      <c r="Q575" s="110"/>
      <c r="R575" s="28" t="s">
        <v>641</v>
      </c>
      <c r="S575" s="111">
        <v>0.125</v>
      </c>
      <c r="T575" s="111">
        <v>0.05</v>
      </c>
      <c r="U575" s="52"/>
      <c r="V575" s="77"/>
      <c r="W575" s="52">
        <f>IF(NOTA[[#This Row],[HARGA/ CTN]]="",NOTA[[#This Row],[JUMLAH_H]],NOTA[[#This Row],[HARGA/ CTN]]*IF(NOTA[[#This Row],[C]]="",0,NOTA[[#This Row],[C]]))</f>
        <v>444000</v>
      </c>
      <c r="X575" s="52">
        <f>IF(NOTA[[#This Row],[JUMLAH]]="","",NOTA[[#This Row],[JUMLAH]]*NOTA[[#This Row],[DISC 1]])</f>
        <v>55500</v>
      </c>
      <c r="Y575" s="52">
        <f>IF(NOTA[[#This Row],[JUMLAH]]="","",(NOTA[[#This Row],[JUMLAH]]-NOTA[[#This Row],[DISC 1-]])*NOTA[[#This Row],[DISC 2]])</f>
        <v>19425</v>
      </c>
      <c r="Z575" s="52">
        <f>IF(NOTA[[#This Row],[JUMLAH]]="","",NOTA[[#This Row],[DISC 1-]]+NOTA[[#This Row],[DISC 2-]])</f>
        <v>74925</v>
      </c>
      <c r="AA575" s="52">
        <f>IF(NOTA[[#This Row],[JUMLAH]]="","",NOTA[[#This Row],[JUMLAH]]-NOTA[[#This Row],[DISC]])</f>
        <v>369075</v>
      </c>
      <c r="AB575" s="52"/>
      <c r="AC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75" s="52">
        <f>IF(OR(NOTA[[#This Row],[QTY]]="",NOTA[[#This Row],[HARGA SATUAN]]="",),"",NOTA[[#This Row],[QTY]]*NOTA[[#This Row],[HARGA SATUAN]])</f>
        <v>444000</v>
      </c>
      <c r="AG575" s="53">
        <f ca="1">IF(NOTA[ID_H]="","",INDEX(NOTA[TANGGAL],MATCH(,INDIRECT(ADDRESS(ROW(NOTA[TANGGAL]),COLUMN(NOTA[TANGGAL]))&amp;":"&amp;ADDRESS(ROW(),COLUMN(NOTA[TANGGAL]))),-1)))</f>
        <v>45066</v>
      </c>
      <c r="AH575" s="64" t="str">
        <f ca="1">IF(NOTA[[#This Row],[NAMA BARANG]]="","",INDEX(NOTA[SUPPLIER],MATCH(,INDIRECT(ADDRESS(ROW(NOTA[ID]),COLUMN(NOTA[ID]))&amp;":"&amp;ADDRESS(ROW(),COLUMN(NOTA[ID]))),-1)))</f>
        <v>ATALI MAKMUR</v>
      </c>
      <c r="AI575" s="64" t="str">
        <f ca="1">IF(NOTA[[#This Row],[ID_H]]="","",IF(NOTA[[#This Row],[FAKTUR]]="",INDIRECT(ADDRESS(ROW()-1,COLUMN())),NOTA[[#This Row],[FAKTUR]]))</f>
        <v>ARTO MORO</v>
      </c>
      <c r="AJ575" s="27" t="str">
        <f ca="1">IF(NOTA[[#This Row],[ID]]="","",COUNTIF(NOTA[ID_H],NOTA[[#This Row],[ID_H]]))</f>
        <v/>
      </c>
      <c r="AK575" s="27">
        <f ca="1">IF(NOTA[[#This Row],[TGL.NOTA]]="",IF(NOTA[[#This Row],[SUPPLIER_H]]="","",AK574),MONTH(NOTA[[#This Row],[TGL.NOTA]]))</f>
        <v>5</v>
      </c>
      <c r="AL575" s="27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7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7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7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27" t="str">
        <f>IF(NOTA[[#This Row],[CONCAT4]]="","",_xlfn.IFNA(MATCH(NOTA[[#This Row],[CONCAT4]],[2]!RAW[CONCAT_H],0),FALSE))</f>
        <v/>
      </c>
      <c r="AQ575" s="145">
        <f>IF(NOTA[[#This Row],[CONCAT1]]="","",MATCH(NOTA[[#This Row],[CONCAT1]],[3]!db[NB NOTA_C],0)+1)</f>
        <v>1061</v>
      </c>
    </row>
    <row r="576" spans="1:43" ht="20.100000000000001" customHeight="1" x14ac:dyDescent="0.25">
      <c r="A5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66" t="str">
        <f>IF(NOTA[[#This Row],[ID_P]]="","",MATCH(NOTA[[#This Row],[ID_P]],[1]!B_MSK[N_ID],0))</f>
        <v/>
      </c>
      <c r="D576" s="66">
        <f ca="1">IF(NOTA[[#This Row],[NAMA BARANG]]="","",INDEX(NOTA[ID],MATCH(,INDIRECT(ADDRESS(ROW(NOTA[ID]),COLUMN(NOTA[ID]))&amp;":"&amp;ADDRESS(ROW(),COLUMN(NOTA[ID]))),-1)))</f>
        <v>102</v>
      </c>
      <c r="E576" s="113"/>
      <c r="H576" s="54"/>
      <c r="L576" s="16" t="s">
        <v>790</v>
      </c>
      <c r="N576" s="106">
        <v>120</v>
      </c>
      <c r="O576" s="16" t="s">
        <v>160</v>
      </c>
      <c r="P576" s="103">
        <v>3700</v>
      </c>
      <c r="Q576" s="110"/>
      <c r="R576" s="28" t="s">
        <v>641</v>
      </c>
      <c r="S576" s="111">
        <v>0.125</v>
      </c>
      <c r="T576" s="111">
        <v>0.05</v>
      </c>
      <c r="U576" s="52"/>
      <c r="V576" s="77"/>
      <c r="W576" s="52">
        <f>IF(NOTA[[#This Row],[HARGA/ CTN]]="",NOTA[[#This Row],[JUMLAH_H]],NOTA[[#This Row],[HARGA/ CTN]]*IF(NOTA[[#This Row],[C]]="",0,NOTA[[#This Row],[C]]))</f>
        <v>444000</v>
      </c>
      <c r="X576" s="52">
        <f>IF(NOTA[[#This Row],[JUMLAH]]="","",NOTA[[#This Row],[JUMLAH]]*NOTA[[#This Row],[DISC 1]])</f>
        <v>55500</v>
      </c>
      <c r="Y576" s="52">
        <f>IF(NOTA[[#This Row],[JUMLAH]]="","",(NOTA[[#This Row],[JUMLAH]]-NOTA[[#This Row],[DISC 1-]])*NOTA[[#This Row],[DISC 2]])</f>
        <v>19425</v>
      </c>
      <c r="Z576" s="52">
        <f>IF(NOTA[[#This Row],[JUMLAH]]="","",NOTA[[#This Row],[DISC 1-]]+NOTA[[#This Row],[DISC 2-]])</f>
        <v>74925</v>
      </c>
      <c r="AA576" s="52">
        <f>IF(NOTA[[#This Row],[JUMLAH]]="","",NOTA[[#This Row],[JUMLAH]]-NOTA[[#This Row],[DISC]])</f>
        <v>369075</v>
      </c>
      <c r="AB576" s="52"/>
      <c r="AC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8527005</v>
      </c>
      <c r="AD57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42003395</v>
      </c>
      <c r="AE576" s="64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76" s="52">
        <f>IF(OR(NOTA[[#This Row],[QTY]]="",NOTA[[#This Row],[HARGA SATUAN]]="",),"",NOTA[[#This Row],[QTY]]*NOTA[[#This Row],[HARGA SATUAN]])</f>
        <v>444000</v>
      </c>
      <c r="AG576" s="53">
        <f ca="1">IF(NOTA[ID_H]="","",INDEX(NOTA[TANGGAL],MATCH(,INDIRECT(ADDRESS(ROW(NOTA[TANGGAL]),COLUMN(NOTA[TANGGAL]))&amp;":"&amp;ADDRESS(ROW(),COLUMN(NOTA[TANGGAL]))),-1)))</f>
        <v>45066</v>
      </c>
      <c r="AH576" s="64" t="str">
        <f ca="1">IF(NOTA[[#This Row],[NAMA BARANG]]="","",INDEX(NOTA[SUPPLIER],MATCH(,INDIRECT(ADDRESS(ROW(NOTA[ID]),COLUMN(NOTA[ID]))&amp;":"&amp;ADDRESS(ROW(),COLUMN(NOTA[ID]))),-1)))</f>
        <v>ATALI MAKMUR</v>
      </c>
      <c r="AI576" s="64" t="str">
        <f ca="1">IF(NOTA[[#This Row],[ID_H]]="","",IF(NOTA[[#This Row],[FAKTUR]]="",INDIRECT(ADDRESS(ROW()-1,COLUMN())),NOTA[[#This Row],[FAKTUR]]))</f>
        <v>ARTO MORO</v>
      </c>
      <c r="AJ576" s="27" t="str">
        <f ca="1">IF(NOTA[[#This Row],[ID]]="","",COUNTIF(NOTA[ID_H],NOTA[[#This Row],[ID_H]]))</f>
        <v/>
      </c>
      <c r="AK576" s="27">
        <f ca="1">IF(NOTA[[#This Row],[TGL.NOTA]]="",IF(NOTA[[#This Row],[SUPPLIER_H]]="","",AK575),MONTH(NOTA[[#This Row],[TGL.NOTA]]))</f>
        <v>5</v>
      </c>
      <c r="AL576" s="27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7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7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7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6" s="27" t="str">
        <f>IF(NOTA[[#This Row],[CONCAT4]]="","",_xlfn.IFNA(MATCH(NOTA[[#This Row],[CONCAT4]],[2]!RAW[CONCAT_H],0),FALSE))</f>
        <v/>
      </c>
      <c r="AQ576" s="145">
        <f>IF(NOTA[[#This Row],[CONCAT1]]="","",MATCH(NOTA[[#This Row],[CONCAT1]],[3]!db[NB NOTA_C],0)+1)</f>
        <v>1062</v>
      </c>
    </row>
    <row r="577" spans="1:43" ht="20.100000000000001" customHeight="1" x14ac:dyDescent="0.25">
      <c r="A5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113"/>
      <c r="H577" s="54"/>
      <c r="Q577" s="79"/>
      <c r="R577" s="114"/>
      <c r="S577" s="115"/>
      <c r="U577" s="52"/>
      <c r="V577" s="77"/>
      <c r="W577" s="52" t="str">
        <f>IF(NOTA[[#This Row],[HARGA/ CTN]]="",NOTA[[#This Row],[JUMLAH_H]],NOTA[[#This Row],[HARGA/ CTN]]*IF(NOTA[[#This Row],[C]]="",0,NOTA[[#This Row],[C]]))</f>
        <v/>
      </c>
      <c r="X577" s="52" t="str">
        <f>IF(NOTA[[#This Row],[JUMLAH]]="","",NOTA[[#This Row],[JUMLAH]]*NOTA[[#This Row],[DISC 1]])</f>
        <v/>
      </c>
      <c r="Y577" s="52" t="str">
        <f>IF(NOTA[[#This Row],[JUMLAH]]="","",(NOTA[[#This Row],[JUMLAH]]-NOTA[[#This Row],[DISC 1-]])*NOTA[[#This Row],[DISC 2]])</f>
        <v/>
      </c>
      <c r="Z577" s="52" t="str">
        <f>IF(NOTA[[#This Row],[JUMLAH]]="","",NOTA[[#This Row],[DISC 1-]]+NOTA[[#This Row],[DISC 2-]])</f>
        <v/>
      </c>
      <c r="AA577" s="52" t="str">
        <f>IF(NOTA[[#This Row],[JUMLAH]]="","",NOTA[[#This Row],[JUMLAH]]-NOTA[[#This Row],[DISC]])</f>
        <v/>
      </c>
      <c r="AB577" s="52"/>
      <c r="AC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52" t="str">
        <f>IF(OR(NOTA[[#This Row],[QTY]]="",NOTA[[#This Row],[HARGA SATUAN]]="",),"",NOTA[[#This Row],[QTY]]*NOTA[[#This Row],[HARGA SATUAN]])</f>
        <v/>
      </c>
      <c r="AG577" s="53" t="str">
        <f ca="1">IF(NOTA[ID_H]="","",INDEX(NOTA[TANGGAL],MATCH(,INDIRECT(ADDRESS(ROW(NOTA[TANGGAL]),COLUMN(NOTA[TANGGAL]))&amp;":"&amp;ADDRESS(ROW(),COLUMN(NOTA[TANGGAL]))),-1)))</f>
        <v/>
      </c>
      <c r="AH577" s="64" t="str">
        <f ca="1">IF(NOTA[[#This Row],[NAMA BARANG]]="","",INDEX(NOTA[SUPPLIER],MATCH(,INDIRECT(ADDRESS(ROW(NOTA[ID]),COLUMN(NOTA[ID]))&amp;":"&amp;ADDRESS(ROW(),COLUMN(NOTA[ID]))),-1)))</f>
        <v/>
      </c>
      <c r="AI577" s="64" t="str">
        <f ca="1">IF(NOTA[[#This Row],[ID_H]]="","",IF(NOTA[[#This Row],[FAKTUR]]="",INDIRECT(ADDRESS(ROW()-1,COLUMN())),NOTA[[#This Row],[FAKTUR]]))</f>
        <v/>
      </c>
      <c r="AJ577" s="27" t="str">
        <f ca="1">IF(NOTA[[#This Row],[ID]]="","",COUNTIF(NOTA[ID_H],NOTA[[#This Row],[ID_H]]))</f>
        <v/>
      </c>
      <c r="AK577" s="27" t="str">
        <f ca="1">IF(NOTA[[#This Row],[TGL.NOTA]]="",IF(NOTA[[#This Row],[SUPPLIER_H]]="","",AK576),MONTH(NOTA[[#This Row],[TGL.NOTA]]))</f>
        <v/>
      </c>
      <c r="AL577" s="27" t="str">
        <f>LOWER(SUBSTITUTE(SUBSTITUTE(SUBSTITUTE(SUBSTITUTE(SUBSTITUTE(SUBSTITUTE(SUBSTITUTE(SUBSTITUTE(SUBSTITUTE(NOTA[NAMA BARANG]," ",),".",""),"-",""),"(",""),")",""),",",""),"/",""),"""",""),"+",""))</f>
        <v/>
      </c>
      <c r="AM57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27" t="str">
        <f>IF(NOTA[[#This Row],[CONCAT4]]="","",_xlfn.IFNA(MATCH(NOTA[[#This Row],[CONCAT4]],[2]!RAW[CONCAT_H],0),FALSE))</f>
        <v/>
      </c>
      <c r="AQ577" s="145" t="str">
        <f>IF(NOTA[[#This Row],[CONCAT1]]="","",MATCH(NOTA[[#This Row],[CONCAT1]],[3]!db[NB NOTA_C],0)+1)</f>
        <v/>
      </c>
    </row>
    <row r="578" spans="1:43" ht="20.100000000000001" customHeight="1" x14ac:dyDescent="0.25">
      <c r="A578" s="64">
        <f ca="1">IF(INDIRECT(ADDRESS(ROW()-1,COLUMN(NOTA[[#Headers],[ID]])))="ID",1,IF(NOTA[[#This Row],[FAKTUR]]="","",COUNT(INDIRECT(ADDRESS(ROW(NOTA[ID]),COLUMN(NOTA[ID]))&amp;":"&amp;ADDRESS(ROW()-1,COLUMN(NOTA[ID]))))+1))</f>
        <v>103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ATA_2005_689-1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103</v>
      </c>
      <c r="E578" s="113"/>
      <c r="F578" s="27" t="s">
        <v>25</v>
      </c>
      <c r="G578" s="27" t="s">
        <v>24</v>
      </c>
      <c r="H578" s="54" t="s">
        <v>791</v>
      </c>
      <c r="J578" s="53">
        <v>45062</v>
      </c>
      <c r="L578" s="27" t="s">
        <v>513</v>
      </c>
      <c r="M578" s="114">
        <v>25</v>
      </c>
      <c r="N578" s="27">
        <v>18000</v>
      </c>
      <c r="O578" s="27" t="s">
        <v>160</v>
      </c>
      <c r="P578" s="64">
        <v>4800</v>
      </c>
      <c r="Q578" s="79"/>
      <c r="R578" s="114" t="s">
        <v>506</v>
      </c>
      <c r="S578" s="115">
        <v>0.125</v>
      </c>
      <c r="T578" s="115">
        <v>0.05</v>
      </c>
      <c r="U578" s="52"/>
      <c r="V578" s="77"/>
      <c r="W578" s="52">
        <f>IF(NOTA[[#This Row],[HARGA/ CTN]]="",NOTA[[#This Row],[JUMLAH_H]],NOTA[[#This Row],[HARGA/ CTN]]*IF(NOTA[[#This Row],[C]]="",0,NOTA[[#This Row],[C]]))</f>
        <v>86400000</v>
      </c>
      <c r="X578" s="52">
        <f>IF(NOTA[[#This Row],[JUMLAH]]="","",NOTA[[#This Row],[JUMLAH]]*NOTA[[#This Row],[DISC 1]])</f>
        <v>10800000</v>
      </c>
      <c r="Y578" s="52">
        <f>IF(NOTA[[#This Row],[JUMLAH]]="","",(NOTA[[#This Row],[JUMLAH]]-NOTA[[#This Row],[DISC 1-]])*NOTA[[#This Row],[DISC 2]])</f>
        <v>3780000</v>
      </c>
      <c r="Z578" s="52">
        <f>IF(NOTA[[#This Row],[JUMLAH]]="","",NOTA[[#This Row],[DISC 1-]]+NOTA[[#This Row],[DISC 2-]])</f>
        <v>14580000</v>
      </c>
      <c r="AA578" s="52">
        <f>IF(NOTA[[#This Row],[JUMLAH]]="","",NOTA[[#This Row],[JUMLAH]]-NOTA[[#This Row],[DISC]])</f>
        <v>71820000</v>
      </c>
      <c r="AB578" s="52"/>
      <c r="AC57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D57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E578" s="64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578" s="52">
        <f>IF(OR(NOTA[[#This Row],[QTY]]="",NOTA[[#This Row],[HARGA SATUAN]]="",),"",NOTA[[#This Row],[QTY]]*NOTA[[#This Row],[HARGA SATUAN]])</f>
        <v>86400000</v>
      </c>
      <c r="AG578" s="53">
        <f ca="1">IF(NOTA[ID_H]="","",INDEX(NOTA[TANGGAL],MATCH(,INDIRECT(ADDRESS(ROW(NOTA[TANGGAL]),COLUMN(NOTA[TANGGAL]))&amp;":"&amp;ADDRESS(ROW(),COLUMN(NOTA[TANGGAL]))),-1)))</f>
        <v>45066</v>
      </c>
      <c r="AH578" s="64" t="str">
        <f ca="1">IF(NOTA[[#This Row],[NAMA BARANG]]="","",INDEX(NOTA[SUPPLIER],MATCH(,INDIRECT(ADDRESS(ROW(NOTA[ID]),COLUMN(NOTA[ID]))&amp;":"&amp;ADDRESS(ROW(),COLUMN(NOTA[ID]))),-1)))</f>
        <v>ATALI MAKMUR</v>
      </c>
      <c r="AI578" s="64" t="str">
        <f ca="1">IF(NOTA[[#This Row],[ID_H]]="","",IF(NOTA[[#This Row],[FAKTUR]]="",INDIRECT(ADDRESS(ROW()-1,COLUMN())),NOTA[[#This Row],[FAKTUR]]))</f>
        <v>ARTO MORO</v>
      </c>
      <c r="AJ578" s="27">
        <f ca="1">IF(NOTA[[#This Row],[ID]]="","",COUNTIF(NOTA[ID_H],NOTA[[#This Row],[ID_H]]))</f>
        <v>1</v>
      </c>
      <c r="AK578" s="27">
        <f>IF(NOTA[[#This Row],[TGL.NOTA]]="",IF(NOTA[[#This Row],[SUPPLIER_H]]="","",AK577),MONTH(NOTA[[#This Row],[TGL.NOTA]]))</f>
        <v>5</v>
      </c>
      <c r="AL578" s="2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57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57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57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MOROSA23050768945062correctiontapect522jk</v>
      </c>
      <c r="AP578" s="27" t="e">
        <f>IF(NOTA[[#This Row],[CONCAT4]]="","",_xlfn.IFNA(MATCH(NOTA[[#This Row],[CONCAT4]],[2]!RAW[CONCAT_H],0),FALSE))</f>
        <v>#REF!</v>
      </c>
      <c r="AQ578" s="145">
        <f>IF(NOTA[[#This Row],[CONCAT1]]="","",MATCH(NOTA[[#This Row],[CONCAT1]],[3]!db[NB NOTA_C],0)+1)</f>
        <v>565</v>
      </c>
    </row>
    <row r="579" spans="1:43" ht="20.100000000000001" customHeight="1" x14ac:dyDescent="0.25">
      <c r="A5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113"/>
      <c r="H579" s="54"/>
      <c r="Q579" s="79"/>
      <c r="R579" s="114"/>
      <c r="S579" s="115"/>
      <c r="U579" s="52"/>
      <c r="V579" s="77"/>
      <c r="W579" s="52" t="str">
        <f>IF(NOTA[[#This Row],[HARGA/ CTN]]="",NOTA[[#This Row],[JUMLAH_H]],NOTA[[#This Row],[HARGA/ CTN]]*IF(NOTA[[#This Row],[C]]="",0,NOTA[[#This Row],[C]]))</f>
        <v/>
      </c>
      <c r="X579" s="52" t="str">
        <f>IF(NOTA[[#This Row],[JUMLAH]]="","",NOTA[[#This Row],[JUMLAH]]*NOTA[[#This Row],[DISC 1]])</f>
        <v/>
      </c>
      <c r="Y579" s="52" t="str">
        <f>IF(NOTA[[#This Row],[JUMLAH]]="","",(NOTA[[#This Row],[JUMLAH]]-NOTA[[#This Row],[DISC 1-]])*NOTA[[#This Row],[DISC 2]])</f>
        <v/>
      </c>
      <c r="Z579" s="52" t="str">
        <f>IF(NOTA[[#This Row],[JUMLAH]]="","",NOTA[[#This Row],[DISC 1-]]+NOTA[[#This Row],[DISC 2-]])</f>
        <v/>
      </c>
      <c r="AA579" s="52" t="str">
        <f>IF(NOTA[[#This Row],[JUMLAH]]="","",NOTA[[#This Row],[JUMLAH]]-NOTA[[#This Row],[DISC]])</f>
        <v/>
      </c>
      <c r="AB579" s="52"/>
      <c r="AC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52" t="str">
        <f>IF(OR(NOTA[[#This Row],[QTY]]="",NOTA[[#This Row],[HARGA SATUAN]]="",),"",NOTA[[#This Row],[QTY]]*NOTA[[#This Row],[HARGA SATUAN]])</f>
        <v/>
      </c>
      <c r="AG579" s="53" t="str">
        <f ca="1">IF(NOTA[ID_H]="","",INDEX(NOTA[TANGGAL],MATCH(,INDIRECT(ADDRESS(ROW(NOTA[TANGGAL]),COLUMN(NOTA[TANGGAL]))&amp;":"&amp;ADDRESS(ROW(),COLUMN(NOTA[TANGGAL]))),-1)))</f>
        <v/>
      </c>
      <c r="AH579" s="64" t="str">
        <f ca="1">IF(NOTA[[#This Row],[NAMA BARANG]]="","",INDEX(NOTA[SUPPLIER],MATCH(,INDIRECT(ADDRESS(ROW(NOTA[ID]),COLUMN(NOTA[ID]))&amp;":"&amp;ADDRESS(ROW(),COLUMN(NOTA[ID]))),-1)))</f>
        <v/>
      </c>
      <c r="AI579" s="64" t="str">
        <f ca="1">IF(NOTA[[#This Row],[ID_H]]="","",IF(NOTA[[#This Row],[FAKTUR]]="",INDIRECT(ADDRESS(ROW()-1,COLUMN())),NOTA[[#This Row],[FAKTUR]]))</f>
        <v/>
      </c>
      <c r="AJ579" s="27" t="str">
        <f ca="1">IF(NOTA[[#This Row],[ID]]="","",COUNTIF(NOTA[ID_H],NOTA[[#This Row],[ID_H]]))</f>
        <v/>
      </c>
      <c r="AK579" s="27" t="str">
        <f ca="1">IF(NOTA[[#This Row],[TGL.NOTA]]="",IF(NOTA[[#This Row],[SUPPLIER_H]]="","",AK578),MONTH(NOTA[[#This Row],[TGL.NOTA]]))</f>
        <v/>
      </c>
      <c r="AL579" s="27" t="str">
        <f>LOWER(SUBSTITUTE(SUBSTITUTE(SUBSTITUTE(SUBSTITUTE(SUBSTITUTE(SUBSTITUTE(SUBSTITUTE(SUBSTITUTE(SUBSTITUTE(NOTA[NAMA BARANG]," ",),".",""),"-",""),"(",""),")",""),",",""),"/",""),"""",""),"+",""))</f>
        <v/>
      </c>
      <c r="AM57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27" t="str">
        <f>IF(NOTA[[#This Row],[CONCAT4]]="","",_xlfn.IFNA(MATCH(NOTA[[#This Row],[CONCAT4]],[2]!RAW[CONCAT_H],0),FALSE))</f>
        <v/>
      </c>
      <c r="AQ579" s="145" t="str">
        <f>IF(NOTA[[#This Row],[CONCAT1]]="","",MATCH(NOTA[[#This Row],[CONCAT1]],[3]!db[NB NOTA_C],0)+1)</f>
        <v/>
      </c>
    </row>
    <row r="580" spans="1:43" ht="20.100000000000001" customHeight="1" x14ac:dyDescent="0.25">
      <c r="A580" s="64">
        <f ca="1">IF(INDIRECT(ADDRESS(ROW()-1,COLUMN(NOTA[[#Headers],[ID]])))="ID",1,IF(NOTA[[#This Row],[FAKTUR]]="","",COUNT(INDIRECT(ADDRESS(ROW(NOTA[ID]),COLUMN(NOTA[ID]))&amp;":"&amp;ADDRESS(ROW()-1,COLUMN(NOTA[ID]))))+1))</f>
        <v>104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GUN_2005_914-3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104</v>
      </c>
      <c r="E580" s="113">
        <v>45066</v>
      </c>
      <c r="F580" s="27" t="s">
        <v>563</v>
      </c>
      <c r="G580" s="27" t="s">
        <v>112</v>
      </c>
      <c r="H580" s="54" t="s">
        <v>794</v>
      </c>
      <c r="J580" s="53">
        <v>45061</v>
      </c>
      <c r="L580" s="27" t="s">
        <v>795</v>
      </c>
      <c r="M580" s="114">
        <v>1</v>
      </c>
      <c r="N580" s="27">
        <v>20</v>
      </c>
      <c r="O580" s="27" t="s">
        <v>125</v>
      </c>
      <c r="P580" s="64">
        <v>120000</v>
      </c>
      <c r="Q580" s="79"/>
      <c r="R580" s="114" t="s">
        <v>570</v>
      </c>
      <c r="S580" s="115">
        <v>0.05</v>
      </c>
      <c r="T580" s="115">
        <v>0.1</v>
      </c>
      <c r="U580" s="52"/>
      <c r="V580" s="77"/>
      <c r="W580" s="52">
        <f>IF(NOTA[[#This Row],[HARGA/ CTN]]="",NOTA[[#This Row],[JUMLAH_H]],NOTA[[#This Row],[HARGA/ CTN]]*IF(NOTA[[#This Row],[C]]="",0,NOTA[[#This Row],[C]]))</f>
        <v>2400000</v>
      </c>
      <c r="X580" s="52">
        <f>IF(NOTA[[#This Row],[JUMLAH]]="","",NOTA[[#This Row],[JUMLAH]]*NOTA[[#This Row],[DISC 1]])</f>
        <v>120000</v>
      </c>
      <c r="Y580" s="52">
        <f>IF(NOTA[[#This Row],[JUMLAH]]="","",(NOTA[[#This Row],[JUMLAH]]-NOTA[[#This Row],[DISC 1-]])*NOTA[[#This Row],[DISC 2]])</f>
        <v>228000</v>
      </c>
      <c r="Z580" s="52">
        <f>IF(NOTA[[#This Row],[JUMLAH]]="","",NOTA[[#This Row],[DISC 1-]]+NOTA[[#This Row],[DISC 2-]])</f>
        <v>348000</v>
      </c>
      <c r="AA580" s="52">
        <f>IF(NOTA[[#This Row],[JUMLAH]]="","",NOTA[[#This Row],[JUMLAH]]-NOTA[[#This Row],[DISC]])</f>
        <v>2052000</v>
      </c>
      <c r="AB580" s="52"/>
      <c r="AC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64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580" s="52">
        <f>IF(OR(NOTA[[#This Row],[QTY]]="",NOTA[[#This Row],[HARGA SATUAN]]="",),"",NOTA[[#This Row],[QTY]]*NOTA[[#This Row],[HARGA SATUAN]])</f>
        <v>2400000</v>
      </c>
      <c r="AG580" s="53">
        <f ca="1">IF(NOTA[ID_H]="","",INDEX(NOTA[TANGGAL],MATCH(,INDIRECT(ADDRESS(ROW(NOTA[TANGGAL]),COLUMN(NOTA[TANGGAL]))&amp;":"&amp;ADDRESS(ROW(),COLUMN(NOTA[TANGGAL]))),-1)))</f>
        <v>45066</v>
      </c>
      <c r="AH580" s="64" t="str">
        <f ca="1">IF(NOTA[[#This Row],[NAMA BARANG]]="","",INDEX(NOTA[SUPPLIER],MATCH(,INDIRECT(ADDRESS(ROW(NOTA[ID]),COLUMN(NOTA[ID]))&amp;":"&amp;ADDRESS(ROW(),COLUMN(NOTA[ID]))),-1)))</f>
        <v>GUNINDO</v>
      </c>
      <c r="AI580" s="64" t="str">
        <f ca="1">IF(NOTA[[#This Row],[ID_H]]="","",IF(NOTA[[#This Row],[FAKTUR]]="",INDIRECT(ADDRESS(ROW()-1,COLUMN())),NOTA[[#This Row],[FAKTUR]]))</f>
        <v>UNTANA</v>
      </c>
      <c r="AJ580" s="27">
        <f ca="1">IF(NOTA[[#This Row],[ID]]="","",COUNTIF(NOTA[ID_H],NOTA[[#This Row],[ID_H]]))</f>
        <v>3</v>
      </c>
      <c r="AK580" s="27">
        <f>IF(NOTA[[#This Row],[TGL.NOTA]]="",IF(NOTA[[#This Row],[SUPPLIER_H]]="","",AK579),MONTH(NOTA[[#This Row],[TGL.NOTA]]))</f>
        <v>5</v>
      </c>
      <c r="AL580" s="27" t="str">
        <f>LOWER(SUBSTITUTE(SUBSTITUTE(SUBSTITUTE(SUBSTITUTE(SUBSTITUTE(SUBSTITUTE(SUBSTITUTE(SUBSTITUTE(SUBSTITUTE(NOTA[NAMA BARANG]," ",),".",""),"-",""),"(",""),")",""),",",""),"/",""),"""",""),"+",""))</f>
        <v>pl8gunindo</v>
      </c>
      <c r="AM58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58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580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GUNINDOUNTANA230091445061pl8gunindo</v>
      </c>
      <c r="AP580" s="27" t="e">
        <f>IF(NOTA[[#This Row],[CONCAT4]]="","",_xlfn.IFNA(MATCH(NOTA[[#This Row],[CONCAT4]],[2]!RAW[CONCAT_H],0),FALSE))</f>
        <v>#REF!</v>
      </c>
      <c r="AQ580" s="145">
        <f>IF(NOTA[[#This Row],[CONCAT1]]="","",MATCH(NOTA[[#This Row],[CONCAT1]],[3]!db[NB NOTA_C],0)+1)</f>
        <v>2059</v>
      </c>
    </row>
    <row r="581" spans="1:43" ht="20.100000000000001" customHeight="1" x14ac:dyDescent="0.25">
      <c r="A5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>
        <f ca="1">IF(NOTA[[#This Row],[NAMA BARANG]]="","",INDEX(NOTA[ID],MATCH(,INDIRECT(ADDRESS(ROW(NOTA[ID]),COLUMN(NOTA[ID]))&amp;":"&amp;ADDRESS(ROW(),COLUMN(NOTA[ID]))),-1)))</f>
        <v>104</v>
      </c>
      <c r="E581" s="113"/>
      <c r="H581" s="54"/>
      <c r="L581" s="27" t="s">
        <v>565</v>
      </c>
      <c r="M581" s="114">
        <v>3</v>
      </c>
      <c r="N581" s="27">
        <v>180</v>
      </c>
      <c r="O581" s="27" t="s">
        <v>125</v>
      </c>
      <c r="P581" s="64">
        <v>49200</v>
      </c>
      <c r="Q581" s="79"/>
      <c r="R581" s="114" t="s">
        <v>379</v>
      </c>
      <c r="S581" s="115">
        <v>0.05</v>
      </c>
      <c r="T581" s="115">
        <v>0.1</v>
      </c>
      <c r="U581" s="52"/>
      <c r="V581" s="77"/>
      <c r="W581" s="52">
        <f>IF(NOTA[[#This Row],[HARGA/ CTN]]="",NOTA[[#This Row],[JUMLAH_H]],NOTA[[#This Row],[HARGA/ CTN]]*IF(NOTA[[#This Row],[C]]="",0,NOTA[[#This Row],[C]]))</f>
        <v>8856000</v>
      </c>
      <c r="X581" s="52">
        <f>IF(NOTA[[#This Row],[JUMLAH]]="","",NOTA[[#This Row],[JUMLAH]]*NOTA[[#This Row],[DISC 1]])</f>
        <v>442800</v>
      </c>
      <c r="Y581" s="52">
        <f>IF(NOTA[[#This Row],[JUMLAH]]="","",(NOTA[[#This Row],[JUMLAH]]-NOTA[[#This Row],[DISC 1-]])*NOTA[[#This Row],[DISC 2]])</f>
        <v>841320</v>
      </c>
      <c r="Z581" s="52">
        <f>IF(NOTA[[#This Row],[JUMLAH]]="","",NOTA[[#This Row],[DISC 1-]]+NOTA[[#This Row],[DISC 2-]])</f>
        <v>1284120</v>
      </c>
      <c r="AA581" s="52">
        <f>IF(NOTA[[#This Row],[JUMLAH]]="","",NOTA[[#This Row],[JUMLAH]]-NOTA[[#This Row],[DISC]])</f>
        <v>7571880</v>
      </c>
      <c r="AB581" s="52"/>
      <c r="AC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81" s="52">
        <f>IF(OR(NOTA[[#This Row],[QTY]]="",NOTA[[#This Row],[HARGA SATUAN]]="",),"",NOTA[[#This Row],[QTY]]*NOTA[[#This Row],[HARGA SATUAN]])</f>
        <v>8856000</v>
      </c>
      <c r="AG581" s="53">
        <f ca="1">IF(NOTA[ID_H]="","",INDEX(NOTA[TANGGAL],MATCH(,INDIRECT(ADDRESS(ROW(NOTA[TANGGAL]),COLUMN(NOTA[TANGGAL]))&amp;":"&amp;ADDRESS(ROW(),COLUMN(NOTA[TANGGAL]))),-1)))</f>
        <v>45066</v>
      </c>
      <c r="AH581" s="64" t="str">
        <f ca="1">IF(NOTA[[#This Row],[NAMA BARANG]]="","",INDEX(NOTA[SUPPLIER],MATCH(,INDIRECT(ADDRESS(ROW(NOTA[ID]),COLUMN(NOTA[ID]))&amp;":"&amp;ADDRESS(ROW(),COLUMN(NOTA[ID]))),-1)))</f>
        <v>GUNINDO</v>
      </c>
      <c r="AI581" s="64" t="str">
        <f ca="1">IF(NOTA[[#This Row],[ID_H]]="","",IF(NOTA[[#This Row],[FAKTUR]]="",INDIRECT(ADDRESS(ROW()-1,COLUMN())),NOTA[[#This Row],[FAKTUR]]))</f>
        <v>UNTANA</v>
      </c>
      <c r="AJ581" s="27" t="str">
        <f ca="1">IF(NOTA[[#This Row],[ID]]="","",COUNTIF(NOTA[ID_H],NOTA[[#This Row],[ID_H]]))</f>
        <v/>
      </c>
      <c r="AK581" s="27">
        <f ca="1">IF(NOTA[[#This Row],[TGL.NOTA]]="",IF(NOTA[[#This Row],[SUPPLIER_H]]="","",AK580),MONTH(NOTA[[#This Row],[TGL.NOTA]]))</f>
        <v>5</v>
      </c>
      <c r="AL581" s="27" t="str">
        <f>LOWER(SUBSTITUTE(SUBSTITUTE(SUBSTITUTE(SUBSTITUTE(SUBSTITUTE(SUBSTITUTE(SUBSTITUTE(SUBSTITUTE(SUBSTITUTE(NOTA[NAMA BARANG]," ",),".",""),"-",""),"(",""),")",""),",",""),"/",""),"""",""),"+",""))</f>
        <v>ossgunindo</v>
      </c>
      <c r="AM58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58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58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27" t="str">
        <f>IF(NOTA[[#This Row],[CONCAT4]]="","",_xlfn.IFNA(MATCH(NOTA[[#This Row],[CONCAT4]],[2]!RAW[CONCAT_H],0),FALSE))</f>
        <v/>
      </c>
      <c r="AQ581" s="145">
        <f>IF(NOTA[[#This Row],[CONCAT1]]="","",MATCH(NOTA[[#This Row],[CONCAT1]],[3]!db[NB NOTA_C],0)+1)</f>
        <v>1725</v>
      </c>
    </row>
    <row r="582" spans="1:43" ht="20.100000000000001" customHeight="1" x14ac:dyDescent="0.25">
      <c r="A5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66" t="str">
        <f>IF(NOTA[[#This Row],[ID_P]]="","",MATCH(NOTA[[#This Row],[ID_P]],[1]!B_MSK[N_ID],0))</f>
        <v/>
      </c>
      <c r="D582" s="66">
        <f ca="1">IF(NOTA[[#This Row],[NAMA BARANG]]="","",INDEX(NOTA[ID],MATCH(,INDIRECT(ADDRESS(ROW(NOTA[ID]),COLUMN(NOTA[ID]))&amp;":"&amp;ADDRESS(ROW(),COLUMN(NOTA[ID]))),-1)))</f>
        <v>104</v>
      </c>
      <c r="E582" s="113"/>
      <c r="H582" s="54"/>
      <c r="L582" s="27" t="s">
        <v>796</v>
      </c>
      <c r="M582" s="114">
        <v>2</v>
      </c>
      <c r="N582" s="27">
        <v>60</v>
      </c>
      <c r="O582" s="27" t="s">
        <v>125</v>
      </c>
      <c r="P582" s="64">
        <v>61000</v>
      </c>
      <c r="Q582" s="79"/>
      <c r="R582" s="114" t="s">
        <v>797</v>
      </c>
      <c r="S582" s="115">
        <v>0.05</v>
      </c>
      <c r="T582" s="115">
        <v>0.1</v>
      </c>
      <c r="U582" s="52"/>
      <c r="V582" s="77"/>
      <c r="W582" s="52">
        <f>IF(NOTA[[#This Row],[HARGA/ CTN]]="",NOTA[[#This Row],[JUMLAH_H]],NOTA[[#This Row],[HARGA/ CTN]]*IF(NOTA[[#This Row],[C]]="",0,NOTA[[#This Row],[C]]))</f>
        <v>3660000</v>
      </c>
      <c r="X582" s="52">
        <f>IF(NOTA[[#This Row],[JUMLAH]]="","",NOTA[[#This Row],[JUMLAH]]*NOTA[[#This Row],[DISC 1]])</f>
        <v>183000</v>
      </c>
      <c r="Y582" s="52">
        <f>IF(NOTA[[#This Row],[JUMLAH]]="","",(NOTA[[#This Row],[JUMLAH]]-NOTA[[#This Row],[DISC 1-]])*NOTA[[#This Row],[DISC 2]])</f>
        <v>347700</v>
      </c>
      <c r="Z582" s="52">
        <f>IF(NOTA[[#This Row],[JUMLAH]]="","",NOTA[[#This Row],[DISC 1-]]+NOTA[[#This Row],[DISC 2-]])</f>
        <v>530700</v>
      </c>
      <c r="AA582" s="52">
        <f>IF(NOTA[[#This Row],[JUMLAH]]="","",NOTA[[#This Row],[JUMLAH]]-NOTA[[#This Row],[DISC]])</f>
        <v>3129300</v>
      </c>
      <c r="AB582" s="52"/>
      <c r="AC5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2162820</v>
      </c>
      <c r="AD5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12753180</v>
      </c>
      <c r="AE582" s="64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582" s="52">
        <f>IF(OR(NOTA[[#This Row],[QTY]]="",NOTA[[#This Row],[HARGA SATUAN]]="",),"",NOTA[[#This Row],[QTY]]*NOTA[[#This Row],[HARGA SATUAN]])</f>
        <v>3660000</v>
      </c>
      <c r="AG582" s="53">
        <f ca="1">IF(NOTA[ID_H]="","",INDEX(NOTA[TANGGAL],MATCH(,INDIRECT(ADDRESS(ROW(NOTA[TANGGAL]),COLUMN(NOTA[TANGGAL]))&amp;":"&amp;ADDRESS(ROW(),COLUMN(NOTA[TANGGAL]))),-1)))</f>
        <v>45066</v>
      </c>
      <c r="AH582" s="64" t="str">
        <f ca="1">IF(NOTA[[#This Row],[NAMA BARANG]]="","",INDEX(NOTA[SUPPLIER],MATCH(,INDIRECT(ADDRESS(ROW(NOTA[ID]),COLUMN(NOTA[ID]))&amp;":"&amp;ADDRESS(ROW(),COLUMN(NOTA[ID]))),-1)))</f>
        <v>GUNINDO</v>
      </c>
      <c r="AI582" s="64" t="str">
        <f ca="1">IF(NOTA[[#This Row],[ID_H]]="","",IF(NOTA[[#This Row],[FAKTUR]]="",INDIRECT(ADDRESS(ROW()-1,COLUMN())),NOTA[[#This Row],[FAKTUR]]))</f>
        <v>UNTANA</v>
      </c>
      <c r="AJ582" s="27" t="str">
        <f ca="1">IF(NOTA[[#This Row],[ID]]="","",COUNTIF(NOTA[ID_H],NOTA[[#This Row],[ID_H]]))</f>
        <v/>
      </c>
      <c r="AK582" s="27">
        <f ca="1">IF(NOTA[[#This Row],[TGL.NOTA]]="",IF(NOTA[[#This Row],[SUPPLIER_H]]="","",AK581),MONTH(NOTA[[#This Row],[TGL.NOTA]]))</f>
        <v>5</v>
      </c>
      <c r="AL582" s="27" t="str">
        <f>LOWER(SUBSTITUTE(SUBSTITUTE(SUBSTITUTE(SUBSTITUTE(SUBSTITUTE(SUBSTITUTE(SUBSTITUTE(SUBSTITUTE(SUBSTITUTE(NOTA[NAMA BARANG]," ",),".",""),"-",""),"(",""),")",""),",",""),"/",""),"""",""),"+",""))</f>
        <v>wberaser803</v>
      </c>
      <c r="AM58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58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58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2" s="27" t="str">
        <f>IF(NOTA[[#This Row],[CONCAT4]]="","",_xlfn.IFNA(MATCH(NOTA[[#This Row],[CONCAT4]],[2]!RAW[CONCAT_H],0),FALSE))</f>
        <v/>
      </c>
      <c r="AQ582" s="145">
        <f>IF(NOTA[[#This Row],[CONCAT1]]="","",MATCH(NOTA[[#This Row],[CONCAT1]],[3]!db[NB NOTA_C],0)+1)</f>
        <v>2323</v>
      </c>
    </row>
    <row r="583" spans="1:43" ht="20.100000000000001" customHeight="1" x14ac:dyDescent="0.25">
      <c r="A5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113"/>
      <c r="H583" s="54"/>
      <c r="Q583" s="79"/>
      <c r="R583" s="114"/>
      <c r="S583" s="115"/>
      <c r="U583" s="52"/>
      <c r="V583" s="77"/>
      <c r="W583" s="52" t="str">
        <f>IF(NOTA[[#This Row],[HARGA/ CTN]]="",NOTA[[#This Row],[JUMLAH_H]],NOTA[[#This Row],[HARGA/ CTN]]*IF(NOTA[[#This Row],[C]]="",0,NOTA[[#This Row],[C]]))</f>
        <v/>
      </c>
      <c r="X583" s="52" t="str">
        <f>IF(NOTA[[#This Row],[JUMLAH]]="","",NOTA[[#This Row],[JUMLAH]]*NOTA[[#This Row],[DISC 1]])</f>
        <v/>
      </c>
      <c r="Y583" s="52" t="str">
        <f>IF(NOTA[[#This Row],[JUMLAH]]="","",(NOTA[[#This Row],[JUMLAH]]-NOTA[[#This Row],[DISC 1-]])*NOTA[[#This Row],[DISC 2]])</f>
        <v/>
      </c>
      <c r="Z583" s="52" t="str">
        <f>IF(NOTA[[#This Row],[JUMLAH]]="","",NOTA[[#This Row],[DISC 1-]]+NOTA[[#This Row],[DISC 2-]])</f>
        <v/>
      </c>
      <c r="AA583" s="52" t="str">
        <f>IF(NOTA[[#This Row],[JUMLAH]]="","",NOTA[[#This Row],[JUMLAH]]-NOTA[[#This Row],[DISC]])</f>
        <v/>
      </c>
      <c r="AB583" s="52"/>
      <c r="AC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52" t="str">
        <f>IF(OR(NOTA[[#This Row],[QTY]]="",NOTA[[#This Row],[HARGA SATUAN]]="",),"",NOTA[[#This Row],[QTY]]*NOTA[[#This Row],[HARGA SATUAN]])</f>
        <v/>
      </c>
      <c r="AG583" s="53" t="str">
        <f ca="1">IF(NOTA[ID_H]="","",INDEX(NOTA[TANGGAL],MATCH(,INDIRECT(ADDRESS(ROW(NOTA[TANGGAL]),COLUMN(NOTA[TANGGAL]))&amp;":"&amp;ADDRESS(ROW(),COLUMN(NOTA[TANGGAL]))),-1)))</f>
        <v/>
      </c>
      <c r="AH583" s="64" t="str">
        <f ca="1">IF(NOTA[[#This Row],[NAMA BARANG]]="","",INDEX(NOTA[SUPPLIER],MATCH(,INDIRECT(ADDRESS(ROW(NOTA[ID]),COLUMN(NOTA[ID]))&amp;":"&amp;ADDRESS(ROW(),COLUMN(NOTA[ID]))),-1)))</f>
        <v/>
      </c>
      <c r="AI583" s="64" t="str">
        <f ca="1">IF(NOTA[[#This Row],[ID_H]]="","",IF(NOTA[[#This Row],[FAKTUR]]="",INDIRECT(ADDRESS(ROW()-1,COLUMN())),NOTA[[#This Row],[FAKTUR]]))</f>
        <v/>
      </c>
      <c r="AJ583" s="27" t="str">
        <f ca="1">IF(NOTA[[#This Row],[ID]]="","",COUNTIF(NOTA[ID_H],NOTA[[#This Row],[ID_H]]))</f>
        <v/>
      </c>
      <c r="AK583" s="27" t="str">
        <f ca="1">IF(NOTA[[#This Row],[TGL.NOTA]]="",IF(NOTA[[#This Row],[SUPPLIER_H]]="","",AK582),MONTH(NOTA[[#This Row],[TGL.NOTA]]))</f>
        <v/>
      </c>
      <c r="AL583" s="27" t="str">
        <f>LOWER(SUBSTITUTE(SUBSTITUTE(SUBSTITUTE(SUBSTITUTE(SUBSTITUTE(SUBSTITUTE(SUBSTITUTE(SUBSTITUTE(SUBSTITUTE(NOTA[NAMA BARANG]," ",),".",""),"-",""),"(",""),")",""),",",""),"/",""),"""",""),"+",""))</f>
        <v/>
      </c>
      <c r="AM58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27" t="str">
        <f>IF(NOTA[[#This Row],[CONCAT4]]="","",_xlfn.IFNA(MATCH(NOTA[[#This Row],[CONCAT4]],[2]!RAW[CONCAT_H],0),FALSE))</f>
        <v/>
      </c>
      <c r="AQ583" s="145" t="str">
        <f>IF(NOTA[[#This Row],[CONCAT1]]="","",MATCH(NOTA[[#This Row],[CONCAT1]],[3]!db[NB NOTA_C],0)+1)</f>
        <v/>
      </c>
    </row>
    <row r="584" spans="1:43" ht="20.100000000000001" customHeight="1" x14ac:dyDescent="0.25">
      <c r="A584" s="64">
        <f ca="1">IF(INDIRECT(ADDRESS(ROW()-1,COLUMN(NOTA[[#Headers],[ID]])))="ID",1,IF(NOTA[[#This Row],[FAKTUR]]="","",COUNT(INDIRECT(ADDRESS(ROW(NOTA[ID]),COLUMN(NOTA[ID]))&amp;":"&amp;ADDRESS(ROW()-1,COLUMN(NOTA[ID]))))+1))</f>
        <v>105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GUN_2005_924-1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105</v>
      </c>
      <c r="E584" s="113"/>
      <c r="F584" s="27" t="s">
        <v>563</v>
      </c>
      <c r="G584" s="27" t="s">
        <v>112</v>
      </c>
      <c r="H584" s="54" t="s">
        <v>798</v>
      </c>
      <c r="J584" s="53">
        <v>45062</v>
      </c>
      <c r="L584" s="27" t="s">
        <v>799</v>
      </c>
      <c r="M584" s="114">
        <v>4</v>
      </c>
      <c r="N584" s="27">
        <v>120</v>
      </c>
      <c r="O584" s="27" t="s">
        <v>125</v>
      </c>
      <c r="P584" s="64">
        <v>70000</v>
      </c>
      <c r="Q584" s="79"/>
      <c r="R584" s="114" t="s">
        <v>797</v>
      </c>
      <c r="S584" s="115">
        <v>0.05</v>
      </c>
      <c r="T584" s="115">
        <v>0.1</v>
      </c>
      <c r="U584" s="52"/>
      <c r="V584" s="77"/>
      <c r="W584" s="52">
        <f>IF(NOTA[[#This Row],[HARGA/ CTN]]="",NOTA[[#This Row],[JUMLAH_H]],NOTA[[#This Row],[HARGA/ CTN]]*IF(NOTA[[#This Row],[C]]="",0,NOTA[[#This Row],[C]]))</f>
        <v>8400000</v>
      </c>
      <c r="X584" s="52">
        <f>IF(NOTA[[#This Row],[JUMLAH]]="","",NOTA[[#This Row],[JUMLAH]]*NOTA[[#This Row],[DISC 1]])</f>
        <v>420000</v>
      </c>
      <c r="Y584" s="52">
        <f>IF(NOTA[[#This Row],[JUMLAH]]="","",(NOTA[[#This Row],[JUMLAH]]-NOTA[[#This Row],[DISC 1-]])*NOTA[[#This Row],[DISC 2]])</f>
        <v>798000</v>
      </c>
      <c r="Z584" s="52">
        <f>IF(NOTA[[#This Row],[JUMLAH]]="","",NOTA[[#This Row],[DISC 1-]]+NOTA[[#This Row],[DISC 2-]])</f>
        <v>1218000</v>
      </c>
      <c r="AA584" s="52">
        <f>IF(NOTA[[#This Row],[JUMLAH]]="","",NOTA[[#This Row],[JUMLAH]]-NOTA[[#This Row],[DISC]])</f>
        <v>7182000</v>
      </c>
      <c r="AB584" s="52"/>
      <c r="AC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1218000</v>
      </c>
      <c r="AD58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</v>
      </c>
      <c r="AE584" s="64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584" s="52">
        <f>IF(OR(NOTA[[#This Row],[QTY]]="",NOTA[[#This Row],[HARGA SATUAN]]="",),"",NOTA[[#This Row],[QTY]]*NOTA[[#This Row],[HARGA SATUAN]])</f>
        <v>8400000</v>
      </c>
      <c r="AG584" s="53">
        <f ca="1">IF(NOTA[ID_H]="","",INDEX(NOTA[TANGGAL],MATCH(,INDIRECT(ADDRESS(ROW(NOTA[TANGGAL]),COLUMN(NOTA[TANGGAL]))&amp;":"&amp;ADDRESS(ROW(),COLUMN(NOTA[TANGGAL]))),-1)))</f>
        <v>45066</v>
      </c>
      <c r="AH584" s="64" t="str">
        <f ca="1">IF(NOTA[[#This Row],[NAMA BARANG]]="","",INDEX(NOTA[SUPPLIER],MATCH(,INDIRECT(ADDRESS(ROW(NOTA[ID]),COLUMN(NOTA[ID]))&amp;":"&amp;ADDRESS(ROW(),COLUMN(NOTA[ID]))),-1)))</f>
        <v>GUNINDO</v>
      </c>
      <c r="AI584" s="64" t="str">
        <f ca="1">IF(NOTA[[#This Row],[ID_H]]="","",IF(NOTA[[#This Row],[FAKTUR]]="",INDIRECT(ADDRESS(ROW()-1,COLUMN())),NOTA[[#This Row],[FAKTUR]]))</f>
        <v>UNTANA</v>
      </c>
      <c r="AJ584" s="27">
        <f ca="1">IF(NOTA[[#This Row],[ID]]="","",COUNTIF(NOTA[ID_H],NOTA[[#This Row],[ID_H]]))</f>
        <v>1</v>
      </c>
      <c r="AK584" s="27">
        <f>IF(NOTA[[#This Row],[TGL.NOTA]]="",IF(NOTA[[#This Row],[SUPPLIER_H]]="","",AK583),MONTH(NOTA[[#This Row],[TGL.NOTA]]))</f>
        <v>5</v>
      </c>
      <c r="AL584" s="27" t="str">
        <f>LOWER(SUBSTITUTE(SUBSTITUTE(SUBSTITUTE(SUBSTITUTE(SUBSTITUTE(SUBSTITUTE(SUBSTITUTE(SUBSTITUTE(SUBSTITUTE(NOTA[NAMA BARANG]," ",),".",""),"-",""),"(",""),")",""),",",""),"/",""),"""",""),"+",""))</f>
        <v>ollgunindo</v>
      </c>
      <c r="AM58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58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584" s="27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GUNINDOUNTANA230092445062ollgunindo</v>
      </c>
      <c r="AP584" s="27" t="e">
        <f>IF(NOTA[[#This Row],[CONCAT4]]="","",_xlfn.IFNA(MATCH(NOTA[[#This Row],[CONCAT4]],[2]!RAW[CONCAT_H],0),FALSE))</f>
        <v>#REF!</v>
      </c>
      <c r="AQ584" s="145">
        <f>IF(NOTA[[#This Row],[CONCAT1]]="","",MATCH(NOTA[[#This Row],[CONCAT1]],[3]!db[NB NOTA_C],0)+1)</f>
        <v>1711</v>
      </c>
    </row>
    <row r="585" spans="1:43" ht="20.100000000000001" customHeight="1" x14ac:dyDescent="0.25">
      <c r="A5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 t="str">
        <f ca="1">IF(NOTA[[#This Row],[NAMA BARANG]]="","",INDEX(NOTA[ID],MATCH(,INDIRECT(ADDRESS(ROW(NOTA[ID]),COLUMN(NOTA[ID]))&amp;":"&amp;ADDRESS(ROW(),COLUMN(NOTA[ID]))),-1)))</f>
        <v/>
      </c>
      <c r="E585" s="113"/>
      <c r="H585" s="54"/>
      <c r="Q585" s="79"/>
      <c r="R585" s="114"/>
      <c r="S585" s="115"/>
      <c r="U585" s="52"/>
      <c r="V585" s="77"/>
      <c r="W585" s="52" t="str">
        <f>IF(NOTA[[#This Row],[HARGA/ CTN]]="",NOTA[[#This Row],[JUMLAH_H]],NOTA[[#This Row],[HARGA/ CTN]]*IF(NOTA[[#This Row],[C]]="",0,NOTA[[#This Row],[C]]))</f>
        <v/>
      </c>
      <c r="X585" s="52" t="str">
        <f>IF(NOTA[[#This Row],[JUMLAH]]="","",NOTA[[#This Row],[JUMLAH]]*NOTA[[#This Row],[DISC 1]])</f>
        <v/>
      </c>
      <c r="Y585" s="52" t="str">
        <f>IF(NOTA[[#This Row],[JUMLAH]]="","",(NOTA[[#This Row],[JUMLAH]]-NOTA[[#This Row],[DISC 1-]])*NOTA[[#This Row],[DISC 2]])</f>
        <v/>
      </c>
      <c r="Z585" s="52" t="str">
        <f>IF(NOTA[[#This Row],[JUMLAH]]="","",NOTA[[#This Row],[DISC 1-]]+NOTA[[#This Row],[DISC 2-]])</f>
        <v/>
      </c>
      <c r="AA585" s="52" t="str">
        <f>IF(NOTA[[#This Row],[JUMLAH]]="","",NOTA[[#This Row],[JUMLAH]]-NOTA[[#This Row],[DISC]])</f>
        <v/>
      </c>
      <c r="AB585" s="52"/>
      <c r="AC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5" s="52" t="str">
        <f>IF(OR(NOTA[[#This Row],[QTY]]="",NOTA[[#This Row],[HARGA SATUAN]]="",),"",NOTA[[#This Row],[QTY]]*NOTA[[#This Row],[HARGA SATUAN]])</f>
        <v/>
      </c>
      <c r="AG585" s="53" t="str">
        <f ca="1">IF(NOTA[ID_H]="","",INDEX(NOTA[TANGGAL],MATCH(,INDIRECT(ADDRESS(ROW(NOTA[TANGGAL]),COLUMN(NOTA[TANGGAL]))&amp;":"&amp;ADDRESS(ROW(),COLUMN(NOTA[TANGGAL]))),-1)))</f>
        <v/>
      </c>
      <c r="AH585" s="64" t="str">
        <f ca="1">IF(NOTA[[#This Row],[NAMA BARANG]]="","",INDEX(NOTA[SUPPLIER],MATCH(,INDIRECT(ADDRESS(ROW(NOTA[ID]),COLUMN(NOTA[ID]))&amp;":"&amp;ADDRESS(ROW(),COLUMN(NOTA[ID]))),-1)))</f>
        <v/>
      </c>
      <c r="AI585" s="64" t="str">
        <f ca="1">IF(NOTA[[#This Row],[ID_H]]="","",IF(NOTA[[#This Row],[FAKTUR]]="",INDIRECT(ADDRESS(ROW()-1,COLUMN())),NOTA[[#This Row],[FAKTUR]]))</f>
        <v/>
      </c>
      <c r="AJ585" s="27" t="str">
        <f ca="1">IF(NOTA[[#This Row],[ID]]="","",COUNTIF(NOTA[ID_H],NOTA[[#This Row],[ID_H]]))</f>
        <v/>
      </c>
      <c r="AK585" s="27" t="str">
        <f ca="1">IF(NOTA[[#This Row],[TGL.NOTA]]="",IF(NOTA[[#This Row],[SUPPLIER_H]]="","",AK584),MONTH(NOTA[[#This Row],[TGL.NOTA]]))</f>
        <v/>
      </c>
      <c r="AL585" s="27" t="str">
        <f>LOWER(SUBSTITUTE(SUBSTITUTE(SUBSTITUTE(SUBSTITUTE(SUBSTITUTE(SUBSTITUTE(SUBSTITUTE(SUBSTITUTE(SUBSTITUTE(NOTA[NAMA BARANG]," ",),".",""),"-",""),"(",""),")",""),",",""),"/",""),"""",""),"+",""))</f>
        <v/>
      </c>
      <c r="AM58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27" t="str">
        <f>IF(NOTA[[#This Row],[CONCAT4]]="","",_xlfn.IFNA(MATCH(NOTA[[#This Row],[CONCAT4]],[2]!RAW[CONCAT_H],0),FALSE))</f>
        <v/>
      </c>
      <c r="AQ585" s="145" t="str">
        <f>IF(NOTA[[#This Row],[CONCAT1]]="","",MATCH(NOTA[[#This Row],[CONCAT1]],[3]!db[NB NOTA_C],0)+1)</f>
        <v/>
      </c>
    </row>
    <row r="586" spans="1:43" ht="20.100000000000001" customHeight="1" x14ac:dyDescent="0.25">
      <c r="A586" s="103">
        <f ca="1">IF(INDIRECT(ADDRESS(ROW()-1,COLUMN(NOTA[[#Headers],[ID]])))="ID",1,IF(NOTA[[#This Row],[FAKTUR]]="","",COUNT(INDIRECT(ADDRESS(ROW(NOTA[ID]),COLUMN(NOTA[ID]))&amp;":"&amp;ADDRESS(ROW()-1,COLUMN(NOTA[ID]))))+1))</f>
        <v>106</v>
      </c>
      <c r="B5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ATA_2205_813-11</v>
      </c>
      <c r="C586" s="66" t="e">
        <f ca="1">IF(NOTA[[#This Row],[ID_P]]="","",MATCH(NOTA[[#This Row],[ID_P]],[1]!B_MSK[N_ID],0))</f>
        <v>#REF!</v>
      </c>
      <c r="D586" s="66">
        <f ca="1">IF(NOTA[[#This Row],[NAMA BARANG]]="","",INDEX(NOTA[ID],MATCH(,INDIRECT(ADDRESS(ROW(NOTA[ID]),COLUMN(NOTA[ID]))&amp;":"&amp;ADDRESS(ROW(),COLUMN(NOTA[ID]))),-1)))</f>
        <v>106</v>
      </c>
      <c r="E586" s="113">
        <v>45068</v>
      </c>
      <c r="F586" s="27" t="s">
        <v>25</v>
      </c>
      <c r="G586" s="27" t="s">
        <v>24</v>
      </c>
      <c r="H586" s="54" t="s">
        <v>802</v>
      </c>
      <c r="J586" s="53">
        <v>45063</v>
      </c>
      <c r="L586" s="27" t="s">
        <v>803</v>
      </c>
      <c r="M586" s="114">
        <v>1</v>
      </c>
      <c r="N586" s="27">
        <v>180</v>
      </c>
      <c r="O586" s="27" t="s">
        <v>262</v>
      </c>
      <c r="P586" s="64">
        <v>9000</v>
      </c>
      <c r="Q586" s="79"/>
      <c r="R586" s="114" t="s">
        <v>804</v>
      </c>
      <c r="S586" s="115">
        <v>0.125</v>
      </c>
      <c r="T586" s="115">
        <v>0.05</v>
      </c>
      <c r="U586" s="52"/>
      <c r="V586" s="77"/>
      <c r="W586" s="52">
        <f>IF(NOTA[[#This Row],[HARGA/ CTN]]="",NOTA[[#This Row],[JUMLAH_H]],NOTA[[#This Row],[HARGA/ CTN]]*IF(NOTA[[#This Row],[C]]="",0,NOTA[[#This Row],[C]]))</f>
        <v>1620000</v>
      </c>
      <c r="X586" s="52">
        <f>IF(NOTA[[#This Row],[JUMLAH]]="","",NOTA[[#This Row],[JUMLAH]]*NOTA[[#This Row],[DISC 1]])</f>
        <v>202500</v>
      </c>
      <c r="Y586" s="52">
        <f>IF(NOTA[[#This Row],[JUMLAH]]="","",(NOTA[[#This Row],[JUMLAH]]-NOTA[[#This Row],[DISC 1-]])*NOTA[[#This Row],[DISC 2]])</f>
        <v>70875</v>
      </c>
      <c r="Z586" s="52">
        <f>IF(NOTA[[#This Row],[JUMLAH]]="","",NOTA[[#This Row],[DISC 1-]]+NOTA[[#This Row],[DISC 2-]])</f>
        <v>273375</v>
      </c>
      <c r="AA586" s="52">
        <f>IF(NOTA[[#This Row],[JUMLAH]]="","",NOTA[[#This Row],[JUMLAH]]-NOTA[[#This Row],[DISC]])</f>
        <v>1346625</v>
      </c>
      <c r="AB586" s="52"/>
      <c r="AC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4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586" s="52">
        <f>IF(OR(NOTA[[#This Row],[QTY]]="",NOTA[[#This Row],[HARGA SATUAN]]="",),"",NOTA[[#This Row],[QTY]]*NOTA[[#This Row],[HARGA SATUAN]])</f>
        <v>1620000</v>
      </c>
      <c r="AG586" s="53">
        <f ca="1">IF(NOTA[ID_H]="","",INDEX(NOTA[TANGGAL],MATCH(,INDIRECT(ADDRESS(ROW(NOTA[TANGGAL]),COLUMN(NOTA[TANGGAL]))&amp;":"&amp;ADDRESS(ROW(),COLUMN(NOTA[TANGGAL]))),-1)))</f>
        <v>45068</v>
      </c>
      <c r="AH586" s="64" t="str">
        <f ca="1">IF(NOTA[[#This Row],[NAMA BARANG]]="","",INDEX(NOTA[SUPPLIER],MATCH(,INDIRECT(ADDRESS(ROW(NOTA[ID]),COLUMN(NOTA[ID]))&amp;":"&amp;ADDRESS(ROW(),COLUMN(NOTA[ID]))),-1)))</f>
        <v>ATALI MAKMUR</v>
      </c>
      <c r="AI586" s="64" t="str">
        <f ca="1">IF(NOTA[[#This Row],[ID_H]]="","",IF(NOTA[[#This Row],[FAKTUR]]="",INDIRECT(ADDRESS(ROW()-1,COLUMN())),NOTA[[#This Row],[FAKTUR]]))</f>
        <v>ARTO MORO</v>
      </c>
      <c r="AJ586" s="27">
        <f ca="1">IF(NOTA[[#This Row],[ID]]="","",COUNTIF(NOTA[ID_H],NOTA[[#This Row],[ID_H]]))</f>
        <v>11</v>
      </c>
      <c r="AK586" s="27">
        <f>IF(NOTA[[#This Row],[TGL.NOTA]]="",IF(NOTA[[#This Row],[SUPPLIER_H]]="","",AK585),MONTH(NOTA[[#This Row],[TGL.NOTA]]))</f>
        <v>5</v>
      </c>
      <c r="AL586" s="27" t="str">
        <f>LOWER(SUBSTITUTE(SUBSTITUTE(SUBSTITUTE(SUBSTITUTE(SUBSTITUTE(SUBSTITUTE(SUBSTITUTE(SUBSTITUTE(SUBSTITUTE(NOTA[NAMA BARANG]," ",),".",""),"-",""),"(",""),")",""),",",""),"/",""),"""",""),"+",""))</f>
        <v>sharpenersp362jk</v>
      </c>
      <c r="AM58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58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586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MOROSA23050781345063sharpenersp362jk</v>
      </c>
      <c r="AP586" s="27" t="e">
        <f>IF(NOTA[[#This Row],[CONCAT4]]="","",_xlfn.IFNA(MATCH(NOTA[[#This Row],[CONCAT4]],[2]!RAW[CONCAT_H],0),FALSE))</f>
        <v>#REF!</v>
      </c>
      <c r="AQ586" s="145">
        <f>IF(NOTA[[#This Row],[CONCAT1]]="","",MATCH(NOTA[[#This Row],[CONCAT1]],[3]!db[NB NOTA_C],0)+1)</f>
        <v>2154</v>
      </c>
    </row>
    <row r="587" spans="1:43" ht="20.100000000000001" customHeight="1" x14ac:dyDescent="0.25">
      <c r="A5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66" t="str">
        <f>IF(NOTA[[#This Row],[ID_P]]="","",MATCH(NOTA[[#This Row],[ID_P]],[1]!B_MSK[N_ID],0))</f>
        <v/>
      </c>
      <c r="D587" s="66">
        <f ca="1">IF(NOTA[[#This Row],[NAMA BARANG]]="","",INDEX(NOTA[ID],MATCH(,INDIRECT(ADDRESS(ROW(NOTA[ID]),COLUMN(NOTA[ID]))&amp;":"&amp;ADDRESS(ROW(),COLUMN(NOTA[ID]))),-1)))</f>
        <v>106</v>
      </c>
      <c r="E587" s="113"/>
      <c r="H587" s="54"/>
      <c r="L587" s="27" t="s">
        <v>621</v>
      </c>
      <c r="M587" s="114">
        <v>1</v>
      </c>
      <c r="N587" s="27">
        <v>216</v>
      </c>
      <c r="O587" s="27" t="s">
        <v>160</v>
      </c>
      <c r="P587" s="64">
        <v>4900</v>
      </c>
      <c r="Q587" s="79"/>
      <c r="R587" s="114" t="s">
        <v>622</v>
      </c>
      <c r="S587" s="115">
        <v>0.125</v>
      </c>
      <c r="T587" s="115">
        <v>0.05</v>
      </c>
      <c r="U587" s="52"/>
      <c r="V587" s="77"/>
      <c r="W587" s="52">
        <f>IF(NOTA[[#This Row],[HARGA/ CTN]]="",NOTA[[#This Row],[JUMLAH_H]],NOTA[[#This Row],[HARGA/ CTN]]*IF(NOTA[[#This Row],[C]]="",0,NOTA[[#This Row],[C]]))</f>
        <v>1058400</v>
      </c>
      <c r="X587" s="52">
        <f>IF(NOTA[[#This Row],[JUMLAH]]="","",NOTA[[#This Row],[JUMLAH]]*NOTA[[#This Row],[DISC 1]])</f>
        <v>132300</v>
      </c>
      <c r="Y587" s="52">
        <f>IF(NOTA[[#This Row],[JUMLAH]]="","",(NOTA[[#This Row],[JUMLAH]]-NOTA[[#This Row],[DISC 1-]])*NOTA[[#This Row],[DISC 2]])</f>
        <v>46305</v>
      </c>
      <c r="Z587" s="52">
        <f>IF(NOTA[[#This Row],[JUMLAH]]="","",NOTA[[#This Row],[DISC 1-]]+NOTA[[#This Row],[DISC 2-]])</f>
        <v>178605</v>
      </c>
      <c r="AA587" s="52">
        <f>IF(NOTA[[#This Row],[JUMLAH]]="","",NOTA[[#This Row],[JUMLAH]]-NOTA[[#This Row],[DISC]])</f>
        <v>879795</v>
      </c>
      <c r="AB587" s="52"/>
      <c r="AC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64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F587" s="52">
        <f>IF(OR(NOTA[[#This Row],[QTY]]="",NOTA[[#This Row],[HARGA SATUAN]]="",),"",NOTA[[#This Row],[QTY]]*NOTA[[#This Row],[HARGA SATUAN]])</f>
        <v>1058400</v>
      </c>
      <c r="AG587" s="53">
        <f ca="1">IF(NOTA[ID_H]="","",INDEX(NOTA[TANGGAL],MATCH(,INDIRECT(ADDRESS(ROW(NOTA[TANGGAL]),COLUMN(NOTA[TANGGAL]))&amp;":"&amp;ADDRESS(ROW(),COLUMN(NOTA[TANGGAL]))),-1)))</f>
        <v>45068</v>
      </c>
      <c r="AH587" s="64" t="str">
        <f ca="1">IF(NOTA[[#This Row],[NAMA BARANG]]="","",INDEX(NOTA[SUPPLIER],MATCH(,INDIRECT(ADDRESS(ROW(NOTA[ID]),COLUMN(NOTA[ID]))&amp;":"&amp;ADDRESS(ROW(),COLUMN(NOTA[ID]))),-1)))</f>
        <v>ATALI MAKMUR</v>
      </c>
      <c r="AI587" s="64" t="str">
        <f ca="1">IF(NOTA[[#This Row],[ID_H]]="","",IF(NOTA[[#This Row],[FAKTUR]]="",INDIRECT(ADDRESS(ROW()-1,COLUMN())),NOTA[[#This Row],[FAKTUR]]))</f>
        <v>ARTO MORO</v>
      </c>
      <c r="AJ587" s="27" t="str">
        <f ca="1">IF(NOTA[[#This Row],[ID]]="","",COUNTIF(NOTA[ID_H],NOTA[[#This Row],[ID_H]]))</f>
        <v/>
      </c>
      <c r="AK587" s="27">
        <f ca="1">IF(NOTA[[#This Row],[TGL.NOTA]]="",IF(NOTA[[#This Row],[SUPPLIER_H]]="","",AK586),MONTH(NOTA[[#This Row],[TGL.NOTA]]))</f>
        <v>5</v>
      </c>
      <c r="AL587" s="27" t="str">
        <f>LOWER(SUBSTITUTE(SUBSTITUTE(SUBSTITUTE(SUBSTITUTE(SUBSTITUTE(SUBSTITUTE(SUBSTITUTE(SUBSTITUTE(SUBSTITUTE(NOTA[NAMA BARANG]," ",),".",""),"-",""),"(",""),")",""),",",""),"/",""),"""",""),"+",""))</f>
        <v>stamppadno0jk</v>
      </c>
      <c r="AM58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stamppadno0jk10584000.1250.05</v>
      </c>
      <c r="AN58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stamppadno0jk10584000.1250.05</v>
      </c>
      <c r="AO58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27" t="str">
        <f>IF(NOTA[[#This Row],[CONCAT4]]="","",_xlfn.IFNA(MATCH(NOTA[[#This Row],[CONCAT4]],[2]!RAW[CONCAT_H],0),FALSE))</f>
        <v/>
      </c>
      <c r="AQ587" s="145">
        <f>IF(NOTA[[#This Row],[CONCAT1]]="","",MATCH(NOTA[[#This Row],[CONCAT1]],[3]!db[NB NOTA_C],0)+1)</f>
        <v>2170</v>
      </c>
    </row>
    <row r="588" spans="1:43" ht="20.100000000000001" customHeight="1" x14ac:dyDescent="0.25">
      <c r="A5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>
        <f ca="1">IF(NOTA[[#This Row],[NAMA BARANG]]="","",INDEX(NOTA[ID],MATCH(,INDIRECT(ADDRESS(ROW(NOTA[ID]),COLUMN(NOTA[ID]))&amp;":"&amp;ADDRESS(ROW(),COLUMN(NOTA[ID]))),-1)))</f>
        <v>106</v>
      </c>
      <c r="E588" s="113"/>
      <c r="H588" s="54"/>
      <c r="L588" s="27" t="s">
        <v>274</v>
      </c>
      <c r="M588" s="114">
        <v>1</v>
      </c>
      <c r="N588" s="27">
        <v>144</v>
      </c>
      <c r="O588" s="27" t="s">
        <v>252</v>
      </c>
      <c r="P588" s="64">
        <v>18600</v>
      </c>
      <c r="Q588" s="79"/>
      <c r="R588" s="114" t="s">
        <v>273</v>
      </c>
      <c r="S588" s="115">
        <v>0.125</v>
      </c>
      <c r="T588" s="115">
        <v>0.05</v>
      </c>
      <c r="U588" s="52"/>
      <c r="V588" s="77"/>
      <c r="W588" s="52">
        <f>IF(NOTA[[#This Row],[HARGA/ CTN]]="",NOTA[[#This Row],[JUMLAH_H]],NOTA[[#This Row],[HARGA/ CTN]]*IF(NOTA[[#This Row],[C]]="",0,NOTA[[#This Row],[C]]))</f>
        <v>2678400</v>
      </c>
      <c r="X588" s="52">
        <f>IF(NOTA[[#This Row],[JUMLAH]]="","",NOTA[[#This Row],[JUMLAH]]*NOTA[[#This Row],[DISC 1]])</f>
        <v>334800</v>
      </c>
      <c r="Y588" s="52">
        <f>IF(NOTA[[#This Row],[JUMLAH]]="","",(NOTA[[#This Row],[JUMLAH]]-NOTA[[#This Row],[DISC 1-]])*NOTA[[#This Row],[DISC 2]])</f>
        <v>117180</v>
      </c>
      <c r="Z588" s="52">
        <f>IF(NOTA[[#This Row],[JUMLAH]]="","",NOTA[[#This Row],[DISC 1-]]+NOTA[[#This Row],[DISC 2-]])</f>
        <v>451980</v>
      </c>
      <c r="AA588" s="52">
        <f>IF(NOTA[[#This Row],[JUMLAH]]="","",NOTA[[#This Row],[JUMLAH]]-NOTA[[#This Row],[DISC]])</f>
        <v>2226420</v>
      </c>
      <c r="AB588" s="52"/>
      <c r="AC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588" s="52">
        <f>IF(OR(NOTA[[#This Row],[QTY]]="",NOTA[[#This Row],[HARGA SATUAN]]="",),"",NOTA[[#This Row],[QTY]]*NOTA[[#This Row],[HARGA SATUAN]])</f>
        <v>2678400</v>
      </c>
      <c r="AG588" s="53">
        <f ca="1">IF(NOTA[ID_H]="","",INDEX(NOTA[TANGGAL],MATCH(,INDIRECT(ADDRESS(ROW(NOTA[TANGGAL]),COLUMN(NOTA[TANGGAL]))&amp;":"&amp;ADDRESS(ROW(),COLUMN(NOTA[TANGGAL]))),-1)))</f>
        <v>45068</v>
      </c>
      <c r="AH588" s="64" t="str">
        <f ca="1">IF(NOTA[[#This Row],[NAMA BARANG]]="","",INDEX(NOTA[SUPPLIER],MATCH(,INDIRECT(ADDRESS(ROW(NOTA[ID]),COLUMN(NOTA[ID]))&amp;":"&amp;ADDRESS(ROW(),COLUMN(NOTA[ID]))),-1)))</f>
        <v>ATALI MAKMUR</v>
      </c>
      <c r="AI588" s="64" t="str">
        <f ca="1">IF(NOTA[[#This Row],[ID_H]]="","",IF(NOTA[[#This Row],[FAKTUR]]="",INDIRECT(ADDRESS(ROW()-1,COLUMN())),NOTA[[#This Row],[FAKTUR]]))</f>
        <v>ARTO MORO</v>
      </c>
      <c r="AJ588" s="27" t="str">
        <f ca="1">IF(NOTA[[#This Row],[ID]]="","",COUNTIF(NOTA[ID_H],NOTA[[#This Row],[ID_H]]))</f>
        <v/>
      </c>
      <c r="AK588" s="27">
        <f ca="1">IF(NOTA[[#This Row],[TGL.NOTA]]="",IF(NOTA[[#This Row],[SUPPLIER_H]]="","",AK587),MONTH(NOTA[[#This Row],[TGL.NOTA]]))</f>
        <v>5</v>
      </c>
      <c r="AL588" s="27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58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58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58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27" t="str">
        <f>IF(NOTA[[#This Row],[CONCAT4]]="","",_xlfn.IFNA(MATCH(NOTA[[#This Row],[CONCAT4]],[2]!RAW[CONCAT_H],0),FALSE))</f>
        <v/>
      </c>
      <c r="AQ588" s="145">
        <f>IF(NOTA[[#This Row],[CONCAT1]]="","",MATCH(NOTA[[#This Row],[CONCAT1]],[3]!db[NB NOTA_C],0)+1)</f>
        <v>601</v>
      </c>
    </row>
    <row r="589" spans="1:43" ht="20.100000000000001" customHeight="1" x14ac:dyDescent="0.25">
      <c r="A5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66" t="str">
        <f>IF(NOTA[[#This Row],[ID_P]]="","",MATCH(NOTA[[#This Row],[ID_P]],[1]!B_MSK[N_ID],0))</f>
        <v/>
      </c>
      <c r="D589" s="66">
        <f ca="1">IF(NOTA[[#This Row],[NAMA BARANG]]="","",INDEX(NOTA[ID],MATCH(,INDIRECT(ADDRESS(ROW(NOTA[ID]),COLUMN(NOTA[ID]))&amp;":"&amp;ADDRESS(ROW(),COLUMN(NOTA[ID]))),-1)))</f>
        <v>106</v>
      </c>
      <c r="E589" s="113"/>
      <c r="H589" s="54"/>
      <c r="L589" s="27" t="s">
        <v>637</v>
      </c>
      <c r="M589" s="114">
        <v>2</v>
      </c>
      <c r="N589" s="27">
        <v>48</v>
      </c>
      <c r="O589" s="27" t="s">
        <v>146</v>
      </c>
      <c r="P589" s="64">
        <v>89400</v>
      </c>
      <c r="Q589" s="79"/>
      <c r="R589" s="114" t="s">
        <v>236</v>
      </c>
      <c r="S589" s="115">
        <v>0.125</v>
      </c>
      <c r="T589" s="115">
        <v>0.05</v>
      </c>
      <c r="U589" s="52"/>
      <c r="V589" s="77"/>
      <c r="W589" s="52">
        <f>IF(NOTA[[#This Row],[HARGA/ CTN]]="",NOTA[[#This Row],[JUMLAH_H]],NOTA[[#This Row],[HARGA/ CTN]]*IF(NOTA[[#This Row],[C]]="",0,NOTA[[#This Row],[C]]))</f>
        <v>4291200</v>
      </c>
      <c r="X589" s="52">
        <f>IF(NOTA[[#This Row],[JUMLAH]]="","",NOTA[[#This Row],[JUMLAH]]*NOTA[[#This Row],[DISC 1]])</f>
        <v>536400</v>
      </c>
      <c r="Y589" s="52">
        <f>IF(NOTA[[#This Row],[JUMLAH]]="","",(NOTA[[#This Row],[JUMLAH]]-NOTA[[#This Row],[DISC 1-]])*NOTA[[#This Row],[DISC 2]])</f>
        <v>187740</v>
      </c>
      <c r="Z589" s="52">
        <f>IF(NOTA[[#This Row],[JUMLAH]]="","",NOTA[[#This Row],[DISC 1-]]+NOTA[[#This Row],[DISC 2-]])</f>
        <v>724140</v>
      </c>
      <c r="AA589" s="52">
        <f>IF(NOTA[[#This Row],[JUMLAH]]="","",NOTA[[#This Row],[JUMLAH]]-NOTA[[#This Row],[DISC]])</f>
        <v>3567060</v>
      </c>
      <c r="AB589" s="52"/>
      <c r="AC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589" s="52">
        <f>IF(OR(NOTA[[#This Row],[QTY]]="",NOTA[[#This Row],[HARGA SATUAN]]="",),"",NOTA[[#This Row],[QTY]]*NOTA[[#This Row],[HARGA SATUAN]])</f>
        <v>4291200</v>
      </c>
      <c r="AG589" s="53">
        <f ca="1">IF(NOTA[ID_H]="","",INDEX(NOTA[TANGGAL],MATCH(,INDIRECT(ADDRESS(ROW(NOTA[TANGGAL]),COLUMN(NOTA[TANGGAL]))&amp;":"&amp;ADDRESS(ROW(),COLUMN(NOTA[TANGGAL]))),-1)))</f>
        <v>45068</v>
      </c>
      <c r="AH589" s="64" t="str">
        <f ca="1">IF(NOTA[[#This Row],[NAMA BARANG]]="","",INDEX(NOTA[SUPPLIER],MATCH(,INDIRECT(ADDRESS(ROW(NOTA[ID]),COLUMN(NOTA[ID]))&amp;":"&amp;ADDRESS(ROW(),COLUMN(NOTA[ID]))),-1)))</f>
        <v>ATALI MAKMUR</v>
      </c>
      <c r="AI589" s="64" t="str">
        <f ca="1">IF(NOTA[[#This Row],[ID_H]]="","",IF(NOTA[[#This Row],[FAKTUR]]="",INDIRECT(ADDRESS(ROW()-1,COLUMN())),NOTA[[#This Row],[FAKTUR]]))</f>
        <v>ARTO MORO</v>
      </c>
      <c r="AJ589" s="27" t="str">
        <f ca="1">IF(NOTA[[#This Row],[ID]]="","",COUNTIF(NOTA[ID_H],NOTA[[#This Row],[ID_H]]))</f>
        <v/>
      </c>
      <c r="AK589" s="27">
        <f ca="1">IF(NOTA[[#This Row],[TGL.NOTA]]="",IF(NOTA[[#This Row],[SUPPLIER_H]]="","",AK588),MONTH(NOTA[[#This Row],[TGL.NOTA]]))</f>
        <v>5</v>
      </c>
      <c r="AL589" s="27" t="str">
        <f>LOWER(SUBSTITUTE(SUBSTITUTE(SUBSTITUTE(SUBSTITUTE(SUBSTITUTE(SUBSTITUTE(SUBSTITUTE(SUBSTITUTE(SUBSTITUTE(NOTA[NAMA BARANG]," ",),".",""),"-",""),"(",""),")",""),",",""),"/",""),"""",""),"+",""))</f>
        <v>mathsetms55jk</v>
      </c>
      <c r="AM58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58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58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27" t="str">
        <f>IF(NOTA[[#This Row],[CONCAT4]]="","",_xlfn.IFNA(MATCH(NOTA[[#This Row],[CONCAT4]],[2]!RAW[CONCAT_H],0),FALSE))</f>
        <v/>
      </c>
      <c r="AQ589" s="145">
        <f>IF(NOTA[[#This Row],[CONCAT1]]="","",MATCH(NOTA[[#This Row],[CONCAT1]],[3]!db[NB NOTA_C],0)+1)</f>
        <v>1620</v>
      </c>
    </row>
    <row r="590" spans="1:43" ht="20.100000000000001" customHeight="1" x14ac:dyDescent="0.25">
      <c r="A5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106</v>
      </c>
      <c r="E590" s="113"/>
      <c r="H590" s="54"/>
      <c r="L590" s="27" t="s">
        <v>816</v>
      </c>
      <c r="M590" s="114">
        <v>2</v>
      </c>
      <c r="N590" s="27">
        <v>240</v>
      </c>
      <c r="O590" s="27" t="s">
        <v>160</v>
      </c>
      <c r="P590" s="64">
        <v>12950</v>
      </c>
      <c r="Q590" s="79"/>
      <c r="R590" s="114" t="s">
        <v>805</v>
      </c>
      <c r="S590" s="115">
        <v>0.125</v>
      </c>
      <c r="T590" s="115">
        <v>0.05</v>
      </c>
      <c r="U590" s="52"/>
      <c r="V590" s="77"/>
      <c r="W590" s="52">
        <f>IF(NOTA[[#This Row],[HARGA/ CTN]]="",NOTA[[#This Row],[JUMLAH_H]],NOTA[[#This Row],[HARGA/ CTN]]*IF(NOTA[[#This Row],[C]]="",0,NOTA[[#This Row],[C]]))</f>
        <v>3108000</v>
      </c>
      <c r="X590" s="52">
        <f>IF(NOTA[[#This Row],[JUMLAH]]="","",NOTA[[#This Row],[JUMLAH]]*NOTA[[#This Row],[DISC 1]])</f>
        <v>388500</v>
      </c>
      <c r="Y590" s="52">
        <f>IF(NOTA[[#This Row],[JUMLAH]]="","",(NOTA[[#This Row],[JUMLAH]]-NOTA[[#This Row],[DISC 1-]])*NOTA[[#This Row],[DISC 2]])</f>
        <v>135975</v>
      </c>
      <c r="Z590" s="52">
        <f>IF(NOTA[[#This Row],[JUMLAH]]="","",NOTA[[#This Row],[DISC 1-]]+NOTA[[#This Row],[DISC 2-]])</f>
        <v>524475</v>
      </c>
      <c r="AA590" s="52">
        <f>IF(NOTA[[#This Row],[JUMLAH]]="","",NOTA[[#This Row],[JUMLAH]]-NOTA[[#This Row],[DISC]])</f>
        <v>2583525</v>
      </c>
      <c r="AB590" s="52"/>
      <c r="AC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90" s="52">
        <f>IF(OR(NOTA[[#This Row],[QTY]]="",NOTA[[#This Row],[HARGA SATUAN]]="",),"",NOTA[[#This Row],[QTY]]*NOTA[[#This Row],[HARGA SATUAN]])</f>
        <v>3108000</v>
      </c>
      <c r="AG590" s="53">
        <f ca="1">IF(NOTA[ID_H]="","",INDEX(NOTA[TANGGAL],MATCH(,INDIRECT(ADDRESS(ROW(NOTA[TANGGAL]),COLUMN(NOTA[TANGGAL]))&amp;":"&amp;ADDRESS(ROW(),COLUMN(NOTA[TANGGAL]))),-1)))</f>
        <v>45068</v>
      </c>
      <c r="AH590" s="64" t="str">
        <f ca="1">IF(NOTA[[#This Row],[NAMA BARANG]]="","",INDEX(NOTA[SUPPLIER],MATCH(,INDIRECT(ADDRESS(ROW(NOTA[ID]),COLUMN(NOTA[ID]))&amp;":"&amp;ADDRESS(ROW(),COLUMN(NOTA[ID]))),-1)))</f>
        <v>ATALI MAKMUR</v>
      </c>
      <c r="AI590" s="64" t="str">
        <f ca="1">IF(NOTA[[#This Row],[ID_H]]="","",IF(NOTA[[#This Row],[FAKTUR]]="",INDIRECT(ADDRESS(ROW()-1,COLUMN())),NOTA[[#This Row],[FAKTUR]]))</f>
        <v>ARTO MORO</v>
      </c>
      <c r="AJ590" s="27" t="str">
        <f ca="1">IF(NOTA[[#This Row],[ID]]="","",COUNTIF(NOTA[ID_H],NOTA[[#This Row],[ID_H]]))</f>
        <v/>
      </c>
      <c r="AK590" s="27">
        <f ca="1">IF(NOTA[[#This Row],[TGL.NOTA]]="",IF(NOTA[[#This Row],[SUPPLIER_H]]="","",AK589),MONTH(NOTA[[#This Row],[TGL.NOTA]]))</f>
        <v>5</v>
      </c>
      <c r="AL590" s="27" t="str">
        <f>LOWER(SUBSTITUTE(SUBSTITUTE(SUBSTITUTE(SUBSTITUTE(SUBSTITUTE(SUBSTITUTE(SUBSTITUTE(SUBSTITUTE(SUBSTITUTE(NOTA[NAMA BARANG]," ",),".",""),"-",""),"(",""),")",""),",",""),"/",""),"""",""),"+",""))</f>
        <v>punch30xljk</v>
      </c>
      <c r="AM59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59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59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27" t="str">
        <f>IF(NOTA[[#This Row],[CONCAT4]]="","",_xlfn.IFNA(MATCH(NOTA[[#This Row],[CONCAT4]],[2]!RAW[CONCAT_H],0),FALSE))</f>
        <v/>
      </c>
      <c r="AQ590" s="145">
        <f>IF(NOTA[[#This Row],[CONCAT1]]="","",MATCH(NOTA[[#This Row],[CONCAT1]],[3]!db[NB NOTA_C],0)+1)</f>
        <v>2066</v>
      </c>
    </row>
    <row r="591" spans="1:43" ht="20.100000000000001" customHeight="1" x14ac:dyDescent="0.25">
      <c r="A5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106</v>
      </c>
      <c r="E591" s="113"/>
      <c r="H591" s="54"/>
      <c r="L591" s="27" t="s">
        <v>806</v>
      </c>
      <c r="M591" s="114">
        <v>2</v>
      </c>
      <c r="N591" s="27">
        <v>1000</v>
      </c>
      <c r="O591" s="27" t="s">
        <v>262</v>
      </c>
      <c r="P591" s="64">
        <v>1625</v>
      </c>
      <c r="Q591" s="79"/>
      <c r="R591" s="114" t="s">
        <v>807</v>
      </c>
      <c r="S591" s="115">
        <v>0.125</v>
      </c>
      <c r="T591" s="115">
        <v>0.05</v>
      </c>
      <c r="U591" s="52"/>
      <c r="V591" s="77"/>
      <c r="W591" s="52">
        <f>IF(NOTA[[#This Row],[HARGA/ CTN]]="",NOTA[[#This Row],[JUMLAH_H]],NOTA[[#This Row],[HARGA/ CTN]]*IF(NOTA[[#This Row],[C]]="",0,NOTA[[#This Row],[C]]))</f>
        <v>1625000</v>
      </c>
      <c r="X591" s="52">
        <f>IF(NOTA[[#This Row],[JUMLAH]]="","",NOTA[[#This Row],[JUMLAH]]*NOTA[[#This Row],[DISC 1]])</f>
        <v>203125</v>
      </c>
      <c r="Y591" s="52">
        <f>IF(NOTA[[#This Row],[JUMLAH]]="","",(NOTA[[#This Row],[JUMLAH]]-NOTA[[#This Row],[DISC 1-]])*NOTA[[#This Row],[DISC 2]])</f>
        <v>71093.75</v>
      </c>
      <c r="Z591" s="52">
        <f>IF(NOTA[[#This Row],[JUMLAH]]="","",NOTA[[#This Row],[DISC 1-]]+NOTA[[#This Row],[DISC 2-]])</f>
        <v>274218.75</v>
      </c>
      <c r="AA591" s="52">
        <f>IF(NOTA[[#This Row],[JUMLAH]]="","",NOTA[[#This Row],[JUMLAH]]-NOTA[[#This Row],[DISC]])</f>
        <v>1350781.25</v>
      </c>
      <c r="AB591" s="52"/>
      <c r="AC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591" s="52">
        <f>IF(OR(NOTA[[#This Row],[QTY]]="",NOTA[[#This Row],[HARGA SATUAN]]="",),"",NOTA[[#This Row],[QTY]]*NOTA[[#This Row],[HARGA SATUAN]])</f>
        <v>1625000</v>
      </c>
      <c r="AG591" s="53">
        <f ca="1">IF(NOTA[ID_H]="","",INDEX(NOTA[TANGGAL],MATCH(,INDIRECT(ADDRESS(ROW(NOTA[TANGGAL]),COLUMN(NOTA[TANGGAL]))&amp;":"&amp;ADDRESS(ROW(),COLUMN(NOTA[TANGGAL]))),-1)))</f>
        <v>45068</v>
      </c>
      <c r="AH591" s="64" t="str">
        <f ca="1">IF(NOTA[[#This Row],[NAMA BARANG]]="","",INDEX(NOTA[SUPPLIER],MATCH(,INDIRECT(ADDRESS(ROW(NOTA[ID]),COLUMN(NOTA[ID]))&amp;":"&amp;ADDRESS(ROW(),COLUMN(NOTA[ID]))),-1)))</f>
        <v>ATALI MAKMUR</v>
      </c>
      <c r="AI591" s="64" t="str">
        <f ca="1">IF(NOTA[[#This Row],[ID_H]]="","",IF(NOTA[[#This Row],[FAKTUR]]="",INDIRECT(ADDRESS(ROW()-1,COLUMN())),NOTA[[#This Row],[FAKTUR]]))</f>
        <v>ARTO MORO</v>
      </c>
      <c r="AJ591" s="27" t="str">
        <f ca="1">IF(NOTA[[#This Row],[ID]]="","",COUNTIF(NOTA[ID_H],NOTA[[#This Row],[ID_H]]))</f>
        <v/>
      </c>
      <c r="AK591" s="27">
        <f ca="1">IF(NOTA[[#This Row],[TGL.NOTA]]="",IF(NOTA[[#This Row],[SUPPLIER_H]]="","",AK590),MONTH(NOTA[[#This Row],[TGL.NOTA]]))</f>
        <v>5</v>
      </c>
      <c r="AL591" s="27" t="str">
        <f>LOWER(SUBSTITUTE(SUBSTITUTE(SUBSTITUTE(SUBSTITUTE(SUBSTITUTE(SUBSTITUTE(SUBSTITUTE(SUBSTITUTE(SUBSTITUTE(NOTA[NAMA BARANG]," ",),".",""),"-",""),"(",""),")",""),",",""),"/",""),"""",""),"+",""))</f>
        <v>trigonalclipno3jk</v>
      </c>
      <c r="AM59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59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59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27" t="str">
        <f>IF(NOTA[[#This Row],[CONCAT4]]="","",_xlfn.IFNA(MATCH(NOTA[[#This Row],[CONCAT4]],[2]!RAW[CONCAT_H],0),FALSE))</f>
        <v/>
      </c>
      <c r="AQ591" s="145">
        <f>IF(NOTA[[#This Row],[CONCAT1]]="","",MATCH(NOTA[[#This Row],[CONCAT1]],[3]!db[NB NOTA_C],0)+1)</f>
        <v>2303</v>
      </c>
    </row>
    <row r="592" spans="1:43" ht="20.100000000000001" customHeight="1" x14ac:dyDescent="0.25">
      <c r="A5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106</v>
      </c>
      <c r="E592" s="113"/>
      <c r="H592" s="54"/>
      <c r="L592" s="27" t="s">
        <v>817</v>
      </c>
      <c r="M592" s="114">
        <v>2</v>
      </c>
      <c r="N592" s="27">
        <v>400</v>
      </c>
      <c r="O592" s="27" t="s">
        <v>262</v>
      </c>
      <c r="P592" s="64">
        <v>4400</v>
      </c>
      <c r="Q592" s="79"/>
      <c r="R592" s="114" t="s">
        <v>808</v>
      </c>
      <c r="S592" s="115">
        <v>0.125</v>
      </c>
      <c r="T592" s="115">
        <v>0.05</v>
      </c>
      <c r="U592" s="52"/>
      <c r="V592" s="77"/>
      <c r="W592" s="52">
        <f>IF(NOTA[[#This Row],[HARGA/ CTN]]="",NOTA[[#This Row],[JUMLAH_H]],NOTA[[#This Row],[HARGA/ CTN]]*IF(NOTA[[#This Row],[C]]="",0,NOTA[[#This Row],[C]]))</f>
        <v>1760000</v>
      </c>
      <c r="X592" s="52">
        <f>IF(NOTA[[#This Row],[JUMLAH]]="","",NOTA[[#This Row],[JUMLAH]]*NOTA[[#This Row],[DISC 1]])</f>
        <v>220000</v>
      </c>
      <c r="Y592" s="52">
        <f>IF(NOTA[[#This Row],[JUMLAH]]="","",(NOTA[[#This Row],[JUMLAH]]-NOTA[[#This Row],[DISC 1-]])*NOTA[[#This Row],[DISC 2]])</f>
        <v>77000</v>
      </c>
      <c r="Z592" s="52">
        <f>IF(NOTA[[#This Row],[JUMLAH]]="","",NOTA[[#This Row],[DISC 1-]]+NOTA[[#This Row],[DISC 2-]])</f>
        <v>297000</v>
      </c>
      <c r="AA592" s="52">
        <f>IF(NOTA[[#This Row],[JUMLAH]]="","",NOTA[[#This Row],[JUMLAH]]-NOTA[[#This Row],[DISC]])</f>
        <v>1463000</v>
      </c>
      <c r="AB592" s="52"/>
      <c r="AC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592" s="52">
        <f>IF(OR(NOTA[[#This Row],[QTY]]="",NOTA[[#This Row],[HARGA SATUAN]]="",),"",NOTA[[#This Row],[QTY]]*NOTA[[#This Row],[HARGA SATUAN]])</f>
        <v>1760000</v>
      </c>
      <c r="AG592" s="53">
        <f ca="1">IF(NOTA[ID_H]="","",INDEX(NOTA[TANGGAL],MATCH(,INDIRECT(ADDRESS(ROW(NOTA[TANGGAL]),COLUMN(NOTA[TANGGAL]))&amp;":"&amp;ADDRESS(ROW(),COLUMN(NOTA[TANGGAL]))),-1)))</f>
        <v>45068</v>
      </c>
      <c r="AH592" s="64" t="str">
        <f ca="1">IF(NOTA[[#This Row],[NAMA BARANG]]="","",INDEX(NOTA[SUPPLIER],MATCH(,INDIRECT(ADDRESS(ROW(NOTA[ID]),COLUMN(NOTA[ID]))&amp;":"&amp;ADDRESS(ROW(),COLUMN(NOTA[ID]))),-1)))</f>
        <v>ATALI MAKMUR</v>
      </c>
      <c r="AI592" s="64" t="str">
        <f ca="1">IF(NOTA[[#This Row],[ID_H]]="","",IF(NOTA[[#This Row],[FAKTUR]]="",INDIRECT(ADDRESS(ROW()-1,COLUMN())),NOTA[[#This Row],[FAKTUR]]))</f>
        <v>ARTO MORO</v>
      </c>
      <c r="AJ592" s="27" t="str">
        <f ca="1">IF(NOTA[[#This Row],[ID]]="","",COUNTIF(NOTA[ID_H],NOTA[[#This Row],[ID_H]]))</f>
        <v/>
      </c>
      <c r="AK592" s="27">
        <f ca="1">IF(NOTA[[#This Row],[TGL.NOTA]]="",IF(NOTA[[#This Row],[SUPPLIER_H]]="","",AK591),MONTH(NOTA[[#This Row],[TGL.NOTA]]))</f>
        <v>5</v>
      </c>
      <c r="AL592" s="27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59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59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59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2" s="27" t="str">
        <f>IF(NOTA[[#This Row],[CONCAT4]]="","",_xlfn.IFNA(MATCH(NOTA[[#This Row],[CONCAT4]],[2]!RAW[CONCAT_H],0),FALSE))</f>
        <v/>
      </c>
      <c r="AQ592" s="145">
        <f>IF(NOTA[[#This Row],[CONCAT1]]="","",MATCH(NOTA[[#This Row],[CONCAT1]],[3]!db[NB NOTA_C],0)+1)</f>
        <v>1781</v>
      </c>
    </row>
    <row r="593" spans="1:43" ht="20.100000000000001" customHeight="1" x14ac:dyDescent="0.25">
      <c r="A5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106</v>
      </c>
      <c r="E593" s="113"/>
      <c r="H593" s="54"/>
      <c r="L593" s="27" t="s">
        <v>809</v>
      </c>
      <c r="M593" s="114">
        <v>1</v>
      </c>
      <c r="N593" s="27">
        <v>8</v>
      </c>
      <c r="O593" s="27" t="s">
        <v>262</v>
      </c>
      <c r="P593" s="64">
        <v>120000</v>
      </c>
      <c r="Q593" s="79"/>
      <c r="R593" s="114" t="s">
        <v>810</v>
      </c>
      <c r="S593" s="115">
        <v>0.125</v>
      </c>
      <c r="T593" s="115">
        <v>0.05</v>
      </c>
      <c r="U593" s="52"/>
      <c r="V593" s="77"/>
      <c r="W593" s="52">
        <f>IF(NOTA[[#This Row],[HARGA/ CTN]]="",NOTA[[#This Row],[JUMLAH_H]],NOTA[[#This Row],[HARGA/ CTN]]*IF(NOTA[[#This Row],[C]]="",0,NOTA[[#This Row],[C]]))</f>
        <v>960000</v>
      </c>
      <c r="X593" s="52">
        <f>IF(NOTA[[#This Row],[JUMLAH]]="","",NOTA[[#This Row],[JUMLAH]]*NOTA[[#This Row],[DISC 1]])</f>
        <v>120000</v>
      </c>
      <c r="Y593" s="52">
        <f>IF(NOTA[[#This Row],[JUMLAH]]="","",(NOTA[[#This Row],[JUMLAH]]-NOTA[[#This Row],[DISC 1-]])*NOTA[[#This Row],[DISC 2]])</f>
        <v>42000</v>
      </c>
      <c r="Z593" s="52">
        <f>IF(NOTA[[#This Row],[JUMLAH]]="","",NOTA[[#This Row],[DISC 1-]]+NOTA[[#This Row],[DISC 2-]])</f>
        <v>162000</v>
      </c>
      <c r="AA593" s="52">
        <f>IF(NOTA[[#This Row],[JUMLAH]]="","",NOTA[[#This Row],[JUMLAH]]-NOTA[[#This Row],[DISC]])</f>
        <v>798000</v>
      </c>
      <c r="AB593" s="52"/>
      <c r="AC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93" s="52">
        <f>IF(OR(NOTA[[#This Row],[QTY]]="",NOTA[[#This Row],[HARGA SATUAN]]="",),"",NOTA[[#This Row],[QTY]]*NOTA[[#This Row],[HARGA SATUAN]])</f>
        <v>960000</v>
      </c>
      <c r="AG593" s="53">
        <f ca="1">IF(NOTA[ID_H]="","",INDEX(NOTA[TANGGAL],MATCH(,INDIRECT(ADDRESS(ROW(NOTA[TANGGAL]),COLUMN(NOTA[TANGGAL]))&amp;":"&amp;ADDRESS(ROW(),COLUMN(NOTA[TANGGAL]))),-1)))</f>
        <v>45068</v>
      </c>
      <c r="AH593" s="64" t="str">
        <f ca="1">IF(NOTA[[#This Row],[NAMA BARANG]]="","",INDEX(NOTA[SUPPLIER],MATCH(,INDIRECT(ADDRESS(ROW(NOTA[ID]),COLUMN(NOTA[ID]))&amp;":"&amp;ADDRESS(ROW(),COLUMN(NOTA[ID]))),-1)))</f>
        <v>ATALI MAKMUR</v>
      </c>
      <c r="AI593" s="64" t="str">
        <f ca="1">IF(NOTA[[#This Row],[ID_H]]="","",IF(NOTA[[#This Row],[FAKTUR]]="",INDIRECT(ADDRESS(ROW()-1,COLUMN())),NOTA[[#This Row],[FAKTUR]]))</f>
        <v>ARTO MORO</v>
      </c>
      <c r="AJ593" s="27" t="str">
        <f ca="1">IF(NOTA[[#This Row],[ID]]="","",COUNTIF(NOTA[ID_H],NOTA[[#This Row],[ID_H]]))</f>
        <v/>
      </c>
      <c r="AK593" s="27">
        <f ca="1">IF(NOTA[[#This Row],[TGL.NOTA]]="",IF(NOTA[[#This Row],[SUPPLIER_H]]="","",AK592),MONTH(NOTA[[#This Row],[TGL.NOTA]]))</f>
        <v>5</v>
      </c>
      <c r="AL593" s="27" t="str">
        <f>LOWER(SUBSTITUTE(SUBSTITUTE(SUBSTITUTE(SUBSTITUTE(SUBSTITUTE(SUBSTITUTE(SUBSTITUTE(SUBSTITUTE(SUBSTITUTE(NOTA[NAMA BARANG]," ",),".",""),"-",""),"(",""),")",""),",",""),"/",""),"""",""),"+",""))</f>
        <v>keyringkr6jk</v>
      </c>
      <c r="AM59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59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59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27" t="str">
        <f>IF(NOTA[[#This Row],[CONCAT4]]="","",_xlfn.IFNA(MATCH(NOTA[[#This Row],[CONCAT4]],[2]!RAW[CONCAT_H],0),FALSE))</f>
        <v/>
      </c>
      <c r="AQ593" s="145">
        <f>IF(NOTA[[#This Row],[CONCAT1]]="","",MATCH(NOTA[[#This Row],[CONCAT1]],[3]!db[NB NOTA_C],0)+1)</f>
        <v>1438</v>
      </c>
    </row>
    <row r="594" spans="1:43" ht="20.100000000000001" customHeight="1" x14ac:dyDescent="0.25">
      <c r="A5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106</v>
      </c>
      <c r="E594" s="113"/>
      <c r="H594" s="54"/>
      <c r="L594" s="27" t="s">
        <v>818</v>
      </c>
      <c r="M594" s="114">
        <v>1</v>
      </c>
      <c r="N594" s="27">
        <v>40</v>
      </c>
      <c r="O594" s="27" t="s">
        <v>811</v>
      </c>
      <c r="P594" s="64">
        <v>33750</v>
      </c>
      <c r="Q594" s="79"/>
      <c r="R594" s="114" t="s">
        <v>812</v>
      </c>
      <c r="S594" s="115">
        <v>0.125</v>
      </c>
      <c r="T594" s="115">
        <v>0.05</v>
      </c>
      <c r="U594" s="52"/>
      <c r="V594" s="77"/>
      <c r="W594" s="52">
        <f>IF(NOTA[[#This Row],[HARGA/ CTN]]="",NOTA[[#This Row],[JUMLAH_H]],NOTA[[#This Row],[HARGA/ CTN]]*IF(NOTA[[#This Row],[C]]="",0,NOTA[[#This Row],[C]]))</f>
        <v>1350000</v>
      </c>
      <c r="X594" s="52">
        <f>IF(NOTA[[#This Row],[JUMLAH]]="","",NOTA[[#This Row],[JUMLAH]]*NOTA[[#This Row],[DISC 1]])</f>
        <v>168750</v>
      </c>
      <c r="Y594" s="52">
        <f>IF(NOTA[[#This Row],[JUMLAH]]="","",(NOTA[[#This Row],[JUMLAH]]-NOTA[[#This Row],[DISC 1-]])*NOTA[[#This Row],[DISC 2]])</f>
        <v>59062.5</v>
      </c>
      <c r="Z594" s="52">
        <f>IF(NOTA[[#This Row],[JUMLAH]]="","",NOTA[[#This Row],[DISC 1-]]+NOTA[[#This Row],[DISC 2-]])</f>
        <v>227812.5</v>
      </c>
      <c r="AA594" s="52">
        <f>IF(NOTA[[#This Row],[JUMLAH]]="","",NOTA[[#This Row],[JUMLAH]]-NOTA[[#This Row],[DISC]])</f>
        <v>1122187.5</v>
      </c>
      <c r="AB594" s="52"/>
      <c r="AC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4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94" s="52">
        <f>IF(OR(NOTA[[#This Row],[QTY]]="",NOTA[[#This Row],[HARGA SATUAN]]="",),"",NOTA[[#This Row],[QTY]]*NOTA[[#This Row],[HARGA SATUAN]])</f>
        <v>1350000</v>
      </c>
      <c r="AG594" s="53">
        <f ca="1">IF(NOTA[ID_H]="","",INDEX(NOTA[TANGGAL],MATCH(,INDIRECT(ADDRESS(ROW(NOTA[TANGGAL]),COLUMN(NOTA[TANGGAL]))&amp;":"&amp;ADDRESS(ROW(),COLUMN(NOTA[TANGGAL]))),-1)))</f>
        <v>45068</v>
      </c>
      <c r="AH594" s="64" t="str">
        <f ca="1">IF(NOTA[[#This Row],[NAMA BARANG]]="","",INDEX(NOTA[SUPPLIER],MATCH(,INDIRECT(ADDRESS(ROW(NOTA[ID]),COLUMN(NOTA[ID]))&amp;":"&amp;ADDRESS(ROW(),COLUMN(NOTA[ID]))),-1)))</f>
        <v>ATALI MAKMUR</v>
      </c>
      <c r="AI594" s="64" t="str">
        <f ca="1">IF(NOTA[[#This Row],[ID_H]]="","",IF(NOTA[[#This Row],[FAKTUR]]="",INDIRECT(ADDRESS(ROW()-1,COLUMN())),NOTA[[#This Row],[FAKTUR]]))</f>
        <v>ARTO MORO</v>
      </c>
      <c r="AJ594" s="27" t="str">
        <f ca="1">IF(NOTA[[#This Row],[ID]]="","",COUNTIF(NOTA[ID_H],NOTA[[#This Row],[ID_H]]))</f>
        <v/>
      </c>
      <c r="AK594" s="27">
        <f ca="1">IF(NOTA[[#This Row],[TGL.NOTA]]="",IF(NOTA[[#This Row],[SUPPLIER_H]]="","",AK593),MONTH(NOTA[[#This Row],[TGL.NOTA]]))</f>
        <v>5</v>
      </c>
      <c r="AL594" s="27" t="str">
        <f>LOWER(SUBSTITUTE(SUBSTITUTE(SUBSTITUTE(SUBSTITUTE(SUBSTITUTE(SUBSTITUTE(SUBSTITUTE(SUBSTITUTE(SUBSTITUTE(NOTA[NAMA BARANG]," ",),".",""),"-",""),"(",""),")",""),",",""),"/",""),"""",""),"+",""))</f>
        <v>keyringkr8drumjk</v>
      </c>
      <c r="AM59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N59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O59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27" t="str">
        <f>IF(NOTA[[#This Row],[CONCAT4]]="","",_xlfn.IFNA(MATCH(NOTA[[#This Row],[CONCAT4]],[2]!RAW[CONCAT_H],0),FALSE))</f>
        <v/>
      </c>
      <c r="AQ594" s="145">
        <f>IF(NOTA[[#This Row],[CONCAT1]]="","",MATCH(NOTA[[#This Row],[CONCAT1]],[3]!db[NB NOTA_C],0)+1)</f>
        <v>1439</v>
      </c>
    </row>
    <row r="595" spans="1:43" ht="20.100000000000001" customHeight="1" x14ac:dyDescent="0.25">
      <c r="A5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106</v>
      </c>
      <c r="E595" s="113"/>
      <c r="H595" s="54"/>
      <c r="L595" s="27" t="s">
        <v>813</v>
      </c>
      <c r="M595" s="114">
        <v>1</v>
      </c>
      <c r="N595" s="27">
        <v>48</v>
      </c>
      <c r="O595" s="27" t="s">
        <v>811</v>
      </c>
      <c r="P595" s="64">
        <v>23000</v>
      </c>
      <c r="Q595" s="79"/>
      <c r="R595" s="114" t="s">
        <v>814</v>
      </c>
      <c r="S595" s="115">
        <v>0.125</v>
      </c>
      <c r="T595" s="115">
        <v>0.05</v>
      </c>
      <c r="U595" s="52"/>
      <c r="V595" s="77"/>
      <c r="W595" s="52">
        <f>IF(NOTA[[#This Row],[HARGA/ CTN]]="",NOTA[[#This Row],[JUMLAH_H]],NOTA[[#This Row],[HARGA/ CTN]]*IF(NOTA[[#This Row],[C]]="",0,NOTA[[#This Row],[C]]))</f>
        <v>1104000</v>
      </c>
      <c r="X595" s="52">
        <f>IF(NOTA[[#This Row],[JUMLAH]]="","",NOTA[[#This Row],[JUMLAH]]*NOTA[[#This Row],[DISC 1]])</f>
        <v>138000</v>
      </c>
      <c r="Y595" s="52">
        <f>IF(NOTA[[#This Row],[JUMLAH]]="","",(NOTA[[#This Row],[JUMLAH]]-NOTA[[#This Row],[DISC 1-]])*NOTA[[#This Row],[DISC 2]])</f>
        <v>48300</v>
      </c>
      <c r="Z595" s="52">
        <f>IF(NOTA[[#This Row],[JUMLAH]]="","",NOTA[[#This Row],[DISC 1-]]+NOTA[[#This Row],[DISC 2-]])</f>
        <v>186300</v>
      </c>
      <c r="AA595" s="52">
        <f>IF(NOTA[[#This Row],[JUMLAH]]="","",NOTA[[#This Row],[JUMLAH]]-NOTA[[#This Row],[DISC]])</f>
        <v>917700</v>
      </c>
      <c r="AB595" s="52"/>
      <c r="AC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4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595" s="52">
        <f>IF(OR(NOTA[[#This Row],[QTY]]="",NOTA[[#This Row],[HARGA SATUAN]]="",),"",NOTA[[#This Row],[QTY]]*NOTA[[#This Row],[HARGA SATUAN]])</f>
        <v>1104000</v>
      </c>
      <c r="AG595" s="53">
        <f ca="1">IF(NOTA[ID_H]="","",INDEX(NOTA[TANGGAL],MATCH(,INDIRECT(ADDRESS(ROW(NOTA[TANGGAL]),COLUMN(NOTA[TANGGAL]))&amp;":"&amp;ADDRESS(ROW(),COLUMN(NOTA[TANGGAL]))),-1)))</f>
        <v>45068</v>
      </c>
      <c r="AH595" s="64" t="str">
        <f ca="1">IF(NOTA[[#This Row],[NAMA BARANG]]="","",INDEX(NOTA[SUPPLIER],MATCH(,INDIRECT(ADDRESS(ROW(NOTA[ID]),COLUMN(NOTA[ID]))&amp;":"&amp;ADDRESS(ROW(),COLUMN(NOTA[ID]))),-1)))</f>
        <v>ATALI MAKMUR</v>
      </c>
      <c r="AI595" s="64" t="str">
        <f ca="1">IF(NOTA[[#This Row],[ID_H]]="","",IF(NOTA[[#This Row],[FAKTUR]]="",INDIRECT(ADDRESS(ROW()-1,COLUMN())),NOTA[[#This Row],[FAKTUR]]))</f>
        <v>ARTO MORO</v>
      </c>
      <c r="AJ595" s="27" t="str">
        <f ca="1">IF(NOTA[[#This Row],[ID]]="","",COUNTIF(NOTA[ID_H],NOTA[[#This Row],[ID_H]]))</f>
        <v/>
      </c>
      <c r="AK595" s="27">
        <f ca="1">IF(NOTA[[#This Row],[TGL.NOTA]]="",IF(NOTA[[#This Row],[SUPPLIER_H]]="","",AK594),MONTH(NOTA[[#This Row],[TGL.NOTA]]))</f>
        <v>5</v>
      </c>
      <c r="AL595" s="27" t="str">
        <f>LOWER(SUBSTITUTE(SUBSTITUTE(SUBSTITUTE(SUBSTITUTE(SUBSTITUTE(SUBSTITUTE(SUBSTITUTE(SUBSTITUTE(SUBSTITUTE(NOTA[NAMA BARANG]," ",),".",""),"-",""),"(",""),")",""),",",""),"/",""),"""",""),"+",""))</f>
        <v>keyringkr9jk</v>
      </c>
      <c r="AM59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N59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O59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27" t="str">
        <f>IF(NOTA[[#This Row],[CONCAT4]]="","",_xlfn.IFNA(MATCH(NOTA[[#This Row],[CONCAT4]],[2]!RAW[CONCAT_H],0),FALSE))</f>
        <v/>
      </c>
      <c r="AQ595" s="145">
        <f>IF(NOTA[[#This Row],[CONCAT1]]="","",MATCH(NOTA[[#This Row],[CONCAT1]],[3]!db[NB NOTA_C],0)+1)</f>
        <v>1440</v>
      </c>
    </row>
    <row r="596" spans="1:43" ht="20.100000000000001" customHeight="1" x14ac:dyDescent="0.25">
      <c r="A5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106</v>
      </c>
      <c r="E596" s="113"/>
      <c r="H596" s="54"/>
      <c r="L596" s="27" t="s">
        <v>815</v>
      </c>
      <c r="M596" s="114">
        <v>1</v>
      </c>
      <c r="N596" s="27">
        <v>30</v>
      </c>
      <c r="O596" s="27" t="s">
        <v>183</v>
      </c>
      <c r="P596" s="64">
        <v>99000</v>
      </c>
      <c r="Q596" s="79"/>
      <c r="R596" s="114" t="s">
        <v>270</v>
      </c>
      <c r="S596" s="115">
        <v>0.125</v>
      </c>
      <c r="T596" s="115">
        <v>0.05</v>
      </c>
      <c r="U596" s="52"/>
      <c r="V596" s="77"/>
      <c r="W596" s="52">
        <f>IF(NOTA[[#This Row],[HARGA/ CTN]]="",NOTA[[#This Row],[JUMLAH_H]],NOTA[[#This Row],[HARGA/ CTN]]*IF(NOTA[[#This Row],[C]]="",0,NOTA[[#This Row],[C]]))</f>
        <v>2970000</v>
      </c>
      <c r="X596" s="52">
        <f>IF(NOTA[[#This Row],[JUMLAH]]="","",NOTA[[#This Row],[JUMLAH]]*NOTA[[#This Row],[DISC 1]])</f>
        <v>371250</v>
      </c>
      <c r="Y596" s="52">
        <f>IF(NOTA[[#This Row],[JUMLAH]]="","",(NOTA[[#This Row],[JUMLAH]]-NOTA[[#This Row],[DISC 1-]])*NOTA[[#This Row],[DISC 2]])</f>
        <v>129937.5</v>
      </c>
      <c r="Z596" s="52">
        <f>IF(NOTA[[#This Row],[JUMLAH]]="","",NOTA[[#This Row],[DISC 1-]]+NOTA[[#This Row],[DISC 2-]])</f>
        <v>501187.5</v>
      </c>
      <c r="AA596" s="52">
        <f>IF(NOTA[[#This Row],[JUMLAH]]="","",NOTA[[#This Row],[JUMLAH]]-NOTA[[#This Row],[DISC]])</f>
        <v>2468812.5</v>
      </c>
      <c r="AB596" s="52"/>
      <c r="AC5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3801093.75</v>
      </c>
      <c r="AD59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18723906.25</v>
      </c>
      <c r="AE596" s="64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F596" s="52">
        <f>IF(OR(NOTA[[#This Row],[QTY]]="",NOTA[[#This Row],[HARGA SATUAN]]="",),"",NOTA[[#This Row],[QTY]]*NOTA[[#This Row],[HARGA SATUAN]])</f>
        <v>2970000</v>
      </c>
      <c r="AG596" s="53">
        <f ca="1">IF(NOTA[ID_H]="","",INDEX(NOTA[TANGGAL],MATCH(,INDIRECT(ADDRESS(ROW(NOTA[TANGGAL]),COLUMN(NOTA[TANGGAL]))&amp;":"&amp;ADDRESS(ROW(),COLUMN(NOTA[TANGGAL]))),-1)))</f>
        <v>45068</v>
      </c>
      <c r="AH596" s="64" t="str">
        <f ca="1">IF(NOTA[[#This Row],[NAMA BARANG]]="","",INDEX(NOTA[SUPPLIER],MATCH(,INDIRECT(ADDRESS(ROW(NOTA[ID]),COLUMN(NOTA[ID]))&amp;":"&amp;ADDRESS(ROW(),COLUMN(NOTA[ID]))),-1)))</f>
        <v>ATALI MAKMUR</v>
      </c>
      <c r="AI596" s="64" t="str">
        <f ca="1">IF(NOTA[[#This Row],[ID_H]]="","",IF(NOTA[[#This Row],[FAKTUR]]="",INDIRECT(ADDRESS(ROW()-1,COLUMN())),NOTA[[#This Row],[FAKTUR]]))</f>
        <v>ARTO MORO</v>
      </c>
      <c r="AJ596" s="27" t="str">
        <f ca="1">IF(NOTA[[#This Row],[ID]]="","",COUNTIF(NOTA[ID_H],NOTA[[#This Row],[ID_H]]))</f>
        <v/>
      </c>
      <c r="AK596" s="27">
        <f ca="1">IF(NOTA[[#This Row],[TGL.NOTA]]="",IF(NOTA[[#This Row],[SUPPLIER_H]]="","",AK595),MONTH(NOTA[[#This Row],[TGL.NOTA]]))</f>
        <v>5</v>
      </c>
      <c r="AL596" s="27" t="str">
        <f>LOWER(SUBSTITUTE(SUBSTITUTE(SUBSTITUTE(SUBSTITUTE(SUBSTITUTE(SUBSTITUTE(SUBSTITUTE(SUBSTITUTE(SUBSTITUTE(NOTA[NAMA BARANG]," ",),".",""),"-",""),"(",""),")",""),",",""),"/",""),"""",""),"+",""))</f>
        <v>pencil61612bjk</v>
      </c>
      <c r="AM59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pencil61612bjk29700000.1250.05</v>
      </c>
      <c r="AN59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pencil61612bjk29700000.1250.05</v>
      </c>
      <c r="AO59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27" t="str">
        <f>IF(NOTA[[#This Row],[CONCAT4]]="","",_xlfn.IFNA(MATCH(NOTA[[#This Row],[CONCAT4]],[2]!RAW[CONCAT_H],0),FALSE))</f>
        <v/>
      </c>
      <c r="AQ596" s="145">
        <f>IF(NOTA[[#This Row],[CONCAT1]]="","",MATCH(NOTA[[#This Row],[CONCAT1]],[3]!db[NB NOTA_C],0)+1)</f>
        <v>1881</v>
      </c>
    </row>
    <row r="597" spans="1:43" ht="20.100000000000001" customHeight="1" x14ac:dyDescent="0.25">
      <c r="A5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 t="str">
        <f ca="1">IF(NOTA[[#This Row],[NAMA BARANG]]="","",INDEX(NOTA[ID],MATCH(,INDIRECT(ADDRESS(ROW(NOTA[ID]),COLUMN(NOTA[ID]))&amp;":"&amp;ADDRESS(ROW(),COLUMN(NOTA[ID]))),-1)))</f>
        <v/>
      </c>
      <c r="E597" s="113"/>
      <c r="H597" s="54"/>
      <c r="Q597" s="79"/>
      <c r="R597" s="114"/>
      <c r="S597" s="115"/>
      <c r="U597" s="52"/>
      <c r="V597" s="77"/>
      <c r="W597" s="52" t="str">
        <f>IF(NOTA[[#This Row],[HARGA/ CTN]]="",NOTA[[#This Row],[JUMLAH_H]],NOTA[[#This Row],[HARGA/ CTN]]*IF(NOTA[[#This Row],[C]]="",0,NOTA[[#This Row],[C]]))</f>
        <v/>
      </c>
      <c r="X597" s="52" t="str">
        <f>IF(NOTA[[#This Row],[JUMLAH]]="","",NOTA[[#This Row],[JUMLAH]]*NOTA[[#This Row],[DISC 1]])</f>
        <v/>
      </c>
      <c r="Y597" s="52" t="str">
        <f>IF(NOTA[[#This Row],[JUMLAH]]="","",(NOTA[[#This Row],[JUMLAH]]-NOTA[[#This Row],[DISC 1-]])*NOTA[[#This Row],[DISC 2]])</f>
        <v/>
      </c>
      <c r="Z597" s="52" t="str">
        <f>IF(NOTA[[#This Row],[JUMLAH]]="","",NOTA[[#This Row],[DISC 1-]]+NOTA[[#This Row],[DISC 2-]])</f>
        <v/>
      </c>
      <c r="AA597" s="52" t="str">
        <f>IF(NOTA[[#This Row],[JUMLAH]]="","",NOTA[[#This Row],[JUMLAH]]-NOTA[[#This Row],[DISC]])</f>
        <v/>
      </c>
      <c r="AB597" s="52"/>
      <c r="AC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7" s="52" t="str">
        <f>IF(OR(NOTA[[#This Row],[QTY]]="",NOTA[[#This Row],[HARGA SATUAN]]="",),"",NOTA[[#This Row],[QTY]]*NOTA[[#This Row],[HARGA SATUAN]])</f>
        <v/>
      </c>
      <c r="AG597" s="53" t="str">
        <f ca="1">IF(NOTA[ID_H]="","",INDEX(NOTA[TANGGAL],MATCH(,INDIRECT(ADDRESS(ROW(NOTA[TANGGAL]),COLUMN(NOTA[TANGGAL]))&amp;":"&amp;ADDRESS(ROW(),COLUMN(NOTA[TANGGAL]))),-1)))</f>
        <v/>
      </c>
      <c r="AH597" s="64" t="str">
        <f ca="1">IF(NOTA[[#This Row],[NAMA BARANG]]="","",INDEX(NOTA[SUPPLIER],MATCH(,INDIRECT(ADDRESS(ROW(NOTA[ID]),COLUMN(NOTA[ID]))&amp;":"&amp;ADDRESS(ROW(),COLUMN(NOTA[ID]))),-1)))</f>
        <v/>
      </c>
      <c r="AI597" s="64" t="str">
        <f ca="1">IF(NOTA[[#This Row],[ID_H]]="","",IF(NOTA[[#This Row],[FAKTUR]]="",INDIRECT(ADDRESS(ROW()-1,COLUMN())),NOTA[[#This Row],[FAKTUR]]))</f>
        <v/>
      </c>
      <c r="AJ597" s="27" t="str">
        <f ca="1">IF(NOTA[[#This Row],[ID]]="","",COUNTIF(NOTA[ID_H],NOTA[[#This Row],[ID_H]]))</f>
        <v/>
      </c>
      <c r="AK597" s="27" t="str">
        <f ca="1">IF(NOTA[[#This Row],[TGL.NOTA]]="",IF(NOTA[[#This Row],[SUPPLIER_H]]="","",AK596),MONTH(NOTA[[#This Row],[TGL.NOTA]]))</f>
        <v/>
      </c>
      <c r="AL597" s="27" t="str">
        <f>LOWER(SUBSTITUTE(SUBSTITUTE(SUBSTITUTE(SUBSTITUTE(SUBSTITUTE(SUBSTITUTE(SUBSTITUTE(SUBSTITUTE(SUBSTITUTE(NOTA[NAMA BARANG]," ",),".",""),"-",""),"(",""),")",""),",",""),"/",""),"""",""),"+",""))</f>
        <v/>
      </c>
      <c r="AM59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7" s="27" t="str">
        <f>IF(NOTA[[#This Row],[CONCAT4]]="","",_xlfn.IFNA(MATCH(NOTA[[#This Row],[CONCAT4]],[2]!RAW[CONCAT_H],0),FALSE))</f>
        <v/>
      </c>
      <c r="AQ597" s="145" t="str">
        <f>IF(NOTA[[#This Row],[CONCAT1]]="","",MATCH(NOTA[[#This Row],[CONCAT1]],[3]!db[NB NOTA_C],0)+1)</f>
        <v/>
      </c>
    </row>
    <row r="598" spans="1:43" ht="20.100000000000001" customHeight="1" x14ac:dyDescent="0.25">
      <c r="A598" s="64">
        <f ca="1">IF(INDIRECT(ADDRESS(ROW()-1,COLUMN(NOTA[[#Headers],[ID]])))="ID",1,IF(NOTA[[#This Row],[FAKTUR]]="","",COUNT(INDIRECT(ADDRESS(ROW(NOTA[ID]),COLUMN(NOTA[ID]))&amp;":"&amp;ADDRESS(ROW()-1,COLUMN(NOTA[ID]))))+1))</f>
        <v>107</v>
      </c>
      <c r="B5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ATA_2205_814-11</v>
      </c>
      <c r="C598" s="66" t="e">
        <f ca="1">IF(NOTA[[#This Row],[ID_P]]="","",MATCH(NOTA[[#This Row],[ID_P]],[1]!B_MSK[N_ID],0))</f>
        <v>#REF!</v>
      </c>
      <c r="D598" s="66">
        <f ca="1">IF(NOTA[[#This Row],[NAMA BARANG]]="","",INDEX(NOTA[ID],MATCH(,INDIRECT(ADDRESS(ROW(NOTA[ID]),COLUMN(NOTA[ID]))&amp;":"&amp;ADDRESS(ROW(),COLUMN(NOTA[ID]))),-1)))</f>
        <v>107</v>
      </c>
      <c r="E598" s="113"/>
      <c r="F598" s="27" t="s">
        <v>25</v>
      </c>
      <c r="G598" s="27" t="s">
        <v>24</v>
      </c>
      <c r="H598" s="54" t="s">
        <v>819</v>
      </c>
      <c r="J598" s="53">
        <v>45063</v>
      </c>
      <c r="L598" s="27" t="s">
        <v>588</v>
      </c>
      <c r="N598" s="27">
        <v>72</v>
      </c>
      <c r="O598" s="27" t="s">
        <v>160</v>
      </c>
      <c r="P598" s="64">
        <v>4800</v>
      </c>
      <c r="Q598" s="79"/>
      <c r="R598" s="114" t="s">
        <v>593</v>
      </c>
      <c r="S598" s="115">
        <v>0.125</v>
      </c>
      <c r="T598" s="115">
        <v>0.05</v>
      </c>
      <c r="U598" s="52"/>
      <c r="V598" s="77"/>
      <c r="W598" s="52">
        <f>IF(NOTA[[#This Row],[HARGA/ CTN]]="",NOTA[[#This Row],[JUMLAH_H]],NOTA[[#This Row],[HARGA/ CTN]]*IF(NOTA[[#This Row],[C]]="",0,NOTA[[#This Row],[C]]))</f>
        <v>345600</v>
      </c>
      <c r="X598" s="52">
        <f>IF(NOTA[[#This Row],[JUMLAH]]="","",NOTA[[#This Row],[JUMLAH]]*NOTA[[#This Row],[DISC 1]])</f>
        <v>43200</v>
      </c>
      <c r="Y598" s="52">
        <f>IF(NOTA[[#This Row],[JUMLAH]]="","",(NOTA[[#This Row],[JUMLAH]]-NOTA[[#This Row],[DISC 1-]])*NOTA[[#This Row],[DISC 2]])</f>
        <v>15120</v>
      </c>
      <c r="Z598" s="52">
        <f>IF(NOTA[[#This Row],[JUMLAH]]="","",NOTA[[#This Row],[DISC 1-]]+NOTA[[#This Row],[DISC 2-]])</f>
        <v>58320</v>
      </c>
      <c r="AA598" s="52">
        <f>IF(NOTA[[#This Row],[JUMLAH]]="","",NOTA[[#This Row],[JUMLAH]]-NOTA[[#This Row],[DISC]])</f>
        <v>287280</v>
      </c>
      <c r="AB598" s="52"/>
      <c r="AC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598" s="52">
        <f>IF(OR(NOTA[[#This Row],[QTY]]="",NOTA[[#This Row],[HARGA SATUAN]]="",),"",NOTA[[#This Row],[QTY]]*NOTA[[#This Row],[HARGA SATUAN]])</f>
        <v>345600</v>
      </c>
      <c r="AG598" s="53">
        <f ca="1">IF(NOTA[ID_H]="","",INDEX(NOTA[TANGGAL],MATCH(,INDIRECT(ADDRESS(ROW(NOTA[TANGGAL]),COLUMN(NOTA[TANGGAL]))&amp;":"&amp;ADDRESS(ROW(),COLUMN(NOTA[TANGGAL]))),-1)))</f>
        <v>45068</v>
      </c>
      <c r="AH598" s="64" t="str">
        <f ca="1">IF(NOTA[[#This Row],[NAMA BARANG]]="","",INDEX(NOTA[SUPPLIER],MATCH(,INDIRECT(ADDRESS(ROW(NOTA[ID]),COLUMN(NOTA[ID]))&amp;":"&amp;ADDRESS(ROW(),COLUMN(NOTA[ID]))),-1)))</f>
        <v>ATALI MAKMUR</v>
      </c>
      <c r="AI598" s="64" t="str">
        <f ca="1">IF(NOTA[[#This Row],[ID_H]]="","",IF(NOTA[[#This Row],[FAKTUR]]="",INDIRECT(ADDRESS(ROW()-1,COLUMN())),NOTA[[#This Row],[FAKTUR]]))</f>
        <v>ARTO MORO</v>
      </c>
      <c r="AJ598" s="27">
        <f ca="1">IF(NOTA[[#This Row],[ID]]="","",COUNTIF(NOTA[ID_H],NOTA[[#This Row],[ID_H]]))</f>
        <v>11</v>
      </c>
      <c r="AK598" s="27">
        <f>IF(NOTA[[#This Row],[TGL.NOTA]]="",IF(NOTA[[#This Row],[SUPPLIER_H]]="","",AK597),MONTH(NOTA[[#This Row],[TGL.NOTA]]))</f>
        <v>5</v>
      </c>
      <c r="AL598" s="27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M59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N59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O598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MOROSA23050781445063pencilcasepc0719pl32bluejk</v>
      </c>
      <c r="AP598" s="27" t="e">
        <f>IF(NOTA[[#This Row],[CONCAT4]]="","",_xlfn.IFNA(MATCH(NOTA[[#This Row],[CONCAT4]],[2]!RAW[CONCAT_H],0),FALSE))</f>
        <v>#REF!</v>
      </c>
      <c r="AQ598" s="145">
        <f>IF(NOTA[[#This Row],[CONCAT1]]="","",MATCH(NOTA[[#This Row],[CONCAT1]],[3]!db[NB NOTA_C],0)+1)</f>
        <v>1908</v>
      </c>
    </row>
    <row r="599" spans="1:43" ht="20.100000000000001" customHeight="1" x14ac:dyDescent="0.25">
      <c r="A5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>
        <f ca="1">IF(NOTA[[#This Row],[NAMA BARANG]]="","",INDEX(NOTA[ID],MATCH(,INDIRECT(ADDRESS(ROW(NOTA[ID]),COLUMN(NOTA[ID]))&amp;":"&amp;ADDRESS(ROW(),COLUMN(NOTA[ID]))),-1)))</f>
        <v>107</v>
      </c>
      <c r="E599" s="113"/>
      <c r="H599" s="54"/>
      <c r="L599" s="27" t="s">
        <v>590</v>
      </c>
      <c r="N599" s="27">
        <v>72</v>
      </c>
      <c r="O599" s="27" t="s">
        <v>160</v>
      </c>
      <c r="P599" s="64">
        <v>4800</v>
      </c>
      <c r="Q599" s="79"/>
      <c r="R599" s="114" t="s">
        <v>593</v>
      </c>
      <c r="S599" s="115">
        <v>0.125</v>
      </c>
      <c r="T599" s="115">
        <v>0.05</v>
      </c>
      <c r="U599" s="52"/>
      <c r="V599" s="77"/>
      <c r="W599" s="52">
        <f>IF(NOTA[[#This Row],[HARGA/ CTN]]="",NOTA[[#This Row],[JUMLAH_H]],NOTA[[#This Row],[HARGA/ CTN]]*IF(NOTA[[#This Row],[C]]="",0,NOTA[[#This Row],[C]]))</f>
        <v>345600</v>
      </c>
      <c r="X599" s="52">
        <f>IF(NOTA[[#This Row],[JUMLAH]]="","",NOTA[[#This Row],[JUMLAH]]*NOTA[[#This Row],[DISC 1]])</f>
        <v>43200</v>
      </c>
      <c r="Y599" s="52">
        <f>IF(NOTA[[#This Row],[JUMLAH]]="","",(NOTA[[#This Row],[JUMLAH]]-NOTA[[#This Row],[DISC 1-]])*NOTA[[#This Row],[DISC 2]])</f>
        <v>15120</v>
      </c>
      <c r="Z599" s="52">
        <f>IF(NOTA[[#This Row],[JUMLAH]]="","",NOTA[[#This Row],[DISC 1-]]+NOTA[[#This Row],[DISC 2-]])</f>
        <v>58320</v>
      </c>
      <c r="AA599" s="52">
        <f>IF(NOTA[[#This Row],[JUMLAH]]="","",NOTA[[#This Row],[JUMLAH]]-NOTA[[#This Row],[DISC]])</f>
        <v>287280</v>
      </c>
      <c r="AB599" s="52"/>
      <c r="AC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599" s="52">
        <f>IF(OR(NOTA[[#This Row],[QTY]]="",NOTA[[#This Row],[HARGA SATUAN]]="",),"",NOTA[[#This Row],[QTY]]*NOTA[[#This Row],[HARGA SATUAN]])</f>
        <v>345600</v>
      </c>
      <c r="AG599" s="53">
        <f ca="1">IF(NOTA[ID_H]="","",INDEX(NOTA[TANGGAL],MATCH(,INDIRECT(ADDRESS(ROW(NOTA[TANGGAL]),COLUMN(NOTA[TANGGAL]))&amp;":"&amp;ADDRESS(ROW(),COLUMN(NOTA[TANGGAL]))),-1)))</f>
        <v>45068</v>
      </c>
      <c r="AH599" s="64" t="str">
        <f ca="1">IF(NOTA[[#This Row],[NAMA BARANG]]="","",INDEX(NOTA[SUPPLIER],MATCH(,INDIRECT(ADDRESS(ROW(NOTA[ID]),COLUMN(NOTA[ID]))&amp;":"&amp;ADDRESS(ROW(),COLUMN(NOTA[ID]))),-1)))</f>
        <v>ATALI MAKMUR</v>
      </c>
      <c r="AI599" s="64" t="str">
        <f ca="1">IF(NOTA[[#This Row],[ID_H]]="","",IF(NOTA[[#This Row],[FAKTUR]]="",INDIRECT(ADDRESS(ROW()-1,COLUMN())),NOTA[[#This Row],[FAKTUR]]))</f>
        <v>ARTO MORO</v>
      </c>
      <c r="AJ599" s="27" t="str">
        <f ca="1">IF(NOTA[[#This Row],[ID]]="","",COUNTIF(NOTA[ID_H],NOTA[[#This Row],[ID_H]]))</f>
        <v/>
      </c>
      <c r="AK599" s="27">
        <f ca="1">IF(NOTA[[#This Row],[TGL.NOTA]]="",IF(NOTA[[#This Row],[SUPPLIER_H]]="","",AK598),MONTH(NOTA[[#This Row],[TGL.NOTA]]))</f>
        <v>5</v>
      </c>
      <c r="AL599" s="27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M59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N59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O59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27" t="str">
        <f>IF(NOTA[[#This Row],[CONCAT4]]="","",_xlfn.IFNA(MATCH(NOTA[[#This Row],[CONCAT4]],[2]!RAW[CONCAT_H],0),FALSE))</f>
        <v/>
      </c>
      <c r="AQ599" s="145">
        <f>IF(NOTA[[#This Row],[CONCAT1]]="","",MATCH(NOTA[[#This Row],[CONCAT1]],[3]!db[NB NOTA_C],0)+1)</f>
        <v>1909</v>
      </c>
    </row>
    <row r="600" spans="1:43" ht="20.100000000000001" customHeight="1" x14ac:dyDescent="0.25">
      <c r="A6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66" t="str">
        <f>IF(NOTA[[#This Row],[ID_P]]="","",MATCH(NOTA[[#This Row],[ID_P]],[1]!B_MSK[N_ID],0))</f>
        <v/>
      </c>
      <c r="D600" s="66">
        <f ca="1">IF(NOTA[[#This Row],[NAMA BARANG]]="","",INDEX(NOTA[ID],MATCH(,INDIRECT(ADDRESS(ROW(NOTA[ID]),COLUMN(NOTA[ID]))&amp;":"&amp;ADDRESS(ROW(),COLUMN(NOTA[ID]))),-1)))</f>
        <v>107</v>
      </c>
      <c r="E600" s="113"/>
      <c r="H600" s="54"/>
      <c r="L600" s="27" t="s">
        <v>591</v>
      </c>
      <c r="N600" s="27">
        <v>72</v>
      </c>
      <c r="O600" s="27" t="s">
        <v>160</v>
      </c>
      <c r="P600" s="64">
        <v>4800</v>
      </c>
      <c r="Q600" s="79"/>
      <c r="R600" s="114" t="s">
        <v>593</v>
      </c>
      <c r="S600" s="115">
        <v>0.125</v>
      </c>
      <c r="T600" s="115">
        <v>0.05</v>
      </c>
      <c r="U600" s="52"/>
      <c r="V600" s="77"/>
      <c r="W600" s="52">
        <f>IF(NOTA[[#This Row],[HARGA/ CTN]]="",NOTA[[#This Row],[JUMLAH_H]],NOTA[[#This Row],[HARGA/ CTN]]*IF(NOTA[[#This Row],[C]]="",0,NOTA[[#This Row],[C]]))</f>
        <v>345600</v>
      </c>
      <c r="X600" s="52">
        <f>IF(NOTA[[#This Row],[JUMLAH]]="","",NOTA[[#This Row],[JUMLAH]]*NOTA[[#This Row],[DISC 1]])</f>
        <v>43200</v>
      </c>
      <c r="Y600" s="52">
        <f>IF(NOTA[[#This Row],[JUMLAH]]="","",(NOTA[[#This Row],[JUMLAH]]-NOTA[[#This Row],[DISC 1-]])*NOTA[[#This Row],[DISC 2]])</f>
        <v>15120</v>
      </c>
      <c r="Z600" s="52">
        <f>IF(NOTA[[#This Row],[JUMLAH]]="","",NOTA[[#This Row],[DISC 1-]]+NOTA[[#This Row],[DISC 2-]])</f>
        <v>58320</v>
      </c>
      <c r="AA600" s="52">
        <f>IF(NOTA[[#This Row],[JUMLAH]]="","",NOTA[[#This Row],[JUMLAH]]-NOTA[[#This Row],[DISC]])</f>
        <v>287280</v>
      </c>
      <c r="AB600" s="52"/>
      <c r="AC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00" s="52">
        <f>IF(OR(NOTA[[#This Row],[QTY]]="",NOTA[[#This Row],[HARGA SATUAN]]="",),"",NOTA[[#This Row],[QTY]]*NOTA[[#This Row],[HARGA SATUAN]])</f>
        <v>345600</v>
      </c>
      <c r="AG600" s="53">
        <f ca="1">IF(NOTA[ID_H]="","",INDEX(NOTA[TANGGAL],MATCH(,INDIRECT(ADDRESS(ROW(NOTA[TANGGAL]),COLUMN(NOTA[TANGGAL]))&amp;":"&amp;ADDRESS(ROW(),COLUMN(NOTA[TANGGAL]))),-1)))</f>
        <v>45068</v>
      </c>
      <c r="AH600" s="64" t="str">
        <f ca="1">IF(NOTA[[#This Row],[NAMA BARANG]]="","",INDEX(NOTA[SUPPLIER],MATCH(,INDIRECT(ADDRESS(ROW(NOTA[ID]),COLUMN(NOTA[ID]))&amp;":"&amp;ADDRESS(ROW(),COLUMN(NOTA[ID]))),-1)))</f>
        <v>ATALI MAKMUR</v>
      </c>
      <c r="AI600" s="64" t="str">
        <f ca="1">IF(NOTA[[#This Row],[ID_H]]="","",IF(NOTA[[#This Row],[FAKTUR]]="",INDIRECT(ADDRESS(ROW()-1,COLUMN())),NOTA[[#This Row],[FAKTUR]]))</f>
        <v>ARTO MORO</v>
      </c>
      <c r="AJ600" s="27" t="str">
        <f ca="1">IF(NOTA[[#This Row],[ID]]="","",COUNTIF(NOTA[ID_H],NOTA[[#This Row],[ID_H]]))</f>
        <v/>
      </c>
      <c r="AK600" s="27">
        <f ca="1">IF(NOTA[[#This Row],[TGL.NOTA]]="",IF(NOTA[[#This Row],[SUPPLIER_H]]="","",AK599),MONTH(NOTA[[#This Row],[TGL.NOTA]]))</f>
        <v>5</v>
      </c>
      <c r="AL600" s="27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M60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N60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O60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27" t="str">
        <f>IF(NOTA[[#This Row],[CONCAT4]]="","",_xlfn.IFNA(MATCH(NOTA[[#This Row],[CONCAT4]],[2]!RAW[CONCAT_H],0),FALSE))</f>
        <v/>
      </c>
      <c r="AQ600" s="145">
        <f>IF(NOTA[[#This Row],[CONCAT1]]="","",MATCH(NOTA[[#This Row],[CONCAT1]],[3]!db[NB NOTA_C],0)+1)</f>
        <v>1910</v>
      </c>
    </row>
    <row r="601" spans="1:43" ht="20.100000000000001" customHeight="1" x14ac:dyDescent="0.25">
      <c r="A6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107</v>
      </c>
      <c r="E601" s="113"/>
      <c r="H601" s="54"/>
      <c r="L601" s="27" t="s">
        <v>592</v>
      </c>
      <c r="N601" s="27">
        <v>72</v>
      </c>
      <c r="O601" s="27" t="s">
        <v>160</v>
      </c>
      <c r="P601" s="64">
        <v>4800</v>
      </c>
      <c r="Q601" s="79"/>
      <c r="R601" s="114" t="s">
        <v>593</v>
      </c>
      <c r="S601" s="115">
        <v>0.125</v>
      </c>
      <c r="T601" s="115">
        <v>0.05</v>
      </c>
      <c r="U601" s="52"/>
      <c r="V601" s="77"/>
      <c r="W601" s="52">
        <f>IF(NOTA[[#This Row],[HARGA/ CTN]]="",NOTA[[#This Row],[JUMLAH_H]],NOTA[[#This Row],[HARGA/ CTN]]*IF(NOTA[[#This Row],[C]]="",0,NOTA[[#This Row],[C]]))</f>
        <v>345600</v>
      </c>
      <c r="X601" s="52">
        <f>IF(NOTA[[#This Row],[JUMLAH]]="","",NOTA[[#This Row],[JUMLAH]]*NOTA[[#This Row],[DISC 1]])</f>
        <v>43200</v>
      </c>
      <c r="Y601" s="52">
        <f>IF(NOTA[[#This Row],[JUMLAH]]="","",(NOTA[[#This Row],[JUMLAH]]-NOTA[[#This Row],[DISC 1-]])*NOTA[[#This Row],[DISC 2]])</f>
        <v>15120</v>
      </c>
      <c r="Z601" s="52">
        <f>IF(NOTA[[#This Row],[JUMLAH]]="","",NOTA[[#This Row],[DISC 1-]]+NOTA[[#This Row],[DISC 2-]])</f>
        <v>58320</v>
      </c>
      <c r="AA601" s="52">
        <f>IF(NOTA[[#This Row],[JUMLAH]]="","",NOTA[[#This Row],[JUMLAH]]-NOTA[[#This Row],[DISC]])</f>
        <v>287280</v>
      </c>
      <c r="AB601" s="52"/>
      <c r="AC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64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F601" s="52">
        <f>IF(OR(NOTA[[#This Row],[QTY]]="",NOTA[[#This Row],[HARGA SATUAN]]="",),"",NOTA[[#This Row],[QTY]]*NOTA[[#This Row],[HARGA SATUAN]])</f>
        <v>345600</v>
      </c>
      <c r="AG601" s="53">
        <f ca="1">IF(NOTA[ID_H]="","",INDEX(NOTA[TANGGAL],MATCH(,INDIRECT(ADDRESS(ROW(NOTA[TANGGAL]),COLUMN(NOTA[TANGGAL]))&amp;":"&amp;ADDRESS(ROW(),COLUMN(NOTA[TANGGAL]))),-1)))</f>
        <v>45068</v>
      </c>
      <c r="AH601" s="64" t="str">
        <f ca="1">IF(NOTA[[#This Row],[NAMA BARANG]]="","",INDEX(NOTA[SUPPLIER],MATCH(,INDIRECT(ADDRESS(ROW(NOTA[ID]),COLUMN(NOTA[ID]))&amp;":"&amp;ADDRESS(ROW(),COLUMN(NOTA[ID]))),-1)))</f>
        <v>ATALI MAKMUR</v>
      </c>
      <c r="AI601" s="64" t="str">
        <f ca="1">IF(NOTA[[#This Row],[ID_H]]="","",IF(NOTA[[#This Row],[FAKTUR]]="",INDIRECT(ADDRESS(ROW()-1,COLUMN())),NOTA[[#This Row],[FAKTUR]]))</f>
        <v>ARTO MORO</v>
      </c>
      <c r="AJ601" s="27" t="str">
        <f ca="1">IF(NOTA[[#This Row],[ID]]="","",COUNTIF(NOTA[ID_H],NOTA[[#This Row],[ID_H]]))</f>
        <v/>
      </c>
      <c r="AK601" s="27">
        <f ca="1">IF(NOTA[[#This Row],[TGL.NOTA]]="",IF(NOTA[[#This Row],[SUPPLIER_H]]="","",AK600),MONTH(NOTA[[#This Row],[TGL.NOTA]]))</f>
        <v>5</v>
      </c>
      <c r="AL601" s="27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M60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N60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O60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27" t="str">
        <f>IF(NOTA[[#This Row],[CONCAT4]]="","",_xlfn.IFNA(MATCH(NOTA[[#This Row],[CONCAT4]],[2]!RAW[CONCAT_H],0),FALSE))</f>
        <v/>
      </c>
      <c r="AQ601" s="145">
        <f>IF(NOTA[[#This Row],[CONCAT1]]="","",MATCH(NOTA[[#This Row],[CONCAT1]],[3]!db[NB NOTA_C],0)+1)</f>
        <v>1911</v>
      </c>
    </row>
    <row r="602" spans="1:43" ht="20.100000000000001" customHeight="1" x14ac:dyDescent="0.25">
      <c r="A6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>
        <f ca="1">IF(NOTA[[#This Row],[NAMA BARANG]]="","",INDEX(NOTA[ID],MATCH(,INDIRECT(ADDRESS(ROW(NOTA[ID]),COLUMN(NOTA[ID]))&amp;":"&amp;ADDRESS(ROW(),COLUMN(NOTA[ID]))),-1)))</f>
        <v>107</v>
      </c>
      <c r="E602" s="113"/>
      <c r="H602" s="54"/>
      <c r="L602" s="27" t="s">
        <v>820</v>
      </c>
      <c r="N602" s="27">
        <v>144</v>
      </c>
      <c r="O602" s="27" t="s">
        <v>160</v>
      </c>
      <c r="P602" s="64">
        <v>4800</v>
      </c>
      <c r="Q602" s="79"/>
      <c r="R602" s="114" t="s">
        <v>593</v>
      </c>
      <c r="S602" s="115">
        <v>0.125</v>
      </c>
      <c r="T602" s="115">
        <v>0.05</v>
      </c>
      <c r="U602" s="52"/>
      <c r="V602" s="77"/>
      <c r="W602" s="52">
        <f>IF(NOTA[[#This Row],[HARGA/ CTN]]="",NOTA[[#This Row],[JUMLAH_H]],NOTA[[#This Row],[HARGA/ CTN]]*IF(NOTA[[#This Row],[C]]="",0,NOTA[[#This Row],[C]]))</f>
        <v>691200</v>
      </c>
      <c r="X602" s="52">
        <f>IF(NOTA[[#This Row],[JUMLAH]]="","",NOTA[[#This Row],[JUMLAH]]*NOTA[[#This Row],[DISC 1]])</f>
        <v>86400</v>
      </c>
      <c r="Y602" s="52">
        <f>IF(NOTA[[#This Row],[JUMLAH]]="","",(NOTA[[#This Row],[JUMLAH]]-NOTA[[#This Row],[DISC 1-]])*NOTA[[#This Row],[DISC 2]])</f>
        <v>30240</v>
      </c>
      <c r="Z602" s="52">
        <f>IF(NOTA[[#This Row],[JUMLAH]]="","",NOTA[[#This Row],[DISC 1-]]+NOTA[[#This Row],[DISC 2-]])</f>
        <v>116640</v>
      </c>
      <c r="AA602" s="52">
        <f>IF(NOTA[[#This Row],[JUMLAH]]="","",NOTA[[#This Row],[JUMLAH]]-NOTA[[#This Row],[DISC]])</f>
        <v>574560</v>
      </c>
      <c r="AB602" s="52"/>
      <c r="AC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4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02" s="52">
        <f>IF(OR(NOTA[[#This Row],[QTY]]="",NOTA[[#This Row],[HARGA SATUAN]]="",),"",NOTA[[#This Row],[QTY]]*NOTA[[#This Row],[HARGA SATUAN]])</f>
        <v>691200</v>
      </c>
      <c r="AG602" s="53">
        <f ca="1">IF(NOTA[ID_H]="","",INDEX(NOTA[TANGGAL],MATCH(,INDIRECT(ADDRESS(ROW(NOTA[TANGGAL]),COLUMN(NOTA[TANGGAL]))&amp;":"&amp;ADDRESS(ROW(),COLUMN(NOTA[TANGGAL]))),-1)))</f>
        <v>45068</v>
      </c>
      <c r="AH602" s="64" t="str">
        <f ca="1">IF(NOTA[[#This Row],[NAMA BARANG]]="","",INDEX(NOTA[SUPPLIER],MATCH(,INDIRECT(ADDRESS(ROW(NOTA[ID]),COLUMN(NOTA[ID]))&amp;":"&amp;ADDRESS(ROW(),COLUMN(NOTA[ID]))),-1)))</f>
        <v>ATALI MAKMUR</v>
      </c>
      <c r="AI602" s="64" t="str">
        <f ca="1">IF(NOTA[[#This Row],[ID_H]]="","",IF(NOTA[[#This Row],[FAKTUR]]="",INDIRECT(ADDRESS(ROW()-1,COLUMN())),NOTA[[#This Row],[FAKTUR]]))</f>
        <v>ARTO MORO</v>
      </c>
      <c r="AJ602" s="27" t="str">
        <f ca="1">IF(NOTA[[#This Row],[ID]]="","",COUNTIF(NOTA[ID_H],NOTA[[#This Row],[ID_H]]))</f>
        <v/>
      </c>
      <c r="AK602" s="27">
        <f ca="1">IF(NOTA[[#This Row],[TGL.NOTA]]="",IF(NOTA[[#This Row],[SUPPLIER_H]]="","",AK601),MONTH(NOTA[[#This Row],[TGL.NOTA]]))</f>
        <v>5</v>
      </c>
      <c r="AL602" s="27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M60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N60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O60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27" t="str">
        <f>IF(NOTA[[#This Row],[CONCAT4]]="","",_xlfn.IFNA(MATCH(NOTA[[#This Row],[CONCAT4]],[2]!RAW[CONCAT_H],0),FALSE))</f>
        <v/>
      </c>
      <c r="AQ602" s="145">
        <f>IF(NOTA[[#This Row],[CONCAT1]]="","",MATCH(NOTA[[#This Row],[CONCAT1]],[3]!db[NB NOTA_C],0)+1)</f>
        <v>1905</v>
      </c>
    </row>
    <row r="603" spans="1:43" ht="20.100000000000001" customHeight="1" x14ac:dyDescent="0.25">
      <c r="A6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66" t="str">
        <f>IF(NOTA[[#This Row],[ID_P]]="","",MATCH(NOTA[[#This Row],[ID_P]],[1]!B_MSK[N_ID],0))</f>
        <v/>
      </c>
      <c r="D603" s="66">
        <f ca="1">IF(NOTA[[#This Row],[NAMA BARANG]]="","",INDEX(NOTA[ID],MATCH(,INDIRECT(ADDRESS(ROW(NOTA[ID]),COLUMN(NOTA[ID]))&amp;":"&amp;ADDRESS(ROW(),COLUMN(NOTA[ID]))),-1)))</f>
        <v>107</v>
      </c>
      <c r="E603" s="113"/>
      <c r="H603" s="54"/>
      <c r="L603" s="27" t="s">
        <v>821</v>
      </c>
      <c r="N603" s="27">
        <v>144</v>
      </c>
      <c r="O603" s="27" t="s">
        <v>160</v>
      </c>
      <c r="P603" s="64">
        <v>4800</v>
      </c>
      <c r="Q603" s="79"/>
      <c r="R603" s="114" t="s">
        <v>371</v>
      </c>
      <c r="S603" s="115">
        <v>0.125</v>
      </c>
      <c r="T603" s="115">
        <v>0.05</v>
      </c>
      <c r="U603" s="52"/>
      <c r="V603" s="77"/>
      <c r="W603" s="52">
        <f>IF(NOTA[[#This Row],[HARGA/ CTN]]="",NOTA[[#This Row],[JUMLAH_H]],NOTA[[#This Row],[HARGA/ CTN]]*IF(NOTA[[#This Row],[C]]="",0,NOTA[[#This Row],[C]]))</f>
        <v>691200</v>
      </c>
      <c r="X603" s="52">
        <f>IF(NOTA[[#This Row],[JUMLAH]]="","",NOTA[[#This Row],[JUMLAH]]*NOTA[[#This Row],[DISC 1]])</f>
        <v>86400</v>
      </c>
      <c r="Y603" s="52">
        <f>IF(NOTA[[#This Row],[JUMLAH]]="","",(NOTA[[#This Row],[JUMLAH]]-NOTA[[#This Row],[DISC 1-]])*NOTA[[#This Row],[DISC 2]])</f>
        <v>30240</v>
      </c>
      <c r="Z603" s="52">
        <f>IF(NOTA[[#This Row],[JUMLAH]]="","",NOTA[[#This Row],[DISC 1-]]+NOTA[[#This Row],[DISC 2-]])</f>
        <v>116640</v>
      </c>
      <c r="AA603" s="52">
        <f>IF(NOTA[[#This Row],[JUMLAH]]="","",NOTA[[#This Row],[JUMLAH]]-NOTA[[#This Row],[DISC]])</f>
        <v>574560</v>
      </c>
      <c r="AB603" s="52"/>
      <c r="AC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4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603" s="52">
        <f>IF(OR(NOTA[[#This Row],[QTY]]="",NOTA[[#This Row],[HARGA SATUAN]]="",),"",NOTA[[#This Row],[QTY]]*NOTA[[#This Row],[HARGA SATUAN]])</f>
        <v>691200</v>
      </c>
      <c r="AG603" s="53">
        <f ca="1">IF(NOTA[ID_H]="","",INDEX(NOTA[TANGGAL],MATCH(,INDIRECT(ADDRESS(ROW(NOTA[TANGGAL]),COLUMN(NOTA[TANGGAL]))&amp;":"&amp;ADDRESS(ROW(),COLUMN(NOTA[TANGGAL]))),-1)))</f>
        <v>45068</v>
      </c>
      <c r="AH603" s="64" t="str">
        <f ca="1">IF(NOTA[[#This Row],[NAMA BARANG]]="","",INDEX(NOTA[SUPPLIER],MATCH(,INDIRECT(ADDRESS(ROW(NOTA[ID]),COLUMN(NOTA[ID]))&amp;":"&amp;ADDRESS(ROW(),COLUMN(NOTA[ID]))),-1)))</f>
        <v>ATALI MAKMUR</v>
      </c>
      <c r="AI603" s="64" t="str">
        <f ca="1">IF(NOTA[[#This Row],[ID_H]]="","",IF(NOTA[[#This Row],[FAKTUR]]="",INDIRECT(ADDRESS(ROW()-1,COLUMN())),NOTA[[#This Row],[FAKTUR]]))</f>
        <v>ARTO MORO</v>
      </c>
      <c r="AJ603" s="27" t="str">
        <f ca="1">IF(NOTA[[#This Row],[ID]]="","",COUNTIF(NOTA[ID_H],NOTA[[#This Row],[ID_H]]))</f>
        <v/>
      </c>
      <c r="AK603" s="27">
        <f ca="1">IF(NOTA[[#This Row],[TGL.NOTA]]="",IF(NOTA[[#This Row],[SUPPLIER_H]]="","",AK602),MONTH(NOTA[[#This Row],[TGL.NOTA]]))</f>
        <v>5</v>
      </c>
      <c r="AL603" s="27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60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pencilcasepc0719gz34afgozzyjk6912000.1250.05</v>
      </c>
      <c r="AN60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pencilcasepc0719gz34afgozzyjk48000.1250.05</v>
      </c>
      <c r="AO60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27" t="str">
        <f>IF(NOTA[[#This Row],[CONCAT4]]="","",_xlfn.IFNA(MATCH(NOTA[[#This Row],[CONCAT4]],[2]!RAW[CONCAT_H],0),FALSE))</f>
        <v/>
      </c>
      <c r="AQ603" s="145">
        <f>IF(NOTA[[#This Row],[CONCAT1]]="","",MATCH(NOTA[[#This Row],[CONCAT1]],[3]!db[NB NOTA_C],0)+1)</f>
        <v>1906</v>
      </c>
    </row>
    <row r="604" spans="1:43" ht="20.100000000000001" customHeight="1" x14ac:dyDescent="0.25">
      <c r="A6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107</v>
      </c>
      <c r="E604" s="113"/>
      <c r="H604" s="54"/>
      <c r="L604" s="27" t="s">
        <v>803</v>
      </c>
      <c r="M604" s="114">
        <v>1</v>
      </c>
      <c r="N604" s="27">
        <v>180</v>
      </c>
      <c r="O604" s="27" t="s">
        <v>262</v>
      </c>
      <c r="P604" s="64">
        <v>9000</v>
      </c>
      <c r="Q604" s="79"/>
      <c r="R604" s="114" t="s">
        <v>804</v>
      </c>
      <c r="S604" s="115">
        <v>0.125</v>
      </c>
      <c r="T604" s="115">
        <v>0.05</v>
      </c>
      <c r="U604" s="52"/>
      <c r="V604" s="77"/>
      <c r="W604" s="52">
        <f>IF(NOTA[[#This Row],[HARGA/ CTN]]="",NOTA[[#This Row],[JUMLAH_H]],NOTA[[#This Row],[HARGA/ CTN]]*IF(NOTA[[#This Row],[C]]="",0,NOTA[[#This Row],[C]]))</f>
        <v>1620000</v>
      </c>
      <c r="X604" s="52">
        <f>IF(NOTA[[#This Row],[JUMLAH]]="","",NOTA[[#This Row],[JUMLAH]]*NOTA[[#This Row],[DISC 1]])</f>
        <v>202500</v>
      </c>
      <c r="Y604" s="52">
        <f>IF(NOTA[[#This Row],[JUMLAH]]="","",(NOTA[[#This Row],[JUMLAH]]-NOTA[[#This Row],[DISC 1-]])*NOTA[[#This Row],[DISC 2]])</f>
        <v>70875</v>
      </c>
      <c r="Z604" s="52">
        <f>IF(NOTA[[#This Row],[JUMLAH]]="","",NOTA[[#This Row],[DISC 1-]]+NOTA[[#This Row],[DISC 2-]])</f>
        <v>273375</v>
      </c>
      <c r="AA604" s="52">
        <f>IF(NOTA[[#This Row],[JUMLAH]]="","",NOTA[[#This Row],[JUMLAH]]-NOTA[[#This Row],[DISC]])</f>
        <v>1346625</v>
      </c>
      <c r="AB604" s="52"/>
      <c r="AC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64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604" s="52">
        <f>IF(OR(NOTA[[#This Row],[QTY]]="",NOTA[[#This Row],[HARGA SATUAN]]="",),"",NOTA[[#This Row],[QTY]]*NOTA[[#This Row],[HARGA SATUAN]])</f>
        <v>1620000</v>
      </c>
      <c r="AG604" s="53">
        <f ca="1">IF(NOTA[ID_H]="","",INDEX(NOTA[TANGGAL],MATCH(,INDIRECT(ADDRESS(ROW(NOTA[TANGGAL]),COLUMN(NOTA[TANGGAL]))&amp;":"&amp;ADDRESS(ROW(),COLUMN(NOTA[TANGGAL]))),-1)))</f>
        <v>45068</v>
      </c>
      <c r="AH604" s="64" t="str">
        <f ca="1">IF(NOTA[[#This Row],[NAMA BARANG]]="","",INDEX(NOTA[SUPPLIER],MATCH(,INDIRECT(ADDRESS(ROW(NOTA[ID]),COLUMN(NOTA[ID]))&amp;":"&amp;ADDRESS(ROW(),COLUMN(NOTA[ID]))),-1)))</f>
        <v>ATALI MAKMUR</v>
      </c>
      <c r="AI604" s="64" t="str">
        <f ca="1">IF(NOTA[[#This Row],[ID_H]]="","",IF(NOTA[[#This Row],[FAKTUR]]="",INDIRECT(ADDRESS(ROW()-1,COLUMN())),NOTA[[#This Row],[FAKTUR]]))</f>
        <v>ARTO MORO</v>
      </c>
      <c r="AJ604" s="27" t="str">
        <f ca="1">IF(NOTA[[#This Row],[ID]]="","",COUNTIF(NOTA[ID_H],NOTA[[#This Row],[ID_H]]))</f>
        <v/>
      </c>
      <c r="AK604" s="27">
        <f ca="1">IF(NOTA[[#This Row],[TGL.NOTA]]="",IF(NOTA[[#This Row],[SUPPLIER_H]]="","",AK603),MONTH(NOTA[[#This Row],[TGL.NOTA]]))</f>
        <v>5</v>
      </c>
      <c r="AL604" s="27" t="str">
        <f>LOWER(SUBSTITUTE(SUBSTITUTE(SUBSTITUTE(SUBSTITUTE(SUBSTITUTE(SUBSTITUTE(SUBSTITUTE(SUBSTITUTE(SUBSTITUTE(NOTA[NAMA BARANG]," ",),".",""),"-",""),"(",""),")",""),",",""),"/",""),"""",""),"+",""))</f>
        <v>sharpenersp362jk</v>
      </c>
      <c r="AM60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60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60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27" t="str">
        <f>IF(NOTA[[#This Row],[CONCAT4]]="","",_xlfn.IFNA(MATCH(NOTA[[#This Row],[CONCAT4]],[2]!RAW[CONCAT_H],0),FALSE))</f>
        <v/>
      </c>
      <c r="AQ604" s="145">
        <f>IF(NOTA[[#This Row],[CONCAT1]]="","",MATCH(NOTA[[#This Row],[CONCAT1]],[3]!db[NB NOTA_C],0)+1)</f>
        <v>2154</v>
      </c>
    </row>
    <row r="605" spans="1:43" ht="20.100000000000001" customHeight="1" x14ac:dyDescent="0.25">
      <c r="A6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>
        <f ca="1">IF(NOTA[[#This Row],[NAMA BARANG]]="","",INDEX(NOTA[ID],MATCH(,INDIRECT(ADDRESS(ROW(NOTA[ID]),COLUMN(NOTA[ID]))&amp;":"&amp;ADDRESS(ROW(),COLUMN(NOTA[ID]))),-1)))</f>
        <v>107</v>
      </c>
      <c r="E605" s="113"/>
      <c r="H605" s="54"/>
      <c r="L605" s="27" t="s">
        <v>826</v>
      </c>
      <c r="M605" s="114">
        <v>1</v>
      </c>
      <c r="N605" s="27">
        <v>24</v>
      </c>
      <c r="O605" s="27" t="s">
        <v>252</v>
      </c>
      <c r="P605" s="64">
        <v>96000</v>
      </c>
      <c r="Q605" s="79"/>
      <c r="R605" s="114" t="s">
        <v>587</v>
      </c>
      <c r="S605" s="115">
        <v>0.125</v>
      </c>
      <c r="T605" s="115">
        <v>0.05</v>
      </c>
      <c r="U605" s="52"/>
      <c r="V605" s="77"/>
      <c r="W605" s="52">
        <f>IF(NOTA[[#This Row],[HARGA/ CTN]]="",NOTA[[#This Row],[JUMLAH_H]],NOTA[[#This Row],[HARGA/ CTN]]*IF(NOTA[[#This Row],[C]]="",0,NOTA[[#This Row],[C]]))</f>
        <v>2304000</v>
      </c>
      <c r="X605" s="52">
        <f>IF(NOTA[[#This Row],[JUMLAH]]="","",NOTA[[#This Row],[JUMLAH]]*NOTA[[#This Row],[DISC 1]])</f>
        <v>288000</v>
      </c>
      <c r="Y605" s="52">
        <f>IF(NOTA[[#This Row],[JUMLAH]]="","",(NOTA[[#This Row],[JUMLAH]]-NOTA[[#This Row],[DISC 1-]])*NOTA[[#This Row],[DISC 2]])</f>
        <v>100800</v>
      </c>
      <c r="Z605" s="52">
        <f>IF(NOTA[[#This Row],[JUMLAH]]="","",NOTA[[#This Row],[DISC 1-]]+NOTA[[#This Row],[DISC 2-]])</f>
        <v>388800</v>
      </c>
      <c r="AA605" s="52">
        <f>IF(NOTA[[#This Row],[JUMLAH]]="","",NOTA[[#This Row],[JUMLAH]]-NOTA[[#This Row],[DISC]])</f>
        <v>1915200</v>
      </c>
      <c r="AB605" s="52"/>
      <c r="AC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4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605" s="52">
        <f>IF(OR(NOTA[[#This Row],[QTY]]="",NOTA[[#This Row],[HARGA SATUAN]]="",),"",NOTA[[#This Row],[QTY]]*NOTA[[#This Row],[HARGA SATUAN]])</f>
        <v>2304000</v>
      </c>
      <c r="AG605" s="53">
        <f ca="1">IF(NOTA[ID_H]="","",INDEX(NOTA[TANGGAL],MATCH(,INDIRECT(ADDRESS(ROW(NOTA[TANGGAL]),COLUMN(NOTA[TANGGAL]))&amp;":"&amp;ADDRESS(ROW(),COLUMN(NOTA[TANGGAL]))),-1)))</f>
        <v>45068</v>
      </c>
      <c r="AH605" s="64" t="str">
        <f ca="1">IF(NOTA[[#This Row],[NAMA BARANG]]="","",INDEX(NOTA[SUPPLIER],MATCH(,INDIRECT(ADDRESS(ROW(NOTA[ID]),COLUMN(NOTA[ID]))&amp;":"&amp;ADDRESS(ROW(),COLUMN(NOTA[ID]))),-1)))</f>
        <v>ATALI MAKMUR</v>
      </c>
      <c r="AI605" s="64" t="str">
        <f ca="1">IF(NOTA[[#This Row],[ID_H]]="","",IF(NOTA[[#This Row],[FAKTUR]]="",INDIRECT(ADDRESS(ROW()-1,COLUMN())),NOTA[[#This Row],[FAKTUR]]))</f>
        <v>ARTO MORO</v>
      </c>
      <c r="AJ605" s="27" t="str">
        <f ca="1">IF(NOTA[[#This Row],[ID]]="","",COUNTIF(NOTA[ID_H],NOTA[[#This Row],[ID_H]]))</f>
        <v/>
      </c>
      <c r="AK605" s="27">
        <f ca="1">IF(NOTA[[#This Row],[TGL.NOTA]]="",IF(NOTA[[#This Row],[SUPPLIER_H]]="","",AK604),MONTH(NOTA[[#This Row],[TGL.NOTA]]))</f>
        <v>5</v>
      </c>
      <c r="AL605" s="27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M60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N60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60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27" t="str">
        <f>IF(NOTA[[#This Row],[CONCAT4]]="","",_xlfn.IFNA(MATCH(NOTA[[#This Row],[CONCAT4]],[2]!RAW[CONCAT_H],0),FALSE))</f>
        <v/>
      </c>
      <c r="AQ605" s="145">
        <f>IF(NOTA[[#This Row],[CONCAT1]]="","",MATCH(NOTA[[#This Row],[CONCAT1]],[3]!db[NB NOTA_C],0)+1)</f>
        <v>1710</v>
      </c>
    </row>
    <row r="606" spans="1:43" ht="20.100000000000001" customHeight="1" x14ac:dyDescent="0.25">
      <c r="A6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66" t="str">
        <f>IF(NOTA[[#This Row],[ID_P]]="","",MATCH(NOTA[[#This Row],[ID_P]],[1]!B_MSK[N_ID],0))</f>
        <v/>
      </c>
      <c r="D606" s="66">
        <f ca="1">IF(NOTA[[#This Row],[NAMA BARANG]]="","",INDEX(NOTA[ID],MATCH(,INDIRECT(ADDRESS(ROW(NOTA[ID]),COLUMN(NOTA[ID]))&amp;":"&amp;ADDRESS(ROW(),COLUMN(NOTA[ID]))),-1)))</f>
        <v>107</v>
      </c>
      <c r="E606" s="113"/>
      <c r="H606" s="54"/>
      <c r="L606" s="27" t="s">
        <v>822</v>
      </c>
      <c r="M606" s="114">
        <v>1</v>
      </c>
      <c r="N606" s="27">
        <v>144</v>
      </c>
      <c r="O606" s="27" t="s">
        <v>146</v>
      </c>
      <c r="P606" s="64">
        <v>28200</v>
      </c>
      <c r="Q606" s="79"/>
      <c r="R606" s="114" t="s">
        <v>293</v>
      </c>
      <c r="S606" s="115">
        <v>0.125</v>
      </c>
      <c r="T606" s="115">
        <v>0.05</v>
      </c>
      <c r="U606" s="52"/>
      <c r="V606" s="77"/>
      <c r="W606" s="52">
        <f>IF(NOTA[[#This Row],[HARGA/ CTN]]="",NOTA[[#This Row],[JUMLAH_H]],NOTA[[#This Row],[HARGA/ CTN]]*IF(NOTA[[#This Row],[C]]="",0,NOTA[[#This Row],[C]]))</f>
        <v>4060800</v>
      </c>
      <c r="X606" s="52">
        <f>IF(NOTA[[#This Row],[JUMLAH]]="","",NOTA[[#This Row],[JUMLAH]]*NOTA[[#This Row],[DISC 1]])</f>
        <v>507600</v>
      </c>
      <c r="Y606" s="52">
        <f>IF(NOTA[[#This Row],[JUMLAH]]="","",(NOTA[[#This Row],[JUMLAH]]-NOTA[[#This Row],[DISC 1-]])*NOTA[[#This Row],[DISC 2]])</f>
        <v>177660</v>
      </c>
      <c r="Z606" s="52">
        <f>IF(NOTA[[#This Row],[JUMLAH]]="","",NOTA[[#This Row],[DISC 1-]]+NOTA[[#This Row],[DISC 2-]])</f>
        <v>685260</v>
      </c>
      <c r="AA606" s="52">
        <f>IF(NOTA[[#This Row],[JUMLAH]]="","",NOTA[[#This Row],[JUMLAH]]-NOTA[[#This Row],[DISC]])</f>
        <v>3375540</v>
      </c>
      <c r="AB606" s="52"/>
      <c r="AC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606" s="52">
        <f>IF(OR(NOTA[[#This Row],[QTY]]="",NOTA[[#This Row],[HARGA SATUAN]]="",),"",NOTA[[#This Row],[QTY]]*NOTA[[#This Row],[HARGA SATUAN]])</f>
        <v>4060800</v>
      </c>
      <c r="AG606" s="53">
        <f ca="1">IF(NOTA[ID_H]="","",INDEX(NOTA[TANGGAL],MATCH(,INDIRECT(ADDRESS(ROW(NOTA[TANGGAL]),COLUMN(NOTA[TANGGAL]))&amp;":"&amp;ADDRESS(ROW(),COLUMN(NOTA[TANGGAL]))),-1)))</f>
        <v>45068</v>
      </c>
      <c r="AH606" s="64" t="str">
        <f ca="1">IF(NOTA[[#This Row],[NAMA BARANG]]="","",INDEX(NOTA[SUPPLIER],MATCH(,INDIRECT(ADDRESS(ROW(NOTA[ID]),COLUMN(NOTA[ID]))&amp;":"&amp;ADDRESS(ROW(),COLUMN(NOTA[ID]))),-1)))</f>
        <v>ATALI MAKMUR</v>
      </c>
      <c r="AI606" s="64" t="str">
        <f ca="1">IF(NOTA[[#This Row],[ID_H]]="","",IF(NOTA[[#This Row],[FAKTUR]]="",INDIRECT(ADDRESS(ROW()-1,COLUMN())),NOTA[[#This Row],[FAKTUR]]))</f>
        <v>ARTO MORO</v>
      </c>
      <c r="AJ606" s="27" t="str">
        <f ca="1">IF(NOTA[[#This Row],[ID]]="","",COUNTIF(NOTA[ID_H],NOTA[[#This Row],[ID_H]]))</f>
        <v/>
      </c>
      <c r="AK606" s="27">
        <f ca="1">IF(NOTA[[#This Row],[TGL.NOTA]]="",IF(NOTA[[#This Row],[SUPPLIER_H]]="","",AK605),MONTH(NOTA[[#This Row],[TGL.NOTA]]))</f>
        <v>5</v>
      </c>
      <c r="AL606" s="27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60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60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60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27" t="str">
        <f>IF(NOTA[[#This Row],[CONCAT4]]="","",_xlfn.IFNA(MATCH(NOTA[[#This Row],[CONCAT4]],[2]!RAW[CONCAT_H],0),FALSE))</f>
        <v/>
      </c>
      <c r="AQ606" s="145">
        <f>IF(NOTA[[#This Row],[CONCAT1]]="","",MATCH(NOTA[[#This Row],[CONCAT1]],[3]!db[NB NOTA_C],0)+1)</f>
        <v>800</v>
      </c>
    </row>
    <row r="607" spans="1:43" ht="20.100000000000001" customHeight="1" x14ac:dyDescent="0.25">
      <c r="A60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7" t="str">
        <f>IF(NOTA[[#This Row],[ID_P]]="","",MATCH(NOTA[[#This Row],[ID_P]],[1]!B_MSK[N_ID],0))</f>
        <v/>
      </c>
      <c r="D607" s="117">
        <f ca="1">IF(NOTA[[#This Row],[NAMA BARANG]]="","",INDEX(NOTA[ID],MATCH(,INDIRECT(ADDRESS(ROW(NOTA[ID]),COLUMN(NOTA[ID]))&amp;":"&amp;ADDRESS(ROW(),COLUMN(NOTA[ID]))),-1)))</f>
        <v>107</v>
      </c>
      <c r="E607" s="118"/>
      <c r="F607" s="119"/>
      <c r="G607" s="119"/>
      <c r="H607" s="120"/>
      <c r="I607" s="119"/>
      <c r="J607" s="121"/>
      <c r="K607" s="119"/>
      <c r="L607" s="27" t="s">
        <v>823</v>
      </c>
      <c r="M607" s="122">
        <v>1</v>
      </c>
      <c r="N607" s="119">
        <v>48</v>
      </c>
      <c r="O607" s="27" t="s">
        <v>146</v>
      </c>
      <c r="P607" s="116">
        <v>51600</v>
      </c>
      <c r="Q607" s="123"/>
      <c r="R607" s="114" t="s">
        <v>284</v>
      </c>
      <c r="S607" s="124">
        <v>0.125</v>
      </c>
      <c r="T607" s="124">
        <v>0.05</v>
      </c>
      <c r="U607" s="125"/>
      <c r="V607" s="77"/>
      <c r="W607" s="125">
        <f>IF(NOTA[[#This Row],[HARGA/ CTN]]="",NOTA[[#This Row],[JUMLAH_H]],NOTA[[#This Row],[HARGA/ CTN]]*IF(NOTA[[#This Row],[C]]="",0,NOTA[[#This Row],[C]]))</f>
        <v>2476800</v>
      </c>
      <c r="X607" s="125">
        <f>IF(NOTA[[#This Row],[JUMLAH]]="","",NOTA[[#This Row],[JUMLAH]]*NOTA[[#This Row],[DISC 1]])</f>
        <v>309600</v>
      </c>
      <c r="Y607" s="125">
        <f>IF(NOTA[[#This Row],[JUMLAH]]="","",(NOTA[[#This Row],[JUMLAH]]-NOTA[[#This Row],[DISC 1-]])*NOTA[[#This Row],[DISC 2]])</f>
        <v>108360</v>
      </c>
      <c r="Z607" s="125">
        <f>IF(NOTA[[#This Row],[JUMLAH]]="","",NOTA[[#This Row],[DISC 1-]]+NOTA[[#This Row],[DISC 2-]])</f>
        <v>417960</v>
      </c>
      <c r="AA607" s="125">
        <f>IF(NOTA[[#This Row],[JUMLAH]]="","",NOTA[[#This Row],[JUMLAH]]-NOTA[[#This Row],[DISC]])</f>
        <v>2058840</v>
      </c>
      <c r="AB607" s="125"/>
      <c r="AC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116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F607" s="125">
        <f>IF(OR(NOTA[[#This Row],[QTY]]="",NOTA[[#This Row],[HARGA SATUAN]]="",),"",NOTA[[#This Row],[QTY]]*NOTA[[#This Row],[HARGA SATUAN]])</f>
        <v>2476800</v>
      </c>
      <c r="AG607" s="121">
        <f ca="1">IF(NOTA[ID_H]="","",INDEX(NOTA[TANGGAL],MATCH(,INDIRECT(ADDRESS(ROW(NOTA[TANGGAL]),COLUMN(NOTA[TANGGAL]))&amp;":"&amp;ADDRESS(ROW(),COLUMN(NOTA[TANGGAL]))),-1)))</f>
        <v>45068</v>
      </c>
      <c r="AH607" s="116" t="str">
        <f ca="1">IF(NOTA[[#This Row],[NAMA BARANG]]="","",INDEX(NOTA[SUPPLIER],MATCH(,INDIRECT(ADDRESS(ROW(NOTA[ID]),COLUMN(NOTA[ID]))&amp;":"&amp;ADDRESS(ROW(),COLUMN(NOTA[ID]))),-1)))</f>
        <v>ATALI MAKMUR</v>
      </c>
      <c r="AI607" s="116" t="str">
        <f ca="1">IF(NOTA[[#This Row],[ID_H]]="","",IF(NOTA[[#This Row],[FAKTUR]]="",INDIRECT(ADDRESS(ROW()-1,COLUMN())),NOTA[[#This Row],[FAKTUR]]))</f>
        <v>ARTO MORO</v>
      </c>
      <c r="AJ607" s="27" t="str">
        <f ca="1">IF(NOTA[[#This Row],[ID]]="","",COUNTIF(NOTA[ID_H],NOTA[[#This Row],[ID_H]]))</f>
        <v/>
      </c>
      <c r="AK607" s="27">
        <f ca="1">IF(NOTA[[#This Row],[TGL.NOTA]]="",IF(NOTA[[#This Row],[SUPPLIER_H]]="","",AK606),MONTH(NOTA[[#This Row],[TGL.NOTA]]))</f>
        <v>5</v>
      </c>
      <c r="AL607" s="27" t="str">
        <f>LOWER(SUBSTITUTE(SUBSTITUTE(SUBSTITUTE(SUBSTITUTE(SUBSTITUTE(SUBSTITUTE(SUBSTITUTE(SUBSTITUTE(SUBSTITUTE(NOTA[NAMA BARANG]," ",),".",""),"-",""),"(",""),")",""),",",""),"/",""),"""",""),"+",""))</f>
        <v>cutterk200jk</v>
      </c>
      <c r="AM60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cutterk200jk24768000.1250.05</v>
      </c>
      <c r="AN60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cutterk200jk24768000.1250.05</v>
      </c>
      <c r="AO60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27" t="str">
        <f>IF(NOTA[[#This Row],[CONCAT4]]="","",_xlfn.IFNA(MATCH(NOTA[[#This Row],[CONCAT4]],[2]!RAW[CONCAT_H],0),FALSE))</f>
        <v/>
      </c>
      <c r="AQ607" s="145">
        <f>IF(NOTA[[#This Row],[CONCAT1]]="","",MATCH(NOTA[[#This Row],[CONCAT1]],[3]!db[NB NOTA_C],0)+1)</f>
        <v>618</v>
      </c>
    </row>
    <row r="608" spans="1:43" ht="20.100000000000001" customHeight="1" x14ac:dyDescent="0.25">
      <c r="A608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17" t="str">
        <f>IF(NOTA[[#This Row],[ID_P]]="","",MATCH(NOTA[[#This Row],[ID_P]],[1]!B_MSK[N_ID],0))</f>
        <v/>
      </c>
      <c r="D608" s="117">
        <f ca="1">IF(NOTA[[#This Row],[NAMA BARANG]]="","",INDEX(NOTA[ID],MATCH(,INDIRECT(ADDRESS(ROW(NOTA[ID]),COLUMN(NOTA[ID]))&amp;":"&amp;ADDRESS(ROW(),COLUMN(NOTA[ID]))),-1)))</f>
        <v>107</v>
      </c>
      <c r="E608" s="118"/>
      <c r="F608" s="119"/>
      <c r="G608" s="119"/>
      <c r="H608" s="120"/>
      <c r="I608" s="119"/>
      <c r="J608" s="121"/>
      <c r="K608" s="119"/>
      <c r="L608" s="27" t="s">
        <v>824</v>
      </c>
      <c r="M608" s="122">
        <v>1</v>
      </c>
      <c r="N608" s="119">
        <v>48</v>
      </c>
      <c r="O608" s="27" t="s">
        <v>262</v>
      </c>
      <c r="P608" s="116">
        <v>31200</v>
      </c>
      <c r="Q608" s="123"/>
      <c r="R608" s="114" t="s">
        <v>825</v>
      </c>
      <c r="S608" s="124">
        <v>0.125</v>
      </c>
      <c r="T608" s="124">
        <v>0.05</v>
      </c>
      <c r="U608" s="125"/>
      <c r="V608" s="77"/>
      <c r="W608" s="125">
        <f>IF(NOTA[[#This Row],[HARGA/ CTN]]="",NOTA[[#This Row],[JUMLAH_H]],NOTA[[#This Row],[HARGA/ CTN]]*IF(NOTA[[#This Row],[C]]="",0,NOTA[[#This Row],[C]]))</f>
        <v>1497600</v>
      </c>
      <c r="X608" s="125">
        <f>IF(NOTA[[#This Row],[JUMLAH]]="","",NOTA[[#This Row],[JUMLAH]]*NOTA[[#This Row],[DISC 1]])</f>
        <v>187200</v>
      </c>
      <c r="Y608" s="125">
        <f>IF(NOTA[[#This Row],[JUMLAH]]="","",(NOTA[[#This Row],[JUMLAH]]-NOTA[[#This Row],[DISC 1-]])*NOTA[[#This Row],[DISC 2]])</f>
        <v>65520</v>
      </c>
      <c r="Z608" s="125">
        <f>IF(NOTA[[#This Row],[JUMLAH]]="","",NOTA[[#This Row],[DISC 1-]]+NOTA[[#This Row],[DISC 2-]])</f>
        <v>252720</v>
      </c>
      <c r="AA608" s="125">
        <f>IF(NOTA[[#This Row],[JUMLAH]]="","",NOTA[[#This Row],[JUMLAH]]-NOTA[[#This Row],[DISC]])</f>
        <v>1244880</v>
      </c>
      <c r="AB608" s="125"/>
      <c r="AC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2484675</v>
      </c>
      <c r="AD608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12239325</v>
      </c>
      <c r="AE608" s="116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608" s="125">
        <f>IF(OR(NOTA[[#This Row],[QTY]]="",NOTA[[#This Row],[HARGA SATUAN]]="",),"",NOTA[[#This Row],[QTY]]*NOTA[[#This Row],[HARGA SATUAN]])</f>
        <v>1497600</v>
      </c>
      <c r="AG608" s="121">
        <f ca="1">IF(NOTA[ID_H]="","",INDEX(NOTA[TANGGAL],MATCH(,INDIRECT(ADDRESS(ROW(NOTA[TANGGAL]),COLUMN(NOTA[TANGGAL]))&amp;":"&amp;ADDRESS(ROW(),COLUMN(NOTA[TANGGAL]))),-1)))</f>
        <v>45068</v>
      </c>
      <c r="AH608" s="116" t="str">
        <f ca="1">IF(NOTA[[#This Row],[NAMA BARANG]]="","",INDEX(NOTA[SUPPLIER],MATCH(,INDIRECT(ADDRESS(ROW(NOTA[ID]),COLUMN(NOTA[ID]))&amp;":"&amp;ADDRESS(ROW(),COLUMN(NOTA[ID]))),-1)))</f>
        <v>ATALI MAKMUR</v>
      </c>
      <c r="AI608" s="116" t="str">
        <f ca="1">IF(NOTA[[#This Row],[ID_H]]="","",IF(NOTA[[#This Row],[FAKTUR]]="",INDIRECT(ADDRESS(ROW()-1,COLUMN())),NOTA[[#This Row],[FAKTUR]]))</f>
        <v>ARTO MORO</v>
      </c>
      <c r="AJ608" s="27" t="str">
        <f ca="1">IF(NOTA[[#This Row],[ID]]="","",COUNTIF(NOTA[ID_H],NOTA[[#This Row],[ID_H]]))</f>
        <v/>
      </c>
      <c r="AK608" s="27">
        <f ca="1">IF(NOTA[[#This Row],[TGL.NOTA]]="",IF(NOTA[[#This Row],[SUPPLIER_H]]="","",AK607),MONTH(NOTA[[#This Row],[TGL.NOTA]]))</f>
        <v>5</v>
      </c>
      <c r="AL608" s="27" t="str">
        <f>LOWER(SUBSTITUTE(SUBSTITUTE(SUBSTITUTE(SUBSTITUTE(SUBSTITUTE(SUBSTITUTE(SUBSTITUTE(SUBSTITUTE(SUBSTITUTE(NOTA[NAMA BARANG]," ",),".",""),"-",""),"(",""),")",""),",",""),"/",""),"""",""),"+",""))</f>
        <v>pushpinpp30jk</v>
      </c>
      <c r="AM60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60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60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27" t="str">
        <f>IF(NOTA[[#This Row],[CONCAT4]]="","",_xlfn.IFNA(MATCH(NOTA[[#This Row],[CONCAT4]],[2]!RAW[CONCAT_H],0),FALSE))</f>
        <v/>
      </c>
      <c r="AQ608" s="145">
        <f>IF(NOTA[[#This Row],[CONCAT1]]="","",MATCH(NOTA[[#This Row],[CONCAT1]],[3]!db[NB NOTA_C],0)+1)</f>
        <v>2071</v>
      </c>
    </row>
    <row r="609" spans="1:43" ht="20.100000000000001" customHeight="1" x14ac:dyDescent="0.25">
      <c r="A60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117" t="str">
        <f>IF(NOTA[[#This Row],[ID_P]]="","",MATCH(NOTA[[#This Row],[ID_P]],[1]!B_MSK[N_ID],0))</f>
        <v/>
      </c>
      <c r="D609" s="117" t="str">
        <f ca="1">IF(NOTA[[#This Row],[NAMA BARANG]]="","",INDEX(NOTA[ID],MATCH(,INDIRECT(ADDRESS(ROW(NOTA[ID]),COLUMN(NOTA[ID]))&amp;":"&amp;ADDRESS(ROW(),COLUMN(NOTA[ID]))),-1)))</f>
        <v/>
      </c>
      <c r="E609" s="118"/>
      <c r="F609" s="119"/>
      <c r="G609" s="119"/>
      <c r="H609" s="120"/>
      <c r="I609" s="119"/>
      <c r="J609" s="121"/>
      <c r="K609" s="119"/>
      <c r="L609" s="119"/>
      <c r="M609" s="122"/>
      <c r="N609" s="119"/>
      <c r="O609" s="119"/>
      <c r="P609" s="116"/>
      <c r="Q609" s="123"/>
      <c r="R609" s="122"/>
      <c r="S609" s="124"/>
      <c r="T609" s="124"/>
      <c r="U609" s="125"/>
      <c r="V609" s="77"/>
      <c r="W609" s="125" t="str">
        <f>IF(NOTA[[#This Row],[HARGA/ CTN]]="",NOTA[[#This Row],[JUMLAH_H]],NOTA[[#This Row],[HARGA/ CTN]]*IF(NOTA[[#This Row],[C]]="",0,NOTA[[#This Row],[C]]))</f>
        <v/>
      </c>
      <c r="X609" s="125" t="str">
        <f>IF(NOTA[[#This Row],[JUMLAH]]="","",NOTA[[#This Row],[JUMLAH]]*NOTA[[#This Row],[DISC 1]])</f>
        <v/>
      </c>
      <c r="Y609" s="125" t="str">
        <f>IF(NOTA[[#This Row],[JUMLAH]]="","",(NOTA[[#This Row],[JUMLAH]]-NOTA[[#This Row],[DISC 1-]])*NOTA[[#This Row],[DISC 2]])</f>
        <v/>
      </c>
      <c r="Z609" s="125" t="str">
        <f>IF(NOTA[[#This Row],[JUMLAH]]="","",NOTA[[#This Row],[DISC 1-]]+NOTA[[#This Row],[DISC 2-]])</f>
        <v/>
      </c>
      <c r="AA609" s="125" t="str">
        <f>IF(NOTA[[#This Row],[JUMLAH]]="","",NOTA[[#This Row],[JUMLAH]]-NOTA[[#This Row],[DISC]])</f>
        <v/>
      </c>
      <c r="AB609" s="125"/>
      <c r="AC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125" t="str">
        <f>IF(OR(NOTA[[#This Row],[QTY]]="",NOTA[[#This Row],[HARGA SATUAN]]="",),"",NOTA[[#This Row],[QTY]]*NOTA[[#This Row],[HARGA SATUAN]])</f>
        <v/>
      </c>
      <c r="AG609" s="121" t="str">
        <f ca="1">IF(NOTA[ID_H]="","",INDEX(NOTA[TANGGAL],MATCH(,INDIRECT(ADDRESS(ROW(NOTA[TANGGAL]),COLUMN(NOTA[TANGGAL]))&amp;":"&amp;ADDRESS(ROW(),COLUMN(NOTA[TANGGAL]))),-1)))</f>
        <v/>
      </c>
      <c r="AH609" s="116" t="str">
        <f ca="1">IF(NOTA[[#This Row],[NAMA BARANG]]="","",INDEX(NOTA[SUPPLIER],MATCH(,INDIRECT(ADDRESS(ROW(NOTA[ID]),COLUMN(NOTA[ID]))&amp;":"&amp;ADDRESS(ROW(),COLUMN(NOTA[ID]))),-1)))</f>
        <v/>
      </c>
      <c r="AI609" s="116" t="str">
        <f ca="1">IF(NOTA[[#This Row],[ID_H]]="","",IF(NOTA[[#This Row],[FAKTUR]]="",INDIRECT(ADDRESS(ROW()-1,COLUMN())),NOTA[[#This Row],[FAKTUR]]))</f>
        <v/>
      </c>
      <c r="AJ609" s="27" t="str">
        <f ca="1">IF(NOTA[[#This Row],[ID]]="","",COUNTIF(NOTA[ID_H],NOTA[[#This Row],[ID_H]]))</f>
        <v/>
      </c>
      <c r="AK609" s="27" t="str">
        <f ca="1">IF(NOTA[[#This Row],[TGL.NOTA]]="",IF(NOTA[[#This Row],[SUPPLIER_H]]="","",AK608),MONTH(NOTA[[#This Row],[TGL.NOTA]]))</f>
        <v/>
      </c>
      <c r="AL609" s="27" t="str">
        <f>LOWER(SUBSTITUTE(SUBSTITUTE(SUBSTITUTE(SUBSTITUTE(SUBSTITUTE(SUBSTITUTE(SUBSTITUTE(SUBSTITUTE(SUBSTITUTE(NOTA[NAMA BARANG]," ",),".",""),"-",""),"(",""),")",""),",",""),"/",""),"""",""),"+",""))</f>
        <v/>
      </c>
      <c r="AM60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27" t="str">
        <f>IF(NOTA[[#This Row],[CONCAT4]]="","",_xlfn.IFNA(MATCH(NOTA[[#This Row],[CONCAT4]],[2]!RAW[CONCAT_H],0),FALSE))</f>
        <v/>
      </c>
      <c r="AQ609" s="145" t="str">
        <f>IF(NOTA[[#This Row],[CONCAT1]]="","",MATCH(NOTA[[#This Row],[CONCAT1]],[3]!db[NB NOTA_C],0)+1)</f>
        <v/>
      </c>
    </row>
    <row r="610" spans="1:43" ht="20.100000000000001" customHeight="1" x14ac:dyDescent="0.25">
      <c r="A610" s="116">
        <f ca="1">IF(INDIRECT(ADDRESS(ROW()-1,COLUMN(NOTA[[#Headers],[ID]])))="ID",1,IF(NOTA[[#This Row],[FAKTUR]]="","",COUNT(INDIRECT(ADDRESS(ROW(NOTA[ID]),COLUMN(NOTA[ID]))&amp;":"&amp;ADDRESS(ROW()-1,COLUMN(NOTA[ID]))))+1))</f>
        <v>108</v>
      </c>
      <c r="B610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ATA_2205_812-11</v>
      </c>
      <c r="C610" s="117" t="e">
        <f ca="1">IF(NOTA[[#This Row],[ID_P]]="","",MATCH(NOTA[[#This Row],[ID_P]],[1]!B_MSK[N_ID],0))</f>
        <v>#REF!</v>
      </c>
      <c r="D610" s="117">
        <f ca="1">IF(NOTA[[#This Row],[NAMA BARANG]]="","",INDEX(NOTA[ID],MATCH(,INDIRECT(ADDRESS(ROW(NOTA[ID]),COLUMN(NOTA[ID]))&amp;":"&amp;ADDRESS(ROW(),COLUMN(NOTA[ID]))),-1)))</f>
        <v>108</v>
      </c>
      <c r="E610" s="118"/>
      <c r="F610" s="27" t="s">
        <v>25</v>
      </c>
      <c r="G610" s="27" t="s">
        <v>24</v>
      </c>
      <c r="H610" s="54" t="s">
        <v>827</v>
      </c>
      <c r="I610" s="119"/>
      <c r="J610" s="121">
        <v>45063</v>
      </c>
      <c r="K610" s="119"/>
      <c r="L610" s="27" t="s">
        <v>828</v>
      </c>
      <c r="M610" s="122">
        <v>4</v>
      </c>
      <c r="N610" s="119">
        <v>96</v>
      </c>
      <c r="O610" s="27" t="s">
        <v>160</v>
      </c>
      <c r="P610" s="116">
        <v>11100</v>
      </c>
      <c r="Q610" s="123"/>
      <c r="R610" s="114" t="s">
        <v>236</v>
      </c>
      <c r="S610" s="124">
        <v>0.125</v>
      </c>
      <c r="T610" s="124">
        <v>0.05</v>
      </c>
      <c r="U610" s="125"/>
      <c r="V610" s="77"/>
      <c r="W610" s="125">
        <f>IF(NOTA[[#This Row],[HARGA/ CTN]]="",NOTA[[#This Row],[JUMLAH_H]],NOTA[[#This Row],[HARGA/ CTN]]*IF(NOTA[[#This Row],[C]]="",0,NOTA[[#This Row],[C]]))</f>
        <v>1065600</v>
      </c>
      <c r="X610" s="125">
        <f>IF(NOTA[[#This Row],[JUMLAH]]="","",NOTA[[#This Row],[JUMLAH]]*NOTA[[#This Row],[DISC 1]])</f>
        <v>133200</v>
      </c>
      <c r="Y610" s="125">
        <f>IF(NOTA[[#This Row],[JUMLAH]]="","",(NOTA[[#This Row],[JUMLAH]]-NOTA[[#This Row],[DISC 1-]])*NOTA[[#This Row],[DISC 2]])</f>
        <v>46620</v>
      </c>
      <c r="Z610" s="125">
        <f>IF(NOTA[[#This Row],[JUMLAH]]="","",NOTA[[#This Row],[DISC 1-]]+NOTA[[#This Row],[DISC 2-]])</f>
        <v>179820</v>
      </c>
      <c r="AA610" s="125">
        <f>IF(NOTA[[#This Row],[JUMLAH]]="","",NOTA[[#This Row],[JUMLAH]]-NOTA[[#This Row],[DISC]])</f>
        <v>885780</v>
      </c>
      <c r="AB610" s="125"/>
      <c r="AC61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116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10" s="125">
        <f>IF(OR(NOTA[[#This Row],[QTY]]="",NOTA[[#This Row],[HARGA SATUAN]]="",),"",NOTA[[#This Row],[QTY]]*NOTA[[#This Row],[HARGA SATUAN]])</f>
        <v>1065600</v>
      </c>
      <c r="AG610" s="121">
        <f ca="1">IF(NOTA[ID_H]="","",INDEX(NOTA[TANGGAL],MATCH(,INDIRECT(ADDRESS(ROW(NOTA[TANGGAL]),COLUMN(NOTA[TANGGAL]))&amp;":"&amp;ADDRESS(ROW(),COLUMN(NOTA[TANGGAL]))),-1)))</f>
        <v>45068</v>
      </c>
      <c r="AH610" s="116" t="str">
        <f ca="1">IF(NOTA[[#This Row],[NAMA BARANG]]="","",INDEX(NOTA[SUPPLIER],MATCH(,INDIRECT(ADDRESS(ROW(NOTA[ID]),COLUMN(NOTA[ID]))&amp;":"&amp;ADDRESS(ROW(),COLUMN(NOTA[ID]))),-1)))</f>
        <v>ATALI MAKMUR</v>
      </c>
      <c r="AI610" s="116" t="str">
        <f ca="1">IF(NOTA[[#This Row],[ID_H]]="","",IF(NOTA[[#This Row],[FAKTUR]]="",INDIRECT(ADDRESS(ROW()-1,COLUMN())),NOTA[[#This Row],[FAKTUR]]))</f>
        <v>ARTO MORO</v>
      </c>
      <c r="AJ610" s="27">
        <f ca="1">IF(NOTA[[#This Row],[ID]]="","",COUNTIF(NOTA[ID_H],NOTA[[#This Row],[ID_H]]))</f>
        <v>11</v>
      </c>
      <c r="AK610" s="27">
        <f>IF(NOTA[[#This Row],[TGL.NOTA]]="",IF(NOTA[[#This Row],[SUPPLIER_H]]="","",AK609),MONTH(NOTA[[#This Row],[TGL.NOTA]]))</f>
        <v>5</v>
      </c>
      <c r="AL610" s="27" t="str">
        <f>LOWER(SUBSTITUTE(SUBSTITUTE(SUBSTITUTE(SUBSTITUTE(SUBSTITUTE(SUBSTITUTE(SUBSTITUTE(SUBSTITUTE(SUBSTITUTE(NOTA[NAMA BARANG]," ",),".",""),"-",""),"(",""),")",""),",",""),"/",""),"""",""),"+",""))</f>
        <v>tapecuttertd102jk</v>
      </c>
      <c r="AM61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61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610" s="2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MOROSA23050781245063tapecuttertd102jk</v>
      </c>
      <c r="AP610" s="27" t="e">
        <f>IF(NOTA[[#This Row],[CONCAT4]]="","",_xlfn.IFNA(MATCH(NOTA[[#This Row],[CONCAT4]],[2]!RAW[CONCAT_H],0),FALSE))</f>
        <v>#REF!</v>
      </c>
      <c r="AQ610" s="145">
        <f>IF(NOTA[[#This Row],[CONCAT1]]="","",MATCH(NOTA[[#This Row],[CONCAT1]],[3]!db[NB NOTA_C],0)+1)</f>
        <v>2218</v>
      </c>
    </row>
    <row r="611" spans="1:43" ht="20.100000000000001" customHeight="1" x14ac:dyDescent="0.25">
      <c r="A61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117" t="str">
        <f>IF(NOTA[[#This Row],[ID_P]]="","",MATCH(NOTA[[#This Row],[ID_P]],[1]!B_MSK[N_ID],0))</f>
        <v/>
      </c>
      <c r="D611" s="117">
        <f ca="1">IF(NOTA[[#This Row],[NAMA BARANG]]="","",INDEX(NOTA[ID],MATCH(,INDIRECT(ADDRESS(ROW(NOTA[ID]),COLUMN(NOTA[ID]))&amp;":"&amp;ADDRESS(ROW(),COLUMN(NOTA[ID]))),-1)))</f>
        <v>108</v>
      </c>
      <c r="E611" s="118"/>
      <c r="F611" s="119"/>
      <c r="G611" s="119"/>
      <c r="H611" s="120"/>
      <c r="I611" s="119"/>
      <c r="J611" s="121"/>
      <c r="K611" s="119"/>
      <c r="L611" s="27" t="s">
        <v>836</v>
      </c>
      <c r="M611" s="122">
        <v>2</v>
      </c>
      <c r="N611" s="119">
        <v>192</v>
      </c>
      <c r="O611" s="27" t="s">
        <v>160</v>
      </c>
      <c r="P611" s="116">
        <v>14200</v>
      </c>
      <c r="Q611" s="123"/>
      <c r="R611" s="114" t="s">
        <v>728</v>
      </c>
      <c r="S611" s="124">
        <v>0.125</v>
      </c>
      <c r="T611" s="124">
        <v>0.05</v>
      </c>
      <c r="U611" s="125"/>
      <c r="V611" s="77"/>
      <c r="W611" s="125">
        <f>IF(NOTA[[#This Row],[HARGA/ CTN]]="",NOTA[[#This Row],[JUMLAH_H]],NOTA[[#This Row],[HARGA/ CTN]]*IF(NOTA[[#This Row],[C]]="",0,NOTA[[#This Row],[C]]))</f>
        <v>2726400</v>
      </c>
      <c r="X611" s="125">
        <f>IF(NOTA[[#This Row],[JUMLAH]]="","",NOTA[[#This Row],[JUMLAH]]*NOTA[[#This Row],[DISC 1]])</f>
        <v>340800</v>
      </c>
      <c r="Y611" s="125">
        <f>IF(NOTA[[#This Row],[JUMLAH]]="","",(NOTA[[#This Row],[JUMLAH]]-NOTA[[#This Row],[DISC 1-]])*NOTA[[#This Row],[DISC 2]])</f>
        <v>119280</v>
      </c>
      <c r="Z611" s="125">
        <f>IF(NOTA[[#This Row],[JUMLAH]]="","",NOTA[[#This Row],[DISC 1-]]+NOTA[[#This Row],[DISC 2-]])</f>
        <v>460080</v>
      </c>
      <c r="AA611" s="125">
        <f>IF(NOTA[[#This Row],[JUMLAH]]="","",NOTA[[#This Row],[JUMLAH]]-NOTA[[#This Row],[DISC]])</f>
        <v>2266320</v>
      </c>
      <c r="AB611" s="125"/>
      <c r="AC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116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611" s="125">
        <f>IF(OR(NOTA[[#This Row],[QTY]]="",NOTA[[#This Row],[HARGA SATUAN]]="",),"",NOTA[[#This Row],[QTY]]*NOTA[[#This Row],[HARGA SATUAN]])</f>
        <v>2726400</v>
      </c>
      <c r="AG611" s="121">
        <f ca="1">IF(NOTA[ID_H]="","",INDEX(NOTA[TANGGAL],MATCH(,INDIRECT(ADDRESS(ROW(NOTA[TANGGAL]),COLUMN(NOTA[TANGGAL]))&amp;":"&amp;ADDRESS(ROW(),COLUMN(NOTA[TANGGAL]))),-1)))</f>
        <v>45068</v>
      </c>
      <c r="AH611" s="116" t="str">
        <f ca="1">IF(NOTA[[#This Row],[NAMA BARANG]]="","",INDEX(NOTA[SUPPLIER],MATCH(,INDIRECT(ADDRESS(ROW(NOTA[ID]),COLUMN(NOTA[ID]))&amp;":"&amp;ADDRESS(ROW(),COLUMN(NOTA[ID]))),-1)))</f>
        <v>ATALI MAKMUR</v>
      </c>
      <c r="AI611" s="116" t="str">
        <f ca="1">IF(NOTA[[#This Row],[ID_H]]="","",IF(NOTA[[#This Row],[FAKTUR]]="",INDIRECT(ADDRESS(ROW()-1,COLUMN())),NOTA[[#This Row],[FAKTUR]]))</f>
        <v>ARTO MORO</v>
      </c>
      <c r="AJ611" s="27" t="str">
        <f ca="1">IF(NOTA[[#This Row],[ID]]="","",COUNTIF(NOTA[ID_H],NOTA[[#This Row],[ID_H]]))</f>
        <v/>
      </c>
      <c r="AK611" s="27">
        <f ca="1">IF(NOTA[[#This Row],[TGL.NOTA]]="",IF(NOTA[[#This Row],[SUPPLIER_H]]="","",AK610),MONTH(NOTA[[#This Row],[TGL.NOTA]]))</f>
        <v>5</v>
      </c>
      <c r="AL611" s="27" t="str">
        <f>LOWER(SUBSTITUTE(SUBSTITUTE(SUBSTITUTE(SUBSTITUTE(SUBSTITUTE(SUBSTITUTE(SUBSTITUTE(SUBSTITUTE(SUBSTITUTE(NOTA[NAMA BARANG]," ",),".",""),"-",""),"(",""),")",""),",",""),"/",""),"""",""),"+",""))</f>
        <v>tapecuttertd2jk</v>
      </c>
      <c r="AM61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61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61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27" t="str">
        <f>IF(NOTA[[#This Row],[CONCAT4]]="","",_xlfn.IFNA(MATCH(NOTA[[#This Row],[CONCAT4]],[2]!RAW[CONCAT_H],0),FALSE))</f>
        <v/>
      </c>
      <c r="AQ611" s="145">
        <f>IF(NOTA[[#This Row],[CONCAT1]]="","",MATCH(NOTA[[#This Row],[CONCAT1]],[3]!db[NB NOTA_C],0)+1)</f>
        <v>2221</v>
      </c>
    </row>
    <row r="612" spans="1:43" ht="20.100000000000001" customHeight="1" x14ac:dyDescent="0.25">
      <c r="A612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117" t="str">
        <f>IF(NOTA[[#This Row],[ID_P]]="","",MATCH(NOTA[[#This Row],[ID_P]],[1]!B_MSK[N_ID],0))</f>
        <v/>
      </c>
      <c r="D612" s="117">
        <f ca="1">IF(NOTA[[#This Row],[NAMA BARANG]]="","",INDEX(NOTA[ID],MATCH(,INDIRECT(ADDRESS(ROW(NOTA[ID]),COLUMN(NOTA[ID]))&amp;":"&amp;ADDRESS(ROW(),COLUMN(NOTA[ID]))),-1)))</f>
        <v>108</v>
      </c>
      <c r="E612" s="118"/>
      <c r="F612" s="119"/>
      <c r="G612" s="119"/>
      <c r="H612" s="120"/>
      <c r="I612" s="119"/>
      <c r="J612" s="121"/>
      <c r="K612" s="119"/>
      <c r="L612" s="27" t="s">
        <v>503</v>
      </c>
      <c r="M612" s="122">
        <v>6</v>
      </c>
      <c r="N612" s="119">
        <v>864</v>
      </c>
      <c r="O612" s="27" t="s">
        <v>160</v>
      </c>
      <c r="P612" s="116">
        <v>4350</v>
      </c>
      <c r="Q612" s="123"/>
      <c r="R612" s="114" t="s">
        <v>502</v>
      </c>
      <c r="S612" s="124">
        <v>0.125</v>
      </c>
      <c r="T612" s="124">
        <v>0.05</v>
      </c>
      <c r="U612" s="125"/>
      <c r="V612" s="77"/>
      <c r="W612" s="125">
        <f>IF(NOTA[[#This Row],[HARGA/ CTN]]="",NOTA[[#This Row],[JUMLAH_H]],NOTA[[#This Row],[HARGA/ CTN]]*IF(NOTA[[#This Row],[C]]="",0,NOTA[[#This Row],[C]]))</f>
        <v>3758400</v>
      </c>
      <c r="X612" s="125">
        <f>IF(NOTA[[#This Row],[JUMLAH]]="","",NOTA[[#This Row],[JUMLAH]]*NOTA[[#This Row],[DISC 1]])</f>
        <v>469800</v>
      </c>
      <c r="Y612" s="125">
        <f>IF(NOTA[[#This Row],[JUMLAH]]="","",(NOTA[[#This Row],[JUMLAH]]-NOTA[[#This Row],[DISC 1-]])*NOTA[[#This Row],[DISC 2]])</f>
        <v>164430</v>
      </c>
      <c r="Z612" s="125">
        <f>IF(NOTA[[#This Row],[JUMLAH]]="","",NOTA[[#This Row],[DISC 1-]]+NOTA[[#This Row],[DISC 2-]])</f>
        <v>634230</v>
      </c>
      <c r="AA612" s="125">
        <f>IF(NOTA[[#This Row],[JUMLAH]]="","",NOTA[[#This Row],[JUMLAH]]-NOTA[[#This Row],[DISC]])</f>
        <v>3124170</v>
      </c>
      <c r="AB612" s="125"/>
      <c r="AC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116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612" s="125">
        <f>IF(OR(NOTA[[#This Row],[QTY]]="",NOTA[[#This Row],[HARGA SATUAN]]="",),"",NOTA[[#This Row],[QTY]]*NOTA[[#This Row],[HARGA SATUAN]])</f>
        <v>3758400</v>
      </c>
      <c r="AG612" s="121">
        <f ca="1">IF(NOTA[ID_H]="","",INDEX(NOTA[TANGGAL],MATCH(,INDIRECT(ADDRESS(ROW(NOTA[TANGGAL]),COLUMN(NOTA[TANGGAL]))&amp;":"&amp;ADDRESS(ROW(),COLUMN(NOTA[TANGGAL]))),-1)))</f>
        <v>45068</v>
      </c>
      <c r="AH612" s="116" t="str">
        <f ca="1">IF(NOTA[[#This Row],[NAMA BARANG]]="","",INDEX(NOTA[SUPPLIER],MATCH(,INDIRECT(ADDRESS(ROW(NOTA[ID]),COLUMN(NOTA[ID]))&amp;":"&amp;ADDRESS(ROW(),COLUMN(NOTA[ID]))),-1)))</f>
        <v>ATALI MAKMUR</v>
      </c>
      <c r="AI612" s="116" t="str">
        <f ca="1">IF(NOTA[[#This Row],[ID_H]]="","",IF(NOTA[[#This Row],[FAKTUR]]="",INDIRECT(ADDRESS(ROW()-1,COLUMN())),NOTA[[#This Row],[FAKTUR]]))</f>
        <v>ARTO MORO</v>
      </c>
      <c r="AJ612" s="27" t="str">
        <f ca="1">IF(NOTA[[#This Row],[ID]]="","",COUNTIF(NOTA[ID_H],NOTA[[#This Row],[ID_H]]))</f>
        <v/>
      </c>
      <c r="AK612" s="27">
        <f ca="1">IF(NOTA[[#This Row],[TGL.NOTA]]="",IF(NOTA[[#This Row],[SUPPLIER_H]]="","",AK611),MONTH(NOTA[[#This Row],[TGL.NOTA]]))</f>
        <v>5</v>
      </c>
      <c r="AL612" s="27" t="str">
        <f>LOWER(SUBSTITUTE(SUBSTITUTE(SUBSTITUTE(SUBSTITUTE(SUBSTITUTE(SUBSTITUTE(SUBSTITUTE(SUBSTITUTE(SUBSTITUTE(NOTA[NAMA BARANG]," ",),".",""),"-",""),"(",""),")",""),",",""),"/",""),"""",""),"+",""))</f>
        <v>scissorssc828jk</v>
      </c>
      <c r="AM61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61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612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27" t="str">
        <f>IF(NOTA[[#This Row],[CONCAT4]]="","",_xlfn.IFNA(MATCH(NOTA[[#This Row],[CONCAT4]],[2]!RAW[CONCAT_H],0),FALSE))</f>
        <v/>
      </c>
      <c r="AQ612" s="145">
        <f>IF(NOTA[[#This Row],[CONCAT1]]="","",MATCH(NOTA[[#This Row],[CONCAT1]],[3]!db[NB NOTA_C],0)+1)</f>
        <v>2111</v>
      </c>
    </row>
    <row r="613" spans="1:43" ht="20.100000000000001" customHeight="1" x14ac:dyDescent="0.25">
      <c r="A61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117" t="str">
        <f>IF(NOTA[[#This Row],[ID_P]]="","",MATCH(NOTA[[#This Row],[ID_P]],[1]!B_MSK[N_ID],0))</f>
        <v/>
      </c>
      <c r="D613" s="117">
        <f ca="1">IF(NOTA[[#This Row],[NAMA BARANG]]="","",INDEX(NOTA[ID],MATCH(,INDIRECT(ADDRESS(ROW(NOTA[ID]),COLUMN(NOTA[ID]))&amp;":"&amp;ADDRESS(ROW(),COLUMN(NOTA[ID]))),-1)))</f>
        <v>108</v>
      </c>
      <c r="E613" s="118"/>
      <c r="F613" s="119"/>
      <c r="G613" s="119"/>
      <c r="H613" s="120"/>
      <c r="I613" s="119"/>
      <c r="J613" s="121"/>
      <c r="K613" s="119"/>
      <c r="L613" s="27" t="s">
        <v>514</v>
      </c>
      <c r="M613" s="122">
        <v>6</v>
      </c>
      <c r="N613" s="119">
        <v>864</v>
      </c>
      <c r="O613" s="27" t="s">
        <v>160</v>
      </c>
      <c r="P613" s="116">
        <v>6500</v>
      </c>
      <c r="Q613" s="123"/>
      <c r="R613" s="114" t="s">
        <v>502</v>
      </c>
      <c r="S613" s="124">
        <v>0.125</v>
      </c>
      <c r="T613" s="124">
        <v>0.05</v>
      </c>
      <c r="U613" s="125"/>
      <c r="V613" s="77"/>
      <c r="W613" s="125">
        <f>IF(NOTA[[#This Row],[HARGA/ CTN]]="",NOTA[[#This Row],[JUMLAH_H]],NOTA[[#This Row],[HARGA/ CTN]]*IF(NOTA[[#This Row],[C]]="",0,NOTA[[#This Row],[C]]))</f>
        <v>5616000</v>
      </c>
      <c r="X613" s="125">
        <f>IF(NOTA[[#This Row],[JUMLAH]]="","",NOTA[[#This Row],[JUMLAH]]*NOTA[[#This Row],[DISC 1]])</f>
        <v>702000</v>
      </c>
      <c r="Y613" s="125">
        <f>IF(NOTA[[#This Row],[JUMLAH]]="","",(NOTA[[#This Row],[JUMLAH]]-NOTA[[#This Row],[DISC 1-]])*NOTA[[#This Row],[DISC 2]])</f>
        <v>245700</v>
      </c>
      <c r="Z613" s="125">
        <f>IF(NOTA[[#This Row],[JUMLAH]]="","",NOTA[[#This Row],[DISC 1-]]+NOTA[[#This Row],[DISC 2-]])</f>
        <v>947700</v>
      </c>
      <c r="AA613" s="125">
        <f>IF(NOTA[[#This Row],[JUMLAH]]="","",NOTA[[#This Row],[JUMLAH]]-NOTA[[#This Row],[DISC]])</f>
        <v>4668300</v>
      </c>
      <c r="AB613" s="125"/>
      <c r="AC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116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13" s="125">
        <f>IF(OR(NOTA[[#This Row],[QTY]]="",NOTA[[#This Row],[HARGA SATUAN]]="",),"",NOTA[[#This Row],[QTY]]*NOTA[[#This Row],[HARGA SATUAN]])</f>
        <v>5616000</v>
      </c>
      <c r="AG613" s="121">
        <f ca="1">IF(NOTA[ID_H]="","",INDEX(NOTA[TANGGAL],MATCH(,INDIRECT(ADDRESS(ROW(NOTA[TANGGAL]),COLUMN(NOTA[TANGGAL]))&amp;":"&amp;ADDRESS(ROW(),COLUMN(NOTA[TANGGAL]))),-1)))</f>
        <v>45068</v>
      </c>
      <c r="AH613" s="116" t="str">
        <f ca="1">IF(NOTA[[#This Row],[NAMA BARANG]]="","",INDEX(NOTA[SUPPLIER],MATCH(,INDIRECT(ADDRESS(ROW(NOTA[ID]),COLUMN(NOTA[ID]))&amp;":"&amp;ADDRESS(ROW(),COLUMN(NOTA[ID]))),-1)))</f>
        <v>ATALI MAKMUR</v>
      </c>
      <c r="AI613" s="116" t="str">
        <f ca="1">IF(NOTA[[#This Row],[ID_H]]="","",IF(NOTA[[#This Row],[FAKTUR]]="",INDIRECT(ADDRESS(ROW()-1,COLUMN())),NOTA[[#This Row],[FAKTUR]]))</f>
        <v>ARTO MORO</v>
      </c>
      <c r="AJ613" s="27" t="str">
        <f ca="1">IF(NOTA[[#This Row],[ID]]="","",COUNTIF(NOTA[ID_H],NOTA[[#This Row],[ID_H]]))</f>
        <v/>
      </c>
      <c r="AK613" s="27">
        <f ca="1">IF(NOTA[[#This Row],[TGL.NOTA]]="",IF(NOTA[[#This Row],[SUPPLIER_H]]="","",AK612),MONTH(NOTA[[#This Row],[TGL.NOTA]]))</f>
        <v>5</v>
      </c>
      <c r="AL613" s="27" t="str">
        <f>LOWER(SUBSTITUTE(SUBSTITUTE(SUBSTITUTE(SUBSTITUTE(SUBSTITUTE(SUBSTITUTE(SUBSTITUTE(SUBSTITUTE(SUBSTITUTE(NOTA[NAMA BARANG]," ",),".",""),"-",""),"(",""),")",""),",",""),"/",""),"""",""),"+",""))</f>
        <v>scissorssc838jk</v>
      </c>
      <c r="AM61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61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61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27" t="str">
        <f>IF(NOTA[[#This Row],[CONCAT4]]="","",_xlfn.IFNA(MATCH(NOTA[[#This Row],[CONCAT4]],[2]!RAW[CONCAT_H],0),FALSE))</f>
        <v/>
      </c>
      <c r="AQ613" s="145">
        <f>IF(NOTA[[#This Row],[CONCAT1]]="","",MATCH(NOTA[[#This Row],[CONCAT1]],[3]!db[NB NOTA_C],0)+1)</f>
        <v>2112</v>
      </c>
    </row>
    <row r="614" spans="1:43" ht="20.100000000000001" customHeight="1" x14ac:dyDescent="0.25">
      <c r="A614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117" t="str">
        <f>IF(NOTA[[#This Row],[ID_P]]="","",MATCH(NOTA[[#This Row],[ID_P]],[1]!B_MSK[N_ID],0))</f>
        <v/>
      </c>
      <c r="D614" s="117">
        <f ca="1">IF(NOTA[[#This Row],[NAMA BARANG]]="","",INDEX(NOTA[ID],MATCH(,INDIRECT(ADDRESS(ROW(NOTA[ID]),COLUMN(NOTA[ID]))&amp;":"&amp;ADDRESS(ROW(),COLUMN(NOTA[ID]))),-1)))</f>
        <v>108</v>
      </c>
      <c r="E614" s="118"/>
      <c r="F614" s="119"/>
      <c r="G614" s="119"/>
      <c r="H614" s="120"/>
      <c r="I614" s="119"/>
      <c r="J614" s="121"/>
      <c r="K614" s="119"/>
      <c r="L614" s="27" t="s">
        <v>829</v>
      </c>
      <c r="M614" s="122">
        <v>1</v>
      </c>
      <c r="N614" s="119">
        <v>144</v>
      </c>
      <c r="O614" s="27" t="s">
        <v>160</v>
      </c>
      <c r="P614" s="116">
        <v>7700</v>
      </c>
      <c r="Q614" s="123"/>
      <c r="R614" s="114" t="s">
        <v>502</v>
      </c>
      <c r="S614" s="124">
        <v>0.125</v>
      </c>
      <c r="T614" s="124">
        <v>0.05</v>
      </c>
      <c r="U614" s="125"/>
      <c r="V614" s="77"/>
      <c r="W614" s="125">
        <f>IF(NOTA[[#This Row],[HARGA/ CTN]]="",NOTA[[#This Row],[JUMLAH_H]],NOTA[[#This Row],[HARGA/ CTN]]*IF(NOTA[[#This Row],[C]]="",0,NOTA[[#This Row],[C]]))</f>
        <v>1108800</v>
      </c>
      <c r="X614" s="125">
        <f>IF(NOTA[[#This Row],[JUMLAH]]="","",NOTA[[#This Row],[JUMLAH]]*NOTA[[#This Row],[DISC 1]])</f>
        <v>138600</v>
      </c>
      <c r="Y614" s="125">
        <f>IF(NOTA[[#This Row],[JUMLAH]]="","",(NOTA[[#This Row],[JUMLAH]]-NOTA[[#This Row],[DISC 1-]])*NOTA[[#This Row],[DISC 2]])</f>
        <v>48510</v>
      </c>
      <c r="Z614" s="125">
        <f>IF(NOTA[[#This Row],[JUMLAH]]="","",NOTA[[#This Row],[DISC 1-]]+NOTA[[#This Row],[DISC 2-]])</f>
        <v>187110</v>
      </c>
      <c r="AA614" s="125">
        <f>IF(NOTA[[#This Row],[JUMLAH]]="","",NOTA[[#This Row],[JUMLAH]]-NOTA[[#This Row],[DISC]])</f>
        <v>921690</v>
      </c>
      <c r="AB614" s="125"/>
      <c r="AC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116">
        <f>IF(NOTA[[#This Row],[NAMA BARANG]]="","",IF(NOTA[[#This Row],[JUMLAH_H]]="",NOTA[[#This Row],[HARGA/ CTN]],NOTA[[#This Row],[QTY]]*NOTA[[#This Row],[HARGA SATUAN]]/IF(ISNUMBER(NOTA[[#This Row],[C]]),NOTA[[#This Row],[C]],1)))</f>
        <v>1108800</v>
      </c>
      <c r="AF614" s="125">
        <f>IF(OR(NOTA[[#This Row],[QTY]]="",NOTA[[#This Row],[HARGA SATUAN]]="",),"",NOTA[[#This Row],[QTY]]*NOTA[[#This Row],[HARGA SATUAN]])</f>
        <v>1108800</v>
      </c>
      <c r="AG614" s="121">
        <f ca="1">IF(NOTA[ID_H]="","",INDEX(NOTA[TANGGAL],MATCH(,INDIRECT(ADDRESS(ROW(NOTA[TANGGAL]),COLUMN(NOTA[TANGGAL]))&amp;":"&amp;ADDRESS(ROW(),COLUMN(NOTA[TANGGAL]))),-1)))</f>
        <v>45068</v>
      </c>
      <c r="AH614" s="116" t="str">
        <f ca="1">IF(NOTA[[#This Row],[NAMA BARANG]]="","",INDEX(NOTA[SUPPLIER],MATCH(,INDIRECT(ADDRESS(ROW(NOTA[ID]),COLUMN(NOTA[ID]))&amp;":"&amp;ADDRESS(ROW(),COLUMN(NOTA[ID]))),-1)))</f>
        <v>ATALI MAKMUR</v>
      </c>
      <c r="AI614" s="116" t="str">
        <f ca="1">IF(NOTA[[#This Row],[ID_H]]="","",IF(NOTA[[#This Row],[FAKTUR]]="",INDIRECT(ADDRESS(ROW()-1,COLUMN())),NOTA[[#This Row],[FAKTUR]]))</f>
        <v>ARTO MORO</v>
      </c>
      <c r="AJ614" s="27" t="str">
        <f ca="1">IF(NOTA[[#This Row],[ID]]="","",COUNTIF(NOTA[ID_H],NOTA[[#This Row],[ID_H]]))</f>
        <v/>
      </c>
      <c r="AK614" s="27">
        <f ca="1">IF(NOTA[[#This Row],[TGL.NOTA]]="",IF(NOTA[[#This Row],[SUPPLIER_H]]="","",AK613),MONTH(NOTA[[#This Row],[TGL.NOTA]]))</f>
        <v>5</v>
      </c>
      <c r="AL614" s="27" t="str">
        <f>LOWER(SUBSTITUTE(SUBSTITUTE(SUBSTITUTE(SUBSTITUTE(SUBSTITUTE(SUBSTITUTE(SUBSTITUTE(SUBSTITUTE(SUBSTITUTE(NOTA[NAMA BARANG]," ",),".",""),"-",""),"(",""),")",""),",",""),"/",""),"""",""),"+",""))</f>
        <v>scissorssc838sgjk</v>
      </c>
      <c r="AM61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scissorssc838sgjk11088000.1250.05</v>
      </c>
      <c r="AN61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scissorssc838sgjk11088000.1250.05</v>
      </c>
      <c r="AO614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27" t="str">
        <f>IF(NOTA[[#This Row],[CONCAT4]]="","",_xlfn.IFNA(MATCH(NOTA[[#This Row],[CONCAT4]],[2]!RAW[CONCAT_H],0),FALSE))</f>
        <v/>
      </c>
      <c r="AQ614" s="145">
        <f>IF(NOTA[[#This Row],[CONCAT1]]="","",MATCH(NOTA[[#This Row],[CONCAT1]],[3]!db[NB NOTA_C],0)+1)</f>
        <v>2113</v>
      </c>
    </row>
    <row r="615" spans="1:43" ht="20.100000000000001" customHeight="1" x14ac:dyDescent="0.25">
      <c r="A615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117" t="str">
        <f>IF(NOTA[[#This Row],[ID_P]]="","",MATCH(NOTA[[#This Row],[ID_P]],[1]!B_MSK[N_ID],0))</f>
        <v/>
      </c>
      <c r="D615" s="117">
        <f ca="1">IF(NOTA[[#This Row],[NAMA BARANG]]="","",INDEX(NOTA[ID],MATCH(,INDIRECT(ADDRESS(ROW(NOTA[ID]),COLUMN(NOTA[ID]))&amp;":"&amp;ADDRESS(ROW(),COLUMN(NOTA[ID]))),-1)))</f>
        <v>108</v>
      </c>
      <c r="E615" s="118"/>
      <c r="F615" s="119"/>
      <c r="G615" s="119"/>
      <c r="H615" s="120"/>
      <c r="I615" s="119"/>
      <c r="J615" s="121"/>
      <c r="K615" s="119"/>
      <c r="L615" s="27" t="s">
        <v>303</v>
      </c>
      <c r="M615" s="122">
        <v>2</v>
      </c>
      <c r="N615" s="119">
        <v>100</v>
      </c>
      <c r="O615" s="27" t="s">
        <v>262</v>
      </c>
      <c r="P615" s="116">
        <v>28300</v>
      </c>
      <c r="Q615" s="123"/>
      <c r="R615" s="114" t="s">
        <v>302</v>
      </c>
      <c r="S615" s="124">
        <v>0.125</v>
      </c>
      <c r="T615" s="124">
        <v>0.05</v>
      </c>
      <c r="U615" s="125"/>
      <c r="V615" s="77"/>
      <c r="W615" s="125">
        <f>IF(NOTA[[#This Row],[HARGA/ CTN]]="",NOTA[[#This Row],[JUMLAH_H]],NOTA[[#This Row],[HARGA/ CTN]]*IF(NOTA[[#This Row],[C]]="",0,NOTA[[#This Row],[C]]))</f>
        <v>2830000</v>
      </c>
      <c r="X615" s="125">
        <f>IF(NOTA[[#This Row],[JUMLAH]]="","",NOTA[[#This Row],[JUMLAH]]*NOTA[[#This Row],[DISC 1]])</f>
        <v>353750</v>
      </c>
      <c r="Y615" s="125">
        <f>IF(NOTA[[#This Row],[JUMLAH]]="","",(NOTA[[#This Row],[JUMLAH]]-NOTA[[#This Row],[DISC 1-]])*NOTA[[#This Row],[DISC 2]])</f>
        <v>123812.5</v>
      </c>
      <c r="Z615" s="125">
        <f>IF(NOTA[[#This Row],[JUMLAH]]="","",NOTA[[#This Row],[DISC 1-]]+NOTA[[#This Row],[DISC 2-]])</f>
        <v>477562.5</v>
      </c>
      <c r="AA615" s="125">
        <f>IF(NOTA[[#This Row],[JUMLAH]]="","",NOTA[[#This Row],[JUMLAH]]-NOTA[[#This Row],[DISC]])</f>
        <v>2352437.5</v>
      </c>
      <c r="AB615" s="125"/>
      <c r="AC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116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15" s="125">
        <f>IF(OR(NOTA[[#This Row],[QTY]]="",NOTA[[#This Row],[HARGA SATUAN]]="",),"",NOTA[[#This Row],[QTY]]*NOTA[[#This Row],[HARGA SATUAN]])</f>
        <v>2830000</v>
      </c>
      <c r="AG615" s="121">
        <f ca="1">IF(NOTA[ID_H]="","",INDEX(NOTA[TANGGAL],MATCH(,INDIRECT(ADDRESS(ROW(NOTA[TANGGAL]),COLUMN(NOTA[TANGGAL]))&amp;":"&amp;ADDRESS(ROW(),COLUMN(NOTA[TANGGAL]))),-1)))</f>
        <v>45068</v>
      </c>
      <c r="AH615" s="116" t="str">
        <f ca="1">IF(NOTA[[#This Row],[NAMA BARANG]]="","",INDEX(NOTA[SUPPLIER],MATCH(,INDIRECT(ADDRESS(ROW(NOTA[ID]),COLUMN(NOTA[ID]))&amp;":"&amp;ADDRESS(ROW(),COLUMN(NOTA[ID]))),-1)))</f>
        <v>ATALI MAKMUR</v>
      </c>
      <c r="AI615" s="116" t="str">
        <f ca="1">IF(NOTA[[#This Row],[ID_H]]="","",IF(NOTA[[#This Row],[FAKTUR]]="",INDIRECT(ADDRESS(ROW()-1,COLUMN())),NOTA[[#This Row],[FAKTUR]]))</f>
        <v>ARTO MORO</v>
      </c>
      <c r="AJ615" s="27" t="str">
        <f ca="1">IF(NOTA[[#This Row],[ID]]="","",COUNTIF(NOTA[ID_H],NOTA[[#This Row],[ID_H]]))</f>
        <v/>
      </c>
      <c r="AK615" s="27">
        <f ca="1">IF(NOTA[[#This Row],[TGL.NOTA]]="",IF(NOTA[[#This Row],[SUPPLIER_H]]="","",AK614),MONTH(NOTA[[#This Row],[TGL.NOTA]]))</f>
        <v>5</v>
      </c>
      <c r="AL615" s="27" t="str">
        <f>LOWER(SUBSTITUTE(SUBSTITUTE(SUBSTITUTE(SUBSTITUTE(SUBSTITUTE(SUBSTITUTE(SUBSTITUTE(SUBSTITUTE(SUBSTITUTE(NOTA[NAMA BARANG]," ",),".",""),"-",""),"(",""),")",""),",",""),"/",""),"""",""),"+",""))</f>
        <v>eraser526b40pjk</v>
      </c>
      <c r="AM61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1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1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27" t="str">
        <f>IF(NOTA[[#This Row],[CONCAT4]]="","",_xlfn.IFNA(MATCH(NOTA[[#This Row],[CONCAT4]],[2]!RAW[CONCAT_H],0),FALSE))</f>
        <v/>
      </c>
      <c r="AQ615" s="145">
        <f>IF(NOTA[[#This Row],[CONCAT1]]="","",MATCH(NOTA[[#This Row],[CONCAT1]],[3]!db[NB NOTA_C],0)+1)</f>
        <v>745</v>
      </c>
    </row>
    <row r="616" spans="1:43" ht="20.100000000000001" customHeight="1" x14ac:dyDescent="0.25">
      <c r="A616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117" t="str">
        <f>IF(NOTA[[#This Row],[ID_P]]="","",MATCH(NOTA[[#This Row],[ID_P]],[1]!B_MSK[N_ID],0))</f>
        <v/>
      </c>
      <c r="D616" s="117">
        <f ca="1">IF(NOTA[[#This Row],[NAMA BARANG]]="","",INDEX(NOTA[ID],MATCH(,INDIRECT(ADDRESS(ROW(NOTA[ID]),COLUMN(NOTA[ID]))&amp;":"&amp;ADDRESS(ROW(),COLUMN(NOTA[ID]))),-1)))</f>
        <v>108</v>
      </c>
      <c r="E616" s="118"/>
      <c r="F616" s="119"/>
      <c r="G616" s="119"/>
      <c r="H616" s="120"/>
      <c r="I616" s="119"/>
      <c r="J616" s="121"/>
      <c r="K616" s="119"/>
      <c r="L616" s="27" t="s">
        <v>306</v>
      </c>
      <c r="M616" s="122">
        <v>2</v>
      </c>
      <c r="N616" s="119">
        <v>100</v>
      </c>
      <c r="O616" s="27" t="s">
        <v>262</v>
      </c>
      <c r="P616" s="116">
        <v>34100</v>
      </c>
      <c r="Q616" s="123"/>
      <c r="R616" s="114" t="s">
        <v>307</v>
      </c>
      <c r="S616" s="124">
        <v>0.125</v>
      </c>
      <c r="T616" s="124">
        <v>0.05</v>
      </c>
      <c r="U616" s="125"/>
      <c r="V616" s="77"/>
      <c r="W616" s="125">
        <f>IF(NOTA[[#This Row],[HARGA/ CTN]]="",NOTA[[#This Row],[JUMLAH_H]],NOTA[[#This Row],[HARGA/ CTN]]*IF(NOTA[[#This Row],[C]]="",0,NOTA[[#This Row],[C]]))</f>
        <v>3410000</v>
      </c>
      <c r="X616" s="125">
        <f>IF(NOTA[[#This Row],[JUMLAH]]="","",NOTA[[#This Row],[JUMLAH]]*NOTA[[#This Row],[DISC 1]])</f>
        <v>426250</v>
      </c>
      <c r="Y616" s="125">
        <f>IF(NOTA[[#This Row],[JUMLAH]]="","",(NOTA[[#This Row],[JUMLAH]]-NOTA[[#This Row],[DISC 1-]])*NOTA[[#This Row],[DISC 2]])</f>
        <v>149187.5</v>
      </c>
      <c r="Z616" s="125">
        <f>IF(NOTA[[#This Row],[JUMLAH]]="","",NOTA[[#This Row],[DISC 1-]]+NOTA[[#This Row],[DISC 2-]])</f>
        <v>575437.5</v>
      </c>
      <c r="AA616" s="125">
        <f>IF(NOTA[[#This Row],[JUMLAH]]="","",NOTA[[#This Row],[JUMLAH]]-NOTA[[#This Row],[DISC]])</f>
        <v>2834562.5</v>
      </c>
      <c r="AB616" s="125"/>
      <c r="AC616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116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16" s="125">
        <f>IF(OR(NOTA[[#This Row],[QTY]]="",NOTA[[#This Row],[HARGA SATUAN]]="",),"",NOTA[[#This Row],[QTY]]*NOTA[[#This Row],[HARGA SATUAN]])</f>
        <v>3410000</v>
      </c>
      <c r="AG616" s="121">
        <f ca="1">IF(NOTA[ID_H]="","",INDEX(NOTA[TANGGAL],MATCH(,INDIRECT(ADDRESS(ROW(NOTA[TANGGAL]),COLUMN(NOTA[TANGGAL]))&amp;":"&amp;ADDRESS(ROW(),COLUMN(NOTA[TANGGAL]))),-1)))</f>
        <v>45068</v>
      </c>
      <c r="AH616" s="116" t="str">
        <f ca="1">IF(NOTA[[#This Row],[NAMA BARANG]]="","",INDEX(NOTA[SUPPLIER],MATCH(,INDIRECT(ADDRESS(ROW(NOTA[ID]),COLUMN(NOTA[ID]))&amp;":"&amp;ADDRESS(ROW(),COLUMN(NOTA[ID]))),-1)))</f>
        <v>ATALI MAKMUR</v>
      </c>
      <c r="AI616" s="116" t="str">
        <f ca="1">IF(NOTA[[#This Row],[ID_H]]="","",IF(NOTA[[#This Row],[FAKTUR]]="",INDIRECT(ADDRESS(ROW()-1,COLUMN())),NOTA[[#This Row],[FAKTUR]]))</f>
        <v>ARTO MORO</v>
      </c>
      <c r="AJ616" s="27" t="str">
        <f ca="1">IF(NOTA[[#This Row],[ID]]="","",COUNTIF(NOTA[ID_H],NOTA[[#This Row],[ID_H]]))</f>
        <v/>
      </c>
      <c r="AK616" s="27">
        <f ca="1">IF(NOTA[[#This Row],[TGL.NOTA]]="",IF(NOTA[[#This Row],[SUPPLIER_H]]="","",AK615),MONTH(NOTA[[#This Row],[TGL.NOTA]]))</f>
        <v>5</v>
      </c>
      <c r="AL616" s="27" t="str">
        <f>LOWER(SUBSTITUTE(SUBSTITUTE(SUBSTITUTE(SUBSTITUTE(SUBSTITUTE(SUBSTITUTE(SUBSTITUTE(SUBSTITUTE(SUBSTITUTE(NOTA[NAMA BARANG]," ",),".",""),"-",""),"(",""),")",""),",",""),"/",""),"""",""),"+",""))</f>
        <v>eraser526b20jk</v>
      </c>
      <c r="AM61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1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1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27" t="str">
        <f>IF(NOTA[[#This Row],[CONCAT4]]="","",_xlfn.IFNA(MATCH(NOTA[[#This Row],[CONCAT4]],[2]!RAW[CONCAT_H],0),FALSE))</f>
        <v/>
      </c>
      <c r="AQ616" s="145">
        <f>IF(NOTA[[#This Row],[CONCAT1]]="","",MATCH(NOTA[[#This Row],[CONCAT1]],[3]!db[NB NOTA_C],0)+1)</f>
        <v>742</v>
      </c>
    </row>
    <row r="617" spans="1:43" ht="20.100000000000001" customHeight="1" x14ac:dyDescent="0.25">
      <c r="A617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117" t="str">
        <f>IF(NOTA[[#This Row],[ID_P]]="","",MATCH(NOTA[[#This Row],[ID_P]],[1]!B_MSK[N_ID],0))</f>
        <v/>
      </c>
      <c r="D617" s="117">
        <f ca="1">IF(NOTA[[#This Row],[NAMA BARANG]]="","",INDEX(NOTA[ID],MATCH(,INDIRECT(ADDRESS(ROW(NOTA[ID]),COLUMN(NOTA[ID]))&amp;":"&amp;ADDRESS(ROW(),COLUMN(NOTA[ID]))),-1)))</f>
        <v>108</v>
      </c>
      <c r="E617" s="118"/>
      <c r="F617" s="119"/>
      <c r="G617" s="119"/>
      <c r="H617" s="120"/>
      <c r="I617" s="119"/>
      <c r="J617" s="121"/>
      <c r="K617" s="119"/>
      <c r="L617" s="27" t="s">
        <v>830</v>
      </c>
      <c r="M617" s="122">
        <v>1</v>
      </c>
      <c r="N617" s="119">
        <v>240</v>
      </c>
      <c r="O617" s="27" t="s">
        <v>146</v>
      </c>
      <c r="P617" s="116">
        <v>28800</v>
      </c>
      <c r="Q617" s="123"/>
      <c r="R617" s="114" t="s">
        <v>831</v>
      </c>
      <c r="S617" s="124">
        <v>0.125</v>
      </c>
      <c r="T617" s="124">
        <v>0.05</v>
      </c>
      <c r="U617" s="125"/>
      <c r="V617" s="77"/>
      <c r="W617" s="125">
        <f>IF(NOTA[[#This Row],[HARGA/ CTN]]="",NOTA[[#This Row],[JUMLAH_H]],NOTA[[#This Row],[HARGA/ CTN]]*IF(NOTA[[#This Row],[C]]="",0,NOTA[[#This Row],[C]]))</f>
        <v>6912000</v>
      </c>
      <c r="X617" s="125">
        <f>IF(NOTA[[#This Row],[JUMLAH]]="","",NOTA[[#This Row],[JUMLAH]]*NOTA[[#This Row],[DISC 1]])</f>
        <v>864000</v>
      </c>
      <c r="Y617" s="125">
        <f>IF(NOTA[[#This Row],[JUMLAH]]="","",(NOTA[[#This Row],[JUMLAH]]-NOTA[[#This Row],[DISC 1-]])*NOTA[[#This Row],[DISC 2]])</f>
        <v>302400</v>
      </c>
      <c r="Z617" s="125">
        <f>IF(NOTA[[#This Row],[JUMLAH]]="","",NOTA[[#This Row],[DISC 1-]]+NOTA[[#This Row],[DISC 2-]])</f>
        <v>1166400</v>
      </c>
      <c r="AA617" s="125">
        <f>IF(NOTA[[#This Row],[JUMLAH]]="","",NOTA[[#This Row],[JUMLAH]]-NOTA[[#This Row],[DISC]])</f>
        <v>5745600</v>
      </c>
      <c r="AB617" s="125"/>
      <c r="AC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116">
        <f>IF(NOTA[[#This Row],[NAMA BARANG]]="","",IF(NOTA[[#This Row],[JUMLAH_H]]="",NOTA[[#This Row],[HARGA/ CTN]],NOTA[[#This Row],[QTY]]*NOTA[[#This Row],[HARGA SATUAN]]/IF(ISNUMBER(NOTA[[#This Row],[C]]),NOTA[[#This Row],[C]],1)))</f>
        <v>6912000</v>
      </c>
      <c r="AF617" s="125">
        <f>IF(OR(NOTA[[#This Row],[QTY]]="",NOTA[[#This Row],[HARGA SATUAN]]="",),"",NOTA[[#This Row],[QTY]]*NOTA[[#This Row],[HARGA SATUAN]])</f>
        <v>6912000</v>
      </c>
      <c r="AG617" s="121">
        <f ca="1">IF(NOTA[ID_H]="","",INDEX(NOTA[TANGGAL],MATCH(,INDIRECT(ADDRESS(ROW(NOTA[TANGGAL]),COLUMN(NOTA[TANGGAL]))&amp;":"&amp;ADDRESS(ROW(),COLUMN(NOTA[TANGGAL]))),-1)))</f>
        <v>45068</v>
      </c>
      <c r="AH617" s="116" t="str">
        <f ca="1">IF(NOTA[[#This Row],[NAMA BARANG]]="","",INDEX(NOTA[SUPPLIER],MATCH(,INDIRECT(ADDRESS(ROW(NOTA[ID]),COLUMN(NOTA[ID]))&amp;":"&amp;ADDRESS(ROW(),COLUMN(NOTA[ID]))),-1)))</f>
        <v>ATALI MAKMUR</v>
      </c>
      <c r="AI617" s="116" t="str">
        <f ca="1">IF(NOTA[[#This Row],[ID_H]]="","",IF(NOTA[[#This Row],[FAKTUR]]="",INDIRECT(ADDRESS(ROW()-1,COLUMN())),NOTA[[#This Row],[FAKTUR]]))</f>
        <v>ARTO MORO</v>
      </c>
      <c r="AJ617" s="27" t="str">
        <f ca="1">IF(NOTA[[#This Row],[ID]]="","",COUNTIF(NOTA[ID_H],NOTA[[#This Row],[ID_H]]))</f>
        <v/>
      </c>
      <c r="AK617" s="27">
        <f ca="1">IF(NOTA[[#This Row],[TGL.NOTA]]="",IF(NOTA[[#This Row],[SUPPLIER_H]]="","",AK616),MONTH(NOTA[[#This Row],[TGL.NOTA]]))</f>
        <v>5</v>
      </c>
      <c r="AL617" s="27" t="str">
        <f>LOWER(SUBSTITUTE(SUBSTITUTE(SUBSTITUTE(SUBSTITUTE(SUBSTITUTE(SUBSTITUTE(SUBSTITUTE(SUBSTITUTE(SUBSTITUTE(NOTA[NAMA BARANG]," ",),".",""),"-",""),"(",""),")",""),",",""),"/",""),"""",""),"+",""))</f>
        <v>brushbr6no00jk</v>
      </c>
      <c r="AM61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brushbr6no00jk69120000.1250.05</v>
      </c>
      <c r="AN61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brushbr6no00jk69120000.1250.05</v>
      </c>
      <c r="AO617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27" t="str">
        <f>IF(NOTA[[#This Row],[CONCAT4]]="","",_xlfn.IFNA(MATCH(NOTA[[#This Row],[CONCAT4]],[2]!RAW[CONCAT_H],0),FALSE))</f>
        <v/>
      </c>
      <c r="AQ617" s="145">
        <f>IF(NOTA[[#This Row],[CONCAT1]]="","",MATCH(NOTA[[#This Row],[CONCAT1]],[3]!db[NB NOTA_C],0)+1)</f>
        <v>347</v>
      </c>
    </row>
    <row r="618" spans="1:43" ht="20.100000000000001" customHeight="1" x14ac:dyDescent="0.25">
      <c r="A6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117" t="str">
        <f>IF(NOTA[[#This Row],[ID_P]]="","",MATCH(NOTA[[#This Row],[ID_P]],[1]!B_MSK[N_ID],0))</f>
        <v/>
      </c>
      <c r="D618" s="117">
        <f ca="1">IF(NOTA[[#This Row],[NAMA BARANG]]="","",INDEX(NOTA[ID],MATCH(,INDIRECT(ADDRESS(ROW(NOTA[ID]),COLUMN(NOTA[ID]))&amp;":"&amp;ADDRESS(ROW(),COLUMN(NOTA[ID]))),-1)))</f>
        <v>108</v>
      </c>
      <c r="E618" s="118"/>
      <c r="F618" s="119"/>
      <c r="G618" s="119"/>
      <c r="H618" s="120"/>
      <c r="I618" s="119"/>
      <c r="J618" s="121"/>
      <c r="K618" s="119"/>
      <c r="L618" s="27" t="s">
        <v>832</v>
      </c>
      <c r="M618" s="122">
        <v>1</v>
      </c>
      <c r="N618" s="119">
        <v>240</v>
      </c>
      <c r="O618" s="27" t="s">
        <v>146</v>
      </c>
      <c r="P618" s="116">
        <v>34200</v>
      </c>
      <c r="Q618" s="123"/>
      <c r="R618" s="114" t="s">
        <v>831</v>
      </c>
      <c r="S618" s="124">
        <v>0.125</v>
      </c>
      <c r="T618" s="124">
        <v>0.05</v>
      </c>
      <c r="U618" s="125"/>
      <c r="V618" s="77"/>
      <c r="W618" s="125">
        <f>IF(NOTA[[#This Row],[HARGA/ CTN]]="",NOTA[[#This Row],[JUMLAH_H]],NOTA[[#This Row],[HARGA/ CTN]]*IF(NOTA[[#This Row],[C]]="",0,NOTA[[#This Row],[C]]))</f>
        <v>8208000</v>
      </c>
      <c r="X618" s="125">
        <f>IF(NOTA[[#This Row],[JUMLAH]]="","",NOTA[[#This Row],[JUMLAH]]*NOTA[[#This Row],[DISC 1]])</f>
        <v>1026000</v>
      </c>
      <c r="Y618" s="125">
        <f>IF(NOTA[[#This Row],[JUMLAH]]="","",(NOTA[[#This Row],[JUMLAH]]-NOTA[[#This Row],[DISC 1-]])*NOTA[[#This Row],[DISC 2]])</f>
        <v>359100</v>
      </c>
      <c r="Z618" s="125">
        <f>IF(NOTA[[#This Row],[JUMLAH]]="","",NOTA[[#This Row],[DISC 1-]]+NOTA[[#This Row],[DISC 2-]])</f>
        <v>1385100</v>
      </c>
      <c r="AA618" s="125">
        <f>IF(NOTA[[#This Row],[JUMLAH]]="","",NOTA[[#This Row],[JUMLAH]]-NOTA[[#This Row],[DISC]])</f>
        <v>6822900</v>
      </c>
      <c r="AB618" s="125"/>
      <c r="AC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116">
        <f>IF(NOTA[[#This Row],[NAMA BARANG]]="","",IF(NOTA[[#This Row],[JUMLAH_H]]="",NOTA[[#This Row],[HARGA/ CTN]],NOTA[[#This Row],[QTY]]*NOTA[[#This Row],[HARGA SATUAN]]/IF(ISNUMBER(NOTA[[#This Row],[C]]),NOTA[[#This Row],[C]],1)))</f>
        <v>8208000</v>
      </c>
      <c r="AF618" s="125">
        <f>IF(OR(NOTA[[#This Row],[QTY]]="",NOTA[[#This Row],[HARGA SATUAN]]="",),"",NOTA[[#This Row],[QTY]]*NOTA[[#This Row],[HARGA SATUAN]])</f>
        <v>8208000</v>
      </c>
      <c r="AG618" s="121">
        <f ca="1">IF(NOTA[ID_H]="","",INDEX(NOTA[TANGGAL],MATCH(,INDIRECT(ADDRESS(ROW(NOTA[TANGGAL]),COLUMN(NOTA[TANGGAL]))&amp;":"&amp;ADDRESS(ROW(),COLUMN(NOTA[TANGGAL]))),-1)))</f>
        <v>45068</v>
      </c>
      <c r="AH618" s="116" t="str">
        <f ca="1">IF(NOTA[[#This Row],[NAMA BARANG]]="","",INDEX(NOTA[SUPPLIER],MATCH(,INDIRECT(ADDRESS(ROW(NOTA[ID]),COLUMN(NOTA[ID]))&amp;":"&amp;ADDRESS(ROW(),COLUMN(NOTA[ID]))),-1)))</f>
        <v>ATALI MAKMUR</v>
      </c>
      <c r="AI618" s="116" t="str">
        <f ca="1">IF(NOTA[[#This Row],[ID_H]]="","",IF(NOTA[[#This Row],[FAKTUR]]="",INDIRECT(ADDRESS(ROW()-1,COLUMN())),NOTA[[#This Row],[FAKTUR]]))</f>
        <v>ARTO MORO</v>
      </c>
      <c r="AJ618" s="27" t="str">
        <f ca="1">IF(NOTA[[#This Row],[ID]]="","",COUNTIF(NOTA[ID_H],NOTA[[#This Row],[ID_H]]))</f>
        <v/>
      </c>
      <c r="AK618" s="27">
        <f ca="1">IF(NOTA[[#This Row],[TGL.NOTA]]="",IF(NOTA[[#This Row],[SUPPLIER_H]]="","",AK617),MONTH(NOTA[[#This Row],[TGL.NOTA]]))</f>
        <v>5</v>
      </c>
      <c r="AL618" s="27" t="str">
        <f>LOWER(SUBSTITUTE(SUBSTITUTE(SUBSTITUTE(SUBSTITUTE(SUBSTITUTE(SUBSTITUTE(SUBSTITUTE(SUBSTITUTE(SUBSTITUTE(NOTA[NAMA BARANG]," ",),".",""),"-",""),"(",""),")",""),",",""),"/",""),"""",""),"+",""))</f>
        <v>brushbr6no4jk</v>
      </c>
      <c r="AM618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brushbr6no4jk82080000.1250.05</v>
      </c>
      <c r="AN618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brushbr6no4jk82080000.1250.05</v>
      </c>
      <c r="AO618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8" s="27" t="str">
        <f>IF(NOTA[[#This Row],[CONCAT4]]="","",_xlfn.IFNA(MATCH(NOTA[[#This Row],[CONCAT4]],[2]!RAW[CONCAT_H],0),FALSE))</f>
        <v/>
      </c>
      <c r="AQ618" s="145">
        <f>IF(NOTA[[#This Row],[CONCAT1]]="","",MATCH(NOTA[[#This Row],[CONCAT1]],[3]!db[NB NOTA_C],0)+1)</f>
        <v>354</v>
      </c>
    </row>
    <row r="619" spans="1:43" ht="20.100000000000001" customHeight="1" x14ac:dyDescent="0.25">
      <c r="A619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117" t="str">
        <f>IF(NOTA[[#This Row],[ID_P]]="","",MATCH(NOTA[[#This Row],[ID_P]],[1]!B_MSK[N_ID],0))</f>
        <v/>
      </c>
      <c r="D619" s="117">
        <f ca="1">IF(NOTA[[#This Row],[NAMA BARANG]]="","",INDEX(NOTA[ID],MATCH(,INDIRECT(ADDRESS(ROW(NOTA[ID]),COLUMN(NOTA[ID]))&amp;":"&amp;ADDRESS(ROW(),COLUMN(NOTA[ID]))),-1)))</f>
        <v>108</v>
      </c>
      <c r="E619" s="118"/>
      <c r="F619" s="119"/>
      <c r="G619" s="119"/>
      <c r="H619" s="120"/>
      <c r="I619" s="119"/>
      <c r="J619" s="121"/>
      <c r="K619" s="119"/>
      <c r="L619" s="27" t="s">
        <v>833</v>
      </c>
      <c r="M619" s="122">
        <v>2</v>
      </c>
      <c r="N619" s="119">
        <v>2000</v>
      </c>
      <c r="O619" s="27" t="s">
        <v>288</v>
      </c>
      <c r="P619" s="116">
        <v>2050</v>
      </c>
      <c r="Q619" s="123"/>
      <c r="R619" s="114" t="s">
        <v>500</v>
      </c>
      <c r="S619" s="124">
        <v>0.125</v>
      </c>
      <c r="T619" s="124">
        <v>0.05</v>
      </c>
      <c r="U619" s="125"/>
      <c r="V619" s="77"/>
      <c r="W619" s="125">
        <f>IF(NOTA[[#This Row],[HARGA/ CTN]]="",NOTA[[#This Row],[JUMLAH_H]],NOTA[[#This Row],[HARGA/ CTN]]*IF(NOTA[[#This Row],[C]]="",0,NOTA[[#This Row],[C]]))</f>
        <v>4100000</v>
      </c>
      <c r="X619" s="125">
        <f>IF(NOTA[[#This Row],[JUMLAH]]="","",NOTA[[#This Row],[JUMLAH]]*NOTA[[#This Row],[DISC 1]])</f>
        <v>512500</v>
      </c>
      <c r="Y619" s="125">
        <f>IF(NOTA[[#This Row],[JUMLAH]]="","",(NOTA[[#This Row],[JUMLAH]]-NOTA[[#This Row],[DISC 1-]])*NOTA[[#This Row],[DISC 2]])</f>
        <v>179375</v>
      </c>
      <c r="Z619" s="125">
        <f>IF(NOTA[[#This Row],[JUMLAH]]="","",NOTA[[#This Row],[DISC 1-]]+NOTA[[#This Row],[DISC 2-]])</f>
        <v>691875</v>
      </c>
      <c r="AA619" s="125">
        <f>IF(NOTA[[#This Row],[JUMLAH]]="","",NOTA[[#This Row],[JUMLAH]]-NOTA[[#This Row],[DISC]])</f>
        <v>3408125</v>
      </c>
      <c r="AB619" s="125"/>
      <c r="AC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116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19" s="125">
        <f>IF(OR(NOTA[[#This Row],[QTY]]="",NOTA[[#This Row],[HARGA SATUAN]]="",),"",NOTA[[#This Row],[QTY]]*NOTA[[#This Row],[HARGA SATUAN]])</f>
        <v>4100000</v>
      </c>
      <c r="AG619" s="121">
        <f ca="1">IF(NOTA[ID_H]="","",INDEX(NOTA[TANGGAL],MATCH(,INDIRECT(ADDRESS(ROW(NOTA[TANGGAL]),COLUMN(NOTA[TANGGAL]))&amp;":"&amp;ADDRESS(ROW(),COLUMN(NOTA[TANGGAL]))),-1)))</f>
        <v>45068</v>
      </c>
      <c r="AH619" s="116" t="str">
        <f ca="1">IF(NOTA[[#This Row],[NAMA BARANG]]="","",INDEX(NOTA[SUPPLIER],MATCH(,INDIRECT(ADDRESS(ROW(NOTA[ID]),COLUMN(NOTA[ID]))&amp;":"&amp;ADDRESS(ROW(),COLUMN(NOTA[ID]))),-1)))</f>
        <v>ATALI MAKMUR</v>
      </c>
      <c r="AI619" s="116" t="str">
        <f ca="1">IF(NOTA[[#This Row],[ID_H]]="","",IF(NOTA[[#This Row],[FAKTUR]]="",INDIRECT(ADDRESS(ROW()-1,COLUMN())),NOTA[[#This Row],[FAKTUR]]))</f>
        <v>ARTO MORO</v>
      </c>
      <c r="AJ619" s="27" t="str">
        <f ca="1">IF(NOTA[[#This Row],[ID]]="","",COUNTIF(NOTA[ID_H],NOTA[[#This Row],[ID_H]]))</f>
        <v/>
      </c>
      <c r="AK619" s="27">
        <f ca="1">IF(NOTA[[#This Row],[TGL.NOTA]]="",IF(NOTA[[#This Row],[SUPPLIER_H]]="","",AK618),MONTH(NOTA[[#This Row],[TGL.NOTA]]))</f>
        <v>5</v>
      </c>
      <c r="AL619" s="27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19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19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19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27" t="str">
        <f>IF(NOTA[[#This Row],[CONCAT4]]="","",_xlfn.IFNA(MATCH(NOTA[[#This Row],[CONCAT4]],[2]!RAW[CONCAT_H],0),FALSE))</f>
        <v/>
      </c>
      <c r="AQ619" s="145">
        <f>IF(NOTA[[#This Row],[CONCAT1]]="","",MATCH(NOTA[[#This Row],[CONCAT1]],[3]!db[NB NOTA_C],0)+1)</f>
        <v>1464</v>
      </c>
    </row>
    <row r="620" spans="1:43" ht="20.100000000000001" customHeight="1" x14ac:dyDescent="0.25">
      <c r="A620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117" t="str">
        <f>IF(NOTA[[#This Row],[ID_P]]="","",MATCH(NOTA[[#This Row],[ID_P]],[1]!B_MSK[N_ID],0))</f>
        <v/>
      </c>
      <c r="D620" s="117">
        <f ca="1">IF(NOTA[[#This Row],[NAMA BARANG]]="","",INDEX(NOTA[ID],MATCH(,INDIRECT(ADDRESS(ROW(NOTA[ID]),COLUMN(NOTA[ID]))&amp;":"&amp;ADDRESS(ROW(),COLUMN(NOTA[ID]))),-1)))</f>
        <v>108</v>
      </c>
      <c r="E620" s="118"/>
      <c r="F620" s="119"/>
      <c r="G620" s="119"/>
      <c r="H620" s="120"/>
      <c r="I620" s="119"/>
      <c r="J620" s="121"/>
      <c r="K620" s="119"/>
      <c r="L620" s="27" t="s">
        <v>834</v>
      </c>
      <c r="M620" s="122">
        <v>1</v>
      </c>
      <c r="N620" s="119">
        <v>72</v>
      </c>
      <c r="O620" s="27" t="s">
        <v>146</v>
      </c>
      <c r="P620" s="116">
        <v>37200</v>
      </c>
      <c r="Q620" s="123"/>
      <c r="R620" s="114" t="s">
        <v>835</v>
      </c>
      <c r="S620" s="124">
        <v>0.125</v>
      </c>
      <c r="T620" s="124">
        <v>0.05</v>
      </c>
      <c r="U620" s="125"/>
      <c r="V620" s="77"/>
      <c r="W620" s="125">
        <f>IF(NOTA[[#This Row],[HARGA/ CTN]]="",NOTA[[#This Row],[JUMLAH_H]],NOTA[[#This Row],[HARGA/ CTN]]*IF(NOTA[[#This Row],[C]]="",0,NOTA[[#This Row],[C]]))</f>
        <v>2678400</v>
      </c>
      <c r="X620" s="125">
        <f>IF(NOTA[[#This Row],[JUMLAH]]="","",NOTA[[#This Row],[JUMLAH]]*NOTA[[#This Row],[DISC 1]])</f>
        <v>334800</v>
      </c>
      <c r="Y620" s="125">
        <f>IF(NOTA[[#This Row],[JUMLAH]]="","",(NOTA[[#This Row],[JUMLAH]]-NOTA[[#This Row],[DISC 1-]])*NOTA[[#This Row],[DISC 2]])</f>
        <v>117180</v>
      </c>
      <c r="Z620" s="125">
        <f>IF(NOTA[[#This Row],[JUMLAH]]="","",NOTA[[#This Row],[DISC 1-]]+NOTA[[#This Row],[DISC 2-]])</f>
        <v>451980</v>
      </c>
      <c r="AA620" s="125">
        <f>IF(NOTA[[#This Row],[JUMLAH]]="","",NOTA[[#This Row],[JUMLAH]]-NOTA[[#This Row],[DISC]])</f>
        <v>2226420</v>
      </c>
      <c r="AB620" s="125"/>
      <c r="AC62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7157295</v>
      </c>
      <c r="AD620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35256305</v>
      </c>
      <c r="AE620" s="116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20" s="125">
        <f>IF(OR(NOTA[[#This Row],[QTY]]="",NOTA[[#This Row],[HARGA SATUAN]]="",),"",NOTA[[#This Row],[QTY]]*NOTA[[#This Row],[HARGA SATUAN]])</f>
        <v>2678400</v>
      </c>
      <c r="AG620" s="121">
        <f ca="1">IF(NOTA[ID_H]="","",INDEX(NOTA[TANGGAL],MATCH(,INDIRECT(ADDRESS(ROW(NOTA[TANGGAL]),COLUMN(NOTA[TANGGAL]))&amp;":"&amp;ADDRESS(ROW(),COLUMN(NOTA[TANGGAL]))),-1)))</f>
        <v>45068</v>
      </c>
      <c r="AH620" s="116" t="str">
        <f ca="1">IF(NOTA[[#This Row],[NAMA BARANG]]="","",INDEX(NOTA[SUPPLIER],MATCH(,INDIRECT(ADDRESS(ROW(NOTA[ID]),COLUMN(NOTA[ID]))&amp;":"&amp;ADDRESS(ROW(),COLUMN(NOTA[ID]))),-1)))</f>
        <v>ATALI MAKMUR</v>
      </c>
      <c r="AI620" s="116" t="str">
        <f ca="1">IF(NOTA[[#This Row],[ID_H]]="","",IF(NOTA[[#This Row],[FAKTUR]]="",INDIRECT(ADDRESS(ROW()-1,COLUMN())),NOTA[[#This Row],[FAKTUR]]))</f>
        <v>ARTO MORO</v>
      </c>
      <c r="AJ620" s="27" t="str">
        <f ca="1">IF(NOTA[[#This Row],[ID]]="","",COUNTIF(NOTA[ID_H],NOTA[[#This Row],[ID_H]]))</f>
        <v/>
      </c>
      <c r="AK620" s="27">
        <f ca="1">IF(NOTA[[#This Row],[TGL.NOTA]]="",IF(NOTA[[#This Row],[SUPPLIER_H]]="","",AK619),MONTH(NOTA[[#This Row],[TGL.NOTA]]))</f>
        <v>5</v>
      </c>
      <c r="AL620" s="27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20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20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20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27" t="str">
        <f>IF(NOTA[[#This Row],[CONCAT4]]="","",_xlfn.IFNA(MATCH(NOTA[[#This Row],[CONCAT4]],[2]!RAW[CONCAT_H],0),FALSE))</f>
        <v/>
      </c>
      <c r="AQ620" s="145">
        <f>IF(NOTA[[#This Row],[CONCAT1]]="","",MATCH(NOTA[[#This Row],[CONCAT1]],[3]!db[NB NOTA_C],0)+1)</f>
        <v>1924</v>
      </c>
    </row>
    <row r="621" spans="1:43" ht="20.100000000000001" customHeight="1" x14ac:dyDescent="0.25">
      <c r="A621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17" t="str">
        <f>IF(NOTA[[#This Row],[ID_P]]="","",MATCH(NOTA[[#This Row],[ID_P]],[1]!B_MSK[N_ID],0))</f>
        <v/>
      </c>
      <c r="D621" s="117" t="str">
        <f ca="1">IF(NOTA[[#This Row],[NAMA BARANG]]="","",INDEX(NOTA[ID],MATCH(,INDIRECT(ADDRESS(ROW(NOTA[ID]),COLUMN(NOTA[ID]))&amp;":"&amp;ADDRESS(ROW(),COLUMN(NOTA[ID]))),-1)))</f>
        <v/>
      </c>
      <c r="E621" s="118"/>
      <c r="F621" s="119"/>
      <c r="G621" s="119"/>
      <c r="H621" s="120"/>
      <c r="I621" s="119"/>
      <c r="J621" s="121"/>
      <c r="K621" s="119"/>
      <c r="L621" s="119"/>
      <c r="M621" s="122"/>
      <c r="N621" s="119"/>
      <c r="O621" s="119"/>
      <c r="P621" s="116"/>
      <c r="Q621" s="123"/>
      <c r="R621" s="122"/>
      <c r="S621" s="124"/>
      <c r="T621" s="124"/>
      <c r="U621" s="125"/>
      <c r="V621" s="77"/>
      <c r="W621" s="125" t="str">
        <f>IF(NOTA[[#This Row],[HARGA/ CTN]]="",NOTA[[#This Row],[JUMLAH_H]],NOTA[[#This Row],[HARGA/ CTN]]*IF(NOTA[[#This Row],[C]]="",0,NOTA[[#This Row],[C]]))</f>
        <v/>
      </c>
      <c r="X621" s="125" t="str">
        <f>IF(NOTA[[#This Row],[JUMLAH]]="","",NOTA[[#This Row],[JUMLAH]]*NOTA[[#This Row],[DISC 1]])</f>
        <v/>
      </c>
      <c r="Y621" s="125" t="str">
        <f>IF(NOTA[[#This Row],[JUMLAH]]="","",(NOTA[[#This Row],[JUMLAH]]-NOTA[[#This Row],[DISC 1-]])*NOTA[[#This Row],[DISC 2]])</f>
        <v/>
      </c>
      <c r="Z621" s="125" t="str">
        <f>IF(NOTA[[#This Row],[JUMLAH]]="","",NOTA[[#This Row],[DISC 1-]]+NOTA[[#This Row],[DISC 2-]])</f>
        <v/>
      </c>
      <c r="AA621" s="125" t="str">
        <f>IF(NOTA[[#This Row],[JUMLAH]]="","",NOTA[[#This Row],[JUMLAH]]-NOTA[[#This Row],[DISC]])</f>
        <v/>
      </c>
      <c r="AB621" s="125"/>
      <c r="AC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125" t="str">
        <f>IF(OR(NOTA[[#This Row],[QTY]]="",NOTA[[#This Row],[HARGA SATUAN]]="",),"",NOTA[[#This Row],[QTY]]*NOTA[[#This Row],[HARGA SATUAN]])</f>
        <v/>
      </c>
      <c r="AG621" s="121" t="str">
        <f ca="1">IF(NOTA[ID_H]="","",INDEX(NOTA[TANGGAL],MATCH(,INDIRECT(ADDRESS(ROW(NOTA[TANGGAL]),COLUMN(NOTA[TANGGAL]))&amp;":"&amp;ADDRESS(ROW(),COLUMN(NOTA[TANGGAL]))),-1)))</f>
        <v/>
      </c>
      <c r="AH621" s="116" t="str">
        <f ca="1">IF(NOTA[[#This Row],[NAMA BARANG]]="","",INDEX(NOTA[SUPPLIER],MATCH(,INDIRECT(ADDRESS(ROW(NOTA[ID]),COLUMN(NOTA[ID]))&amp;":"&amp;ADDRESS(ROW(),COLUMN(NOTA[ID]))),-1)))</f>
        <v/>
      </c>
      <c r="AI621" s="116" t="str">
        <f ca="1">IF(NOTA[[#This Row],[ID_H]]="","",IF(NOTA[[#This Row],[FAKTUR]]="",INDIRECT(ADDRESS(ROW()-1,COLUMN())),NOTA[[#This Row],[FAKTUR]]))</f>
        <v/>
      </c>
      <c r="AJ621" s="27" t="str">
        <f ca="1">IF(NOTA[[#This Row],[ID]]="","",COUNTIF(NOTA[ID_H],NOTA[[#This Row],[ID_H]]))</f>
        <v/>
      </c>
      <c r="AK621" s="27" t="str">
        <f ca="1">IF(NOTA[[#This Row],[TGL.NOTA]]="",IF(NOTA[[#This Row],[SUPPLIER_H]]="","",AK620),MONTH(NOTA[[#This Row],[TGL.NOTA]]))</f>
        <v/>
      </c>
      <c r="AL621" s="27" t="str">
        <f>LOWER(SUBSTITUTE(SUBSTITUTE(SUBSTITUTE(SUBSTITUTE(SUBSTITUTE(SUBSTITUTE(SUBSTITUTE(SUBSTITUTE(SUBSTITUTE(NOTA[NAMA BARANG]," ",),".",""),"-",""),"(",""),")",""),",",""),"/",""),"""",""),"+",""))</f>
        <v/>
      </c>
      <c r="AM621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27" t="str">
        <f>IF(NOTA[[#This Row],[CONCAT4]]="","",_xlfn.IFNA(MATCH(NOTA[[#This Row],[CONCAT4]],[2]!RAW[CONCAT_H],0),FALSE))</f>
        <v/>
      </c>
      <c r="AQ621" s="145" t="str">
        <f>IF(NOTA[[#This Row],[CONCAT1]]="","",MATCH(NOTA[[#This Row],[CONCAT1]],[3]!db[NB NOTA_C],0)+1)</f>
        <v/>
      </c>
    </row>
    <row r="622" spans="1:43" ht="20.100000000000001" customHeight="1" x14ac:dyDescent="0.25">
      <c r="A622" s="116">
        <f ca="1">IF(INDIRECT(ADDRESS(ROW()-1,COLUMN(NOTA[[#Headers],[ID]])))="ID",1,IF(NOTA[[#This Row],[FAKTUR]]="","",COUNT(INDIRECT(ADDRESS(ROW(NOTA[ID]),COLUMN(NOTA[ID]))&amp;":"&amp;ADDRESS(ROW()-1,COLUMN(NOTA[ID]))))+1))</f>
        <v>109</v>
      </c>
      <c r="B622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HEN_2205_-1</v>
      </c>
      <c r="C622" s="117" t="e">
        <f ca="1">IF(NOTA[[#This Row],[ID_P]]="","",MATCH(NOTA[[#This Row],[ID_P]],[1]!B_MSK[N_ID],0))</f>
        <v>#REF!</v>
      </c>
      <c r="D622" s="117">
        <f ca="1">IF(NOTA[[#This Row],[NAMA BARANG]]="","",INDEX(NOTA[ID],MATCH(,INDIRECT(ADDRESS(ROW(NOTA[ID]),COLUMN(NOTA[ID]))&amp;":"&amp;ADDRESS(ROW(),COLUMN(NOTA[ID]))),-1)))</f>
        <v>109</v>
      </c>
      <c r="E622" s="118">
        <v>45068</v>
      </c>
      <c r="F622" s="27" t="s">
        <v>550</v>
      </c>
      <c r="G622" s="27" t="s">
        <v>112</v>
      </c>
      <c r="H622" s="120"/>
      <c r="I622" s="119"/>
      <c r="J622" s="121">
        <v>45061</v>
      </c>
      <c r="K622" s="119"/>
      <c r="L622" s="27" t="s">
        <v>837</v>
      </c>
      <c r="M622" s="122">
        <v>20</v>
      </c>
      <c r="N622" s="119">
        <f>20*144</f>
        <v>2880</v>
      </c>
      <c r="O622" s="27" t="s">
        <v>160</v>
      </c>
      <c r="P622" s="116">
        <v>10250</v>
      </c>
      <c r="Q622" s="123"/>
      <c r="R622" s="114" t="s">
        <v>161</v>
      </c>
      <c r="S622" s="124"/>
      <c r="T622" s="124"/>
      <c r="U622" s="125"/>
      <c r="V622" s="77"/>
      <c r="W622" s="125">
        <f>IF(NOTA[[#This Row],[HARGA/ CTN]]="",NOTA[[#This Row],[JUMLAH_H]],NOTA[[#This Row],[HARGA/ CTN]]*IF(NOTA[[#This Row],[C]]="",0,NOTA[[#This Row],[C]]))</f>
        <v>29520000</v>
      </c>
      <c r="X622" s="125">
        <f>IF(NOTA[[#This Row],[JUMLAH]]="","",NOTA[[#This Row],[JUMLAH]]*NOTA[[#This Row],[DISC 1]])</f>
        <v>0</v>
      </c>
      <c r="Y622" s="125">
        <f>IF(NOTA[[#This Row],[JUMLAH]]="","",(NOTA[[#This Row],[JUMLAH]]-NOTA[[#This Row],[DISC 1-]])*NOTA[[#This Row],[DISC 2]])</f>
        <v>0</v>
      </c>
      <c r="Z622" s="125">
        <f>IF(NOTA[[#This Row],[JUMLAH]]="","",NOTA[[#This Row],[DISC 1-]]+NOTA[[#This Row],[DISC 2-]])</f>
        <v>0</v>
      </c>
      <c r="AA622" s="125">
        <f>IF(NOTA[[#This Row],[JUMLAH]]="","",NOTA[[#This Row],[JUMLAH]]-NOTA[[#This Row],[DISC]])</f>
        <v>29520000</v>
      </c>
      <c r="AB622" s="125"/>
      <c r="AC622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2" s="12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29520000</v>
      </c>
      <c r="AE622" s="116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622" s="125">
        <f>IF(OR(NOTA[[#This Row],[QTY]]="",NOTA[[#This Row],[HARGA SATUAN]]="",),"",NOTA[[#This Row],[QTY]]*NOTA[[#This Row],[HARGA SATUAN]])</f>
        <v>29520000</v>
      </c>
      <c r="AG622" s="121">
        <f ca="1">IF(NOTA[ID_H]="","",INDEX(NOTA[TANGGAL],MATCH(,INDIRECT(ADDRESS(ROW(NOTA[TANGGAL]),COLUMN(NOTA[TANGGAL]))&amp;":"&amp;ADDRESS(ROW(),COLUMN(NOTA[TANGGAL]))),-1)))</f>
        <v>45068</v>
      </c>
      <c r="AH622" s="116" t="str">
        <f ca="1">IF(NOTA[[#This Row],[NAMA BARANG]]="","",INDEX(NOTA[SUPPLIER],MATCH(,INDIRECT(ADDRESS(ROW(NOTA[ID]),COLUMN(NOTA[ID]))&amp;":"&amp;ADDRESS(ROW(),COLUMN(NOTA[ID]))),-1)))</f>
        <v>HENDA SUKSES ABADI</v>
      </c>
      <c r="AI622" s="116" t="str">
        <f ca="1">IF(NOTA[[#This Row],[ID_H]]="","",IF(NOTA[[#This Row],[FAKTUR]]="",INDIRECT(ADDRESS(ROW()-1,COLUMN())),NOTA[[#This Row],[FAKTUR]]))</f>
        <v>UNTANA</v>
      </c>
      <c r="AJ622" s="27">
        <f ca="1">IF(NOTA[[#This Row],[ID]]="","",COUNTIF(NOTA[ID_H],NOTA[[#This Row],[ID_H]]))</f>
        <v>1</v>
      </c>
      <c r="AK622" s="27">
        <f>IF(NOTA[[#This Row],[TGL.NOTA]]="",IF(NOTA[[#This Row],[SUPPLIER_H]]="","",AK621),MONTH(NOTA[[#This Row],[TGL.NOTA]]))</f>
        <v>5</v>
      </c>
      <c r="AL622" s="27" t="str">
        <f>LOWER(SUBSTITUTE(SUBSTITUTE(SUBSTITUTE(SUBSTITUTE(SUBSTITUTE(SUBSTITUTE(SUBSTITUTE(SUBSTITUTE(SUBSTITUTE(NOTA[NAMA BARANG]," ",),".",""),"-",""),"(",""),")",""),",",""),"/",""),"""",""),"+",""))</f>
        <v>asahantoples</v>
      </c>
      <c r="AM622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asahantoples1476000</v>
      </c>
      <c r="AN622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asahantoples1476000</v>
      </c>
      <c r="AO622" s="27" t="str">
        <f>IF(NOTA[[#This Row],[SUPPLIER]]="","",NOTA[[#This Row],[SUPPLIER]]&amp;NOTA[[#This Row],[FAKTUR]]&amp;NOTA[[#This Row],[NO.NOTA]]&amp;NOTA[[#This Row],[NO.SJ]]&amp;NOTA[[#This Row],[TGL.NOTA]]&amp;NOTA[[#This Row],[CONCAT1]])</f>
        <v>HENDA SUKSES ABADIUNTANA45061asahantoples</v>
      </c>
      <c r="AP622" s="27" t="e">
        <f>IF(NOTA[[#This Row],[CONCAT4]]="","",_xlfn.IFNA(MATCH(NOTA[[#This Row],[CONCAT4]],[2]!RAW[CONCAT_H],0),FALSE))</f>
        <v>#REF!</v>
      </c>
      <c r="AQ622" s="145" t="e">
        <f>IF(NOTA[[#This Row],[CONCAT1]]="","",MATCH(NOTA[[#This Row],[CONCAT1]],[3]!db[NB NOTA_C],0)+1)</f>
        <v>#N/A</v>
      </c>
    </row>
    <row r="623" spans="1:43" ht="20.100000000000001" customHeight="1" x14ac:dyDescent="0.25">
      <c r="A623" s="11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11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117" t="str">
        <f>IF(NOTA[[#This Row],[ID_P]]="","",MATCH(NOTA[[#This Row],[ID_P]],[1]!B_MSK[N_ID],0))</f>
        <v/>
      </c>
      <c r="D623" s="117" t="str">
        <f ca="1">IF(NOTA[[#This Row],[NAMA BARANG]]="","",INDEX(NOTA[ID],MATCH(,INDIRECT(ADDRESS(ROW(NOTA[ID]),COLUMN(NOTA[ID]))&amp;":"&amp;ADDRESS(ROW(),COLUMN(NOTA[ID]))),-1)))</f>
        <v/>
      </c>
      <c r="E623" s="118"/>
      <c r="F623" s="119"/>
      <c r="G623" s="119"/>
      <c r="H623" s="120"/>
      <c r="I623" s="119"/>
      <c r="J623" s="121"/>
      <c r="K623" s="119"/>
      <c r="L623" s="119"/>
      <c r="M623" s="122"/>
      <c r="N623" s="119"/>
      <c r="O623" s="119"/>
      <c r="P623" s="116"/>
      <c r="Q623" s="123"/>
      <c r="R623" s="122"/>
      <c r="S623" s="124"/>
      <c r="T623" s="124"/>
      <c r="U623" s="125"/>
      <c r="V623" s="77"/>
      <c r="W623" s="125" t="str">
        <f>IF(NOTA[[#This Row],[HARGA/ CTN]]="",NOTA[[#This Row],[JUMLAH_H]],NOTA[[#This Row],[HARGA/ CTN]]*IF(NOTA[[#This Row],[C]]="",0,NOTA[[#This Row],[C]]))</f>
        <v/>
      </c>
      <c r="X623" s="125" t="str">
        <f>IF(NOTA[[#This Row],[JUMLAH]]="","",NOTA[[#This Row],[JUMLAH]]*NOTA[[#This Row],[DISC 1]])</f>
        <v/>
      </c>
      <c r="Y623" s="125" t="str">
        <f>IF(NOTA[[#This Row],[JUMLAH]]="","",(NOTA[[#This Row],[JUMLAH]]-NOTA[[#This Row],[DISC 1-]])*NOTA[[#This Row],[DISC 2]])</f>
        <v/>
      </c>
      <c r="Z623" s="125" t="str">
        <f>IF(NOTA[[#This Row],[JUMLAH]]="","",NOTA[[#This Row],[DISC 1-]]+NOTA[[#This Row],[DISC 2-]])</f>
        <v/>
      </c>
      <c r="AA623" s="125" t="str">
        <f>IF(NOTA[[#This Row],[JUMLAH]]="","",NOTA[[#This Row],[JUMLAH]]-NOTA[[#This Row],[DISC]])</f>
        <v/>
      </c>
      <c r="AB623" s="125"/>
      <c r="AC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11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3" s="125" t="str">
        <f>IF(OR(NOTA[[#This Row],[QTY]]="",NOTA[[#This Row],[HARGA SATUAN]]="",),"",NOTA[[#This Row],[QTY]]*NOTA[[#This Row],[HARGA SATUAN]])</f>
        <v/>
      </c>
      <c r="AG623" s="121" t="str">
        <f ca="1">IF(NOTA[ID_H]="","",INDEX(NOTA[TANGGAL],MATCH(,INDIRECT(ADDRESS(ROW(NOTA[TANGGAL]),COLUMN(NOTA[TANGGAL]))&amp;":"&amp;ADDRESS(ROW(),COLUMN(NOTA[TANGGAL]))),-1)))</f>
        <v/>
      </c>
      <c r="AH623" s="116" t="str">
        <f ca="1">IF(NOTA[[#This Row],[NAMA BARANG]]="","",INDEX(NOTA[SUPPLIER],MATCH(,INDIRECT(ADDRESS(ROW(NOTA[ID]),COLUMN(NOTA[ID]))&amp;":"&amp;ADDRESS(ROW(),COLUMN(NOTA[ID]))),-1)))</f>
        <v/>
      </c>
      <c r="AI623" s="116" t="str">
        <f ca="1">IF(NOTA[[#This Row],[ID_H]]="","",IF(NOTA[[#This Row],[FAKTUR]]="",INDIRECT(ADDRESS(ROW()-1,COLUMN())),NOTA[[#This Row],[FAKTUR]]))</f>
        <v/>
      </c>
      <c r="AJ623" s="27" t="str">
        <f ca="1">IF(NOTA[[#This Row],[ID]]="","",COUNTIF(NOTA[ID_H],NOTA[[#This Row],[ID_H]]))</f>
        <v/>
      </c>
      <c r="AK623" s="27" t="str">
        <f ca="1">IF(NOTA[[#This Row],[TGL.NOTA]]="",IF(NOTA[[#This Row],[SUPPLIER_H]]="","",AK622),MONTH(NOTA[[#This Row],[TGL.NOTA]]))</f>
        <v/>
      </c>
      <c r="AL623" s="27" t="str">
        <f>LOWER(SUBSTITUTE(SUBSTITUTE(SUBSTITUTE(SUBSTITUTE(SUBSTITUTE(SUBSTITUTE(SUBSTITUTE(SUBSTITUTE(SUBSTITUTE(NOTA[NAMA BARANG]," ",),".",""),"-",""),"(",""),")",""),",",""),"/",""),"""",""),"+",""))</f>
        <v/>
      </c>
      <c r="AM623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3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3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27" t="str">
        <f>IF(NOTA[[#This Row],[CONCAT4]]="","",_xlfn.IFNA(MATCH(NOTA[[#This Row],[CONCAT4]],[2]!RAW[CONCAT_H],0),FALSE))</f>
        <v/>
      </c>
      <c r="AQ623" s="145" t="str">
        <f>IF(NOTA[[#This Row],[CONCAT1]]="","",MATCH(NOTA[[#This Row],[CONCAT1]],[3]!db[NB NOTA_C],0)+1)</f>
        <v/>
      </c>
    </row>
    <row r="624" spans="1:43" ht="20.100000000000001" customHeight="1" x14ac:dyDescent="0.25">
      <c r="A624" s="116">
        <f ca="1">IF(INDIRECT(ADDRESS(ROW()-1,COLUMN(NOTA[[#Headers],[ID]])))="ID",1,IF(NOTA[[#This Row],[FAKTUR]]="","",COUNT(INDIRECT(ADDRESS(ROW(NOTA[ID]),COLUMN(NOTA[ID]))&amp;":"&amp;ADDRESS(ROW()-1,COLUMN(NOTA[ID]))))+1))</f>
        <v>110</v>
      </c>
      <c r="B624" s="11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ETJ_2205_123-2</v>
      </c>
      <c r="C624" s="117" t="e">
        <f ca="1">IF(NOTA[[#This Row],[ID_P]]="","",MATCH(NOTA[[#This Row],[ID_P]],[1]!B_MSK[N_ID],0))</f>
        <v>#REF!</v>
      </c>
      <c r="D624" s="117">
        <f ca="1">IF(NOTA[[#This Row],[NAMA BARANG]]="","",INDEX(NOTA[ID],MATCH(,INDIRECT(ADDRESS(ROW(NOTA[ID]),COLUMN(NOTA[ID]))&amp;":"&amp;ADDRESS(ROW(),COLUMN(NOTA[ID]))),-1)))</f>
        <v>110</v>
      </c>
      <c r="E624" s="118"/>
      <c r="F624" s="27" t="s">
        <v>331</v>
      </c>
      <c r="G624" s="27" t="s">
        <v>112</v>
      </c>
      <c r="H624" s="54" t="s">
        <v>838</v>
      </c>
      <c r="I624" s="119"/>
      <c r="J624" s="121">
        <v>45063</v>
      </c>
      <c r="K624" s="119"/>
      <c r="L624" s="27" t="s">
        <v>839</v>
      </c>
      <c r="M624" s="122">
        <v>5</v>
      </c>
      <c r="N624" s="119">
        <v>1000</v>
      </c>
      <c r="O624" s="27" t="s">
        <v>146</v>
      </c>
      <c r="P624" s="116">
        <v>8750</v>
      </c>
      <c r="Q624" s="123"/>
      <c r="R624" s="114" t="s">
        <v>840</v>
      </c>
      <c r="S624" s="124"/>
      <c r="T624" s="124"/>
      <c r="U624" s="125"/>
      <c r="V624" s="77"/>
      <c r="W624" s="125">
        <f>IF(NOTA[[#This Row],[HARGA/ CTN]]="",NOTA[[#This Row],[JUMLAH_H]],NOTA[[#This Row],[HARGA/ CTN]]*IF(NOTA[[#This Row],[C]]="",0,NOTA[[#This Row],[C]]))</f>
        <v>8750000</v>
      </c>
      <c r="X624" s="125">
        <f>IF(NOTA[[#This Row],[JUMLAH]]="","",NOTA[[#This Row],[JUMLAH]]*NOTA[[#This Row],[DISC 1]])</f>
        <v>0</v>
      </c>
      <c r="Y624" s="125">
        <f>IF(NOTA[[#This Row],[JUMLAH]]="","",(NOTA[[#This Row],[JUMLAH]]-NOTA[[#This Row],[DISC 1-]])*NOTA[[#This Row],[DISC 2]])</f>
        <v>0</v>
      </c>
      <c r="Z624" s="125">
        <f>IF(NOTA[[#This Row],[JUMLAH]]="","",NOTA[[#This Row],[DISC 1-]]+NOTA[[#This Row],[DISC 2-]])</f>
        <v>0</v>
      </c>
      <c r="AA624" s="125">
        <f>IF(NOTA[[#This Row],[JUMLAH]]="","",NOTA[[#This Row],[JUMLAH]]-NOTA[[#This Row],[DISC]])</f>
        <v>8750000</v>
      </c>
      <c r="AB624" s="125"/>
      <c r="AC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12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116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624" s="125">
        <f>IF(OR(NOTA[[#This Row],[QTY]]="",NOTA[[#This Row],[HARGA SATUAN]]="",),"",NOTA[[#This Row],[QTY]]*NOTA[[#This Row],[HARGA SATUAN]])</f>
        <v>8750000</v>
      </c>
      <c r="AG624" s="121">
        <f ca="1">IF(NOTA[ID_H]="","",INDEX(NOTA[TANGGAL],MATCH(,INDIRECT(ADDRESS(ROW(NOTA[TANGGAL]),COLUMN(NOTA[TANGGAL]))&amp;":"&amp;ADDRESS(ROW(),COLUMN(NOTA[TANGGAL]))),-1)))</f>
        <v>45068</v>
      </c>
      <c r="AH624" s="116" t="str">
        <f ca="1">IF(NOTA[[#This Row],[NAMA BARANG]]="","",INDEX(NOTA[SUPPLIER],MATCH(,INDIRECT(ADDRESS(ROW(NOTA[ID]),COLUMN(NOTA[ID]))&amp;":"&amp;ADDRESS(ROW(),COLUMN(NOTA[ID]))),-1)))</f>
        <v>ETJ</v>
      </c>
      <c r="AI624" s="116" t="str">
        <f ca="1">IF(NOTA[[#This Row],[ID_H]]="","",IF(NOTA[[#This Row],[FAKTUR]]="",INDIRECT(ADDRESS(ROW()-1,COLUMN())),NOTA[[#This Row],[FAKTUR]]))</f>
        <v>UNTANA</v>
      </c>
      <c r="AJ624" s="27">
        <f ca="1">IF(NOTA[[#This Row],[ID]]="","",COUNTIF(NOTA[ID_H],NOTA[[#This Row],[ID_H]]))</f>
        <v>2</v>
      </c>
      <c r="AK624" s="27">
        <f>IF(NOTA[[#This Row],[TGL.NOTA]]="",IF(NOTA[[#This Row],[SUPPLIER_H]]="","",AK623),MONTH(NOTA[[#This Row],[TGL.NOTA]]))</f>
        <v>5</v>
      </c>
      <c r="AL624" s="27" t="str">
        <f>LOWER(SUBSTITUTE(SUBSTITUTE(SUBSTITUTE(SUBSTITUTE(SUBSTITUTE(SUBSTITUTE(SUBSTITUTE(SUBSTITUTE(SUBSTITUTE(NOTA[NAMA BARANG]," ",),".",""),"-",""),"(",""),")",""),",",""),"/",""),"""",""),"+",""))</f>
        <v>enter30cm675</v>
      </c>
      <c r="AM624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624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624" s="27" t="str">
        <f>IF(NOTA[[#This Row],[SUPPLIER]]="","",NOTA[[#This Row],[SUPPLIER]]&amp;NOTA[[#This Row],[FAKTUR]]&amp;NOTA[[#This Row],[NO.NOTA]]&amp;NOTA[[#This Row],[NO.SJ]]&amp;NOTA[[#This Row],[TGL.NOTA]]&amp;NOTA[[#This Row],[CONCAT1]])</f>
        <v>ETJUNTANAH21.2345063enter30cm675</v>
      </c>
      <c r="AP624" s="27" t="e">
        <f>IF(NOTA[[#This Row],[CONCAT4]]="","",_xlfn.IFNA(MATCH(NOTA[[#This Row],[CONCAT4]],[2]!RAW[CONCAT_H],0),FALSE))</f>
        <v>#REF!</v>
      </c>
      <c r="AQ624" s="145">
        <f>IF(NOTA[[#This Row],[CONCAT1]]="","",MATCH(NOTA[[#This Row],[CONCAT1]],[3]!db[NB NOTA_C],0)+1)</f>
        <v>710</v>
      </c>
    </row>
    <row r="625" spans="1:43" ht="20.100000000000001" customHeight="1" x14ac:dyDescent="0.25">
      <c r="A6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>
        <f ca="1">IF(NOTA[[#This Row],[NAMA BARANG]]="","",INDEX(NOTA[ID],MATCH(,INDIRECT(ADDRESS(ROW(NOTA[ID]),COLUMN(NOTA[ID]))&amp;":"&amp;ADDRESS(ROW(),COLUMN(NOTA[ID]))),-1)))</f>
        <v>110</v>
      </c>
      <c r="E625" s="113"/>
      <c r="H625" s="54"/>
      <c r="L625" s="27" t="s">
        <v>841</v>
      </c>
      <c r="M625" s="114">
        <v>1</v>
      </c>
      <c r="N625" s="27">
        <v>1500</v>
      </c>
      <c r="O625" s="27" t="s">
        <v>146</v>
      </c>
      <c r="P625" s="64">
        <v>5000</v>
      </c>
      <c r="Q625" s="79"/>
      <c r="R625" s="114" t="s">
        <v>361</v>
      </c>
      <c r="S625" s="115"/>
      <c r="U625" s="52"/>
      <c r="V625" s="77"/>
      <c r="W625" s="52">
        <f>IF(NOTA[[#This Row],[HARGA/ CTN]]="",NOTA[[#This Row],[JUMLAH_H]],NOTA[[#This Row],[HARGA/ CTN]]*IF(NOTA[[#This Row],[C]]="",0,NOTA[[#This Row],[C]]))</f>
        <v>7500000</v>
      </c>
      <c r="X625" s="52">
        <f>IF(NOTA[[#This Row],[JUMLAH]]="","",NOTA[[#This Row],[JUMLAH]]*NOTA[[#This Row],[DISC 1]])</f>
        <v>0</v>
      </c>
      <c r="Y625" s="52">
        <f>IF(NOTA[[#This Row],[JUMLAH]]="","",(NOTA[[#This Row],[JUMLAH]]-NOTA[[#This Row],[DISC 1-]])*NOTA[[#This Row],[DISC 2]])</f>
        <v>0</v>
      </c>
      <c r="Z625" s="52">
        <f>IF(NOTA[[#This Row],[JUMLAH]]="","",NOTA[[#This Row],[DISC 1-]]+NOTA[[#This Row],[DISC 2-]])</f>
        <v>0</v>
      </c>
      <c r="AA625" s="52">
        <f>IF(NOTA[[#This Row],[JUMLAH]]="","",NOTA[[#This Row],[JUMLAH]]-NOTA[[#This Row],[DISC]])</f>
        <v>7500000</v>
      </c>
      <c r="AB625" s="52"/>
      <c r="AC6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16250000</v>
      </c>
      <c r="AE625" s="64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F625" s="52">
        <f>IF(OR(NOTA[[#This Row],[QTY]]="",NOTA[[#This Row],[HARGA SATUAN]]="",),"",NOTA[[#This Row],[QTY]]*NOTA[[#This Row],[HARGA SATUAN]])</f>
        <v>7500000</v>
      </c>
      <c r="AG625" s="53">
        <f ca="1">IF(NOTA[ID_H]="","",INDEX(NOTA[TANGGAL],MATCH(,INDIRECT(ADDRESS(ROW(NOTA[TANGGAL]),COLUMN(NOTA[TANGGAL]))&amp;":"&amp;ADDRESS(ROW(),COLUMN(NOTA[TANGGAL]))),-1)))</f>
        <v>45068</v>
      </c>
      <c r="AH625" s="64" t="str">
        <f ca="1">IF(NOTA[[#This Row],[NAMA BARANG]]="","",INDEX(NOTA[SUPPLIER],MATCH(,INDIRECT(ADDRESS(ROW(NOTA[ID]),COLUMN(NOTA[ID]))&amp;":"&amp;ADDRESS(ROW(),COLUMN(NOTA[ID]))),-1)))</f>
        <v>ETJ</v>
      </c>
      <c r="AI625" s="64" t="str">
        <f ca="1">IF(NOTA[[#This Row],[ID_H]]="","",IF(NOTA[[#This Row],[FAKTUR]]="",INDIRECT(ADDRESS(ROW()-1,COLUMN())),NOTA[[#This Row],[FAKTUR]]))</f>
        <v>UNTANA</v>
      </c>
      <c r="AJ625" s="27" t="str">
        <f ca="1">IF(NOTA[[#This Row],[ID]]="","",COUNTIF(NOTA[ID_H],NOTA[[#This Row],[ID_H]]))</f>
        <v/>
      </c>
      <c r="AK625" s="27">
        <f ca="1">IF(NOTA[[#This Row],[TGL.NOTA]]="",IF(NOTA[[#This Row],[SUPPLIER_H]]="","",AK624),MONTH(NOTA[[#This Row],[TGL.NOTA]]))</f>
        <v>5</v>
      </c>
      <c r="AL625" s="27" t="str">
        <f>LOWER(SUBSTITUTE(SUBSTITUTE(SUBSTITUTE(SUBSTITUTE(SUBSTITUTE(SUBSTITUTE(SUBSTITUTE(SUBSTITUTE(SUBSTITUTE(NOTA[NAMA BARANG]," ",),".",""),"-",""),"(",""),")",""),",",""),"/",""),"""",""),"+",""))</f>
        <v>busur35mika</v>
      </c>
      <c r="AM625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busur35mika7500000</v>
      </c>
      <c r="AN625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busur35mika7500000</v>
      </c>
      <c r="AO625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27" t="str">
        <f>IF(NOTA[[#This Row],[CONCAT4]]="","",_xlfn.IFNA(MATCH(NOTA[[#This Row],[CONCAT4]],[2]!RAW[CONCAT_H],0),FALSE))</f>
        <v/>
      </c>
      <c r="AQ625" s="145" t="e">
        <f>IF(NOTA[[#This Row],[CONCAT1]]="","",MATCH(NOTA[[#This Row],[CONCAT1]],[3]!db[NB NOTA_C],0)+1)</f>
        <v>#N/A</v>
      </c>
    </row>
    <row r="626" spans="1:43" ht="20.100000000000001" customHeight="1" x14ac:dyDescent="0.25">
      <c r="A6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66" t="str">
        <f>IF(NOTA[[#This Row],[ID_P]]="","",MATCH(NOTA[[#This Row],[ID_P]],[1]!B_MSK[N_ID],0))</f>
        <v/>
      </c>
      <c r="D626" s="66" t="str">
        <f ca="1">IF(NOTA[[#This Row],[NAMA BARANG]]="","",INDEX(NOTA[ID],MATCH(,INDIRECT(ADDRESS(ROW(NOTA[ID]),COLUMN(NOTA[ID]))&amp;":"&amp;ADDRESS(ROW(),COLUMN(NOTA[ID]))),-1)))</f>
        <v/>
      </c>
      <c r="E626" s="113"/>
      <c r="H626" s="54"/>
      <c r="Q626" s="79"/>
      <c r="R626" s="114"/>
      <c r="S626" s="115"/>
      <c r="U626" s="52"/>
      <c r="V626" s="77"/>
      <c r="W626" s="52" t="str">
        <f>IF(NOTA[[#This Row],[HARGA/ CTN]]="",NOTA[[#This Row],[JUMLAH_H]],NOTA[[#This Row],[HARGA/ CTN]]*IF(NOTA[[#This Row],[C]]="",0,NOTA[[#This Row],[C]]))</f>
        <v/>
      </c>
      <c r="X626" s="52" t="str">
        <f>IF(NOTA[[#This Row],[JUMLAH]]="","",NOTA[[#This Row],[JUMLAH]]*NOTA[[#This Row],[DISC 1]])</f>
        <v/>
      </c>
      <c r="Y626" s="52" t="str">
        <f>IF(NOTA[[#This Row],[JUMLAH]]="","",(NOTA[[#This Row],[JUMLAH]]-NOTA[[#This Row],[DISC 1-]])*NOTA[[#This Row],[DISC 2]])</f>
        <v/>
      </c>
      <c r="Z626" s="52" t="str">
        <f>IF(NOTA[[#This Row],[JUMLAH]]="","",NOTA[[#This Row],[DISC 1-]]+NOTA[[#This Row],[DISC 2-]])</f>
        <v/>
      </c>
      <c r="AA626" s="52" t="str">
        <f>IF(NOTA[[#This Row],[JUMLAH]]="","",NOTA[[#This Row],[JUMLAH]]-NOTA[[#This Row],[DISC]])</f>
        <v/>
      </c>
      <c r="AB626" s="52"/>
      <c r="AC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6" s="52" t="str">
        <f>IF(OR(NOTA[[#This Row],[QTY]]="",NOTA[[#This Row],[HARGA SATUAN]]="",),"",NOTA[[#This Row],[QTY]]*NOTA[[#This Row],[HARGA SATUAN]])</f>
        <v/>
      </c>
      <c r="AG626" s="53" t="str">
        <f ca="1">IF(NOTA[ID_H]="","",INDEX(NOTA[TANGGAL],MATCH(,INDIRECT(ADDRESS(ROW(NOTA[TANGGAL]),COLUMN(NOTA[TANGGAL]))&amp;":"&amp;ADDRESS(ROW(),COLUMN(NOTA[TANGGAL]))),-1)))</f>
        <v/>
      </c>
      <c r="AH626" s="64" t="str">
        <f ca="1">IF(NOTA[[#This Row],[NAMA BARANG]]="","",INDEX(NOTA[SUPPLIER],MATCH(,INDIRECT(ADDRESS(ROW(NOTA[ID]),COLUMN(NOTA[ID]))&amp;":"&amp;ADDRESS(ROW(),COLUMN(NOTA[ID]))),-1)))</f>
        <v/>
      </c>
      <c r="AI626" s="64" t="str">
        <f ca="1">IF(NOTA[[#This Row],[ID_H]]="","",IF(NOTA[[#This Row],[FAKTUR]]="",INDIRECT(ADDRESS(ROW()-1,COLUMN())),NOTA[[#This Row],[FAKTUR]]))</f>
        <v/>
      </c>
      <c r="AJ626" s="27" t="str">
        <f ca="1">IF(NOTA[[#This Row],[ID]]="","",COUNTIF(NOTA[ID_H],NOTA[[#This Row],[ID_H]]))</f>
        <v/>
      </c>
      <c r="AK626" s="27" t="str">
        <f ca="1">IF(NOTA[[#This Row],[TGL.NOTA]]="",IF(NOTA[[#This Row],[SUPPLIER_H]]="","",AK625),MONTH(NOTA[[#This Row],[TGL.NOTA]]))</f>
        <v/>
      </c>
      <c r="AL626" s="27" t="str">
        <f>LOWER(SUBSTITUTE(SUBSTITUTE(SUBSTITUTE(SUBSTITUTE(SUBSTITUTE(SUBSTITUTE(SUBSTITUTE(SUBSTITUTE(SUBSTITUTE(NOTA[NAMA BARANG]," ",),".",""),"-",""),"(",""),")",""),",",""),"/",""),"""",""),"+",""))</f>
        <v/>
      </c>
      <c r="AM626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6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6" s="2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27" t="str">
        <f>IF(NOTA[[#This Row],[CONCAT4]]="","",_xlfn.IFNA(MATCH(NOTA[[#This Row],[CONCAT4]],[2]!RAW[CONCAT_H],0),FALSE))</f>
        <v/>
      </c>
      <c r="AQ626" s="145" t="str">
        <f>IF(NOTA[[#This Row],[CONCAT1]]="","",MATCH(NOTA[[#This Row],[CONCAT1]],[3]!db[NB NOTA_C],0)+1)</f>
        <v/>
      </c>
    </row>
    <row r="627" spans="1:43" ht="20.100000000000001" customHeight="1" x14ac:dyDescent="0.25">
      <c r="A627" s="64">
        <f ca="1">IF(INDIRECT(ADDRESS(ROW()-1,COLUMN(NOTA[[#Headers],[ID]])))="ID",1,IF(NOTA[[#This Row],[FAKTUR]]="","",COUNT(INDIRECT(ADDRESS(ROW(NOTA[ID]),COLUMN(NOTA[ID]))&amp;":"&amp;ADDRESS(ROW()-1,COLUMN(NOTA[ID]))))+1))</f>
        <v>111</v>
      </c>
      <c r="B6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ETJ_2205_123-1</v>
      </c>
      <c r="C627" s="66" t="e">
        <f ca="1">IF(NOTA[[#This Row],[ID_P]]="","",MATCH(NOTA[[#This Row],[ID_P]],[1]!B_MSK[N_ID],0))</f>
        <v>#REF!</v>
      </c>
      <c r="D627" s="66">
        <f ca="1">IF(NOTA[[#This Row],[NAMA BARANG]]="","",INDEX(NOTA[ID],MATCH(,INDIRECT(ADDRESS(ROW(NOTA[ID]),COLUMN(NOTA[ID]))&amp;":"&amp;ADDRESS(ROW(),COLUMN(NOTA[ID]))),-1)))</f>
        <v>111</v>
      </c>
      <c r="E627" s="113"/>
      <c r="F627" s="27" t="s">
        <v>331</v>
      </c>
      <c r="G627" s="27" t="s">
        <v>112</v>
      </c>
      <c r="H627" s="54" t="s">
        <v>842</v>
      </c>
      <c r="J627" s="53">
        <v>45061</v>
      </c>
      <c r="L627" s="27" t="s">
        <v>843</v>
      </c>
      <c r="M627" s="114">
        <v>3</v>
      </c>
      <c r="N627" s="27">
        <v>24</v>
      </c>
      <c r="O627" s="27" t="s">
        <v>146</v>
      </c>
      <c r="P627" s="64">
        <v>115000</v>
      </c>
      <c r="Q627" s="79"/>
      <c r="R627" s="114" t="s">
        <v>336</v>
      </c>
      <c r="S627" s="115"/>
      <c r="U627" s="52"/>
      <c r="V627" s="77"/>
      <c r="W627" s="52">
        <f>IF(NOTA[[#This Row],[HARGA/ CTN]]="",NOTA[[#This Row],[JUMLAH_H]],NOTA[[#This Row],[HARGA/ CTN]]*IF(NOTA[[#This Row],[C]]="",0,NOTA[[#This Row],[C]]))</f>
        <v>2760000</v>
      </c>
      <c r="X627" s="52">
        <f>IF(NOTA[[#This Row],[JUMLAH]]="","",NOTA[[#This Row],[JUMLAH]]*NOTA[[#This Row],[DISC 1]])</f>
        <v>0</v>
      </c>
      <c r="Y627" s="52">
        <f>IF(NOTA[[#This Row],[JUMLAH]]="","",(NOTA[[#This Row],[JUMLAH]]-NOTA[[#This Row],[DISC 1-]])*NOTA[[#This Row],[DISC 2]])</f>
        <v>0</v>
      </c>
      <c r="Z627" s="52">
        <f>IF(NOTA[[#This Row],[JUMLAH]]="","",NOTA[[#This Row],[DISC 1-]]+NOTA[[#This Row],[DISC 2-]])</f>
        <v>0</v>
      </c>
      <c r="AA627" s="52">
        <f>IF(NOTA[[#This Row],[JUMLAH]]="","",NOTA[[#This Row],[JUMLAH]]-NOTA[[#This Row],[DISC]])</f>
        <v>2760000</v>
      </c>
      <c r="AB627" s="52"/>
      <c r="AC6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2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2760000</v>
      </c>
      <c r="AE627" s="64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627" s="52">
        <f>IF(OR(NOTA[[#This Row],[QTY]]="",NOTA[[#This Row],[HARGA SATUAN]]="",),"",NOTA[[#This Row],[QTY]]*NOTA[[#This Row],[HARGA SATUAN]])</f>
        <v>2760000</v>
      </c>
      <c r="AG627" s="53">
        <f ca="1">IF(NOTA[ID_H]="","",INDEX(NOTA[TANGGAL],MATCH(,INDIRECT(ADDRESS(ROW(NOTA[TANGGAL]),COLUMN(NOTA[TANGGAL]))&amp;":"&amp;ADDRESS(ROW(),COLUMN(NOTA[TANGGAL]))),-1)))</f>
        <v>45068</v>
      </c>
      <c r="AH627" s="64" t="str">
        <f ca="1">IF(NOTA[[#This Row],[NAMA BARANG]]="","",INDEX(NOTA[SUPPLIER],MATCH(,INDIRECT(ADDRESS(ROW(NOTA[ID]),COLUMN(NOTA[ID]))&amp;":"&amp;ADDRESS(ROW(),COLUMN(NOTA[ID]))),-1)))</f>
        <v>ETJ</v>
      </c>
      <c r="AI627" s="64" t="str">
        <f ca="1">IF(NOTA[[#This Row],[ID_H]]="","",IF(NOTA[[#This Row],[FAKTUR]]="",INDIRECT(ADDRESS(ROW()-1,COLUMN())),NOTA[[#This Row],[FAKTUR]]))</f>
        <v>UNTANA</v>
      </c>
      <c r="AJ627" s="27">
        <f ca="1">IF(NOTA[[#This Row],[ID]]="","",COUNTIF(NOTA[ID_H],NOTA[[#This Row],[ID_H]]))</f>
        <v>1</v>
      </c>
      <c r="AK627" s="27">
        <f>IF(NOTA[[#This Row],[TGL.NOTA]]="",IF(NOTA[[#This Row],[SUPPLIER_H]]="","",AK626),MONTH(NOTA[[#This Row],[TGL.NOTA]]))</f>
        <v>5</v>
      </c>
      <c r="AL627" s="27" t="str">
        <f>LOWER(SUBSTITUTE(SUBSTITUTE(SUBSTITUTE(SUBSTITUTE(SUBSTITUTE(SUBSTITUTE(SUBSTITUTE(SUBSTITUTE(SUBSTITUTE(NOTA[NAMA BARANG]," ",),".",""),"-",""),"(",""),")",""),",",""),"/",""),"""",""),"+",""))</f>
        <v>entercboard03antipecah</v>
      </c>
      <c r="AM627" s="2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entercboard03antipecah920000</v>
      </c>
      <c r="AN627" s="2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entercboard03antipecah920000</v>
      </c>
      <c r="AO627" s="27" t="str">
        <f>IF(NOTA[[#This Row],[SUPPLIER]]="","",NOTA[[#This Row],[SUPPLIER]]&amp;NOTA[[#This Row],[FAKTUR]]&amp;NOTA[[#This Row],[NO.NOTA]]&amp;NOTA[[#This Row],[NO.SJ]]&amp;NOTA[[#This Row],[TGL.NOTA]]&amp;NOTA[[#This Row],[CONCAT1]])</f>
        <v>ETJUNTANAH01.2345061entercboard03antipecah</v>
      </c>
      <c r="AP627" s="27" t="e">
        <f>IF(NOTA[[#This Row],[CONCAT4]]="","",_xlfn.IFNA(MATCH(NOTA[[#This Row],[CONCAT4]],[2]!RAW[CONCAT_H],0),FALSE))</f>
        <v>#REF!</v>
      </c>
      <c r="AQ627" s="145">
        <f>IF(NOTA[[#This Row],[CONCAT1]]="","",MATCH(NOTA[[#This Row],[CONCAT1]],[3]!db[NB NOTA_C],0)+1)</f>
        <v>720</v>
      </c>
    </row>
    <row r="628" spans="1:43" ht="20.100000000000001" customHeight="1" x14ac:dyDescent="0.25">
      <c r="A6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188" t="str">
        <f>IF(NOTA[[#This Row],[ID_P]]="","",MATCH(NOTA[[#This Row],[ID_P]],[1]!B_MSK[N_ID],0))</f>
        <v/>
      </c>
      <c r="D628" s="188" t="str">
        <f ca="1">IF(NOTA[[#This Row],[NAMA BARANG]]="","",INDEX(NOTA[ID],MATCH(,INDIRECT(ADDRESS(ROW(NOTA[ID]),COLUMN(NOTA[ID]))&amp;":"&amp;ADDRESS(ROW(),COLUMN(NOTA[ID]))),-1)))</f>
        <v/>
      </c>
      <c r="E628" s="189"/>
      <c r="F628" s="190" t="s">
        <v>844</v>
      </c>
      <c r="G628" s="190"/>
      <c r="H628" s="191"/>
      <c r="I628" s="190"/>
      <c r="J628" s="192"/>
      <c r="K628" s="190"/>
      <c r="L628" s="190"/>
      <c r="M628" s="193"/>
      <c r="N628" s="188"/>
      <c r="O628" s="190"/>
      <c r="P628" s="187"/>
      <c r="Q628" s="194"/>
      <c r="R628" s="195"/>
      <c r="S628" s="196"/>
      <c r="T628" s="197"/>
      <c r="U628" s="198"/>
      <c r="V628" s="199"/>
      <c r="W628" s="198" t="str">
        <f>IF(NOTA[[#This Row],[HARGA/ CTN]]="",NOTA[[#This Row],[JUMLAH_H]],NOTA[[#This Row],[HARGA/ CTN]]*IF(NOTA[[#This Row],[C]]="",0,NOTA[[#This Row],[C]]))</f>
        <v/>
      </c>
      <c r="X628" s="198" t="str">
        <f>IF(NOTA[[#This Row],[JUMLAH]]="","",NOTA[[#This Row],[JUMLAH]]*NOTA[[#This Row],[DISC 1]])</f>
        <v/>
      </c>
      <c r="Y628" s="198" t="str">
        <f>IF(NOTA[[#This Row],[JUMLAH]]="","",(NOTA[[#This Row],[JUMLAH]]-NOTA[[#This Row],[DISC 1-]])*NOTA[[#This Row],[DISC 2]])</f>
        <v/>
      </c>
      <c r="Z628" s="198" t="str">
        <f>IF(NOTA[[#This Row],[JUMLAH]]="","",NOTA[[#This Row],[DISC 1-]]+NOTA[[#This Row],[DISC 2-]])</f>
        <v/>
      </c>
      <c r="AA628" s="198" t="str">
        <f>IF(NOTA[[#This Row],[JUMLAH]]="","",NOTA[[#This Row],[JUMLAH]]-NOTA[[#This Row],[DISC]])</f>
        <v/>
      </c>
      <c r="AB628" s="198"/>
      <c r="AC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8" s="200" t="str">
        <f>IF(OR(NOTA[[#This Row],[QTY]]="",NOTA[[#This Row],[HARGA SATUAN]]="",),"",NOTA[[#This Row],[QTY]]*NOTA[[#This Row],[HARGA SATUAN]])</f>
        <v/>
      </c>
      <c r="AG628" s="192" t="str">
        <f ca="1">IF(NOTA[ID_H]="","",INDEX(NOTA[TANGGAL],MATCH(,INDIRECT(ADDRESS(ROW(NOTA[TANGGAL]),COLUMN(NOTA[TANGGAL]))&amp;":"&amp;ADDRESS(ROW(),COLUMN(NOTA[TANGGAL]))),-1)))</f>
        <v/>
      </c>
      <c r="AH628" s="187" t="str">
        <f ca="1">IF(NOTA[[#This Row],[NAMA BARANG]]="","",INDEX(NOTA[SUPPLIER],MATCH(,INDIRECT(ADDRESS(ROW(NOTA[ID]),COLUMN(NOTA[ID]))&amp;":"&amp;ADDRESS(ROW(),COLUMN(NOTA[ID]))),-1)))</f>
        <v/>
      </c>
      <c r="AI628" s="187" t="str">
        <f ca="1">IF(NOTA[[#This Row],[ID_H]]="","",IF(NOTA[[#This Row],[FAKTUR]]="",INDIRECT(ADDRESS(ROW()-1,COLUMN())),NOTA[[#This Row],[FAKTUR]]))</f>
        <v/>
      </c>
      <c r="AJ628" s="188" t="str">
        <f ca="1">IF(NOTA[[#This Row],[ID]]="","",COUNTIF(NOTA[ID_H],NOTA[[#This Row],[ID_H]]))</f>
        <v/>
      </c>
      <c r="AK628" s="188" t="str">
        <f ca="1">IF(NOTA[[#This Row],[TGL.NOTA]]="",IF(NOTA[[#This Row],[SUPPLIER_H]]="","",AK627),MONTH(NOTA[[#This Row],[TGL.NOTA]]))</f>
        <v/>
      </c>
      <c r="AL628" s="188" t="str">
        <f>LOWER(SUBSTITUTE(SUBSTITUTE(SUBSTITUTE(SUBSTITUTE(SUBSTITUTE(SUBSTITUTE(SUBSTITUTE(SUBSTITUTE(SUBSTITUTE(NOTA[NAMA BARANG]," ",),".",""),"-",""),"(",""),")",""),",",""),"/",""),"""",""),"+",""))</f>
        <v/>
      </c>
      <c r="AM6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8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28" s="188" t="e">
        <f>IF(NOTA[[#This Row],[CONCAT4]]="","",_xlfn.IFNA(MATCH(NOTA[[#This Row],[CONCAT4]],[2]!RAW[CONCAT_H],0),FALSE))</f>
        <v>#REF!</v>
      </c>
      <c r="AQ628" s="188" t="str">
        <f>IF(NOTA[[#This Row],[CONCAT1]]="","",MATCH(NOTA[[#This Row],[CONCAT1]],[3]!db[NB NOTA_C],0)+1)</f>
        <v/>
      </c>
    </row>
    <row r="629" spans="1:43" ht="20.100000000000001" customHeight="1" x14ac:dyDescent="0.25">
      <c r="A6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188" t="str">
        <f>IF(NOTA[[#This Row],[ID_P]]="","",MATCH(NOTA[[#This Row],[ID_P]],[1]!B_MSK[N_ID],0))</f>
        <v/>
      </c>
      <c r="D629" s="188" t="str">
        <f ca="1">IF(NOTA[[#This Row],[NAMA BARANG]]="","",INDEX(NOTA[ID],MATCH(,INDIRECT(ADDRESS(ROW(NOTA[ID]),COLUMN(NOTA[ID]))&amp;":"&amp;ADDRESS(ROW(),COLUMN(NOTA[ID]))),-1)))</f>
        <v/>
      </c>
      <c r="E629" s="189"/>
      <c r="F629" s="190" t="s">
        <v>844</v>
      </c>
      <c r="G629" s="190"/>
      <c r="H629" s="191"/>
      <c r="I629" s="190"/>
      <c r="J629" s="192"/>
      <c r="K629" s="190"/>
      <c r="L629" s="190"/>
      <c r="M629" s="193"/>
      <c r="N629" s="188"/>
      <c r="O629" s="190"/>
      <c r="P629" s="187"/>
      <c r="Q629" s="194"/>
      <c r="R629" s="195"/>
      <c r="S629" s="196"/>
      <c r="T629" s="197"/>
      <c r="U629" s="198"/>
      <c r="V629" s="199"/>
      <c r="W629" s="198" t="str">
        <f>IF(NOTA[[#This Row],[HARGA/ CTN]]="",NOTA[[#This Row],[JUMLAH_H]],NOTA[[#This Row],[HARGA/ CTN]]*IF(NOTA[[#This Row],[C]]="",0,NOTA[[#This Row],[C]]))</f>
        <v/>
      </c>
      <c r="X629" s="198" t="str">
        <f>IF(NOTA[[#This Row],[JUMLAH]]="","",NOTA[[#This Row],[JUMLAH]]*NOTA[[#This Row],[DISC 1]])</f>
        <v/>
      </c>
      <c r="Y629" s="198" t="str">
        <f>IF(NOTA[[#This Row],[JUMLAH]]="","",(NOTA[[#This Row],[JUMLAH]]-NOTA[[#This Row],[DISC 1-]])*NOTA[[#This Row],[DISC 2]])</f>
        <v/>
      </c>
      <c r="Z629" s="198" t="str">
        <f>IF(NOTA[[#This Row],[JUMLAH]]="","",NOTA[[#This Row],[DISC 1-]]+NOTA[[#This Row],[DISC 2-]])</f>
        <v/>
      </c>
      <c r="AA629" s="198" t="str">
        <f>IF(NOTA[[#This Row],[JUMLAH]]="","",NOTA[[#This Row],[JUMLAH]]-NOTA[[#This Row],[DISC]])</f>
        <v/>
      </c>
      <c r="AB629" s="198"/>
      <c r="AC6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200" t="str">
        <f>IF(OR(NOTA[[#This Row],[QTY]]="",NOTA[[#This Row],[HARGA SATUAN]]="",),"",NOTA[[#This Row],[QTY]]*NOTA[[#This Row],[HARGA SATUAN]])</f>
        <v/>
      </c>
      <c r="AG629" s="192" t="str">
        <f ca="1">IF(NOTA[ID_H]="","",INDEX(NOTA[TANGGAL],MATCH(,INDIRECT(ADDRESS(ROW(NOTA[TANGGAL]),COLUMN(NOTA[TANGGAL]))&amp;":"&amp;ADDRESS(ROW(),COLUMN(NOTA[TANGGAL]))),-1)))</f>
        <v/>
      </c>
      <c r="AH629" s="187" t="str">
        <f ca="1">IF(NOTA[[#This Row],[NAMA BARANG]]="","",INDEX(NOTA[SUPPLIER],MATCH(,INDIRECT(ADDRESS(ROW(NOTA[ID]),COLUMN(NOTA[ID]))&amp;":"&amp;ADDRESS(ROW(),COLUMN(NOTA[ID]))),-1)))</f>
        <v/>
      </c>
      <c r="AI629" s="187" t="str">
        <f ca="1">IF(NOTA[[#This Row],[ID_H]]="","",IF(NOTA[[#This Row],[FAKTUR]]="",INDIRECT(ADDRESS(ROW()-1,COLUMN())),NOTA[[#This Row],[FAKTUR]]))</f>
        <v/>
      </c>
      <c r="AJ629" s="188" t="str">
        <f ca="1">IF(NOTA[[#This Row],[ID]]="","",COUNTIF(NOTA[ID_H],NOTA[[#This Row],[ID_H]]))</f>
        <v/>
      </c>
      <c r="AK629" s="188" t="str">
        <f ca="1">IF(NOTA[[#This Row],[TGL.NOTA]]="",IF(NOTA[[#This Row],[SUPPLIER_H]]="","",AK628),MONTH(NOTA[[#This Row],[TGL.NOTA]]))</f>
        <v/>
      </c>
      <c r="AL629" s="188" t="str">
        <f>LOWER(SUBSTITUTE(SUBSTITUTE(SUBSTITUTE(SUBSTITUTE(SUBSTITUTE(SUBSTITUTE(SUBSTITUTE(SUBSTITUTE(SUBSTITUTE(NOTA[NAMA BARANG]," ",),".",""),"-",""),"(",""),")",""),",",""),"/",""),"""",""),"+",""))</f>
        <v/>
      </c>
      <c r="AM6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9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29" s="188" t="e">
        <f>IF(NOTA[[#This Row],[CONCAT4]]="","",_xlfn.IFNA(MATCH(NOTA[[#This Row],[CONCAT4]],[2]!RAW[CONCAT_H],0),FALSE))</f>
        <v>#REF!</v>
      </c>
      <c r="AQ629" s="188" t="str">
        <f>IF(NOTA[[#This Row],[CONCAT1]]="","",MATCH(NOTA[[#This Row],[CONCAT1]],[3]!db[NB NOTA_C],0)+1)</f>
        <v/>
      </c>
    </row>
    <row r="630" spans="1:43" ht="20.100000000000001" customHeight="1" x14ac:dyDescent="0.25">
      <c r="A630" s="187">
        <f ca="1">IF(INDIRECT(ADDRESS(ROW()-1,COLUMN(NOTA[[#Headers],[ID]])))="ID",1,IF(NOTA[[#This Row],[FAKTUR]]="","",COUNT(INDIRECT(ADDRESS(ROW(NOTA[ID]),COLUMN(NOTA[ID]))&amp;":"&amp;ADDRESS(ROW()-1,COLUMN(NOTA[ID]))))+1))</f>
        <v>112</v>
      </c>
      <c r="B63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DUT_2205_23H-3</v>
      </c>
      <c r="C630" s="188" t="e">
        <f ca="1">IF(NOTA[[#This Row],[ID_P]]="","",MATCH(NOTA[[#This Row],[ID_P]],[1]!B_MSK[N_ID],0))</f>
        <v>#REF!</v>
      </c>
      <c r="D630" s="188">
        <f ca="1">IF(NOTA[[#This Row],[NAMA BARANG]]="","",INDEX(NOTA[ID],MATCH(,INDIRECT(ADDRESS(ROW(NOTA[ID]),COLUMN(NOTA[ID]))&amp;":"&amp;ADDRESS(ROW(),COLUMN(NOTA[ID]))),-1)))</f>
        <v>112</v>
      </c>
      <c r="E630" s="189"/>
      <c r="F630" s="190" t="s">
        <v>249</v>
      </c>
      <c r="G630" s="190" t="s">
        <v>112</v>
      </c>
      <c r="H630" s="191" t="s">
        <v>845</v>
      </c>
      <c r="I630" s="190"/>
      <c r="J630" s="192">
        <v>45065</v>
      </c>
      <c r="K630" s="190"/>
      <c r="L630" s="190" t="s">
        <v>846</v>
      </c>
      <c r="M630" s="193">
        <v>5</v>
      </c>
      <c r="N630" s="188">
        <v>360</v>
      </c>
      <c r="O630" s="190" t="s">
        <v>252</v>
      </c>
      <c r="P630" s="187">
        <v>17000</v>
      </c>
      <c r="Q630" s="194"/>
      <c r="R630" s="195" t="s">
        <v>253</v>
      </c>
      <c r="S630" s="196">
        <v>0.03</v>
      </c>
      <c r="T630" s="197"/>
      <c r="U630" s="198"/>
      <c r="V630" s="199"/>
      <c r="W630" s="198">
        <f>IF(NOTA[[#This Row],[HARGA/ CTN]]="",NOTA[[#This Row],[JUMLAH_H]],NOTA[[#This Row],[HARGA/ CTN]]*IF(NOTA[[#This Row],[C]]="",0,NOTA[[#This Row],[C]]))</f>
        <v>6120000</v>
      </c>
      <c r="X630" s="198">
        <f>IF(NOTA[[#This Row],[JUMLAH]]="","",NOTA[[#This Row],[JUMLAH]]*NOTA[[#This Row],[DISC 1]])</f>
        <v>183600</v>
      </c>
      <c r="Y630" s="198">
        <f>IF(NOTA[[#This Row],[JUMLAH]]="","",(NOTA[[#This Row],[JUMLAH]]-NOTA[[#This Row],[DISC 1-]])*NOTA[[#This Row],[DISC 2]])</f>
        <v>0</v>
      </c>
      <c r="Z630" s="198">
        <f>IF(NOTA[[#This Row],[JUMLAH]]="","",NOTA[[#This Row],[DISC 1-]]+NOTA[[#This Row],[DISC 2-]])</f>
        <v>183600</v>
      </c>
      <c r="AA630" s="198">
        <f>IF(NOTA[[#This Row],[JUMLAH]]="","",NOTA[[#This Row],[JUMLAH]]-NOTA[[#This Row],[DISC]])</f>
        <v>5936400</v>
      </c>
      <c r="AB630" s="198"/>
      <c r="AC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630" s="200">
        <f>IF(OR(NOTA[[#This Row],[QTY]]="",NOTA[[#This Row],[HARGA SATUAN]]="",),"",NOTA[[#This Row],[QTY]]*NOTA[[#This Row],[HARGA SATUAN]])</f>
        <v>6120000</v>
      </c>
      <c r="AG630" s="192">
        <f ca="1">IF(NOTA[ID_H]="","",INDEX(NOTA[TANGGAL],MATCH(,INDIRECT(ADDRESS(ROW(NOTA[TANGGAL]),COLUMN(NOTA[TANGGAL]))&amp;":"&amp;ADDRESS(ROW(),COLUMN(NOTA[TANGGAL]))),-1)))</f>
        <v>45068</v>
      </c>
      <c r="AH630" s="187" t="str">
        <f ca="1">IF(NOTA[[#This Row],[NAMA BARANG]]="","",INDEX(NOTA[SUPPLIER],MATCH(,INDIRECT(ADDRESS(ROW(NOTA[ID]),COLUMN(NOTA[ID]))&amp;":"&amp;ADDRESS(ROW(),COLUMN(NOTA[ID]))),-1)))</f>
        <v>DUTA BUANA</v>
      </c>
      <c r="AI630" s="187" t="str">
        <f ca="1">IF(NOTA[[#This Row],[ID_H]]="","",IF(NOTA[[#This Row],[FAKTUR]]="",INDIRECT(ADDRESS(ROW()-1,COLUMN())),NOTA[[#This Row],[FAKTUR]]))</f>
        <v>UNTANA</v>
      </c>
      <c r="AJ630" s="188">
        <f ca="1">IF(NOTA[[#This Row],[ID]]="","",COUNTIF(NOTA[ID_H],NOTA[[#This Row],[ID_H]]))</f>
        <v>3</v>
      </c>
      <c r="AK630" s="188">
        <f>IF(NOTA[[#This Row],[TGL.NOTA]]="",IF(NOTA[[#This Row],[SUPPLIER_H]]="","",AK629),MONTH(NOTA[[#This Row],[TGL.NOTA]]))</f>
        <v>5</v>
      </c>
      <c r="AL630" s="188" t="str">
        <f>LOWER(SUBSTITUTE(SUBSTITUTE(SUBSTITUTE(SUBSTITUTE(SUBSTITUTE(SUBSTITUTE(SUBSTITUTE(SUBSTITUTE(SUBSTITUTE(NOTA[NAMA BARANG]," ",),".",""),"-",""),"(",""),")",""),",",""),"/",""),"""",""),"+",""))</f>
        <v>acryliccolourtf1c005p12x6mlpastel</v>
      </c>
      <c r="AM6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N6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acryliccolourtf1c005p12x6mlpastel12240000.03</v>
      </c>
      <c r="AO630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BUANAUNTANAHM/141/05-23H45065acryliccolourtf1c005p12x6mlpastel</v>
      </c>
      <c r="AP630" s="188" t="e">
        <f>IF(NOTA[[#This Row],[CONCAT4]]="","",_xlfn.IFNA(MATCH(NOTA[[#This Row],[CONCAT4]],[2]!RAW[CONCAT_H],0),FALSE))</f>
        <v>#REF!</v>
      </c>
      <c r="AQ630" s="188" t="e">
        <f>IF(NOTA[[#This Row],[CONCAT1]]="","",MATCH(NOTA[[#This Row],[CONCAT1]],[3]!db[NB NOTA_C],0)+1)</f>
        <v>#N/A</v>
      </c>
    </row>
    <row r="631" spans="1:43" ht="20.100000000000001" customHeight="1" x14ac:dyDescent="0.25">
      <c r="A6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188" t="str">
        <f>IF(NOTA[[#This Row],[ID_P]]="","",MATCH(NOTA[[#This Row],[ID_P]],[1]!B_MSK[N_ID],0))</f>
        <v/>
      </c>
      <c r="D631" s="188">
        <f ca="1">IF(NOTA[[#This Row],[NAMA BARANG]]="","",INDEX(NOTA[ID],MATCH(,INDIRECT(ADDRESS(ROW(NOTA[ID]),COLUMN(NOTA[ID]))&amp;":"&amp;ADDRESS(ROW(),COLUMN(NOTA[ID]))),-1)))</f>
        <v>112</v>
      </c>
      <c r="E631" s="189"/>
      <c r="F631" s="190"/>
      <c r="G631" s="190"/>
      <c r="H631" s="191"/>
      <c r="I631" s="190"/>
      <c r="J631" s="192"/>
      <c r="K631" s="190"/>
      <c r="L631" s="190" t="s">
        <v>255</v>
      </c>
      <c r="M631" s="193">
        <v>5</v>
      </c>
      <c r="N631" s="188">
        <v>360</v>
      </c>
      <c r="O631" s="190" t="s">
        <v>252</v>
      </c>
      <c r="P631" s="187">
        <v>19000</v>
      </c>
      <c r="Q631" s="194"/>
      <c r="R631" s="195" t="s">
        <v>253</v>
      </c>
      <c r="S631" s="196">
        <v>0.03</v>
      </c>
      <c r="T631" s="197"/>
      <c r="U631" s="198"/>
      <c r="V631" s="199"/>
      <c r="W631" s="198">
        <f>IF(NOTA[[#This Row],[HARGA/ CTN]]="",NOTA[[#This Row],[JUMLAH_H]],NOTA[[#This Row],[HARGA/ CTN]]*IF(NOTA[[#This Row],[C]]="",0,NOTA[[#This Row],[C]]))</f>
        <v>6840000</v>
      </c>
      <c r="X631" s="198">
        <f>IF(NOTA[[#This Row],[JUMLAH]]="","",NOTA[[#This Row],[JUMLAH]]*NOTA[[#This Row],[DISC 1]])</f>
        <v>205200</v>
      </c>
      <c r="Y631" s="198">
        <f>IF(NOTA[[#This Row],[JUMLAH]]="","",(NOTA[[#This Row],[JUMLAH]]-NOTA[[#This Row],[DISC 1-]])*NOTA[[#This Row],[DISC 2]])</f>
        <v>0</v>
      </c>
      <c r="Z631" s="198">
        <f>IF(NOTA[[#This Row],[JUMLAH]]="","",NOTA[[#This Row],[DISC 1-]]+NOTA[[#This Row],[DISC 2-]])</f>
        <v>205200</v>
      </c>
      <c r="AA631" s="198">
        <f>IF(NOTA[[#This Row],[JUMLAH]]="","",NOTA[[#This Row],[JUMLAH]]-NOTA[[#This Row],[DISC]])</f>
        <v>6634800</v>
      </c>
      <c r="AB631" s="198"/>
      <c r="AC6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631" s="200">
        <f>IF(OR(NOTA[[#This Row],[QTY]]="",NOTA[[#This Row],[HARGA SATUAN]]="",),"",NOTA[[#This Row],[QTY]]*NOTA[[#This Row],[HARGA SATUAN]])</f>
        <v>6840000</v>
      </c>
      <c r="AG631" s="192">
        <f ca="1">IF(NOTA[ID_H]="","",INDEX(NOTA[TANGGAL],MATCH(,INDIRECT(ADDRESS(ROW(NOTA[TANGGAL]),COLUMN(NOTA[TANGGAL]))&amp;":"&amp;ADDRESS(ROW(),COLUMN(NOTA[TANGGAL]))),-1)))</f>
        <v>45068</v>
      </c>
      <c r="AH631" s="187" t="str">
        <f ca="1">IF(NOTA[[#This Row],[NAMA BARANG]]="","",INDEX(NOTA[SUPPLIER],MATCH(,INDIRECT(ADDRESS(ROW(NOTA[ID]),COLUMN(NOTA[ID]))&amp;":"&amp;ADDRESS(ROW(),COLUMN(NOTA[ID]))),-1)))</f>
        <v>DUTA BUANA</v>
      </c>
      <c r="AI631" s="187" t="str">
        <f ca="1">IF(NOTA[[#This Row],[ID_H]]="","",IF(NOTA[[#This Row],[FAKTUR]]="",INDIRECT(ADDRESS(ROW()-1,COLUMN())),NOTA[[#This Row],[FAKTUR]]))</f>
        <v>UNTANA</v>
      </c>
      <c r="AJ631" s="188" t="str">
        <f ca="1">IF(NOTA[[#This Row],[ID]]="","",COUNTIF(NOTA[ID_H],NOTA[[#This Row],[ID_H]]))</f>
        <v/>
      </c>
      <c r="AK631" s="188">
        <f ca="1">IF(NOTA[[#This Row],[TGL.NOTA]]="",IF(NOTA[[#This Row],[SUPPLIER_H]]="","",AK630),MONTH(NOTA[[#This Row],[TGL.NOTA]]))</f>
        <v>5</v>
      </c>
      <c r="AL631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6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6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6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188" t="str">
        <f>IF(NOTA[[#This Row],[CONCAT4]]="","",_xlfn.IFNA(MATCH(NOTA[[#This Row],[CONCAT4]],[2]!RAW[CONCAT_H],0),FALSE))</f>
        <v/>
      </c>
      <c r="AQ631" s="188">
        <f>IF(NOTA[[#This Row],[CONCAT1]]="","",MATCH(NOTA[[#This Row],[CONCAT1]],[3]!db[NB NOTA_C],0)+1)</f>
        <v>29</v>
      </c>
    </row>
    <row r="632" spans="1:43" ht="20.100000000000001" customHeight="1" x14ac:dyDescent="0.25">
      <c r="A6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188" t="str">
        <f>IF(NOTA[[#This Row],[ID_P]]="","",MATCH(NOTA[[#This Row],[ID_P]],[1]!B_MSK[N_ID],0))</f>
        <v/>
      </c>
      <c r="D632" s="188">
        <f ca="1">IF(NOTA[[#This Row],[NAMA BARANG]]="","",INDEX(NOTA[ID],MATCH(,INDIRECT(ADDRESS(ROW(NOTA[ID]),COLUMN(NOTA[ID]))&amp;":"&amp;ADDRESS(ROW(),COLUMN(NOTA[ID]))),-1)))</f>
        <v>112</v>
      </c>
      <c r="E632" s="189"/>
      <c r="F632" s="190"/>
      <c r="G632" s="190"/>
      <c r="H632" s="191"/>
      <c r="I632" s="190"/>
      <c r="J632" s="192"/>
      <c r="K632" s="190"/>
      <c r="L632" s="190" t="s">
        <v>847</v>
      </c>
      <c r="M632" s="193"/>
      <c r="N632" s="188">
        <v>72</v>
      </c>
      <c r="O632" s="190" t="s">
        <v>125</v>
      </c>
      <c r="P632" s="187"/>
      <c r="Q632" s="194"/>
      <c r="R632" s="195"/>
      <c r="S632" s="196"/>
      <c r="T632" s="197"/>
      <c r="U632" s="198"/>
      <c r="V632" s="199" t="s">
        <v>181</v>
      </c>
      <c r="W632" s="198" t="str">
        <f>IF(NOTA[[#This Row],[HARGA/ CTN]]="",NOTA[[#This Row],[JUMLAH_H]],NOTA[[#This Row],[HARGA/ CTN]]*IF(NOTA[[#This Row],[C]]="",0,NOTA[[#This Row],[C]]))</f>
        <v/>
      </c>
      <c r="X632" s="198" t="str">
        <f>IF(NOTA[[#This Row],[JUMLAH]]="","",NOTA[[#This Row],[JUMLAH]]*NOTA[[#This Row],[DISC 1]])</f>
        <v/>
      </c>
      <c r="Y632" s="198" t="str">
        <f>IF(NOTA[[#This Row],[JUMLAH]]="","",(NOTA[[#This Row],[JUMLAH]]-NOTA[[#This Row],[DISC 1-]])*NOTA[[#This Row],[DISC 2]])</f>
        <v/>
      </c>
      <c r="Z632" s="198" t="str">
        <f>IF(NOTA[[#This Row],[JUMLAH]]="","",NOTA[[#This Row],[DISC 1-]]+NOTA[[#This Row],[DISC 2-]])</f>
        <v/>
      </c>
      <c r="AA632" s="198" t="str">
        <f>IF(NOTA[[#This Row],[JUMLAH]]="","",NOTA[[#This Row],[JUMLAH]]-NOTA[[#This Row],[DISC]])</f>
        <v/>
      </c>
      <c r="AB632" s="198"/>
      <c r="AC63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388800</v>
      </c>
      <c r="AD63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12571200</v>
      </c>
      <c r="AE63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32" s="200" t="str">
        <f>IF(OR(NOTA[[#This Row],[QTY]]="",NOTA[[#This Row],[HARGA SATUAN]]="",),"",NOTA[[#This Row],[QTY]]*NOTA[[#This Row],[HARGA SATUAN]])</f>
        <v/>
      </c>
      <c r="AG632" s="192">
        <f ca="1">IF(NOTA[ID_H]="","",INDEX(NOTA[TANGGAL],MATCH(,INDIRECT(ADDRESS(ROW(NOTA[TANGGAL]),COLUMN(NOTA[TANGGAL]))&amp;":"&amp;ADDRESS(ROW(),COLUMN(NOTA[TANGGAL]))),-1)))</f>
        <v>45068</v>
      </c>
      <c r="AH632" s="187" t="str">
        <f ca="1">IF(NOTA[[#This Row],[NAMA BARANG]]="","",INDEX(NOTA[SUPPLIER],MATCH(,INDIRECT(ADDRESS(ROW(NOTA[ID]),COLUMN(NOTA[ID]))&amp;":"&amp;ADDRESS(ROW(),COLUMN(NOTA[ID]))),-1)))</f>
        <v>DUTA BUANA</v>
      </c>
      <c r="AI632" s="187" t="str">
        <f ca="1">IF(NOTA[[#This Row],[ID_H]]="","",IF(NOTA[[#This Row],[FAKTUR]]="",INDIRECT(ADDRESS(ROW()-1,COLUMN())),NOTA[[#This Row],[FAKTUR]]))</f>
        <v>UNTANA</v>
      </c>
      <c r="AJ632" s="188" t="str">
        <f ca="1">IF(NOTA[[#This Row],[ID]]="","",COUNTIF(NOTA[ID_H],NOTA[[#This Row],[ID_H]]))</f>
        <v/>
      </c>
      <c r="AK632" s="188">
        <f ca="1">IF(NOTA[[#This Row],[TGL.NOTA]]="",IF(NOTA[[#This Row],[SUPPLIER_H]]="","",AK631),MONTH(NOTA[[#This Row],[TGL.NOTA]]))</f>
        <v>5</v>
      </c>
      <c r="AL632" s="188" t="str">
        <f>LOWER(SUBSTITUTE(SUBSTITUTE(SUBSTITUTE(SUBSTITUTE(SUBSTITUTE(SUBSTITUTE(SUBSTITUTE(SUBSTITUTE(SUBSTITUTE(NOTA[NAMA BARANG]," ",),".",""),"-",""),"(",""),")",""),",",""),"/",""),"""",""),"+",""))</f>
        <v>ballpenpromosihm2220ubonus</v>
      </c>
      <c r="AM6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ballpenpromosihm2220ubonus0</v>
      </c>
      <c r="AN6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ballpenpromosihm2220ubonus0</v>
      </c>
      <c r="AO6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188" t="str">
        <f>IF(NOTA[[#This Row],[CONCAT4]]="","",_xlfn.IFNA(MATCH(NOTA[[#This Row],[CONCAT4]],[2]!RAW[CONCAT_H],0),FALSE))</f>
        <v/>
      </c>
      <c r="AQ632" s="188" t="e">
        <f>IF(NOTA[[#This Row],[CONCAT1]]="","",MATCH(NOTA[[#This Row],[CONCAT1]],[3]!db[NB NOTA_C],0)+1)</f>
        <v>#N/A</v>
      </c>
    </row>
    <row r="633" spans="1:43" ht="20.100000000000001" customHeight="1" x14ac:dyDescent="0.25">
      <c r="A6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188" t="str">
        <f>IF(NOTA[[#This Row],[ID_P]]="","",MATCH(NOTA[[#This Row],[ID_P]],[1]!B_MSK[N_ID],0))</f>
        <v/>
      </c>
      <c r="D633" s="188" t="str">
        <f ca="1">IF(NOTA[[#This Row],[NAMA BARANG]]="","",INDEX(NOTA[ID],MATCH(,INDIRECT(ADDRESS(ROW(NOTA[ID]),COLUMN(NOTA[ID]))&amp;":"&amp;ADDRESS(ROW(),COLUMN(NOTA[ID]))),-1)))</f>
        <v/>
      </c>
      <c r="E633" s="189"/>
      <c r="F633" s="190" t="s">
        <v>844</v>
      </c>
      <c r="G633" s="190"/>
      <c r="H633" s="191"/>
      <c r="I633" s="190"/>
      <c r="J633" s="192"/>
      <c r="K633" s="190"/>
      <c r="L633" s="190"/>
      <c r="M633" s="193"/>
      <c r="N633" s="188"/>
      <c r="O633" s="190"/>
      <c r="P633" s="187"/>
      <c r="Q633" s="194"/>
      <c r="R633" s="195"/>
      <c r="S633" s="196"/>
      <c r="T633" s="197"/>
      <c r="U633" s="198"/>
      <c r="V633" s="199"/>
      <c r="W633" s="198" t="str">
        <f>IF(NOTA[[#This Row],[HARGA/ CTN]]="",NOTA[[#This Row],[JUMLAH_H]],NOTA[[#This Row],[HARGA/ CTN]]*IF(NOTA[[#This Row],[C]]="",0,NOTA[[#This Row],[C]]))</f>
        <v/>
      </c>
      <c r="X633" s="198" t="str">
        <f>IF(NOTA[[#This Row],[JUMLAH]]="","",NOTA[[#This Row],[JUMLAH]]*NOTA[[#This Row],[DISC 1]])</f>
        <v/>
      </c>
      <c r="Y633" s="198" t="str">
        <f>IF(NOTA[[#This Row],[JUMLAH]]="","",(NOTA[[#This Row],[JUMLAH]]-NOTA[[#This Row],[DISC 1-]])*NOTA[[#This Row],[DISC 2]])</f>
        <v/>
      </c>
      <c r="Z633" s="198" t="str">
        <f>IF(NOTA[[#This Row],[JUMLAH]]="","",NOTA[[#This Row],[DISC 1-]]+NOTA[[#This Row],[DISC 2-]])</f>
        <v/>
      </c>
      <c r="AA633" s="198" t="str">
        <f>IF(NOTA[[#This Row],[JUMLAH]]="","",NOTA[[#This Row],[JUMLAH]]-NOTA[[#This Row],[DISC]])</f>
        <v/>
      </c>
      <c r="AB633" s="198"/>
      <c r="AC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200" t="str">
        <f>IF(OR(NOTA[[#This Row],[QTY]]="",NOTA[[#This Row],[HARGA SATUAN]]="",),"",NOTA[[#This Row],[QTY]]*NOTA[[#This Row],[HARGA SATUAN]])</f>
        <v/>
      </c>
      <c r="AG633" s="192" t="str">
        <f ca="1">IF(NOTA[ID_H]="","",INDEX(NOTA[TANGGAL],MATCH(,INDIRECT(ADDRESS(ROW(NOTA[TANGGAL]),COLUMN(NOTA[TANGGAL]))&amp;":"&amp;ADDRESS(ROW(),COLUMN(NOTA[TANGGAL]))),-1)))</f>
        <v/>
      </c>
      <c r="AH633" s="187" t="str">
        <f ca="1">IF(NOTA[[#This Row],[NAMA BARANG]]="","",INDEX(NOTA[SUPPLIER],MATCH(,INDIRECT(ADDRESS(ROW(NOTA[ID]),COLUMN(NOTA[ID]))&amp;":"&amp;ADDRESS(ROW(),COLUMN(NOTA[ID]))),-1)))</f>
        <v/>
      </c>
      <c r="AI633" s="187" t="str">
        <f ca="1">IF(NOTA[[#This Row],[ID_H]]="","",IF(NOTA[[#This Row],[FAKTUR]]="",INDIRECT(ADDRESS(ROW()-1,COLUMN())),NOTA[[#This Row],[FAKTUR]]))</f>
        <v/>
      </c>
      <c r="AJ633" s="188" t="str">
        <f ca="1">IF(NOTA[[#This Row],[ID]]="","",COUNTIF(NOTA[ID_H],NOTA[[#This Row],[ID_H]]))</f>
        <v/>
      </c>
      <c r="AK633" s="188" t="str">
        <f ca="1">IF(NOTA[[#This Row],[TGL.NOTA]]="",IF(NOTA[[#This Row],[SUPPLIER_H]]="","",AK632),MONTH(NOTA[[#This Row],[TGL.NOTA]]))</f>
        <v/>
      </c>
      <c r="AL633" s="188" t="str">
        <f>LOWER(SUBSTITUTE(SUBSTITUTE(SUBSTITUTE(SUBSTITUTE(SUBSTITUTE(SUBSTITUTE(SUBSTITUTE(SUBSTITUTE(SUBSTITUTE(NOTA[NAMA BARANG]," ",),".",""),"-",""),"(",""),")",""),",",""),"/",""),"""",""),"+",""))</f>
        <v/>
      </c>
      <c r="AM6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33" s="188" t="e">
        <f>IF(NOTA[[#This Row],[CONCAT4]]="","",_xlfn.IFNA(MATCH(NOTA[[#This Row],[CONCAT4]],[2]!RAW[CONCAT_H],0),FALSE))</f>
        <v>#REF!</v>
      </c>
      <c r="AQ633" s="188" t="str">
        <f>IF(NOTA[[#This Row],[CONCAT1]]="","",MATCH(NOTA[[#This Row],[CONCAT1]],[3]!db[NB NOTA_C],0)+1)</f>
        <v/>
      </c>
    </row>
    <row r="634" spans="1:43" ht="20.100000000000001" customHeight="1" x14ac:dyDescent="0.25">
      <c r="A634" s="187">
        <f ca="1">IF(INDIRECT(ADDRESS(ROW()-1,COLUMN(NOTA[[#Headers],[ID]])))="ID",1,IF(NOTA[[#This Row],[FAKTUR]]="","",COUNT(INDIRECT(ADDRESS(ROW(NOTA[ID]),COLUMN(NOTA[ID]))&amp;":"&amp;ADDRESS(ROW()-1,COLUMN(NOTA[ID]))))+1))</f>
        <v>113</v>
      </c>
      <c r="B63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WIN_2205_COD-3</v>
      </c>
      <c r="C634" s="188" t="e">
        <f ca="1">IF(NOTA[[#This Row],[ID_P]]="","",MATCH(NOTA[[#This Row],[ID_P]],[1]!B_MSK[N_ID],0))</f>
        <v>#REF!</v>
      </c>
      <c r="D634" s="188">
        <f ca="1">IF(NOTA[[#This Row],[NAMA BARANG]]="","",INDEX(NOTA[ID],MATCH(,INDIRECT(ADDRESS(ROW(NOTA[ID]),COLUMN(NOTA[ID]))&amp;":"&amp;ADDRESS(ROW(),COLUMN(NOTA[ID]))),-1)))</f>
        <v>113</v>
      </c>
      <c r="E634" s="189"/>
      <c r="F634" s="190" t="s">
        <v>263</v>
      </c>
      <c r="G634" s="190" t="s">
        <v>112</v>
      </c>
      <c r="H634" s="191" t="s">
        <v>848</v>
      </c>
      <c r="I634" s="190"/>
      <c r="J634" s="192">
        <v>45066</v>
      </c>
      <c r="K634" s="190"/>
      <c r="L634" s="190" t="s">
        <v>849</v>
      </c>
      <c r="M634" s="193">
        <v>10</v>
      </c>
      <c r="N634" s="188">
        <f>400</f>
        <v>400</v>
      </c>
      <c r="O634" s="190" t="s">
        <v>160</v>
      </c>
      <c r="P634" s="187">
        <f>722000/400</f>
        <v>1805</v>
      </c>
      <c r="Q634" s="194">
        <v>722000</v>
      </c>
      <c r="R634" s="195" t="s">
        <v>771</v>
      </c>
      <c r="S634" s="196"/>
      <c r="T634" s="197"/>
      <c r="U634" s="198"/>
      <c r="V634" s="199"/>
      <c r="W634" s="198">
        <f>IF(NOTA[[#This Row],[HARGA/ CTN]]="",NOTA[[#This Row],[JUMLAH_H]],NOTA[[#This Row],[HARGA/ CTN]]*IF(NOTA[[#This Row],[C]]="",0,NOTA[[#This Row],[C]]))</f>
        <v>7220000</v>
      </c>
      <c r="X634" s="198">
        <f>IF(NOTA[[#This Row],[JUMLAH]]="","",NOTA[[#This Row],[JUMLAH]]*NOTA[[#This Row],[DISC 1]])</f>
        <v>0</v>
      </c>
      <c r="Y634" s="198">
        <f>IF(NOTA[[#This Row],[JUMLAH]]="","",(NOTA[[#This Row],[JUMLAH]]-NOTA[[#This Row],[DISC 1-]])*NOTA[[#This Row],[DISC 2]])</f>
        <v>0</v>
      </c>
      <c r="Z634" s="198">
        <f>IF(NOTA[[#This Row],[JUMLAH]]="","",NOTA[[#This Row],[DISC 1-]]+NOTA[[#This Row],[DISC 2-]])</f>
        <v>0</v>
      </c>
      <c r="AA634" s="198">
        <f>IF(NOTA[[#This Row],[JUMLAH]]="","",NOTA[[#This Row],[JUMLAH]]-NOTA[[#This Row],[DISC]])</f>
        <v>7220000</v>
      </c>
      <c r="AB634" s="198"/>
      <c r="AC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34" s="200">
        <f>IF(OR(NOTA[[#This Row],[QTY]]="",NOTA[[#This Row],[HARGA SATUAN]]="",),"",NOTA[[#This Row],[QTY]]*NOTA[[#This Row],[HARGA SATUAN]])</f>
        <v>722000</v>
      </c>
      <c r="AG634" s="192">
        <f ca="1">IF(NOTA[ID_H]="","",INDEX(NOTA[TANGGAL],MATCH(,INDIRECT(ADDRESS(ROW(NOTA[TANGGAL]),COLUMN(NOTA[TANGGAL]))&amp;":"&amp;ADDRESS(ROW(),COLUMN(NOTA[TANGGAL]))),-1)))</f>
        <v>45068</v>
      </c>
      <c r="AH634" s="187" t="str">
        <f ca="1">IF(NOTA[[#This Row],[NAMA BARANG]]="","",INDEX(NOTA[SUPPLIER],MATCH(,INDIRECT(ADDRESS(ROW(NOTA[ID]),COLUMN(NOTA[ID]))&amp;":"&amp;ADDRESS(ROW(),COLUMN(NOTA[ID]))),-1)))</f>
        <v>WIN'S SENTOSA</v>
      </c>
      <c r="AI634" s="187" t="str">
        <f ca="1">IF(NOTA[[#This Row],[ID_H]]="","",IF(NOTA[[#This Row],[FAKTUR]]="",INDIRECT(ADDRESS(ROW()-1,COLUMN())),NOTA[[#This Row],[FAKTUR]]))</f>
        <v>UNTANA</v>
      </c>
      <c r="AJ634" s="188">
        <f ca="1">IF(NOTA[[#This Row],[ID]]="","",COUNTIF(NOTA[ID_H],NOTA[[#This Row],[ID_H]]))</f>
        <v>3</v>
      </c>
      <c r="AK634" s="188">
        <f>IF(NOTA[[#This Row],[TGL.NOTA]]="",IF(NOTA[[#This Row],[SUPPLIER_H]]="","",AK633),MONTH(NOTA[[#This Row],[TGL.NOTA]]))</f>
        <v>5</v>
      </c>
      <c r="AL634" s="188" t="str">
        <f>LOWER(SUBSTITUTE(SUBSTITUTE(SUBSTITUTE(SUBSTITUTE(SUBSTITUTE(SUBSTITUTE(SUBSTITUTE(SUBSTITUTE(SUBSTITUTE(NOTA[NAMA BARANG]," ",),".",""),"-",""),"(",""),")",""),",",""),"/",""),"""",""),"+",""))</f>
        <v>pitajpnpolosmixb</v>
      </c>
      <c r="AM6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pitajpnpolosmixb72200</v>
      </c>
      <c r="AN6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pitajpnpolosmixb72200</v>
      </c>
      <c r="AO634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SENTOSAUNTANASI-2023/05-0231/COD45066pitajpnpolosmixb</v>
      </c>
      <c r="AP634" s="188" t="e">
        <f>IF(NOTA[[#This Row],[CONCAT4]]="","",_xlfn.IFNA(MATCH(NOTA[[#This Row],[CONCAT4]],[2]!RAW[CONCAT_H],0),FALSE))</f>
        <v>#REF!</v>
      </c>
      <c r="AQ634" s="188">
        <f>IF(NOTA[[#This Row],[CONCAT1]]="","",MATCH(NOTA[[#This Row],[CONCAT1]],[3]!db[NB NOTA_C],0)+1)</f>
        <v>2055</v>
      </c>
    </row>
    <row r="635" spans="1:43" ht="20.100000000000001" customHeight="1" x14ac:dyDescent="0.25">
      <c r="A63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188" t="str">
        <f>IF(NOTA[[#This Row],[ID_P]]="","",MATCH(NOTA[[#This Row],[ID_P]],[1]!B_MSK[N_ID],0))</f>
        <v/>
      </c>
      <c r="D635" s="188">
        <f ca="1">IF(NOTA[[#This Row],[NAMA BARANG]]="","",INDEX(NOTA[ID],MATCH(,INDIRECT(ADDRESS(ROW(NOTA[ID]),COLUMN(NOTA[ID]))&amp;":"&amp;ADDRESS(ROW(),COLUMN(NOTA[ID]))),-1)))</f>
        <v>113</v>
      </c>
      <c r="E635" s="189"/>
      <c r="F635" s="190"/>
      <c r="G635" s="190"/>
      <c r="H635" s="191"/>
      <c r="I635" s="190"/>
      <c r="J635" s="192"/>
      <c r="K635" s="190"/>
      <c r="L635" s="190" t="s">
        <v>850</v>
      </c>
      <c r="M635" s="193">
        <v>5</v>
      </c>
      <c r="N635" s="188">
        <v>200</v>
      </c>
      <c r="O635" s="190" t="s">
        <v>160</v>
      </c>
      <c r="P635" s="187">
        <f>722000/400</f>
        <v>1805</v>
      </c>
      <c r="Q635" s="194">
        <v>722000</v>
      </c>
      <c r="R635" s="195" t="s">
        <v>771</v>
      </c>
      <c r="S635" s="196"/>
      <c r="T635" s="197"/>
      <c r="U635" s="198"/>
      <c r="V635" s="199"/>
      <c r="W635" s="198">
        <f>IF(NOTA[[#This Row],[HARGA/ CTN]]="",NOTA[[#This Row],[JUMLAH_H]],NOTA[[#This Row],[HARGA/ CTN]]*IF(NOTA[[#This Row],[C]]="",0,NOTA[[#This Row],[C]]))</f>
        <v>3610000</v>
      </c>
      <c r="X635" s="198">
        <f>IF(NOTA[[#This Row],[JUMLAH]]="","",NOTA[[#This Row],[JUMLAH]]*NOTA[[#This Row],[DISC 1]])</f>
        <v>0</v>
      </c>
      <c r="Y635" s="198">
        <f>IF(NOTA[[#This Row],[JUMLAH]]="","",(NOTA[[#This Row],[JUMLAH]]-NOTA[[#This Row],[DISC 1-]])*NOTA[[#This Row],[DISC 2]])</f>
        <v>0</v>
      </c>
      <c r="Z635" s="198">
        <f>IF(NOTA[[#This Row],[JUMLAH]]="","",NOTA[[#This Row],[DISC 1-]]+NOTA[[#This Row],[DISC 2-]])</f>
        <v>0</v>
      </c>
      <c r="AA635" s="198">
        <f>IF(NOTA[[#This Row],[JUMLAH]]="","",NOTA[[#This Row],[JUMLAH]]-NOTA[[#This Row],[DISC]])</f>
        <v>3610000</v>
      </c>
      <c r="AB635" s="198"/>
      <c r="AC6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35" s="200">
        <f>IF(OR(NOTA[[#This Row],[QTY]]="",NOTA[[#This Row],[HARGA SATUAN]]="",),"",NOTA[[#This Row],[QTY]]*NOTA[[#This Row],[HARGA SATUAN]])</f>
        <v>361000</v>
      </c>
      <c r="AG635" s="192">
        <f ca="1">IF(NOTA[ID_H]="","",INDEX(NOTA[TANGGAL],MATCH(,INDIRECT(ADDRESS(ROW(NOTA[TANGGAL]),COLUMN(NOTA[TANGGAL]))&amp;":"&amp;ADDRESS(ROW(),COLUMN(NOTA[TANGGAL]))),-1)))</f>
        <v>45068</v>
      </c>
      <c r="AH635" s="187" t="str">
        <f ca="1">IF(NOTA[[#This Row],[NAMA BARANG]]="","",INDEX(NOTA[SUPPLIER],MATCH(,INDIRECT(ADDRESS(ROW(NOTA[ID]),COLUMN(NOTA[ID]))&amp;":"&amp;ADDRESS(ROW(),COLUMN(NOTA[ID]))),-1)))</f>
        <v>WIN'S SENTOSA</v>
      </c>
      <c r="AI635" s="187" t="str">
        <f ca="1">IF(NOTA[[#This Row],[ID_H]]="","",IF(NOTA[[#This Row],[FAKTUR]]="",INDIRECT(ADDRESS(ROW()-1,COLUMN())),NOTA[[#This Row],[FAKTUR]]))</f>
        <v>UNTANA</v>
      </c>
      <c r="AJ635" s="188" t="str">
        <f ca="1">IF(NOTA[[#This Row],[ID]]="","",COUNTIF(NOTA[ID_H],NOTA[[#This Row],[ID_H]]))</f>
        <v/>
      </c>
      <c r="AK635" s="188">
        <f ca="1">IF(NOTA[[#This Row],[TGL.NOTA]]="",IF(NOTA[[#This Row],[SUPPLIER_H]]="","",AK634),MONTH(NOTA[[#This Row],[TGL.NOTA]]))</f>
        <v>5</v>
      </c>
      <c r="AL635" s="188" t="str">
        <f>LOWER(SUBSTITUTE(SUBSTITUTE(SUBSTITUTE(SUBSTITUTE(SUBSTITUTE(SUBSTITUTE(SUBSTITUTE(SUBSTITUTE(SUBSTITUTE(NOTA[NAMA BARANG]," ",),".",""),"-",""),"(",""),")",""),",",""),"/",""),"""",""),"+",""))</f>
        <v>pitajpnmotifpolosmixb</v>
      </c>
      <c r="AM6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pitajpnmotifpolosmixb72200</v>
      </c>
      <c r="AN6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pitajpnmotifpolosmixb72200</v>
      </c>
      <c r="AO63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188" t="str">
        <f>IF(NOTA[[#This Row],[CONCAT4]]="","",_xlfn.IFNA(MATCH(NOTA[[#This Row],[CONCAT4]],[2]!RAW[CONCAT_H],0),FALSE))</f>
        <v/>
      </c>
      <c r="AQ635" s="188">
        <f>IF(NOTA[[#This Row],[CONCAT1]]="","",MATCH(NOTA[[#This Row],[CONCAT1]],[3]!db[NB NOTA_C],0)+1)</f>
        <v>2054</v>
      </c>
    </row>
    <row r="636" spans="1:43" ht="20.100000000000001" customHeight="1" x14ac:dyDescent="0.25">
      <c r="A6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188" t="str">
        <f>IF(NOTA[[#This Row],[ID_P]]="","",MATCH(NOTA[[#This Row],[ID_P]],[1]!B_MSK[N_ID],0))</f>
        <v/>
      </c>
      <c r="D636" s="188">
        <f ca="1">IF(NOTA[[#This Row],[NAMA BARANG]]="","",INDEX(NOTA[ID],MATCH(,INDIRECT(ADDRESS(ROW(NOTA[ID]),COLUMN(NOTA[ID]))&amp;":"&amp;ADDRESS(ROW(),COLUMN(NOTA[ID]))),-1)))</f>
        <v>113</v>
      </c>
      <c r="E636" s="189"/>
      <c r="F636" s="190"/>
      <c r="G636" s="190"/>
      <c r="H636" s="191"/>
      <c r="I636" s="190"/>
      <c r="J636" s="192"/>
      <c r="K636" s="190"/>
      <c r="L636" s="190" t="s">
        <v>851</v>
      </c>
      <c r="M636" s="193">
        <v>5</v>
      </c>
      <c r="N636" s="188">
        <v>200</v>
      </c>
      <c r="O636" s="190" t="s">
        <v>160</v>
      </c>
      <c r="P636" s="187">
        <f>722000/400</f>
        <v>1805</v>
      </c>
      <c r="Q636" s="194">
        <v>722000</v>
      </c>
      <c r="R636" s="195" t="s">
        <v>771</v>
      </c>
      <c r="S636" s="196"/>
      <c r="T636" s="197"/>
      <c r="U636" s="198"/>
      <c r="V636" s="199"/>
      <c r="W636" s="198">
        <f>IF(NOTA[[#This Row],[HARGA/ CTN]]="",NOTA[[#This Row],[JUMLAH_H]],NOTA[[#This Row],[HARGA/ CTN]]*IF(NOTA[[#This Row],[C]]="",0,NOTA[[#This Row],[C]]))</f>
        <v>3610000</v>
      </c>
      <c r="X636" s="198">
        <f>IF(NOTA[[#This Row],[JUMLAH]]="","",NOTA[[#This Row],[JUMLAH]]*NOTA[[#This Row],[DISC 1]])</f>
        <v>0</v>
      </c>
      <c r="Y636" s="198">
        <f>IF(NOTA[[#This Row],[JUMLAH]]="","",(NOTA[[#This Row],[JUMLAH]]-NOTA[[#This Row],[DISC 1-]])*NOTA[[#This Row],[DISC 2]])</f>
        <v>0</v>
      </c>
      <c r="Z636" s="198">
        <f>IF(NOTA[[#This Row],[JUMLAH]]="","",NOTA[[#This Row],[DISC 1-]]+NOTA[[#This Row],[DISC 2-]])</f>
        <v>0</v>
      </c>
      <c r="AA636" s="198">
        <f>IF(NOTA[[#This Row],[JUMLAH]]="","",NOTA[[#This Row],[JUMLAH]]-NOTA[[#This Row],[DISC]])</f>
        <v>3610000</v>
      </c>
      <c r="AB636" s="198"/>
      <c r="AC63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14440000</v>
      </c>
      <c r="AE636" s="187">
        <f>IF(NOTA[[#This Row],[NAMA BARANG]]="","",IF(NOTA[[#This Row],[JUMLAH_H]]="",NOTA[[#This Row],[HARGA/ CTN]],NOTA[[#This Row],[QTY]]*NOTA[[#This Row],[HARGA SATUAN]]/IF(ISNUMBER(NOTA[[#This Row],[C]]),NOTA[[#This Row],[C]],1)))</f>
        <v>72200</v>
      </c>
      <c r="AF636" s="200">
        <f>IF(OR(NOTA[[#This Row],[QTY]]="",NOTA[[#This Row],[HARGA SATUAN]]="",),"",NOTA[[#This Row],[QTY]]*NOTA[[#This Row],[HARGA SATUAN]])</f>
        <v>361000</v>
      </c>
      <c r="AG636" s="192">
        <f ca="1">IF(NOTA[ID_H]="","",INDEX(NOTA[TANGGAL],MATCH(,INDIRECT(ADDRESS(ROW(NOTA[TANGGAL]),COLUMN(NOTA[TANGGAL]))&amp;":"&amp;ADDRESS(ROW(),COLUMN(NOTA[TANGGAL]))),-1)))</f>
        <v>45068</v>
      </c>
      <c r="AH636" s="187" t="str">
        <f ca="1">IF(NOTA[[#This Row],[NAMA BARANG]]="","",INDEX(NOTA[SUPPLIER],MATCH(,INDIRECT(ADDRESS(ROW(NOTA[ID]),COLUMN(NOTA[ID]))&amp;":"&amp;ADDRESS(ROW(),COLUMN(NOTA[ID]))),-1)))</f>
        <v>WIN'S SENTOSA</v>
      </c>
      <c r="AI636" s="187" t="str">
        <f ca="1">IF(NOTA[[#This Row],[ID_H]]="","",IF(NOTA[[#This Row],[FAKTUR]]="",INDIRECT(ADDRESS(ROW()-1,COLUMN())),NOTA[[#This Row],[FAKTUR]]))</f>
        <v>UNTANA</v>
      </c>
      <c r="AJ636" s="188" t="str">
        <f ca="1">IF(NOTA[[#This Row],[ID]]="","",COUNTIF(NOTA[ID_H],NOTA[[#This Row],[ID_H]]))</f>
        <v/>
      </c>
      <c r="AK636" s="188">
        <f ca="1">IF(NOTA[[#This Row],[TGL.NOTA]]="",IF(NOTA[[#This Row],[SUPPLIER_H]]="","",AK635),MONTH(NOTA[[#This Row],[TGL.NOTA]]))</f>
        <v>5</v>
      </c>
      <c r="AL636" s="188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M6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pitajpnlistgoldmixb72200</v>
      </c>
      <c r="AN6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pitajpnlistgoldmixb72200</v>
      </c>
      <c r="AO6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188" t="str">
        <f>IF(NOTA[[#This Row],[CONCAT4]]="","",_xlfn.IFNA(MATCH(NOTA[[#This Row],[CONCAT4]],[2]!RAW[CONCAT_H],0),FALSE))</f>
        <v/>
      </c>
      <c r="AQ636" s="188" t="e">
        <f>IF(NOTA[[#This Row],[CONCAT1]]="","",MATCH(NOTA[[#This Row],[CONCAT1]],[3]!db[NB NOTA_C],0)+1)</f>
        <v>#N/A</v>
      </c>
    </row>
    <row r="637" spans="1:43" ht="20.100000000000001" customHeight="1" x14ac:dyDescent="0.25">
      <c r="A6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188" t="str">
        <f>IF(NOTA[[#This Row],[ID_P]]="","",MATCH(NOTA[[#This Row],[ID_P]],[1]!B_MSK[N_ID],0))</f>
        <v/>
      </c>
      <c r="D637" s="188" t="str">
        <f ca="1">IF(NOTA[[#This Row],[NAMA BARANG]]="","",INDEX(NOTA[ID],MATCH(,INDIRECT(ADDRESS(ROW(NOTA[ID]),COLUMN(NOTA[ID]))&amp;":"&amp;ADDRESS(ROW(),COLUMN(NOTA[ID]))),-1)))</f>
        <v/>
      </c>
      <c r="E637" s="189"/>
      <c r="F637" s="190" t="s">
        <v>844</v>
      </c>
      <c r="G637" s="190"/>
      <c r="H637" s="191"/>
      <c r="I637" s="190"/>
      <c r="J637" s="192"/>
      <c r="K637" s="190"/>
      <c r="L637" s="190"/>
      <c r="M637" s="193"/>
      <c r="N637" s="188"/>
      <c r="O637" s="190"/>
      <c r="P637" s="187"/>
      <c r="Q637" s="194"/>
      <c r="R637" s="195"/>
      <c r="S637" s="196"/>
      <c r="T637" s="197"/>
      <c r="U637" s="198"/>
      <c r="V637" s="199"/>
      <c r="W637" s="198" t="str">
        <f>IF(NOTA[[#This Row],[HARGA/ CTN]]="",NOTA[[#This Row],[JUMLAH_H]],NOTA[[#This Row],[HARGA/ CTN]]*IF(NOTA[[#This Row],[C]]="",0,NOTA[[#This Row],[C]]))</f>
        <v/>
      </c>
      <c r="X637" s="198" t="str">
        <f>IF(NOTA[[#This Row],[JUMLAH]]="","",NOTA[[#This Row],[JUMLAH]]*NOTA[[#This Row],[DISC 1]])</f>
        <v/>
      </c>
      <c r="Y637" s="198" t="str">
        <f>IF(NOTA[[#This Row],[JUMLAH]]="","",(NOTA[[#This Row],[JUMLAH]]-NOTA[[#This Row],[DISC 1-]])*NOTA[[#This Row],[DISC 2]])</f>
        <v/>
      </c>
      <c r="Z637" s="198" t="str">
        <f>IF(NOTA[[#This Row],[JUMLAH]]="","",NOTA[[#This Row],[DISC 1-]]+NOTA[[#This Row],[DISC 2-]])</f>
        <v/>
      </c>
      <c r="AA637" s="198" t="str">
        <f>IF(NOTA[[#This Row],[JUMLAH]]="","",NOTA[[#This Row],[JUMLAH]]-NOTA[[#This Row],[DISC]])</f>
        <v/>
      </c>
      <c r="AB637" s="198"/>
      <c r="AC6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7" s="200" t="str">
        <f>IF(OR(NOTA[[#This Row],[QTY]]="",NOTA[[#This Row],[HARGA SATUAN]]="",),"",NOTA[[#This Row],[QTY]]*NOTA[[#This Row],[HARGA SATUAN]])</f>
        <v/>
      </c>
      <c r="AG637" s="192" t="str">
        <f ca="1">IF(NOTA[ID_H]="","",INDEX(NOTA[TANGGAL],MATCH(,INDIRECT(ADDRESS(ROW(NOTA[TANGGAL]),COLUMN(NOTA[TANGGAL]))&amp;":"&amp;ADDRESS(ROW(),COLUMN(NOTA[TANGGAL]))),-1)))</f>
        <v/>
      </c>
      <c r="AH637" s="187" t="str">
        <f ca="1">IF(NOTA[[#This Row],[NAMA BARANG]]="","",INDEX(NOTA[SUPPLIER],MATCH(,INDIRECT(ADDRESS(ROW(NOTA[ID]),COLUMN(NOTA[ID]))&amp;":"&amp;ADDRESS(ROW(),COLUMN(NOTA[ID]))),-1)))</f>
        <v/>
      </c>
      <c r="AI637" s="187" t="str">
        <f ca="1">IF(NOTA[[#This Row],[ID_H]]="","",IF(NOTA[[#This Row],[FAKTUR]]="",INDIRECT(ADDRESS(ROW()-1,COLUMN())),NOTA[[#This Row],[FAKTUR]]))</f>
        <v/>
      </c>
      <c r="AJ637" s="188" t="str">
        <f ca="1">IF(NOTA[[#This Row],[ID]]="","",COUNTIF(NOTA[ID_H],NOTA[[#This Row],[ID_H]]))</f>
        <v/>
      </c>
      <c r="AK637" s="188" t="str">
        <f ca="1">IF(NOTA[[#This Row],[TGL.NOTA]]="",IF(NOTA[[#This Row],[SUPPLIER_H]]="","",AK636),MONTH(NOTA[[#This Row],[TGL.NOTA]]))</f>
        <v/>
      </c>
      <c r="AL637" s="188" t="str">
        <f>LOWER(SUBSTITUTE(SUBSTITUTE(SUBSTITUTE(SUBSTITUTE(SUBSTITUTE(SUBSTITUTE(SUBSTITUTE(SUBSTITUTE(SUBSTITUTE(NOTA[NAMA BARANG]," ",),".",""),"-",""),"(",""),")",""),",",""),"/",""),"""",""),"+",""))</f>
        <v/>
      </c>
      <c r="AM6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7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637" s="188" t="e">
        <f>IF(NOTA[[#This Row],[CONCAT4]]="","",_xlfn.IFNA(MATCH(NOTA[[#This Row],[CONCAT4]],[2]!RAW[CONCAT_H],0),FALSE))</f>
        <v>#REF!</v>
      </c>
      <c r="AQ637" s="188" t="str">
        <f>IF(NOTA[[#This Row],[CONCAT1]]="","",MATCH(NOTA[[#This Row],[CONCAT1]],[3]!db[NB NOTA_C],0)+1)</f>
        <v/>
      </c>
    </row>
    <row r="638" spans="1:43" ht="20.100000000000001" customHeight="1" x14ac:dyDescent="0.25">
      <c r="A638" s="187">
        <f ca="1">IF(INDIRECT(ADDRESS(ROW()-1,COLUMN(NOTA[[#Headers],[ID]])))="ID",1,IF(NOTA[[#This Row],[FAKTUR]]="","",COUNT(INDIRECT(ADDRESS(ROW(NOTA[ID]),COLUMN(NOTA[ID]))&amp;":"&amp;ADDRESS(ROW()-1,COLUMN(NOTA[ID]))))+1))</f>
        <v>114</v>
      </c>
      <c r="B63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WIN_2205_LGS-1</v>
      </c>
      <c r="C638" s="188" t="e">
        <f ca="1">IF(NOTA[[#This Row],[ID_P]]="","",MATCH(NOTA[[#This Row],[ID_P]],[1]!B_MSK[N_ID],0))</f>
        <v>#REF!</v>
      </c>
      <c r="D638" s="188">
        <f ca="1">IF(NOTA[[#This Row],[NAMA BARANG]]="","",INDEX(NOTA[ID],MATCH(,INDIRECT(ADDRESS(ROW(NOTA[ID]),COLUMN(NOTA[ID]))&amp;":"&amp;ADDRESS(ROW(),COLUMN(NOTA[ID]))),-1)))</f>
        <v>114</v>
      </c>
      <c r="E638" s="189"/>
      <c r="F638" s="190" t="s">
        <v>263</v>
      </c>
      <c r="G638" s="190" t="s">
        <v>112</v>
      </c>
      <c r="H638" s="191" t="s">
        <v>852</v>
      </c>
      <c r="I638" s="190"/>
      <c r="J638" s="192">
        <v>45066</v>
      </c>
      <c r="K638" s="190"/>
      <c r="L638" s="190" t="s">
        <v>853</v>
      </c>
      <c r="M638" s="193">
        <v>5</v>
      </c>
      <c r="N638" s="188">
        <f>700*5</f>
        <v>3500</v>
      </c>
      <c r="O638" s="190" t="s">
        <v>160</v>
      </c>
      <c r="P638" s="187">
        <f>1925000/700</f>
        <v>2750</v>
      </c>
      <c r="Q638" s="194">
        <v>1925000</v>
      </c>
      <c r="R638" s="195" t="s">
        <v>854</v>
      </c>
      <c r="S638" s="196"/>
      <c r="T638" s="197"/>
      <c r="U638" s="198"/>
      <c r="V638" s="199"/>
      <c r="W638" s="198">
        <f>IF(NOTA[[#This Row],[HARGA/ CTN]]="",NOTA[[#This Row],[JUMLAH_H]],NOTA[[#This Row],[HARGA/ CTN]]*IF(NOTA[[#This Row],[C]]="",0,NOTA[[#This Row],[C]]))</f>
        <v>9625000</v>
      </c>
      <c r="X638" s="198">
        <f>IF(NOTA[[#This Row],[JUMLAH]]="","",NOTA[[#This Row],[JUMLAH]]*NOTA[[#This Row],[DISC 1]])</f>
        <v>0</v>
      </c>
      <c r="Y638" s="198">
        <f>IF(NOTA[[#This Row],[JUMLAH]]="","",(NOTA[[#This Row],[JUMLAH]]-NOTA[[#This Row],[DISC 1-]])*NOTA[[#This Row],[DISC 2]])</f>
        <v>0</v>
      </c>
      <c r="Z638" s="198">
        <f>IF(NOTA[[#This Row],[JUMLAH]]="","",NOTA[[#This Row],[DISC 1-]]+NOTA[[#This Row],[DISC 2-]])</f>
        <v>0</v>
      </c>
      <c r="AA638" s="198">
        <f>IF(NOTA[[#This Row],[JUMLAH]]="","",NOTA[[#This Row],[JUMLAH]]-NOTA[[#This Row],[DISC]])</f>
        <v>9625000</v>
      </c>
      <c r="AB638" s="198"/>
      <c r="AC63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9625000</v>
      </c>
      <c r="AE638" s="187">
        <f>IF(NOTA[[#This Row],[NAMA BARANG]]="","",IF(NOTA[[#This Row],[JUMLAH_H]]="",NOTA[[#This Row],[HARGA/ CTN]],NOTA[[#This Row],[QTY]]*NOTA[[#This Row],[HARGA SATUAN]]/IF(ISNUMBER(NOTA[[#This Row],[C]]),NOTA[[#This Row],[C]],1)))</f>
        <v>1925000</v>
      </c>
      <c r="AF638" s="200">
        <f>IF(OR(NOTA[[#This Row],[QTY]]="",NOTA[[#This Row],[HARGA SATUAN]]="",),"",NOTA[[#This Row],[QTY]]*NOTA[[#This Row],[HARGA SATUAN]])</f>
        <v>9625000</v>
      </c>
      <c r="AG638" s="192">
        <f ca="1">IF(NOTA[ID_H]="","",INDEX(NOTA[TANGGAL],MATCH(,INDIRECT(ADDRESS(ROW(NOTA[TANGGAL]),COLUMN(NOTA[TANGGAL]))&amp;":"&amp;ADDRESS(ROW(),COLUMN(NOTA[TANGGAL]))),-1)))</f>
        <v>45068</v>
      </c>
      <c r="AH638" s="187" t="str">
        <f ca="1">IF(NOTA[[#This Row],[NAMA BARANG]]="","",INDEX(NOTA[SUPPLIER],MATCH(,INDIRECT(ADDRESS(ROW(NOTA[ID]),COLUMN(NOTA[ID]))&amp;":"&amp;ADDRESS(ROW(),COLUMN(NOTA[ID]))),-1)))</f>
        <v>WIN'S SENTOSA</v>
      </c>
      <c r="AI638" s="187" t="str">
        <f ca="1">IF(NOTA[[#This Row],[ID_H]]="","",IF(NOTA[[#This Row],[FAKTUR]]="",INDIRECT(ADDRESS(ROW()-1,COLUMN())),NOTA[[#This Row],[FAKTUR]]))</f>
        <v>UNTANA</v>
      </c>
      <c r="AJ638" s="188">
        <f ca="1">IF(NOTA[[#This Row],[ID]]="","",COUNTIF(NOTA[ID_H],NOTA[[#This Row],[ID_H]]))</f>
        <v>1</v>
      </c>
      <c r="AK638" s="188">
        <f>IF(NOTA[[#This Row],[TGL.NOTA]]="",IF(NOTA[[#This Row],[SUPPLIER_H]]="","",AK637),MONTH(NOTA[[#This Row],[TGL.NOTA]]))</f>
        <v>5</v>
      </c>
      <c r="AL638" s="188" t="str">
        <f>LOWER(SUBSTITUTE(SUBSTITUTE(SUBSTITUTE(SUBSTITUTE(SUBSTITUTE(SUBSTITUTE(SUBSTITUTE(SUBSTITUTE(SUBSTITUTE(NOTA[NAMA BARANG]," ",),".",""),"-",""),"(",""),")",""),",",""),"/",""),"""",""),"+",""))</f>
        <v>18x36</v>
      </c>
      <c r="AM6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18x361925000</v>
      </c>
      <c r="AN6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18x361925000</v>
      </c>
      <c r="AO638" s="18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SENTOSAUNTANASI-2023/05-0232/LGS4506618x36</v>
      </c>
      <c r="AP638" s="188" t="e">
        <f>IF(NOTA[[#This Row],[CONCAT4]]="","",_xlfn.IFNA(MATCH(NOTA[[#This Row],[CONCAT4]],[2]!RAW[CONCAT_H],0),FALSE))</f>
        <v>#REF!</v>
      </c>
      <c r="AQ638" s="188" t="e">
        <f>IF(NOTA[[#This Row],[CONCAT1]]="","",MATCH(NOTA[[#This Row],[CONCAT1]],[3]!db[NB NOTA_C],0)+1)</f>
        <v>#N/A</v>
      </c>
    </row>
    <row r="639" spans="1:43" ht="20.100000000000001" customHeight="1" x14ac:dyDescent="0.25">
      <c r="A6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188" t="str">
        <f>IF(NOTA[[#This Row],[ID_P]]="","",MATCH(NOTA[[#This Row],[ID_P]],[1]!B_MSK[N_ID],0))</f>
        <v/>
      </c>
      <c r="D639" s="188" t="str">
        <f ca="1">IF(NOTA[[#This Row],[NAMA BARANG]]="","",INDEX(NOTA[ID],MATCH(,INDIRECT(ADDRESS(ROW(NOTA[ID]),COLUMN(NOTA[ID]))&amp;":"&amp;ADDRESS(ROW(),COLUMN(NOTA[ID]))),-1)))</f>
        <v/>
      </c>
      <c r="E639" s="189"/>
      <c r="F639" s="190"/>
      <c r="G639" s="190"/>
      <c r="H639" s="191"/>
      <c r="I639" s="190"/>
      <c r="J639" s="192"/>
      <c r="K639" s="190"/>
      <c r="L639" s="190"/>
      <c r="M639" s="193"/>
      <c r="N639" s="188"/>
      <c r="O639" s="190"/>
      <c r="P639" s="187"/>
      <c r="Q639" s="194"/>
      <c r="R639" s="195"/>
      <c r="S639" s="196"/>
      <c r="T639" s="197"/>
      <c r="U639" s="198"/>
      <c r="V639" s="199"/>
      <c r="W639" s="198" t="str">
        <f>IF(NOTA[[#This Row],[HARGA/ CTN]]="",NOTA[[#This Row],[JUMLAH_H]],NOTA[[#This Row],[HARGA/ CTN]]*IF(NOTA[[#This Row],[C]]="",0,NOTA[[#This Row],[C]]))</f>
        <v/>
      </c>
      <c r="X639" s="198" t="str">
        <f>IF(NOTA[[#This Row],[JUMLAH]]="","",NOTA[[#This Row],[JUMLAH]]*NOTA[[#This Row],[DISC 1]])</f>
        <v/>
      </c>
      <c r="Y639" s="198" t="str">
        <f>IF(NOTA[[#This Row],[JUMLAH]]="","",(NOTA[[#This Row],[JUMLAH]]-NOTA[[#This Row],[DISC 1-]])*NOTA[[#This Row],[DISC 2]])</f>
        <v/>
      </c>
      <c r="Z639" s="198" t="str">
        <f>IF(NOTA[[#This Row],[JUMLAH]]="","",NOTA[[#This Row],[DISC 1-]]+NOTA[[#This Row],[DISC 2-]])</f>
        <v/>
      </c>
      <c r="AA639" s="198" t="str">
        <f>IF(NOTA[[#This Row],[JUMLAH]]="","",NOTA[[#This Row],[JUMLAH]]-NOTA[[#This Row],[DISC]])</f>
        <v/>
      </c>
      <c r="AB639" s="198"/>
      <c r="AC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200" t="str">
        <f>IF(OR(NOTA[[#This Row],[QTY]]="",NOTA[[#This Row],[HARGA SATUAN]]="",),"",NOTA[[#This Row],[QTY]]*NOTA[[#This Row],[HARGA SATUAN]])</f>
        <v/>
      </c>
      <c r="AG639" s="192" t="str">
        <f ca="1">IF(NOTA[ID_H]="","",INDEX(NOTA[TANGGAL],MATCH(,INDIRECT(ADDRESS(ROW(NOTA[TANGGAL]),COLUMN(NOTA[TANGGAL]))&amp;":"&amp;ADDRESS(ROW(),COLUMN(NOTA[TANGGAL]))),-1)))</f>
        <v/>
      </c>
      <c r="AH639" s="187" t="str">
        <f ca="1">IF(NOTA[[#This Row],[NAMA BARANG]]="","",INDEX(NOTA[SUPPLIER],MATCH(,INDIRECT(ADDRESS(ROW(NOTA[ID]),COLUMN(NOTA[ID]))&amp;":"&amp;ADDRESS(ROW(),COLUMN(NOTA[ID]))),-1)))</f>
        <v/>
      </c>
      <c r="AI639" s="187" t="str">
        <f ca="1">IF(NOTA[[#This Row],[ID_H]]="","",IF(NOTA[[#This Row],[FAKTUR]]="",INDIRECT(ADDRESS(ROW()-1,COLUMN())),NOTA[[#This Row],[FAKTUR]]))</f>
        <v/>
      </c>
      <c r="AJ639" s="188" t="str">
        <f ca="1">IF(NOTA[[#This Row],[ID]]="","",COUNTIF(NOTA[ID_H],NOTA[[#This Row],[ID_H]]))</f>
        <v/>
      </c>
      <c r="AK639" s="188" t="str">
        <f ca="1">IF(NOTA[[#This Row],[TGL.NOTA]]="",IF(NOTA[[#This Row],[SUPPLIER_H]]="","",AK638),MONTH(NOTA[[#This Row],[TGL.NOTA]]))</f>
        <v/>
      </c>
      <c r="AL639" s="188" t="str">
        <f>LOWER(SUBSTITUTE(SUBSTITUTE(SUBSTITUTE(SUBSTITUTE(SUBSTITUTE(SUBSTITUTE(SUBSTITUTE(SUBSTITUTE(SUBSTITUTE(NOTA[NAMA BARANG]," ",),".",""),"-",""),"(",""),")",""),",",""),"/",""),"""",""),"+",""))</f>
        <v/>
      </c>
      <c r="AM6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188" t="str">
        <f>IF(NOTA[[#This Row],[CONCAT4]]="","",_xlfn.IFNA(MATCH(NOTA[[#This Row],[CONCAT4]],[2]!RAW[CONCAT_H],0),FALSE))</f>
        <v/>
      </c>
      <c r="AQ639" s="188" t="str">
        <f>IF(NOTA[[#This Row],[CONCAT1]]="","",MATCH(NOTA[[#This Row],[CONCAT1]],[3]!db[NB NOTA_C],0)+1)</f>
        <v/>
      </c>
    </row>
    <row r="640" spans="1:43" ht="20.100000000000001" customHeight="1" x14ac:dyDescent="0.25">
      <c r="A640" s="187">
        <f ca="1">IF(INDIRECT(ADDRESS(ROW()-1,COLUMN(NOTA[[#Headers],[ID]])))="ID",1,IF(NOTA[[#This Row],[FAKTUR]]="","",COUNT(INDIRECT(ADDRESS(ROW(NOTA[ID]),COLUMN(NOTA[ID]))&amp;":"&amp;ADDRESS(ROW()-1,COLUMN(NOTA[ID]))))+1))</f>
        <v>115</v>
      </c>
      <c r="B64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KEN_2305_973-4</v>
      </c>
      <c r="C640" s="188" t="e">
        <f ca="1">IF(NOTA[[#This Row],[ID_P]]="","",MATCH(NOTA[[#This Row],[ID_P]],[1]!B_MSK[N_ID],0))</f>
        <v>#REF!</v>
      </c>
      <c r="D640" s="188">
        <f ca="1">IF(NOTA[[#This Row],[NAMA BARANG]]="","",INDEX(NOTA[ID],MATCH(,INDIRECT(ADDRESS(ROW(NOTA[ID]),COLUMN(NOTA[ID]))&amp;":"&amp;ADDRESS(ROW(),COLUMN(NOTA[ID]))),-1)))</f>
        <v>115</v>
      </c>
      <c r="E640" s="189">
        <v>45069</v>
      </c>
      <c r="F640" s="190" t="s">
        <v>23</v>
      </c>
      <c r="G640" s="190" t="s">
        <v>24</v>
      </c>
      <c r="H640" s="191" t="s">
        <v>855</v>
      </c>
      <c r="I640" s="190" t="s">
        <v>858</v>
      </c>
      <c r="J640" s="192">
        <v>45066</v>
      </c>
      <c r="K640" s="190"/>
      <c r="L640" s="190" t="s">
        <v>856</v>
      </c>
      <c r="M640" s="193">
        <v>1</v>
      </c>
      <c r="N640" s="188"/>
      <c r="O640" s="190"/>
      <c r="P640" s="187"/>
      <c r="Q640" s="194">
        <v>1440000</v>
      </c>
      <c r="R640" s="195" t="s">
        <v>780</v>
      </c>
      <c r="S640" s="196">
        <v>0.17</v>
      </c>
      <c r="T640" s="197"/>
      <c r="U640" s="198"/>
      <c r="V640" s="199"/>
      <c r="W640" s="198">
        <f>IF(NOTA[[#This Row],[HARGA/ CTN]]="",NOTA[[#This Row],[JUMLAH_H]],NOTA[[#This Row],[HARGA/ CTN]]*IF(NOTA[[#This Row],[C]]="",0,NOTA[[#This Row],[C]]))</f>
        <v>1440000</v>
      </c>
      <c r="X640" s="198">
        <f>IF(NOTA[[#This Row],[JUMLAH]]="","",NOTA[[#This Row],[JUMLAH]]*NOTA[[#This Row],[DISC 1]])</f>
        <v>244800.00000000003</v>
      </c>
      <c r="Y640" s="198">
        <f>IF(NOTA[[#This Row],[JUMLAH]]="","",(NOTA[[#This Row],[JUMLAH]]-NOTA[[#This Row],[DISC 1-]])*NOTA[[#This Row],[DISC 2]])</f>
        <v>0</v>
      </c>
      <c r="Z640" s="198">
        <f>IF(NOTA[[#This Row],[JUMLAH]]="","",NOTA[[#This Row],[DISC 1-]]+NOTA[[#This Row],[DISC 2-]])</f>
        <v>244800.00000000003</v>
      </c>
      <c r="AA640" s="198">
        <f>IF(NOTA[[#This Row],[JUMLAH]]="","",NOTA[[#This Row],[JUMLAH]]-NOTA[[#This Row],[DISC]])</f>
        <v>1195200</v>
      </c>
      <c r="AB640" s="198"/>
      <c r="AC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40" s="200" t="str">
        <f>IF(OR(NOTA[[#This Row],[QTY]]="",NOTA[[#This Row],[HARGA SATUAN]]="",),"",NOTA[[#This Row],[QTY]]*NOTA[[#This Row],[HARGA SATUAN]])</f>
        <v/>
      </c>
      <c r="AG640" s="192">
        <f ca="1">IF(NOTA[ID_H]="","",INDEX(NOTA[TANGGAL],MATCH(,INDIRECT(ADDRESS(ROW(NOTA[TANGGAL]),COLUMN(NOTA[TANGGAL]))&amp;":"&amp;ADDRESS(ROW(),COLUMN(NOTA[TANGGAL]))),-1)))</f>
        <v>45069</v>
      </c>
      <c r="AH640" s="187" t="str">
        <f ca="1">IF(NOTA[[#This Row],[NAMA BARANG]]="","",INDEX(NOTA[SUPPLIER],MATCH(,INDIRECT(ADDRESS(ROW(NOTA[ID]),COLUMN(NOTA[ID]))&amp;":"&amp;ADDRESS(ROW(),COLUMN(NOTA[ID]))),-1)))</f>
        <v>KENKO SINAR INDONESIA</v>
      </c>
      <c r="AI640" s="187" t="str">
        <f ca="1">IF(NOTA[[#This Row],[ID_H]]="","",IF(NOTA[[#This Row],[FAKTUR]]="",INDIRECT(ADDRESS(ROW()-1,COLUMN())),NOTA[[#This Row],[FAKTUR]]))</f>
        <v>ARTO MORO</v>
      </c>
      <c r="AJ640" s="188">
        <f ca="1">IF(NOTA[[#This Row],[ID]]="","",COUNTIF(NOTA[ID_H],NOTA[[#This Row],[ID_H]]))</f>
        <v>4</v>
      </c>
      <c r="AK640" s="188">
        <f>IF(NOTA[[#This Row],[TGL.NOTA]]="",IF(NOTA[[#This Row],[SUPPLIER_H]]="","",AK639),MONTH(NOTA[[#This Row],[TGL.NOTA]]))</f>
        <v>5</v>
      </c>
      <c r="AL640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40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MORO23051973SA 4169845066kenkobinderclipno105</v>
      </c>
      <c r="AP640" s="188" t="e">
        <f>IF(NOTA[[#This Row],[CONCAT4]]="","",_xlfn.IFNA(MATCH(NOTA[[#This Row],[CONCAT4]],[2]!RAW[CONCAT_H],0),FALSE))</f>
        <v>#REF!</v>
      </c>
      <c r="AQ640" s="188">
        <f>IF(NOTA[[#This Row],[CONCAT1]]="","",MATCH(NOTA[[#This Row],[CONCAT1]],[3]!db[NB NOTA_C],0)+1)</f>
        <v>1142</v>
      </c>
    </row>
    <row r="641" spans="1:43" ht="20.100000000000001" customHeight="1" x14ac:dyDescent="0.25">
      <c r="A6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188" t="str">
        <f>IF(NOTA[[#This Row],[ID_P]]="","",MATCH(NOTA[[#This Row],[ID_P]],[1]!B_MSK[N_ID],0))</f>
        <v/>
      </c>
      <c r="D641" s="188">
        <f ca="1">IF(NOTA[[#This Row],[NAMA BARANG]]="","",INDEX(NOTA[ID],MATCH(,INDIRECT(ADDRESS(ROW(NOTA[ID]),COLUMN(NOTA[ID]))&amp;":"&amp;ADDRESS(ROW(),COLUMN(NOTA[ID]))),-1)))</f>
        <v>115</v>
      </c>
      <c r="E641" s="189"/>
      <c r="F641" s="190"/>
      <c r="G641" s="190"/>
      <c r="H641" s="191"/>
      <c r="I641" s="190"/>
      <c r="J641" s="192"/>
      <c r="K641" s="190"/>
      <c r="L641" s="190" t="s">
        <v>448</v>
      </c>
      <c r="M641" s="193">
        <v>5</v>
      </c>
      <c r="N641" s="188"/>
      <c r="O641" s="190"/>
      <c r="P641" s="187"/>
      <c r="Q641" s="194">
        <v>1710000</v>
      </c>
      <c r="R641" s="195" t="s">
        <v>452</v>
      </c>
      <c r="S641" s="196">
        <v>0.17</v>
      </c>
      <c r="T641" s="197"/>
      <c r="U641" s="198"/>
      <c r="V641" s="199"/>
      <c r="W641" s="198">
        <f>IF(NOTA[[#This Row],[HARGA/ CTN]]="",NOTA[[#This Row],[JUMLAH_H]],NOTA[[#This Row],[HARGA/ CTN]]*IF(NOTA[[#This Row],[C]]="",0,NOTA[[#This Row],[C]]))</f>
        <v>8550000</v>
      </c>
      <c r="X641" s="198">
        <f>IF(NOTA[[#This Row],[JUMLAH]]="","",NOTA[[#This Row],[JUMLAH]]*NOTA[[#This Row],[DISC 1]])</f>
        <v>1453500</v>
      </c>
      <c r="Y641" s="198">
        <f>IF(NOTA[[#This Row],[JUMLAH]]="","",(NOTA[[#This Row],[JUMLAH]]-NOTA[[#This Row],[DISC 1-]])*NOTA[[#This Row],[DISC 2]])</f>
        <v>0</v>
      </c>
      <c r="Z641" s="198">
        <f>IF(NOTA[[#This Row],[JUMLAH]]="","",NOTA[[#This Row],[DISC 1-]]+NOTA[[#This Row],[DISC 2-]])</f>
        <v>1453500</v>
      </c>
      <c r="AA641" s="198">
        <f>IF(NOTA[[#This Row],[JUMLAH]]="","",NOTA[[#This Row],[JUMLAH]]-NOTA[[#This Row],[DISC]])</f>
        <v>7096500</v>
      </c>
      <c r="AB641" s="198"/>
      <c r="AC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187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41" s="200" t="str">
        <f>IF(OR(NOTA[[#This Row],[QTY]]="",NOTA[[#This Row],[HARGA SATUAN]]="",),"",NOTA[[#This Row],[QTY]]*NOTA[[#This Row],[HARGA SATUAN]])</f>
        <v/>
      </c>
      <c r="AG641" s="192">
        <f ca="1">IF(NOTA[ID_H]="","",INDEX(NOTA[TANGGAL],MATCH(,INDIRECT(ADDRESS(ROW(NOTA[TANGGAL]),COLUMN(NOTA[TANGGAL]))&amp;":"&amp;ADDRESS(ROW(),COLUMN(NOTA[TANGGAL]))),-1)))</f>
        <v>45069</v>
      </c>
      <c r="AH641" s="187" t="str">
        <f ca="1">IF(NOTA[[#This Row],[NAMA BARANG]]="","",INDEX(NOTA[SUPPLIER],MATCH(,INDIRECT(ADDRESS(ROW(NOTA[ID]),COLUMN(NOTA[ID]))&amp;":"&amp;ADDRESS(ROW(),COLUMN(NOTA[ID]))),-1)))</f>
        <v>KENKO SINAR INDONESIA</v>
      </c>
      <c r="AI641" s="187" t="str">
        <f ca="1">IF(NOTA[[#This Row],[ID_H]]="","",IF(NOTA[[#This Row],[FAKTUR]]="",INDIRECT(ADDRESS(ROW()-1,COLUMN())),NOTA[[#This Row],[FAKTUR]]))</f>
        <v>ARTO MORO</v>
      </c>
      <c r="AJ641" s="188" t="str">
        <f ca="1">IF(NOTA[[#This Row],[ID]]="","",COUNTIF(NOTA[ID_H],NOTA[[#This Row],[ID_H]]))</f>
        <v/>
      </c>
      <c r="AK641" s="188">
        <f ca="1">IF(NOTA[[#This Row],[TGL.NOTA]]="",IF(NOTA[[#This Row],[SUPPLIER_H]]="","",AK640),MONTH(NOTA[[#This Row],[TGL.NOTA]]))</f>
        <v>5</v>
      </c>
      <c r="AL641" s="18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6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6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6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188" t="str">
        <f>IF(NOTA[[#This Row],[CONCAT4]]="","",_xlfn.IFNA(MATCH(NOTA[[#This Row],[CONCAT4]],[2]!RAW[CONCAT_H],0),FALSE))</f>
        <v/>
      </c>
      <c r="AQ641" s="188">
        <f>IF(NOTA[[#This Row],[CONCAT1]]="","",MATCH(NOTA[[#This Row],[CONCAT1]],[3]!db[NB NOTA_C],0)+1)</f>
        <v>1234</v>
      </c>
    </row>
    <row r="642" spans="1:43" ht="20.100000000000001" customHeight="1" x14ac:dyDescent="0.25">
      <c r="A6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188" t="str">
        <f>IF(NOTA[[#This Row],[ID_P]]="","",MATCH(NOTA[[#This Row],[ID_P]],[1]!B_MSK[N_ID],0))</f>
        <v/>
      </c>
      <c r="D642" s="188">
        <f ca="1">IF(NOTA[[#This Row],[NAMA BARANG]]="","",INDEX(NOTA[ID],MATCH(,INDIRECT(ADDRESS(ROW(NOTA[ID]),COLUMN(NOTA[ID]))&amp;":"&amp;ADDRESS(ROW(),COLUMN(NOTA[ID]))),-1)))</f>
        <v>115</v>
      </c>
      <c r="E642" s="189"/>
      <c r="F642" s="190"/>
      <c r="G642" s="190"/>
      <c r="H642" s="191"/>
      <c r="I642" s="190"/>
      <c r="J642" s="192"/>
      <c r="K642" s="190"/>
      <c r="L642" s="190" t="s">
        <v>449</v>
      </c>
      <c r="M642" s="193">
        <v>2</v>
      </c>
      <c r="N642" s="188"/>
      <c r="O642" s="190"/>
      <c r="P642" s="187"/>
      <c r="Q642" s="194">
        <v>2952000</v>
      </c>
      <c r="R642" s="195" t="s">
        <v>232</v>
      </c>
      <c r="S642" s="196">
        <v>0.17</v>
      </c>
      <c r="T642" s="197"/>
      <c r="U642" s="198"/>
      <c r="V642" s="199"/>
      <c r="W642" s="198">
        <f>IF(NOTA[[#This Row],[HARGA/ CTN]]="",NOTA[[#This Row],[JUMLAH_H]],NOTA[[#This Row],[HARGA/ CTN]]*IF(NOTA[[#This Row],[C]]="",0,NOTA[[#This Row],[C]]))</f>
        <v>5904000</v>
      </c>
      <c r="X642" s="198">
        <f>IF(NOTA[[#This Row],[JUMLAH]]="","",NOTA[[#This Row],[JUMLAH]]*NOTA[[#This Row],[DISC 1]])</f>
        <v>1003680.0000000001</v>
      </c>
      <c r="Y642" s="198">
        <f>IF(NOTA[[#This Row],[JUMLAH]]="","",(NOTA[[#This Row],[JUMLAH]]-NOTA[[#This Row],[DISC 1-]])*NOTA[[#This Row],[DISC 2]])</f>
        <v>0</v>
      </c>
      <c r="Z642" s="198">
        <f>IF(NOTA[[#This Row],[JUMLAH]]="","",NOTA[[#This Row],[DISC 1-]]+NOTA[[#This Row],[DISC 2-]])</f>
        <v>1003680.0000000001</v>
      </c>
      <c r="AA642" s="198">
        <f>IF(NOTA[[#This Row],[JUMLAH]]="","",NOTA[[#This Row],[JUMLAH]]-NOTA[[#This Row],[DISC]])</f>
        <v>4900320</v>
      </c>
      <c r="AB642" s="198"/>
      <c r="AC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187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42" s="200" t="str">
        <f>IF(OR(NOTA[[#This Row],[QTY]]="",NOTA[[#This Row],[HARGA SATUAN]]="",),"",NOTA[[#This Row],[QTY]]*NOTA[[#This Row],[HARGA SATUAN]])</f>
        <v/>
      </c>
      <c r="AG642" s="192">
        <f ca="1">IF(NOTA[ID_H]="","",INDEX(NOTA[TANGGAL],MATCH(,INDIRECT(ADDRESS(ROW(NOTA[TANGGAL]),COLUMN(NOTA[TANGGAL]))&amp;":"&amp;ADDRESS(ROW(),COLUMN(NOTA[TANGGAL]))),-1)))</f>
        <v>45069</v>
      </c>
      <c r="AH642" s="187" t="str">
        <f ca="1">IF(NOTA[[#This Row],[NAMA BARANG]]="","",INDEX(NOTA[SUPPLIER],MATCH(,INDIRECT(ADDRESS(ROW(NOTA[ID]),COLUMN(NOTA[ID]))&amp;":"&amp;ADDRESS(ROW(),COLUMN(NOTA[ID]))),-1)))</f>
        <v>KENKO SINAR INDONESIA</v>
      </c>
      <c r="AI642" s="187" t="str">
        <f ca="1">IF(NOTA[[#This Row],[ID_H]]="","",IF(NOTA[[#This Row],[FAKTUR]]="",INDIRECT(ADDRESS(ROW()-1,COLUMN())),NOTA[[#This Row],[FAKTUR]]))</f>
        <v>ARTO MORO</v>
      </c>
      <c r="AJ642" s="188" t="str">
        <f ca="1">IF(NOTA[[#This Row],[ID]]="","",COUNTIF(NOTA[ID_H],NOTA[[#This Row],[ID_H]]))</f>
        <v/>
      </c>
      <c r="AK642" s="188">
        <f ca="1">IF(NOTA[[#This Row],[TGL.NOTA]]="",IF(NOTA[[#This Row],[SUPPLIER_H]]="","",AK641),MONTH(NOTA[[#This Row],[TGL.NOTA]]))</f>
        <v>5</v>
      </c>
      <c r="AL642" s="18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188" t="str">
        <f>IF(NOTA[[#This Row],[CONCAT4]]="","",_xlfn.IFNA(MATCH(NOTA[[#This Row],[CONCAT4]],[2]!RAW[CONCAT_H],0),FALSE))</f>
        <v/>
      </c>
      <c r="AQ642" s="188">
        <f>IF(NOTA[[#This Row],[CONCAT1]]="","",MATCH(NOTA[[#This Row],[CONCAT1]],[3]!db[NB NOTA_C],0)+1)</f>
        <v>1239</v>
      </c>
    </row>
    <row r="643" spans="1:43" ht="20.100000000000001" customHeight="1" x14ac:dyDescent="0.25">
      <c r="A6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188" t="str">
        <f>IF(NOTA[[#This Row],[ID_P]]="","",MATCH(NOTA[[#This Row],[ID_P]],[1]!B_MSK[N_ID],0))</f>
        <v/>
      </c>
      <c r="D643" s="188">
        <f ca="1">IF(NOTA[[#This Row],[NAMA BARANG]]="","",INDEX(NOTA[ID],MATCH(,INDIRECT(ADDRESS(ROW(NOTA[ID]),COLUMN(NOTA[ID]))&amp;":"&amp;ADDRESS(ROW(),COLUMN(NOTA[ID]))),-1)))</f>
        <v>115</v>
      </c>
      <c r="E643" s="189"/>
      <c r="F643" s="190"/>
      <c r="G643" s="190"/>
      <c r="H643" s="191"/>
      <c r="I643" s="190" t="s">
        <v>859</v>
      </c>
      <c r="J643" s="192"/>
      <c r="K643" s="190"/>
      <c r="L643" s="190" t="s">
        <v>857</v>
      </c>
      <c r="M643" s="193">
        <v>1</v>
      </c>
      <c r="N643" s="188"/>
      <c r="O643" s="190"/>
      <c r="P643" s="187"/>
      <c r="Q643" s="194">
        <v>3758400</v>
      </c>
      <c r="R643" s="195" t="s">
        <v>150</v>
      </c>
      <c r="S643" s="196">
        <v>0.17</v>
      </c>
      <c r="T643" s="197"/>
      <c r="U643" s="198"/>
      <c r="V643" s="199"/>
      <c r="W643" s="198">
        <f>IF(NOTA[[#This Row],[HARGA/ CTN]]="",NOTA[[#This Row],[JUMLAH_H]],NOTA[[#This Row],[HARGA/ CTN]]*IF(NOTA[[#This Row],[C]]="",0,NOTA[[#This Row],[C]]))</f>
        <v>3758400</v>
      </c>
      <c r="X643" s="198">
        <f>IF(NOTA[[#This Row],[JUMLAH]]="","",NOTA[[#This Row],[JUMLAH]]*NOTA[[#This Row],[DISC 1]])</f>
        <v>638928</v>
      </c>
      <c r="Y643" s="198">
        <f>IF(NOTA[[#This Row],[JUMLAH]]="","",(NOTA[[#This Row],[JUMLAH]]-NOTA[[#This Row],[DISC 1-]])*NOTA[[#This Row],[DISC 2]])</f>
        <v>0</v>
      </c>
      <c r="Z643" s="198">
        <f>IF(NOTA[[#This Row],[JUMLAH]]="","",NOTA[[#This Row],[DISC 1-]]+NOTA[[#This Row],[DISC 2-]])</f>
        <v>638928</v>
      </c>
      <c r="AA643" s="198">
        <f>IF(NOTA[[#This Row],[JUMLAH]]="","",NOTA[[#This Row],[JUMLAH]]-NOTA[[#This Row],[DISC]])</f>
        <v>3119472</v>
      </c>
      <c r="AB643" s="198"/>
      <c r="AC6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3340908</v>
      </c>
      <c r="AD64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16311492</v>
      </c>
      <c r="AE643" s="187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643" s="200" t="str">
        <f>IF(OR(NOTA[[#This Row],[QTY]]="",NOTA[[#This Row],[HARGA SATUAN]]="",),"",NOTA[[#This Row],[QTY]]*NOTA[[#This Row],[HARGA SATUAN]])</f>
        <v/>
      </c>
      <c r="AG643" s="192">
        <f ca="1">IF(NOTA[ID_H]="","",INDEX(NOTA[TANGGAL],MATCH(,INDIRECT(ADDRESS(ROW(NOTA[TANGGAL]),COLUMN(NOTA[TANGGAL]))&amp;":"&amp;ADDRESS(ROW(),COLUMN(NOTA[TANGGAL]))),-1)))</f>
        <v>45069</v>
      </c>
      <c r="AH643" s="187" t="str">
        <f ca="1">IF(NOTA[[#This Row],[NAMA BARANG]]="","",INDEX(NOTA[SUPPLIER],MATCH(,INDIRECT(ADDRESS(ROW(NOTA[ID]),COLUMN(NOTA[ID]))&amp;":"&amp;ADDRESS(ROW(),COLUMN(NOTA[ID]))),-1)))</f>
        <v>KENKO SINAR INDONESIA</v>
      </c>
      <c r="AI643" s="187" t="str">
        <f ca="1">IF(NOTA[[#This Row],[ID_H]]="","",IF(NOTA[[#This Row],[FAKTUR]]="",INDIRECT(ADDRESS(ROW()-1,COLUMN())),NOTA[[#This Row],[FAKTUR]]))</f>
        <v>ARTO MORO</v>
      </c>
      <c r="AJ643" s="188" t="str">
        <f ca="1">IF(NOTA[[#This Row],[ID]]="","",COUNTIF(NOTA[ID_H],NOTA[[#This Row],[ID_H]]))</f>
        <v/>
      </c>
      <c r="AK643" s="188">
        <f ca="1">IF(NOTA[[#This Row],[TGL.NOTA]]="",IF(NOTA[[#This Row],[SUPPLIER_H]]="","",AK642),MONTH(NOTA[[#This Row],[TGL.NOTA]]))</f>
        <v>5</v>
      </c>
      <c r="AL643" s="18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M6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N6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6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188" t="str">
        <f>IF(NOTA[[#This Row],[CONCAT4]]="","",_xlfn.IFNA(MATCH(NOTA[[#This Row],[CONCAT4]],[2]!RAW[CONCAT_H],0),FALSE))</f>
        <v/>
      </c>
      <c r="AQ643" s="188">
        <f>IF(NOTA[[#This Row],[CONCAT1]]="","",MATCH(NOTA[[#This Row],[CONCAT1]],[3]!db[NB NOTA_C],0)+1)</f>
        <v>1294</v>
      </c>
    </row>
    <row r="644" spans="1:43" ht="20.100000000000001" customHeight="1" x14ac:dyDescent="0.25">
      <c r="A6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188" t="str">
        <f>IF(NOTA[[#This Row],[ID_P]]="","",MATCH(NOTA[[#This Row],[ID_P]],[1]!B_MSK[N_ID],0))</f>
        <v/>
      </c>
      <c r="D644" s="188" t="str">
        <f ca="1">IF(NOTA[[#This Row],[NAMA BARANG]]="","",INDEX(NOTA[ID],MATCH(,INDIRECT(ADDRESS(ROW(NOTA[ID]),COLUMN(NOTA[ID]))&amp;":"&amp;ADDRESS(ROW(),COLUMN(NOTA[ID]))),-1)))</f>
        <v/>
      </c>
      <c r="E644" s="189"/>
      <c r="F644" s="190"/>
      <c r="G644" s="190"/>
      <c r="H644" s="191"/>
      <c r="I644" s="190"/>
      <c r="J644" s="192"/>
      <c r="K644" s="190"/>
      <c r="L644" s="190"/>
      <c r="M644" s="193"/>
      <c r="N644" s="188"/>
      <c r="O644" s="190"/>
      <c r="P644" s="187"/>
      <c r="Q644" s="194"/>
      <c r="R644" s="195"/>
      <c r="S644" s="196"/>
      <c r="T644" s="197"/>
      <c r="U644" s="198"/>
      <c r="V644" s="199"/>
      <c r="W644" s="198" t="str">
        <f>IF(NOTA[[#This Row],[HARGA/ CTN]]="",NOTA[[#This Row],[JUMLAH_H]],NOTA[[#This Row],[HARGA/ CTN]]*IF(NOTA[[#This Row],[C]]="",0,NOTA[[#This Row],[C]]))</f>
        <v/>
      </c>
      <c r="X644" s="198" t="str">
        <f>IF(NOTA[[#This Row],[JUMLAH]]="","",NOTA[[#This Row],[JUMLAH]]*NOTA[[#This Row],[DISC 1]])</f>
        <v/>
      </c>
      <c r="Y644" s="198" t="str">
        <f>IF(NOTA[[#This Row],[JUMLAH]]="","",(NOTA[[#This Row],[JUMLAH]]-NOTA[[#This Row],[DISC 1-]])*NOTA[[#This Row],[DISC 2]])</f>
        <v/>
      </c>
      <c r="Z644" s="198" t="str">
        <f>IF(NOTA[[#This Row],[JUMLAH]]="","",NOTA[[#This Row],[DISC 1-]]+NOTA[[#This Row],[DISC 2-]])</f>
        <v/>
      </c>
      <c r="AA644" s="198" t="str">
        <f>IF(NOTA[[#This Row],[JUMLAH]]="","",NOTA[[#This Row],[JUMLAH]]-NOTA[[#This Row],[DISC]])</f>
        <v/>
      </c>
      <c r="AB644" s="198"/>
      <c r="AC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4" s="200" t="str">
        <f>IF(OR(NOTA[[#This Row],[QTY]]="",NOTA[[#This Row],[HARGA SATUAN]]="",),"",NOTA[[#This Row],[QTY]]*NOTA[[#This Row],[HARGA SATUAN]])</f>
        <v/>
      </c>
      <c r="AG644" s="192" t="str">
        <f ca="1">IF(NOTA[ID_H]="","",INDEX(NOTA[TANGGAL],MATCH(,INDIRECT(ADDRESS(ROW(NOTA[TANGGAL]),COLUMN(NOTA[TANGGAL]))&amp;":"&amp;ADDRESS(ROW(),COLUMN(NOTA[TANGGAL]))),-1)))</f>
        <v/>
      </c>
      <c r="AH644" s="187" t="str">
        <f ca="1">IF(NOTA[[#This Row],[NAMA BARANG]]="","",INDEX(NOTA[SUPPLIER],MATCH(,INDIRECT(ADDRESS(ROW(NOTA[ID]),COLUMN(NOTA[ID]))&amp;":"&amp;ADDRESS(ROW(),COLUMN(NOTA[ID]))),-1)))</f>
        <v/>
      </c>
      <c r="AI644" s="187" t="str">
        <f ca="1">IF(NOTA[[#This Row],[ID_H]]="","",IF(NOTA[[#This Row],[FAKTUR]]="",INDIRECT(ADDRESS(ROW()-1,COLUMN())),NOTA[[#This Row],[FAKTUR]]))</f>
        <v/>
      </c>
      <c r="AJ644" s="188" t="str">
        <f ca="1">IF(NOTA[[#This Row],[ID]]="","",COUNTIF(NOTA[ID_H],NOTA[[#This Row],[ID_H]]))</f>
        <v/>
      </c>
      <c r="AK644" s="188" t="str">
        <f ca="1">IF(NOTA[[#This Row],[TGL.NOTA]]="",IF(NOTA[[#This Row],[SUPPLIER_H]]="","",AK643),MONTH(NOTA[[#This Row],[TGL.NOTA]]))</f>
        <v/>
      </c>
      <c r="AL644" s="188" t="str">
        <f>LOWER(SUBSTITUTE(SUBSTITUTE(SUBSTITUTE(SUBSTITUTE(SUBSTITUTE(SUBSTITUTE(SUBSTITUTE(SUBSTITUTE(SUBSTITUTE(NOTA[NAMA BARANG]," ",),".",""),"-",""),"(",""),")",""),",",""),"/",""),"""",""),"+",""))</f>
        <v/>
      </c>
      <c r="AM6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188" t="str">
        <f>IF(NOTA[[#This Row],[CONCAT4]]="","",_xlfn.IFNA(MATCH(NOTA[[#This Row],[CONCAT4]],[2]!RAW[CONCAT_H],0),FALSE))</f>
        <v/>
      </c>
      <c r="AQ644" s="188" t="str">
        <f>IF(NOTA[[#This Row],[CONCAT1]]="","",MATCH(NOTA[[#This Row],[CONCAT1]],[3]!db[NB NOTA_C],0)+1)</f>
        <v/>
      </c>
    </row>
    <row r="645" spans="1:43" ht="20.100000000000001" customHeight="1" x14ac:dyDescent="0.25">
      <c r="A645" s="187">
        <f ca="1">IF(INDIRECT(ADDRESS(ROW()-1,COLUMN(NOTA[[#Headers],[ID]])))="ID",1,IF(NOTA[[#This Row],[FAKTUR]]="","",COUNT(INDIRECT(ADDRESS(ROW(NOTA[ID]),COLUMN(NOTA[ID]))&amp;":"&amp;ADDRESS(ROW()-1,COLUMN(NOTA[ID]))))+1))</f>
        <v>116</v>
      </c>
      <c r="B64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KEN_2305_861-6</v>
      </c>
      <c r="C645" s="188" t="e">
        <f ca="1">IF(NOTA[[#This Row],[ID_P]]="","",MATCH(NOTA[[#This Row],[ID_P]],[1]!B_MSK[N_ID],0))</f>
        <v>#REF!</v>
      </c>
      <c r="D645" s="188">
        <f ca="1">IF(NOTA[[#This Row],[NAMA BARANG]]="","",INDEX(NOTA[ID],MATCH(,INDIRECT(ADDRESS(ROW(NOTA[ID]),COLUMN(NOTA[ID]))&amp;":"&amp;ADDRESS(ROW(),COLUMN(NOTA[ID]))),-1)))</f>
        <v>116</v>
      </c>
      <c r="E645" s="189"/>
      <c r="F645" s="190" t="s">
        <v>23</v>
      </c>
      <c r="G645" s="190" t="s">
        <v>24</v>
      </c>
      <c r="H645" s="191" t="s">
        <v>860</v>
      </c>
      <c r="I645" s="190" t="s">
        <v>861</v>
      </c>
      <c r="J645" s="192">
        <v>45065</v>
      </c>
      <c r="K645" s="190"/>
      <c r="L645" s="190" t="s">
        <v>680</v>
      </c>
      <c r="M645" s="193">
        <v>1</v>
      </c>
      <c r="N645" s="188"/>
      <c r="O645" s="190"/>
      <c r="P645" s="187"/>
      <c r="Q645" s="194">
        <v>860000</v>
      </c>
      <c r="R645" s="195" t="s">
        <v>719</v>
      </c>
      <c r="S645" s="196">
        <v>0.17</v>
      </c>
      <c r="T645" s="197"/>
      <c r="U645" s="198"/>
      <c r="V645" s="199"/>
      <c r="W645" s="198">
        <f>IF(NOTA[[#This Row],[HARGA/ CTN]]="",NOTA[[#This Row],[JUMLAH_H]],NOTA[[#This Row],[HARGA/ CTN]]*IF(NOTA[[#This Row],[C]]="",0,NOTA[[#This Row],[C]]))</f>
        <v>860000</v>
      </c>
      <c r="X645" s="198">
        <f>IF(NOTA[[#This Row],[JUMLAH]]="","",NOTA[[#This Row],[JUMLAH]]*NOTA[[#This Row],[DISC 1]])</f>
        <v>146200</v>
      </c>
      <c r="Y645" s="198">
        <f>IF(NOTA[[#This Row],[JUMLAH]]="","",(NOTA[[#This Row],[JUMLAH]]-NOTA[[#This Row],[DISC 1-]])*NOTA[[#This Row],[DISC 2]])</f>
        <v>0</v>
      </c>
      <c r="Z645" s="198">
        <f>IF(NOTA[[#This Row],[JUMLAH]]="","",NOTA[[#This Row],[DISC 1-]]+NOTA[[#This Row],[DISC 2-]])</f>
        <v>146200</v>
      </c>
      <c r="AA645" s="198">
        <f>IF(NOTA[[#This Row],[JUMLAH]]="","",NOTA[[#This Row],[JUMLAH]]-NOTA[[#This Row],[DISC]])</f>
        <v>713800</v>
      </c>
      <c r="AB645" s="198"/>
      <c r="AC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187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645" s="200" t="str">
        <f>IF(OR(NOTA[[#This Row],[QTY]]="",NOTA[[#This Row],[HARGA SATUAN]]="",),"",NOTA[[#This Row],[QTY]]*NOTA[[#This Row],[HARGA SATUAN]])</f>
        <v/>
      </c>
      <c r="AG645" s="192">
        <f ca="1">IF(NOTA[ID_H]="","",INDEX(NOTA[TANGGAL],MATCH(,INDIRECT(ADDRESS(ROW(NOTA[TANGGAL]),COLUMN(NOTA[TANGGAL]))&amp;":"&amp;ADDRESS(ROW(),COLUMN(NOTA[TANGGAL]))),-1)))</f>
        <v>45069</v>
      </c>
      <c r="AH645" s="187" t="str">
        <f ca="1">IF(NOTA[[#This Row],[NAMA BARANG]]="","",INDEX(NOTA[SUPPLIER],MATCH(,INDIRECT(ADDRESS(ROW(NOTA[ID]),COLUMN(NOTA[ID]))&amp;":"&amp;ADDRESS(ROW(),COLUMN(NOTA[ID]))),-1)))</f>
        <v>KENKO SINAR INDONESIA</v>
      </c>
      <c r="AI645" s="187" t="str">
        <f ca="1">IF(NOTA[[#This Row],[ID_H]]="","",IF(NOTA[[#This Row],[FAKTUR]]="",INDIRECT(ADDRESS(ROW()-1,COLUMN())),NOTA[[#This Row],[FAKTUR]]))</f>
        <v>ARTO MORO</v>
      </c>
      <c r="AJ645" s="188">
        <f ca="1">IF(NOTA[[#This Row],[ID]]="","",COUNTIF(NOTA[ID_H],NOTA[[#This Row],[ID_H]]))</f>
        <v>6</v>
      </c>
      <c r="AK645" s="188">
        <f>IF(NOTA[[#This Row],[TGL.NOTA]]="",IF(NOTA[[#This Row],[SUPPLIER_H]]="","",AK644),MONTH(NOTA[[#This Row],[TGL.NOTA]]))</f>
        <v>5</v>
      </c>
      <c r="AL645" s="18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6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6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645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MORO23051861SA 4168745065kenkojumboclipno5</v>
      </c>
      <c r="AP645" s="188" t="e">
        <f>IF(NOTA[[#This Row],[CONCAT4]]="","",_xlfn.IFNA(MATCH(NOTA[[#This Row],[CONCAT4]],[2]!RAW[CONCAT_H],0),FALSE))</f>
        <v>#REF!</v>
      </c>
      <c r="AQ645" s="188">
        <f>IF(NOTA[[#This Row],[CONCAT1]]="","",MATCH(NOTA[[#This Row],[CONCAT1]],[3]!db[NB NOTA_C],0)+1)</f>
        <v>1320</v>
      </c>
    </row>
    <row r="646" spans="1:43" ht="20.100000000000001" customHeight="1" x14ac:dyDescent="0.25">
      <c r="A6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188" t="str">
        <f>IF(NOTA[[#This Row],[ID_P]]="","",MATCH(NOTA[[#This Row],[ID_P]],[1]!B_MSK[N_ID],0))</f>
        <v/>
      </c>
      <c r="D646" s="188">
        <f ca="1">IF(NOTA[[#This Row],[NAMA BARANG]]="","",INDEX(NOTA[ID],MATCH(,INDIRECT(ADDRESS(ROW(NOTA[ID]),COLUMN(NOTA[ID]))&amp;":"&amp;ADDRESS(ROW(),COLUMN(NOTA[ID]))),-1)))</f>
        <v>116</v>
      </c>
      <c r="E646" s="189"/>
      <c r="F646" s="190"/>
      <c r="G646" s="190"/>
      <c r="H646" s="191"/>
      <c r="I646" s="190"/>
      <c r="J646" s="192"/>
      <c r="K646" s="190"/>
      <c r="L646" s="190" t="s">
        <v>856</v>
      </c>
      <c r="M646" s="193">
        <v>1</v>
      </c>
      <c r="N646" s="188"/>
      <c r="O646" s="190"/>
      <c r="P646" s="187"/>
      <c r="Q646" s="194">
        <v>1440000</v>
      </c>
      <c r="R646" s="195" t="s">
        <v>780</v>
      </c>
      <c r="S646" s="196">
        <v>0.17</v>
      </c>
      <c r="T646" s="197"/>
      <c r="U646" s="198"/>
      <c r="V646" s="199"/>
      <c r="W646" s="198">
        <f>IF(NOTA[[#This Row],[HARGA/ CTN]]="",NOTA[[#This Row],[JUMLAH_H]],NOTA[[#This Row],[HARGA/ CTN]]*IF(NOTA[[#This Row],[C]]="",0,NOTA[[#This Row],[C]]))</f>
        <v>1440000</v>
      </c>
      <c r="X646" s="198">
        <f>IF(NOTA[[#This Row],[JUMLAH]]="","",NOTA[[#This Row],[JUMLAH]]*NOTA[[#This Row],[DISC 1]])</f>
        <v>244800.00000000003</v>
      </c>
      <c r="Y646" s="198">
        <f>IF(NOTA[[#This Row],[JUMLAH]]="","",(NOTA[[#This Row],[JUMLAH]]-NOTA[[#This Row],[DISC 1-]])*NOTA[[#This Row],[DISC 2]])</f>
        <v>0</v>
      </c>
      <c r="Z646" s="198">
        <f>IF(NOTA[[#This Row],[JUMLAH]]="","",NOTA[[#This Row],[DISC 1-]]+NOTA[[#This Row],[DISC 2-]])</f>
        <v>244800.00000000003</v>
      </c>
      <c r="AA646" s="198">
        <f>IF(NOTA[[#This Row],[JUMLAH]]="","",NOTA[[#This Row],[JUMLAH]]-NOTA[[#This Row],[DISC]])</f>
        <v>1195200</v>
      </c>
      <c r="AB646" s="198"/>
      <c r="AC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46" s="200" t="str">
        <f>IF(OR(NOTA[[#This Row],[QTY]]="",NOTA[[#This Row],[HARGA SATUAN]]="",),"",NOTA[[#This Row],[QTY]]*NOTA[[#This Row],[HARGA SATUAN]])</f>
        <v/>
      </c>
      <c r="AG646" s="192">
        <f ca="1">IF(NOTA[ID_H]="","",INDEX(NOTA[TANGGAL],MATCH(,INDIRECT(ADDRESS(ROW(NOTA[TANGGAL]),COLUMN(NOTA[TANGGAL]))&amp;":"&amp;ADDRESS(ROW(),COLUMN(NOTA[TANGGAL]))),-1)))</f>
        <v>45069</v>
      </c>
      <c r="AH646" s="187" t="str">
        <f ca="1">IF(NOTA[[#This Row],[NAMA BARANG]]="","",INDEX(NOTA[SUPPLIER],MATCH(,INDIRECT(ADDRESS(ROW(NOTA[ID]),COLUMN(NOTA[ID]))&amp;":"&amp;ADDRESS(ROW(),COLUMN(NOTA[ID]))),-1)))</f>
        <v>KENKO SINAR INDONESIA</v>
      </c>
      <c r="AI646" s="187" t="str">
        <f ca="1">IF(NOTA[[#This Row],[ID_H]]="","",IF(NOTA[[#This Row],[FAKTUR]]="",INDIRECT(ADDRESS(ROW()-1,COLUMN())),NOTA[[#This Row],[FAKTUR]]))</f>
        <v>ARTO MORO</v>
      </c>
      <c r="AJ646" s="188" t="str">
        <f ca="1">IF(NOTA[[#This Row],[ID]]="","",COUNTIF(NOTA[ID_H],NOTA[[#This Row],[ID_H]]))</f>
        <v/>
      </c>
      <c r="AK646" s="188">
        <f ca="1">IF(NOTA[[#This Row],[TGL.NOTA]]="",IF(NOTA[[#This Row],[SUPPLIER_H]]="","",AK645),MONTH(NOTA[[#This Row],[TGL.NOTA]]))</f>
        <v>5</v>
      </c>
      <c r="AL646" s="188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6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6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6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188" t="str">
        <f>IF(NOTA[[#This Row],[CONCAT4]]="","",_xlfn.IFNA(MATCH(NOTA[[#This Row],[CONCAT4]],[2]!RAW[CONCAT_H],0),FALSE))</f>
        <v/>
      </c>
      <c r="AQ646" s="188">
        <f>IF(NOTA[[#This Row],[CONCAT1]]="","",MATCH(NOTA[[#This Row],[CONCAT1]],[3]!db[NB NOTA_C],0)+1)</f>
        <v>1142</v>
      </c>
    </row>
    <row r="647" spans="1:43" ht="20.100000000000001" customHeight="1" x14ac:dyDescent="0.25">
      <c r="A6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188" t="str">
        <f>IF(NOTA[[#This Row],[ID_P]]="","",MATCH(NOTA[[#This Row],[ID_P]],[1]!B_MSK[N_ID],0))</f>
        <v/>
      </c>
      <c r="D647" s="188">
        <f ca="1">IF(NOTA[[#This Row],[NAMA BARANG]]="","",INDEX(NOTA[ID],MATCH(,INDIRECT(ADDRESS(ROW(NOTA[ID]),COLUMN(NOTA[ID]))&amp;":"&amp;ADDRESS(ROW(),COLUMN(NOTA[ID]))),-1)))</f>
        <v>116</v>
      </c>
      <c r="E647" s="189"/>
      <c r="F647" s="190"/>
      <c r="G647" s="190"/>
      <c r="H647" s="191"/>
      <c r="I647" s="190"/>
      <c r="J647" s="192"/>
      <c r="K647" s="190"/>
      <c r="L647" s="190" t="s">
        <v>778</v>
      </c>
      <c r="M647" s="193">
        <v>2</v>
      </c>
      <c r="N647" s="188"/>
      <c r="O647" s="190"/>
      <c r="P647" s="187"/>
      <c r="Q647" s="194">
        <v>1380000</v>
      </c>
      <c r="R647" s="195" t="s">
        <v>872</v>
      </c>
      <c r="S647" s="196">
        <v>0.17</v>
      </c>
      <c r="T647" s="197"/>
      <c r="U647" s="198"/>
      <c r="V647" s="199"/>
      <c r="W647" s="198">
        <f>IF(NOTA[[#This Row],[HARGA/ CTN]]="",NOTA[[#This Row],[JUMLAH_H]],NOTA[[#This Row],[HARGA/ CTN]]*IF(NOTA[[#This Row],[C]]="",0,NOTA[[#This Row],[C]]))</f>
        <v>2760000</v>
      </c>
      <c r="X647" s="198">
        <f>IF(NOTA[[#This Row],[JUMLAH]]="","",NOTA[[#This Row],[JUMLAH]]*NOTA[[#This Row],[DISC 1]])</f>
        <v>469200.00000000006</v>
      </c>
      <c r="Y647" s="198">
        <f>IF(NOTA[[#This Row],[JUMLAH]]="","",(NOTA[[#This Row],[JUMLAH]]-NOTA[[#This Row],[DISC 1-]])*NOTA[[#This Row],[DISC 2]])</f>
        <v>0</v>
      </c>
      <c r="Z647" s="198">
        <f>IF(NOTA[[#This Row],[JUMLAH]]="","",NOTA[[#This Row],[DISC 1-]]+NOTA[[#This Row],[DISC 2-]])</f>
        <v>469200.00000000006</v>
      </c>
      <c r="AA647" s="198">
        <f>IF(NOTA[[#This Row],[JUMLAH]]="","",NOTA[[#This Row],[JUMLAH]]-NOTA[[#This Row],[DISC]])</f>
        <v>2290800</v>
      </c>
      <c r="AB647" s="198"/>
      <c r="AC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187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647" s="200" t="str">
        <f>IF(OR(NOTA[[#This Row],[QTY]]="",NOTA[[#This Row],[HARGA SATUAN]]="",),"",NOTA[[#This Row],[QTY]]*NOTA[[#This Row],[HARGA SATUAN]])</f>
        <v/>
      </c>
      <c r="AG647" s="192">
        <f ca="1">IF(NOTA[ID_H]="","",INDEX(NOTA[TANGGAL],MATCH(,INDIRECT(ADDRESS(ROW(NOTA[TANGGAL]),COLUMN(NOTA[TANGGAL]))&amp;":"&amp;ADDRESS(ROW(),COLUMN(NOTA[TANGGAL]))),-1)))</f>
        <v>45069</v>
      </c>
      <c r="AH647" s="187" t="str">
        <f ca="1">IF(NOTA[[#This Row],[NAMA BARANG]]="","",INDEX(NOTA[SUPPLIER],MATCH(,INDIRECT(ADDRESS(ROW(NOTA[ID]),COLUMN(NOTA[ID]))&amp;":"&amp;ADDRESS(ROW(),COLUMN(NOTA[ID]))),-1)))</f>
        <v>KENKO SINAR INDONESIA</v>
      </c>
      <c r="AI647" s="187" t="str">
        <f ca="1">IF(NOTA[[#This Row],[ID_H]]="","",IF(NOTA[[#This Row],[FAKTUR]]="",INDIRECT(ADDRESS(ROW()-1,COLUMN())),NOTA[[#This Row],[FAKTUR]]))</f>
        <v>ARTO MORO</v>
      </c>
      <c r="AJ647" s="188" t="str">
        <f ca="1">IF(NOTA[[#This Row],[ID]]="","",COUNTIF(NOTA[ID_H],NOTA[[#This Row],[ID_H]]))</f>
        <v/>
      </c>
      <c r="AK647" s="188">
        <f ca="1">IF(NOTA[[#This Row],[TGL.NOTA]]="",IF(NOTA[[#This Row],[SUPPLIER_H]]="","",AK646),MONTH(NOTA[[#This Row],[TGL.NOTA]]))</f>
        <v>5</v>
      </c>
      <c r="AL647" s="18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6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6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6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188" t="str">
        <f>IF(NOTA[[#This Row],[CONCAT4]]="","",_xlfn.IFNA(MATCH(NOTA[[#This Row],[CONCAT4]],[2]!RAW[CONCAT_H],0),FALSE))</f>
        <v/>
      </c>
      <c r="AQ647" s="188">
        <f>IF(NOTA[[#This Row],[CONCAT1]]="","",MATCH(NOTA[[#This Row],[CONCAT1]],[3]!db[NB NOTA_C],0)+1)</f>
        <v>1145</v>
      </c>
    </row>
    <row r="648" spans="1:43" ht="20.100000000000001" customHeight="1" x14ac:dyDescent="0.25">
      <c r="A6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188" t="str">
        <f>IF(NOTA[[#This Row],[ID_P]]="","",MATCH(NOTA[[#This Row],[ID_P]],[1]!B_MSK[N_ID],0))</f>
        <v/>
      </c>
      <c r="D648" s="188">
        <f ca="1">IF(NOTA[[#This Row],[NAMA BARANG]]="","",INDEX(NOTA[ID],MATCH(,INDIRECT(ADDRESS(ROW(NOTA[ID]),COLUMN(NOTA[ID]))&amp;":"&amp;ADDRESS(ROW(),COLUMN(NOTA[ID]))),-1)))</f>
        <v>116</v>
      </c>
      <c r="E648" s="189"/>
      <c r="F648" s="190"/>
      <c r="G648" s="190"/>
      <c r="H648" s="191"/>
      <c r="I648" s="190"/>
      <c r="J648" s="192"/>
      <c r="K648" s="190"/>
      <c r="L648" s="190" t="s">
        <v>862</v>
      </c>
      <c r="M648" s="193">
        <v>2</v>
      </c>
      <c r="N648" s="188"/>
      <c r="O648" s="190"/>
      <c r="P648" s="187"/>
      <c r="Q648" s="194">
        <v>1200000</v>
      </c>
      <c r="R648" s="195" t="s">
        <v>873</v>
      </c>
      <c r="S648" s="196">
        <v>0.17</v>
      </c>
      <c r="T648" s="197"/>
      <c r="U648" s="198"/>
      <c r="V648" s="199"/>
      <c r="W648" s="198">
        <f>IF(NOTA[[#This Row],[HARGA/ CTN]]="",NOTA[[#This Row],[JUMLAH_H]],NOTA[[#This Row],[HARGA/ CTN]]*IF(NOTA[[#This Row],[C]]="",0,NOTA[[#This Row],[C]]))</f>
        <v>2400000</v>
      </c>
      <c r="X648" s="198">
        <f>IF(NOTA[[#This Row],[JUMLAH]]="","",NOTA[[#This Row],[JUMLAH]]*NOTA[[#This Row],[DISC 1]])</f>
        <v>408000.00000000006</v>
      </c>
      <c r="Y648" s="198">
        <f>IF(NOTA[[#This Row],[JUMLAH]]="","",(NOTA[[#This Row],[JUMLAH]]-NOTA[[#This Row],[DISC 1-]])*NOTA[[#This Row],[DISC 2]])</f>
        <v>0</v>
      </c>
      <c r="Z648" s="198">
        <f>IF(NOTA[[#This Row],[JUMLAH]]="","",NOTA[[#This Row],[DISC 1-]]+NOTA[[#This Row],[DISC 2-]])</f>
        <v>408000.00000000006</v>
      </c>
      <c r="AA648" s="198">
        <f>IF(NOTA[[#This Row],[JUMLAH]]="","",NOTA[[#This Row],[JUMLAH]]-NOTA[[#This Row],[DISC]])</f>
        <v>1992000</v>
      </c>
      <c r="AB648" s="198"/>
      <c r="AC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187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648" s="200" t="str">
        <f>IF(OR(NOTA[[#This Row],[QTY]]="",NOTA[[#This Row],[HARGA SATUAN]]="",),"",NOTA[[#This Row],[QTY]]*NOTA[[#This Row],[HARGA SATUAN]])</f>
        <v/>
      </c>
      <c r="AG648" s="192">
        <f ca="1">IF(NOTA[ID_H]="","",INDEX(NOTA[TANGGAL],MATCH(,INDIRECT(ADDRESS(ROW(NOTA[TANGGAL]),COLUMN(NOTA[TANGGAL]))&amp;":"&amp;ADDRESS(ROW(),COLUMN(NOTA[TANGGAL]))),-1)))</f>
        <v>45069</v>
      </c>
      <c r="AH648" s="187" t="str">
        <f ca="1">IF(NOTA[[#This Row],[NAMA BARANG]]="","",INDEX(NOTA[SUPPLIER],MATCH(,INDIRECT(ADDRESS(ROW(NOTA[ID]),COLUMN(NOTA[ID]))&amp;":"&amp;ADDRESS(ROW(),COLUMN(NOTA[ID]))),-1)))</f>
        <v>KENKO SINAR INDONESIA</v>
      </c>
      <c r="AI648" s="187" t="str">
        <f ca="1">IF(NOTA[[#This Row],[ID_H]]="","",IF(NOTA[[#This Row],[FAKTUR]]="",INDIRECT(ADDRESS(ROW()-1,COLUMN())),NOTA[[#This Row],[FAKTUR]]))</f>
        <v>ARTO MORO</v>
      </c>
      <c r="AJ648" s="188" t="str">
        <f ca="1">IF(NOTA[[#This Row],[ID]]="","",COUNTIF(NOTA[ID_H],NOTA[[#This Row],[ID_H]]))</f>
        <v/>
      </c>
      <c r="AK648" s="188">
        <f ca="1">IF(NOTA[[#This Row],[TGL.NOTA]]="",IF(NOTA[[#This Row],[SUPPLIER_H]]="","",AK647),MONTH(NOTA[[#This Row],[TGL.NOTA]]))</f>
        <v>5</v>
      </c>
      <c r="AL648" s="18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6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6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6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188" t="str">
        <f>IF(NOTA[[#This Row],[CONCAT4]]="","",_xlfn.IFNA(MATCH(NOTA[[#This Row],[CONCAT4]],[2]!RAW[CONCAT_H],0),FALSE))</f>
        <v/>
      </c>
      <c r="AQ648" s="188">
        <f>IF(NOTA[[#This Row],[CONCAT1]]="","",MATCH(NOTA[[#This Row],[CONCAT1]],[3]!db[NB NOTA_C],0)+1)</f>
        <v>1146</v>
      </c>
    </row>
    <row r="649" spans="1:43" ht="20.100000000000001" customHeight="1" x14ac:dyDescent="0.25">
      <c r="A6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188" t="str">
        <f>IF(NOTA[[#This Row],[ID_P]]="","",MATCH(NOTA[[#This Row],[ID_P]],[1]!B_MSK[N_ID],0))</f>
        <v/>
      </c>
      <c r="D649" s="188">
        <f ca="1">IF(NOTA[[#This Row],[NAMA BARANG]]="","",INDEX(NOTA[ID],MATCH(,INDIRECT(ADDRESS(ROW(NOTA[ID]),COLUMN(NOTA[ID]))&amp;":"&amp;ADDRESS(ROW(),COLUMN(NOTA[ID]))),-1)))</f>
        <v>116</v>
      </c>
      <c r="E649" s="189"/>
      <c r="F649" s="190"/>
      <c r="G649" s="190"/>
      <c r="H649" s="191"/>
      <c r="I649" s="190"/>
      <c r="J649" s="192"/>
      <c r="K649" s="190"/>
      <c r="L649" s="190" t="s">
        <v>673</v>
      </c>
      <c r="M649" s="193">
        <v>2</v>
      </c>
      <c r="N649" s="188"/>
      <c r="O649" s="190"/>
      <c r="P649" s="187"/>
      <c r="Q649" s="194">
        <v>900000</v>
      </c>
      <c r="R649" s="195" t="s">
        <v>712</v>
      </c>
      <c r="S649" s="196">
        <v>0.17</v>
      </c>
      <c r="T649" s="197"/>
      <c r="U649" s="198"/>
      <c r="V649" s="199"/>
      <c r="W649" s="198">
        <f>IF(NOTA[[#This Row],[HARGA/ CTN]]="",NOTA[[#This Row],[JUMLAH_H]],NOTA[[#This Row],[HARGA/ CTN]]*IF(NOTA[[#This Row],[C]]="",0,NOTA[[#This Row],[C]]))</f>
        <v>1800000</v>
      </c>
      <c r="X649" s="198">
        <f>IF(NOTA[[#This Row],[JUMLAH]]="","",NOTA[[#This Row],[JUMLAH]]*NOTA[[#This Row],[DISC 1]])</f>
        <v>306000</v>
      </c>
      <c r="Y649" s="198">
        <f>IF(NOTA[[#This Row],[JUMLAH]]="","",(NOTA[[#This Row],[JUMLAH]]-NOTA[[#This Row],[DISC 1-]])*NOTA[[#This Row],[DISC 2]])</f>
        <v>0</v>
      </c>
      <c r="Z649" s="198">
        <f>IF(NOTA[[#This Row],[JUMLAH]]="","",NOTA[[#This Row],[DISC 1-]]+NOTA[[#This Row],[DISC 2-]])</f>
        <v>306000</v>
      </c>
      <c r="AA649" s="198">
        <f>IF(NOTA[[#This Row],[JUMLAH]]="","",NOTA[[#This Row],[JUMLAH]]-NOTA[[#This Row],[DISC]])</f>
        <v>1494000</v>
      </c>
      <c r="AB649" s="198"/>
      <c r="AC6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49" s="200" t="str">
        <f>IF(OR(NOTA[[#This Row],[QTY]]="",NOTA[[#This Row],[HARGA SATUAN]]="",),"",NOTA[[#This Row],[QTY]]*NOTA[[#This Row],[HARGA SATUAN]])</f>
        <v/>
      </c>
      <c r="AG649" s="192">
        <f ca="1">IF(NOTA[ID_H]="","",INDEX(NOTA[TANGGAL],MATCH(,INDIRECT(ADDRESS(ROW(NOTA[TANGGAL]),COLUMN(NOTA[TANGGAL]))&amp;":"&amp;ADDRESS(ROW(),COLUMN(NOTA[TANGGAL]))),-1)))</f>
        <v>45069</v>
      </c>
      <c r="AH649" s="187" t="str">
        <f ca="1">IF(NOTA[[#This Row],[NAMA BARANG]]="","",INDEX(NOTA[SUPPLIER],MATCH(,INDIRECT(ADDRESS(ROW(NOTA[ID]),COLUMN(NOTA[ID]))&amp;":"&amp;ADDRESS(ROW(),COLUMN(NOTA[ID]))),-1)))</f>
        <v>KENKO SINAR INDONESIA</v>
      </c>
      <c r="AI649" s="187" t="str">
        <f ca="1">IF(NOTA[[#This Row],[ID_H]]="","",IF(NOTA[[#This Row],[FAKTUR]]="",INDIRECT(ADDRESS(ROW()-1,COLUMN())),NOTA[[#This Row],[FAKTUR]]))</f>
        <v>ARTO MORO</v>
      </c>
      <c r="AJ649" s="188" t="str">
        <f ca="1">IF(NOTA[[#This Row],[ID]]="","",COUNTIF(NOTA[ID_H],NOTA[[#This Row],[ID_H]]))</f>
        <v/>
      </c>
      <c r="AK649" s="188">
        <f ca="1">IF(NOTA[[#This Row],[TGL.NOTA]]="",IF(NOTA[[#This Row],[SUPPLIER_H]]="","",AK648),MONTH(NOTA[[#This Row],[TGL.NOTA]]))</f>
        <v>5</v>
      </c>
      <c r="AL649" s="18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6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6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6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188" t="str">
        <f>IF(NOTA[[#This Row],[CONCAT4]]="","",_xlfn.IFNA(MATCH(NOTA[[#This Row],[CONCAT4]],[2]!RAW[CONCAT_H],0),FALSE))</f>
        <v/>
      </c>
      <c r="AQ649" s="188">
        <f>IF(NOTA[[#This Row],[CONCAT1]]="","",MATCH(NOTA[[#This Row],[CONCAT1]],[3]!db[NB NOTA_C],0)+1)</f>
        <v>1147</v>
      </c>
    </row>
    <row r="650" spans="1:43" ht="20.100000000000001" customHeight="1" x14ac:dyDescent="0.25">
      <c r="A6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188" t="str">
        <f>IF(NOTA[[#This Row],[ID_P]]="","",MATCH(NOTA[[#This Row],[ID_P]],[1]!B_MSK[N_ID],0))</f>
        <v/>
      </c>
      <c r="D650" s="188">
        <f ca="1">IF(NOTA[[#This Row],[NAMA BARANG]]="","",INDEX(NOTA[ID],MATCH(,INDIRECT(ADDRESS(ROW(NOTA[ID]),COLUMN(NOTA[ID]))&amp;":"&amp;ADDRESS(ROW(),COLUMN(NOTA[ID]))),-1)))</f>
        <v>116</v>
      </c>
      <c r="E650" s="189"/>
      <c r="F650" s="190"/>
      <c r="G650" s="190"/>
      <c r="H650" s="191"/>
      <c r="I650" s="190"/>
      <c r="J650" s="192"/>
      <c r="K650" s="190"/>
      <c r="L650" s="190" t="s">
        <v>670</v>
      </c>
      <c r="M650" s="193">
        <v>1</v>
      </c>
      <c r="N650" s="188"/>
      <c r="O650" s="190"/>
      <c r="P650" s="187"/>
      <c r="Q650" s="194">
        <v>3240000</v>
      </c>
      <c r="R650" s="195" t="s">
        <v>711</v>
      </c>
      <c r="S650" s="196">
        <v>0.17</v>
      </c>
      <c r="T650" s="197"/>
      <c r="U650" s="198"/>
      <c r="V650" s="199"/>
      <c r="W650" s="198">
        <f>IF(NOTA[[#This Row],[HARGA/ CTN]]="",NOTA[[#This Row],[JUMLAH_H]],NOTA[[#This Row],[HARGA/ CTN]]*IF(NOTA[[#This Row],[C]]="",0,NOTA[[#This Row],[C]]))</f>
        <v>3240000</v>
      </c>
      <c r="X650" s="198">
        <f>IF(NOTA[[#This Row],[JUMLAH]]="","",NOTA[[#This Row],[JUMLAH]]*NOTA[[#This Row],[DISC 1]])</f>
        <v>550800</v>
      </c>
      <c r="Y650" s="198">
        <f>IF(NOTA[[#This Row],[JUMLAH]]="","",(NOTA[[#This Row],[JUMLAH]]-NOTA[[#This Row],[DISC 1-]])*NOTA[[#This Row],[DISC 2]])</f>
        <v>0</v>
      </c>
      <c r="Z650" s="198">
        <f>IF(NOTA[[#This Row],[JUMLAH]]="","",NOTA[[#This Row],[DISC 1-]]+NOTA[[#This Row],[DISC 2-]])</f>
        <v>550800</v>
      </c>
      <c r="AA650" s="198">
        <f>IF(NOTA[[#This Row],[JUMLAH]]="","",NOTA[[#This Row],[JUMLAH]]-NOTA[[#This Row],[DISC]])</f>
        <v>2689200</v>
      </c>
      <c r="AB650" s="198"/>
      <c r="AC65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2125000</v>
      </c>
      <c r="AD65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10375000</v>
      </c>
      <c r="AE650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650" s="200" t="str">
        <f>IF(OR(NOTA[[#This Row],[QTY]]="",NOTA[[#This Row],[HARGA SATUAN]]="",),"",NOTA[[#This Row],[QTY]]*NOTA[[#This Row],[HARGA SATUAN]])</f>
        <v/>
      </c>
      <c r="AG650" s="192">
        <f ca="1">IF(NOTA[ID_H]="","",INDEX(NOTA[TANGGAL],MATCH(,INDIRECT(ADDRESS(ROW(NOTA[TANGGAL]),COLUMN(NOTA[TANGGAL]))&amp;":"&amp;ADDRESS(ROW(),COLUMN(NOTA[TANGGAL]))),-1)))</f>
        <v>45069</v>
      </c>
      <c r="AH650" s="187" t="str">
        <f ca="1">IF(NOTA[[#This Row],[NAMA BARANG]]="","",INDEX(NOTA[SUPPLIER],MATCH(,INDIRECT(ADDRESS(ROW(NOTA[ID]),COLUMN(NOTA[ID]))&amp;":"&amp;ADDRESS(ROW(),COLUMN(NOTA[ID]))),-1)))</f>
        <v>KENKO SINAR INDONESIA</v>
      </c>
      <c r="AI650" s="187" t="str">
        <f ca="1">IF(NOTA[[#This Row],[ID_H]]="","",IF(NOTA[[#This Row],[FAKTUR]]="",INDIRECT(ADDRESS(ROW()-1,COLUMN())),NOTA[[#This Row],[FAKTUR]]))</f>
        <v>ARTO MORO</v>
      </c>
      <c r="AJ650" s="188" t="str">
        <f ca="1">IF(NOTA[[#This Row],[ID]]="","",COUNTIF(NOTA[ID_H],NOTA[[#This Row],[ID_H]]))</f>
        <v/>
      </c>
      <c r="AK650" s="188">
        <f ca="1">IF(NOTA[[#This Row],[TGL.NOTA]]="",IF(NOTA[[#This Row],[SUPPLIER_H]]="","",AK649),MONTH(NOTA[[#This Row],[TGL.NOTA]]))</f>
        <v>5</v>
      </c>
      <c r="AL650" s="18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6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6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6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188" t="str">
        <f>IF(NOTA[[#This Row],[CONCAT4]]="","",_xlfn.IFNA(MATCH(NOTA[[#This Row],[CONCAT4]],[2]!RAW[CONCAT_H],0),FALSE))</f>
        <v/>
      </c>
      <c r="AQ650" s="188">
        <f>IF(NOTA[[#This Row],[CONCAT1]]="","",MATCH(NOTA[[#This Row],[CONCAT1]],[3]!db[NB NOTA_C],0)+1)</f>
        <v>1359</v>
      </c>
    </row>
    <row r="651" spans="1:43" ht="20.100000000000001" customHeight="1" x14ac:dyDescent="0.25">
      <c r="A6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188" t="str">
        <f>IF(NOTA[[#This Row],[ID_P]]="","",MATCH(NOTA[[#This Row],[ID_P]],[1]!B_MSK[N_ID],0))</f>
        <v/>
      </c>
      <c r="D651" s="188" t="str">
        <f ca="1">IF(NOTA[[#This Row],[NAMA BARANG]]="","",INDEX(NOTA[ID],MATCH(,INDIRECT(ADDRESS(ROW(NOTA[ID]),COLUMN(NOTA[ID]))&amp;":"&amp;ADDRESS(ROW(),COLUMN(NOTA[ID]))),-1)))</f>
        <v/>
      </c>
      <c r="E651" s="189"/>
      <c r="F651" s="190"/>
      <c r="G651" s="190"/>
      <c r="H651" s="191"/>
      <c r="I651" s="190"/>
      <c r="J651" s="192"/>
      <c r="K651" s="190"/>
      <c r="L651" s="190"/>
      <c r="M651" s="193"/>
      <c r="N651" s="188"/>
      <c r="O651" s="190"/>
      <c r="P651" s="187"/>
      <c r="Q651" s="194"/>
      <c r="R651" s="195"/>
      <c r="S651" s="196"/>
      <c r="T651" s="197"/>
      <c r="U651" s="198"/>
      <c r="V651" s="199"/>
      <c r="W651" s="198" t="str">
        <f>IF(NOTA[[#This Row],[HARGA/ CTN]]="",NOTA[[#This Row],[JUMLAH_H]],NOTA[[#This Row],[HARGA/ CTN]]*IF(NOTA[[#This Row],[C]]="",0,NOTA[[#This Row],[C]]))</f>
        <v/>
      </c>
      <c r="X651" s="198" t="str">
        <f>IF(NOTA[[#This Row],[JUMLAH]]="","",NOTA[[#This Row],[JUMLAH]]*NOTA[[#This Row],[DISC 1]])</f>
        <v/>
      </c>
      <c r="Y651" s="198" t="str">
        <f>IF(NOTA[[#This Row],[JUMLAH]]="","",(NOTA[[#This Row],[JUMLAH]]-NOTA[[#This Row],[DISC 1-]])*NOTA[[#This Row],[DISC 2]])</f>
        <v/>
      </c>
      <c r="Z651" s="198" t="str">
        <f>IF(NOTA[[#This Row],[JUMLAH]]="","",NOTA[[#This Row],[DISC 1-]]+NOTA[[#This Row],[DISC 2-]])</f>
        <v/>
      </c>
      <c r="AA651" s="198" t="str">
        <f>IF(NOTA[[#This Row],[JUMLAH]]="","",NOTA[[#This Row],[JUMLAH]]-NOTA[[#This Row],[DISC]])</f>
        <v/>
      </c>
      <c r="AB651" s="198"/>
      <c r="AC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1" s="200" t="str">
        <f>IF(OR(NOTA[[#This Row],[QTY]]="",NOTA[[#This Row],[HARGA SATUAN]]="",),"",NOTA[[#This Row],[QTY]]*NOTA[[#This Row],[HARGA SATUAN]])</f>
        <v/>
      </c>
      <c r="AG651" s="192" t="str">
        <f ca="1">IF(NOTA[ID_H]="","",INDEX(NOTA[TANGGAL],MATCH(,INDIRECT(ADDRESS(ROW(NOTA[TANGGAL]),COLUMN(NOTA[TANGGAL]))&amp;":"&amp;ADDRESS(ROW(),COLUMN(NOTA[TANGGAL]))),-1)))</f>
        <v/>
      </c>
      <c r="AH651" s="187" t="str">
        <f ca="1">IF(NOTA[[#This Row],[NAMA BARANG]]="","",INDEX(NOTA[SUPPLIER],MATCH(,INDIRECT(ADDRESS(ROW(NOTA[ID]),COLUMN(NOTA[ID]))&amp;":"&amp;ADDRESS(ROW(),COLUMN(NOTA[ID]))),-1)))</f>
        <v/>
      </c>
      <c r="AI651" s="187" t="str">
        <f ca="1">IF(NOTA[[#This Row],[ID_H]]="","",IF(NOTA[[#This Row],[FAKTUR]]="",INDIRECT(ADDRESS(ROW()-1,COLUMN())),NOTA[[#This Row],[FAKTUR]]))</f>
        <v/>
      </c>
      <c r="AJ651" s="188" t="str">
        <f ca="1">IF(NOTA[[#This Row],[ID]]="","",COUNTIF(NOTA[ID_H],NOTA[[#This Row],[ID_H]]))</f>
        <v/>
      </c>
      <c r="AK651" s="188" t="str">
        <f ca="1">IF(NOTA[[#This Row],[TGL.NOTA]]="",IF(NOTA[[#This Row],[SUPPLIER_H]]="","",AK650),MONTH(NOTA[[#This Row],[TGL.NOTA]]))</f>
        <v/>
      </c>
      <c r="AL651" s="188" t="str">
        <f>LOWER(SUBSTITUTE(SUBSTITUTE(SUBSTITUTE(SUBSTITUTE(SUBSTITUTE(SUBSTITUTE(SUBSTITUTE(SUBSTITUTE(SUBSTITUTE(NOTA[NAMA BARANG]," ",),".",""),"-",""),"(",""),")",""),",",""),"/",""),"""",""),"+",""))</f>
        <v/>
      </c>
      <c r="AM6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188" t="str">
        <f>IF(NOTA[[#This Row],[CONCAT4]]="","",_xlfn.IFNA(MATCH(NOTA[[#This Row],[CONCAT4]],[2]!RAW[CONCAT_H],0),FALSE))</f>
        <v/>
      </c>
      <c r="AQ651" s="188" t="str">
        <f>IF(NOTA[[#This Row],[CONCAT1]]="","",MATCH(NOTA[[#This Row],[CONCAT1]],[3]!db[NB NOTA_C],0)+1)</f>
        <v/>
      </c>
    </row>
    <row r="652" spans="1:43" ht="20.100000000000001" customHeight="1" x14ac:dyDescent="0.25">
      <c r="A652" s="187">
        <f ca="1">IF(INDIRECT(ADDRESS(ROW()-1,COLUMN(NOTA[[#Headers],[ID]])))="ID",1,IF(NOTA[[#This Row],[FAKTUR]]="","",COUNT(INDIRECT(ADDRESS(ROW(NOTA[ID]),COLUMN(NOTA[ID]))&amp;":"&amp;ADDRESS(ROW()-1,COLUMN(NOTA[ID]))))+1))</f>
        <v>117</v>
      </c>
      <c r="B65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KEN_2305_895-1</v>
      </c>
      <c r="C652" s="188" t="e">
        <f ca="1">IF(NOTA[[#This Row],[ID_P]]="","",MATCH(NOTA[[#This Row],[ID_P]],[1]!B_MSK[N_ID],0))</f>
        <v>#REF!</v>
      </c>
      <c r="D652" s="188">
        <f ca="1">IF(NOTA[[#This Row],[NAMA BARANG]]="","",INDEX(NOTA[ID],MATCH(,INDIRECT(ADDRESS(ROW(NOTA[ID]),COLUMN(NOTA[ID]))&amp;":"&amp;ADDRESS(ROW(),COLUMN(NOTA[ID]))),-1)))</f>
        <v>117</v>
      </c>
      <c r="E652" s="189"/>
      <c r="F652" s="190" t="s">
        <v>23</v>
      </c>
      <c r="G652" s="190" t="s">
        <v>24</v>
      </c>
      <c r="H652" s="191" t="s">
        <v>863</v>
      </c>
      <c r="I652" s="190" t="s">
        <v>865</v>
      </c>
      <c r="J652" s="192">
        <v>45065</v>
      </c>
      <c r="K652" s="190"/>
      <c r="L652" s="190" t="s">
        <v>864</v>
      </c>
      <c r="M652" s="193">
        <v>1</v>
      </c>
      <c r="N652" s="188"/>
      <c r="O652" s="190"/>
      <c r="P652" s="187"/>
      <c r="Q652" s="194">
        <v>6739200</v>
      </c>
      <c r="R652" s="195" t="s">
        <v>150</v>
      </c>
      <c r="S652" s="196">
        <v>0.17</v>
      </c>
      <c r="T652" s="197"/>
      <c r="U652" s="198"/>
      <c r="V652" s="199"/>
      <c r="W652" s="198">
        <f>IF(NOTA[[#This Row],[HARGA/ CTN]]="",NOTA[[#This Row],[JUMLAH_H]],NOTA[[#This Row],[HARGA/ CTN]]*IF(NOTA[[#This Row],[C]]="",0,NOTA[[#This Row],[C]]))</f>
        <v>6739200</v>
      </c>
      <c r="X652" s="198">
        <f>IF(NOTA[[#This Row],[JUMLAH]]="","",NOTA[[#This Row],[JUMLAH]]*NOTA[[#This Row],[DISC 1]])</f>
        <v>1145664</v>
      </c>
      <c r="Y652" s="198">
        <f>IF(NOTA[[#This Row],[JUMLAH]]="","",(NOTA[[#This Row],[JUMLAH]]-NOTA[[#This Row],[DISC 1-]])*NOTA[[#This Row],[DISC 2]])</f>
        <v>0</v>
      </c>
      <c r="Z652" s="198">
        <f>IF(NOTA[[#This Row],[JUMLAH]]="","",NOTA[[#This Row],[DISC 1-]]+NOTA[[#This Row],[DISC 2-]])</f>
        <v>1145664</v>
      </c>
      <c r="AA652" s="198">
        <f>IF(NOTA[[#This Row],[JUMLAH]]="","",NOTA[[#This Row],[JUMLAH]]-NOTA[[#This Row],[DISC]])</f>
        <v>5593536</v>
      </c>
      <c r="AB652" s="198"/>
      <c r="AC65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1145664</v>
      </c>
      <c r="AD65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5593536</v>
      </c>
      <c r="AE652" s="187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652" s="200" t="str">
        <f>IF(OR(NOTA[[#This Row],[QTY]]="",NOTA[[#This Row],[HARGA SATUAN]]="",),"",NOTA[[#This Row],[QTY]]*NOTA[[#This Row],[HARGA SATUAN]])</f>
        <v/>
      </c>
      <c r="AG652" s="192">
        <f ca="1">IF(NOTA[ID_H]="","",INDEX(NOTA[TANGGAL],MATCH(,INDIRECT(ADDRESS(ROW(NOTA[TANGGAL]),COLUMN(NOTA[TANGGAL]))&amp;":"&amp;ADDRESS(ROW(),COLUMN(NOTA[TANGGAL]))),-1)))</f>
        <v>45069</v>
      </c>
      <c r="AH652" s="187" t="str">
        <f ca="1">IF(NOTA[[#This Row],[NAMA BARANG]]="","",INDEX(NOTA[SUPPLIER],MATCH(,INDIRECT(ADDRESS(ROW(NOTA[ID]),COLUMN(NOTA[ID]))&amp;":"&amp;ADDRESS(ROW(),COLUMN(NOTA[ID]))),-1)))</f>
        <v>KENKO SINAR INDONESIA</v>
      </c>
      <c r="AI652" s="187" t="str">
        <f ca="1">IF(NOTA[[#This Row],[ID_H]]="","",IF(NOTA[[#This Row],[FAKTUR]]="",INDIRECT(ADDRESS(ROW()-1,COLUMN())),NOTA[[#This Row],[FAKTUR]]))</f>
        <v>ARTO MORO</v>
      </c>
      <c r="AJ652" s="188">
        <f ca="1">IF(NOTA[[#This Row],[ID]]="","",COUNTIF(NOTA[ID_H],NOTA[[#This Row],[ID_H]]))</f>
        <v>1</v>
      </c>
      <c r="AK652" s="188">
        <f>IF(NOTA[[#This Row],[TGL.NOTA]]="",IF(NOTA[[#This Row],[SUPPLIER_H]]="","",AK651),MONTH(NOTA[[#This Row],[TGL.NOTA]]))</f>
        <v>5</v>
      </c>
      <c r="AL652" s="18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M6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N6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O652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MORO23051895SA 4169545065kenkomechanicalpencilmp0105mm</v>
      </c>
      <c r="AP652" s="188" t="e">
        <f>IF(NOTA[[#This Row],[CONCAT4]]="","",_xlfn.IFNA(MATCH(NOTA[[#This Row],[CONCAT4]],[2]!RAW[CONCAT_H],0),FALSE))</f>
        <v>#REF!</v>
      </c>
      <c r="AQ652" s="188">
        <f>IF(NOTA[[#This Row],[CONCAT1]]="","",MATCH(NOTA[[#This Row],[CONCAT1]],[3]!db[NB NOTA_C],0)+1)</f>
        <v>1328</v>
      </c>
    </row>
    <row r="653" spans="1:43" ht="20.100000000000001" customHeight="1" x14ac:dyDescent="0.25">
      <c r="A6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188" t="str">
        <f>IF(NOTA[[#This Row],[ID_P]]="","",MATCH(NOTA[[#This Row],[ID_P]],[1]!B_MSK[N_ID],0))</f>
        <v/>
      </c>
      <c r="D653" s="188" t="str">
        <f ca="1">IF(NOTA[[#This Row],[NAMA BARANG]]="","",INDEX(NOTA[ID],MATCH(,INDIRECT(ADDRESS(ROW(NOTA[ID]),COLUMN(NOTA[ID]))&amp;":"&amp;ADDRESS(ROW(),COLUMN(NOTA[ID]))),-1)))</f>
        <v/>
      </c>
      <c r="E653" s="189"/>
      <c r="F653" s="190"/>
      <c r="G653" s="190"/>
      <c r="H653" s="191"/>
      <c r="I653" s="190"/>
      <c r="J653" s="192"/>
      <c r="K653" s="190"/>
      <c r="L653" s="190"/>
      <c r="M653" s="193"/>
      <c r="N653" s="188"/>
      <c r="O653" s="190"/>
      <c r="P653" s="187"/>
      <c r="Q653" s="194"/>
      <c r="R653" s="195"/>
      <c r="S653" s="196"/>
      <c r="T653" s="197"/>
      <c r="U653" s="198"/>
      <c r="V653" s="199"/>
      <c r="W653" s="198" t="str">
        <f>IF(NOTA[[#This Row],[HARGA/ CTN]]="",NOTA[[#This Row],[JUMLAH_H]],NOTA[[#This Row],[HARGA/ CTN]]*IF(NOTA[[#This Row],[C]]="",0,NOTA[[#This Row],[C]]))</f>
        <v/>
      </c>
      <c r="X653" s="198" t="str">
        <f>IF(NOTA[[#This Row],[JUMLAH]]="","",NOTA[[#This Row],[JUMLAH]]*NOTA[[#This Row],[DISC 1]])</f>
        <v/>
      </c>
      <c r="Y653" s="198" t="str">
        <f>IF(NOTA[[#This Row],[JUMLAH]]="","",(NOTA[[#This Row],[JUMLAH]]-NOTA[[#This Row],[DISC 1-]])*NOTA[[#This Row],[DISC 2]])</f>
        <v/>
      </c>
      <c r="Z653" s="198" t="str">
        <f>IF(NOTA[[#This Row],[JUMLAH]]="","",NOTA[[#This Row],[DISC 1-]]+NOTA[[#This Row],[DISC 2-]])</f>
        <v/>
      </c>
      <c r="AA653" s="198" t="str">
        <f>IF(NOTA[[#This Row],[JUMLAH]]="","",NOTA[[#This Row],[JUMLAH]]-NOTA[[#This Row],[DISC]])</f>
        <v/>
      </c>
      <c r="AB653" s="198"/>
      <c r="AC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3" s="200" t="str">
        <f>IF(OR(NOTA[[#This Row],[QTY]]="",NOTA[[#This Row],[HARGA SATUAN]]="",),"",NOTA[[#This Row],[QTY]]*NOTA[[#This Row],[HARGA SATUAN]])</f>
        <v/>
      </c>
      <c r="AG653" s="192" t="str">
        <f ca="1">IF(NOTA[ID_H]="","",INDEX(NOTA[TANGGAL],MATCH(,INDIRECT(ADDRESS(ROW(NOTA[TANGGAL]),COLUMN(NOTA[TANGGAL]))&amp;":"&amp;ADDRESS(ROW(),COLUMN(NOTA[TANGGAL]))),-1)))</f>
        <v/>
      </c>
      <c r="AH653" s="187" t="str">
        <f ca="1">IF(NOTA[[#This Row],[NAMA BARANG]]="","",INDEX(NOTA[SUPPLIER],MATCH(,INDIRECT(ADDRESS(ROW(NOTA[ID]),COLUMN(NOTA[ID]))&amp;":"&amp;ADDRESS(ROW(),COLUMN(NOTA[ID]))),-1)))</f>
        <v/>
      </c>
      <c r="AI653" s="187" t="str">
        <f ca="1">IF(NOTA[[#This Row],[ID_H]]="","",IF(NOTA[[#This Row],[FAKTUR]]="",INDIRECT(ADDRESS(ROW()-1,COLUMN())),NOTA[[#This Row],[FAKTUR]]))</f>
        <v/>
      </c>
      <c r="AJ653" s="188" t="str">
        <f ca="1">IF(NOTA[[#This Row],[ID]]="","",COUNTIF(NOTA[ID_H],NOTA[[#This Row],[ID_H]]))</f>
        <v/>
      </c>
      <c r="AK653" s="188" t="str">
        <f ca="1">IF(NOTA[[#This Row],[TGL.NOTA]]="",IF(NOTA[[#This Row],[SUPPLIER_H]]="","",AK652),MONTH(NOTA[[#This Row],[TGL.NOTA]]))</f>
        <v/>
      </c>
      <c r="AL653" s="188" t="str">
        <f>LOWER(SUBSTITUTE(SUBSTITUTE(SUBSTITUTE(SUBSTITUTE(SUBSTITUTE(SUBSTITUTE(SUBSTITUTE(SUBSTITUTE(SUBSTITUTE(NOTA[NAMA BARANG]," ",),".",""),"-",""),"(",""),")",""),",",""),"/",""),"""",""),"+",""))</f>
        <v/>
      </c>
      <c r="AM6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188" t="str">
        <f>IF(NOTA[[#This Row],[CONCAT4]]="","",_xlfn.IFNA(MATCH(NOTA[[#This Row],[CONCAT4]],[2]!RAW[CONCAT_H],0),FALSE))</f>
        <v/>
      </c>
      <c r="AQ653" s="188" t="str">
        <f>IF(NOTA[[#This Row],[CONCAT1]]="","",MATCH(NOTA[[#This Row],[CONCAT1]],[3]!db[NB NOTA_C],0)+1)</f>
        <v/>
      </c>
    </row>
    <row r="654" spans="1:43" ht="20.100000000000001" customHeight="1" x14ac:dyDescent="0.25">
      <c r="A654" s="187">
        <f ca="1">IF(INDIRECT(ADDRESS(ROW()-1,COLUMN(NOTA[[#Headers],[ID]])))="ID",1,IF(NOTA[[#This Row],[FAKTUR]]="","",COUNT(INDIRECT(ADDRESS(ROW(NOTA[ID]),COLUMN(NOTA[ID]))&amp;":"&amp;ADDRESS(ROW()-1,COLUMN(NOTA[ID]))))+1))</f>
        <v>118</v>
      </c>
      <c r="B65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KEN_2305_749-9</v>
      </c>
      <c r="C654" s="188" t="e">
        <f ca="1">IF(NOTA[[#This Row],[ID_P]]="","",MATCH(NOTA[[#This Row],[ID_P]],[1]!B_MSK[N_ID],0))</f>
        <v>#REF!</v>
      </c>
      <c r="D654" s="188">
        <f ca="1">IF(NOTA[[#This Row],[NAMA BARANG]]="","",INDEX(NOTA[ID],MATCH(,INDIRECT(ADDRESS(ROW(NOTA[ID]),COLUMN(NOTA[ID]))&amp;":"&amp;ADDRESS(ROW(),COLUMN(NOTA[ID]))),-1)))</f>
        <v>118</v>
      </c>
      <c r="E654" s="189"/>
      <c r="F654" s="190" t="s">
        <v>23</v>
      </c>
      <c r="G654" s="190" t="s">
        <v>24</v>
      </c>
      <c r="H654" s="191" t="s">
        <v>866</v>
      </c>
      <c r="I654" s="190"/>
      <c r="J654" s="192">
        <v>45063</v>
      </c>
      <c r="K654" s="190"/>
      <c r="L654" s="190" t="s">
        <v>324</v>
      </c>
      <c r="M654" s="193">
        <v>2</v>
      </c>
      <c r="N654" s="188"/>
      <c r="O654" s="190"/>
      <c r="P654" s="187"/>
      <c r="Q654" s="194">
        <v>1995000</v>
      </c>
      <c r="R654" s="195" t="s">
        <v>708</v>
      </c>
      <c r="S654" s="196">
        <v>0.17</v>
      </c>
      <c r="T654" s="197"/>
      <c r="U654" s="198"/>
      <c r="V654" s="199"/>
      <c r="W654" s="198">
        <f>IF(NOTA[[#This Row],[HARGA/ CTN]]="",NOTA[[#This Row],[JUMLAH_H]],NOTA[[#This Row],[HARGA/ CTN]]*IF(NOTA[[#This Row],[C]]="",0,NOTA[[#This Row],[C]]))</f>
        <v>3990000</v>
      </c>
      <c r="X654" s="198">
        <f>IF(NOTA[[#This Row],[JUMLAH]]="","",NOTA[[#This Row],[JUMLAH]]*NOTA[[#This Row],[DISC 1]])</f>
        <v>678300</v>
      </c>
      <c r="Y654" s="198">
        <f>IF(NOTA[[#This Row],[JUMLAH]]="","",(NOTA[[#This Row],[JUMLAH]]-NOTA[[#This Row],[DISC 1-]])*NOTA[[#This Row],[DISC 2]])</f>
        <v>0</v>
      </c>
      <c r="Z654" s="198">
        <f>IF(NOTA[[#This Row],[JUMLAH]]="","",NOTA[[#This Row],[DISC 1-]]+NOTA[[#This Row],[DISC 2-]])</f>
        <v>678300</v>
      </c>
      <c r="AA654" s="198">
        <f>IF(NOTA[[#This Row],[JUMLAH]]="","",NOTA[[#This Row],[JUMLAH]]-NOTA[[#This Row],[DISC]])</f>
        <v>3311700</v>
      </c>
      <c r="AB654" s="198"/>
      <c r="AC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187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654" s="200" t="str">
        <f>IF(OR(NOTA[[#This Row],[QTY]]="",NOTA[[#This Row],[HARGA SATUAN]]="",),"",NOTA[[#This Row],[QTY]]*NOTA[[#This Row],[HARGA SATUAN]])</f>
        <v/>
      </c>
      <c r="AG654" s="192">
        <f ca="1">IF(NOTA[ID_H]="","",INDEX(NOTA[TANGGAL],MATCH(,INDIRECT(ADDRESS(ROW(NOTA[TANGGAL]),COLUMN(NOTA[TANGGAL]))&amp;":"&amp;ADDRESS(ROW(),COLUMN(NOTA[TANGGAL]))),-1)))</f>
        <v>45069</v>
      </c>
      <c r="AH654" s="187" t="str">
        <f ca="1">IF(NOTA[[#This Row],[NAMA BARANG]]="","",INDEX(NOTA[SUPPLIER],MATCH(,INDIRECT(ADDRESS(ROW(NOTA[ID]),COLUMN(NOTA[ID]))&amp;":"&amp;ADDRESS(ROW(),COLUMN(NOTA[ID]))),-1)))</f>
        <v>KENKO SINAR INDONESIA</v>
      </c>
      <c r="AI654" s="187" t="str">
        <f ca="1">IF(NOTA[[#This Row],[ID_H]]="","",IF(NOTA[[#This Row],[FAKTUR]]="",INDIRECT(ADDRESS(ROW()-1,COLUMN())),NOTA[[#This Row],[FAKTUR]]))</f>
        <v>ARTO MORO</v>
      </c>
      <c r="AJ654" s="188">
        <f ca="1">IF(NOTA[[#This Row],[ID]]="","",COUNTIF(NOTA[ID_H],NOTA[[#This Row],[ID_H]]))</f>
        <v>9</v>
      </c>
      <c r="AK654" s="188">
        <f>IF(NOTA[[#This Row],[TGL.NOTA]]="",IF(NOTA[[#This Row],[SUPPLIER_H]]="","",AK653),MONTH(NOTA[[#This Row],[TGL.NOTA]]))</f>
        <v>5</v>
      </c>
      <c r="AL654" s="18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6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6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654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MORO2305174945063kenkoscissorsc838n</v>
      </c>
      <c r="AP654" s="188" t="e">
        <f>IF(NOTA[[#This Row],[CONCAT4]]="","",_xlfn.IFNA(MATCH(NOTA[[#This Row],[CONCAT4]],[2]!RAW[CONCAT_H],0),FALSE))</f>
        <v>#REF!</v>
      </c>
      <c r="AQ654" s="188">
        <f>IF(NOTA[[#This Row],[CONCAT1]]="","",MATCH(NOTA[[#This Row],[CONCAT1]],[3]!db[NB NOTA_C],0)+1)</f>
        <v>1381</v>
      </c>
    </row>
    <row r="655" spans="1:43" ht="20.100000000000001" customHeight="1" x14ac:dyDescent="0.25">
      <c r="A6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188" t="str">
        <f>IF(NOTA[[#This Row],[ID_P]]="","",MATCH(NOTA[[#This Row],[ID_P]],[1]!B_MSK[N_ID],0))</f>
        <v/>
      </c>
      <c r="D655" s="188">
        <f ca="1">IF(NOTA[[#This Row],[NAMA BARANG]]="","",INDEX(NOTA[ID],MATCH(,INDIRECT(ADDRESS(ROW(NOTA[ID]),COLUMN(NOTA[ID]))&amp;":"&amp;ADDRESS(ROW(),COLUMN(NOTA[ID]))),-1)))</f>
        <v>118</v>
      </c>
      <c r="E655" s="189"/>
      <c r="F655" s="190"/>
      <c r="G655" s="190"/>
      <c r="H655" s="191"/>
      <c r="I655" s="190"/>
      <c r="J655" s="192"/>
      <c r="K655" s="190"/>
      <c r="L655" s="190" t="s">
        <v>738</v>
      </c>
      <c r="M655" s="193">
        <v>2</v>
      </c>
      <c r="N655" s="188"/>
      <c r="O655" s="190"/>
      <c r="P655" s="187"/>
      <c r="Q655" s="194">
        <v>3888000</v>
      </c>
      <c r="R655" s="195" t="s">
        <v>741</v>
      </c>
      <c r="S655" s="196">
        <v>0.17</v>
      </c>
      <c r="T655" s="197"/>
      <c r="U655" s="198"/>
      <c r="V655" s="199"/>
      <c r="W655" s="198">
        <f>IF(NOTA[[#This Row],[HARGA/ CTN]]="",NOTA[[#This Row],[JUMLAH_H]],NOTA[[#This Row],[HARGA/ CTN]]*IF(NOTA[[#This Row],[C]]="",0,NOTA[[#This Row],[C]]))</f>
        <v>7776000</v>
      </c>
      <c r="X655" s="198">
        <f>IF(NOTA[[#This Row],[JUMLAH]]="","",NOTA[[#This Row],[JUMLAH]]*NOTA[[#This Row],[DISC 1]])</f>
        <v>1321920</v>
      </c>
      <c r="Y655" s="198">
        <f>IF(NOTA[[#This Row],[JUMLAH]]="","",(NOTA[[#This Row],[JUMLAH]]-NOTA[[#This Row],[DISC 1-]])*NOTA[[#This Row],[DISC 2]])</f>
        <v>0</v>
      </c>
      <c r="Z655" s="198">
        <f>IF(NOTA[[#This Row],[JUMLAH]]="","",NOTA[[#This Row],[DISC 1-]]+NOTA[[#This Row],[DISC 2-]])</f>
        <v>1321920</v>
      </c>
      <c r="AA655" s="198">
        <f>IF(NOTA[[#This Row],[JUMLAH]]="","",NOTA[[#This Row],[JUMLAH]]-NOTA[[#This Row],[DISC]])</f>
        <v>6454080</v>
      </c>
      <c r="AB655" s="198"/>
      <c r="AC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55" s="200" t="str">
        <f>IF(OR(NOTA[[#This Row],[QTY]]="",NOTA[[#This Row],[HARGA SATUAN]]="",),"",NOTA[[#This Row],[QTY]]*NOTA[[#This Row],[HARGA SATUAN]])</f>
        <v/>
      </c>
      <c r="AG655" s="192">
        <f ca="1">IF(NOTA[ID_H]="","",INDEX(NOTA[TANGGAL],MATCH(,INDIRECT(ADDRESS(ROW(NOTA[TANGGAL]),COLUMN(NOTA[TANGGAL]))&amp;":"&amp;ADDRESS(ROW(),COLUMN(NOTA[TANGGAL]))),-1)))</f>
        <v>45069</v>
      </c>
      <c r="AH655" s="187" t="str">
        <f ca="1">IF(NOTA[[#This Row],[NAMA BARANG]]="","",INDEX(NOTA[SUPPLIER],MATCH(,INDIRECT(ADDRESS(ROW(NOTA[ID]),COLUMN(NOTA[ID]))&amp;":"&amp;ADDRESS(ROW(),COLUMN(NOTA[ID]))),-1)))</f>
        <v>KENKO SINAR INDONESIA</v>
      </c>
      <c r="AI655" s="187" t="str">
        <f ca="1">IF(NOTA[[#This Row],[ID_H]]="","",IF(NOTA[[#This Row],[FAKTUR]]="",INDIRECT(ADDRESS(ROW()-1,COLUMN())),NOTA[[#This Row],[FAKTUR]]))</f>
        <v>ARTO MORO</v>
      </c>
      <c r="AJ655" s="188" t="str">
        <f ca="1">IF(NOTA[[#This Row],[ID]]="","",COUNTIF(NOTA[ID_H],NOTA[[#This Row],[ID_H]]))</f>
        <v/>
      </c>
      <c r="AK655" s="188">
        <f ca="1">IF(NOTA[[#This Row],[TGL.NOTA]]="",IF(NOTA[[#This Row],[SUPPLIER_H]]="","",AK654),MONTH(NOTA[[#This Row],[TGL.NOTA]]))</f>
        <v>5</v>
      </c>
      <c r="AL655" s="18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6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6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6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188" t="str">
        <f>IF(NOTA[[#This Row],[CONCAT4]]="","",_xlfn.IFNA(MATCH(NOTA[[#This Row],[CONCAT4]],[2]!RAW[CONCAT_H],0),FALSE))</f>
        <v/>
      </c>
      <c r="AQ655" s="188">
        <f>IF(NOTA[[#This Row],[CONCAT1]]="","",MATCH(NOTA[[#This Row],[CONCAT1]],[3]!db[NB NOTA_C],0)+1)</f>
        <v>1235</v>
      </c>
    </row>
    <row r="656" spans="1:43" ht="20.100000000000001" customHeight="1" x14ac:dyDescent="0.25">
      <c r="A6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188" t="str">
        <f>IF(NOTA[[#This Row],[ID_P]]="","",MATCH(NOTA[[#This Row],[ID_P]],[1]!B_MSK[N_ID],0))</f>
        <v/>
      </c>
      <c r="D656" s="188">
        <f ca="1">IF(NOTA[[#This Row],[NAMA BARANG]]="","",INDEX(NOTA[ID],MATCH(,INDIRECT(ADDRESS(ROW(NOTA[ID]),COLUMN(NOTA[ID]))&amp;":"&amp;ADDRESS(ROW(),COLUMN(NOTA[ID]))),-1)))</f>
        <v>118</v>
      </c>
      <c r="E656" s="189"/>
      <c r="F656" s="190"/>
      <c r="G656" s="190"/>
      <c r="H656" s="191"/>
      <c r="I656" s="190"/>
      <c r="J656" s="192"/>
      <c r="K656" s="190"/>
      <c r="L656" s="190" t="s">
        <v>705</v>
      </c>
      <c r="M656" s="193">
        <v>1</v>
      </c>
      <c r="N656" s="188"/>
      <c r="O656" s="190"/>
      <c r="P656" s="187"/>
      <c r="Q656" s="194">
        <v>2160000</v>
      </c>
      <c r="R656" s="195" t="s">
        <v>152</v>
      </c>
      <c r="S656" s="196">
        <v>0.17</v>
      </c>
      <c r="T656" s="197"/>
      <c r="U656" s="198"/>
      <c r="V656" s="199"/>
      <c r="W656" s="198">
        <f>IF(NOTA[[#This Row],[HARGA/ CTN]]="",NOTA[[#This Row],[JUMLAH_H]],NOTA[[#This Row],[HARGA/ CTN]]*IF(NOTA[[#This Row],[C]]="",0,NOTA[[#This Row],[C]]))</f>
        <v>2160000</v>
      </c>
      <c r="X656" s="198">
        <f>IF(NOTA[[#This Row],[JUMLAH]]="","",NOTA[[#This Row],[JUMLAH]]*NOTA[[#This Row],[DISC 1]])</f>
        <v>367200</v>
      </c>
      <c r="Y656" s="198">
        <f>IF(NOTA[[#This Row],[JUMLAH]]="","",(NOTA[[#This Row],[JUMLAH]]-NOTA[[#This Row],[DISC 1-]])*NOTA[[#This Row],[DISC 2]])</f>
        <v>0</v>
      </c>
      <c r="Z656" s="198">
        <f>IF(NOTA[[#This Row],[JUMLAH]]="","",NOTA[[#This Row],[DISC 1-]]+NOTA[[#This Row],[DISC 2-]])</f>
        <v>367200</v>
      </c>
      <c r="AA656" s="198">
        <f>IF(NOTA[[#This Row],[JUMLAH]]="","",NOTA[[#This Row],[JUMLAH]]-NOTA[[#This Row],[DISC]])</f>
        <v>1792800</v>
      </c>
      <c r="AB656" s="198"/>
      <c r="AC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656" s="200" t="str">
        <f>IF(OR(NOTA[[#This Row],[QTY]]="",NOTA[[#This Row],[HARGA SATUAN]]="",),"",NOTA[[#This Row],[QTY]]*NOTA[[#This Row],[HARGA SATUAN]])</f>
        <v/>
      </c>
      <c r="AG656" s="192">
        <f ca="1">IF(NOTA[ID_H]="","",INDEX(NOTA[TANGGAL],MATCH(,INDIRECT(ADDRESS(ROW(NOTA[TANGGAL]),COLUMN(NOTA[TANGGAL]))&amp;":"&amp;ADDRESS(ROW(),COLUMN(NOTA[TANGGAL]))),-1)))</f>
        <v>45069</v>
      </c>
      <c r="AH656" s="187" t="str">
        <f ca="1">IF(NOTA[[#This Row],[NAMA BARANG]]="","",INDEX(NOTA[SUPPLIER],MATCH(,INDIRECT(ADDRESS(ROW(NOTA[ID]),COLUMN(NOTA[ID]))&amp;":"&amp;ADDRESS(ROW(),COLUMN(NOTA[ID]))),-1)))</f>
        <v>KENKO SINAR INDONESIA</v>
      </c>
      <c r="AI656" s="187" t="str">
        <f ca="1">IF(NOTA[[#This Row],[ID_H]]="","",IF(NOTA[[#This Row],[FAKTUR]]="",INDIRECT(ADDRESS(ROW()-1,COLUMN())),NOTA[[#This Row],[FAKTUR]]))</f>
        <v>ARTO MORO</v>
      </c>
      <c r="AJ656" s="188" t="str">
        <f ca="1">IF(NOTA[[#This Row],[ID]]="","",COUNTIF(NOTA[ID_H],NOTA[[#This Row],[ID_H]]))</f>
        <v/>
      </c>
      <c r="AK656" s="188">
        <f ca="1">IF(NOTA[[#This Row],[TGL.NOTA]]="",IF(NOTA[[#This Row],[SUPPLIER_H]]="","",AK655),MONTH(NOTA[[#This Row],[TGL.NOTA]]))</f>
        <v>5</v>
      </c>
      <c r="AL656" s="188" t="str">
        <f>LOWER(SUBSTITUTE(SUBSTITUTE(SUBSTITUTE(SUBSTITUTE(SUBSTITUTE(SUBSTITUTE(SUBSTITUTE(SUBSTITUTE(SUBSTITUTE(NOTA[NAMA BARANG]," ",),".",""),"-",""),"(",""),")",""),",",""),"/",""),"""",""),"+",""))</f>
        <v>kenkocompasssetc168</v>
      </c>
      <c r="AM6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kenkocompasssetc16821600000.17</v>
      </c>
      <c r="AN6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kenkocompasssetc16821600000.17</v>
      </c>
      <c r="AO6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188" t="str">
        <f>IF(NOTA[[#This Row],[CONCAT4]]="","",_xlfn.IFNA(MATCH(NOTA[[#This Row],[CONCAT4]],[2]!RAW[CONCAT_H],0),FALSE))</f>
        <v/>
      </c>
      <c r="AQ656" s="188">
        <f>IF(NOTA[[#This Row],[CONCAT1]]="","",MATCH(NOTA[[#This Row],[CONCAT1]],[3]!db[NB NOTA_C],0)+1)</f>
        <v>1190</v>
      </c>
    </row>
    <row r="657" spans="1:43" ht="20.100000000000001" customHeight="1" x14ac:dyDescent="0.25">
      <c r="A6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188" t="str">
        <f>IF(NOTA[[#This Row],[ID_P]]="","",MATCH(NOTA[[#This Row],[ID_P]],[1]!B_MSK[N_ID],0))</f>
        <v/>
      </c>
      <c r="D657" s="188">
        <f ca="1">IF(NOTA[[#This Row],[NAMA BARANG]]="","",INDEX(NOTA[ID],MATCH(,INDIRECT(ADDRESS(ROW(NOTA[ID]),COLUMN(NOTA[ID]))&amp;":"&amp;ADDRESS(ROW(),COLUMN(NOTA[ID]))),-1)))</f>
        <v>118</v>
      </c>
      <c r="E657" s="189"/>
      <c r="F657" s="190"/>
      <c r="G657" s="190"/>
      <c r="H657" s="191"/>
      <c r="I657" s="190"/>
      <c r="J657" s="192"/>
      <c r="K657" s="190"/>
      <c r="L657" s="190" t="s">
        <v>704</v>
      </c>
      <c r="M657" s="193">
        <v>1</v>
      </c>
      <c r="N657" s="188"/>
      <c r="O657" s="190"/>
      <c r="P657" s="187"/>
      <c r="Q657" s="194">
        <v>2160000</v>
      </c>
      <c r="R657" s="195" t="s">
        <v>152</v>
      </c>
      <c r="S657" s="196">
        <v>0.17</v>
      </c>
      <c r="T657" s="197"/>
      <c r="U657" s="198"/>
      <c r="V657" s="199"/>
      <c r="W657" s="198">
        <f>IF(NOTA[[#This Row],[HARGA/ CTN]]="",NOTA[[#This Row],[JUMLAH_H]],NOTA[[#This Row],[HARGA/ CTN]]*IF(NOTA[[#This Row],[C]]="",0,NOTA[[#This Row],[C]]))</f>
        <v>2160000</v>
      </c>
      <c r="X657" s="198">
        <f>IF(NOTA[[#This Row],[JUMLAH]]="","",NOTA[[#This Row],[JUMLAH]]*NOTA[[#This Row],[DISC 1]])</f>
        <v>367200</v>
      </c>
      <c r="Y657" s="198">
        <f>IF(NOTA[[#This Row],[JUMLAH]]="","",(NOTA[[#This Row],[JUMLAH]]-NOTA[[#This Row],[DISC 1-]])*NOTA[[#This Row],[DISC 2]])</f>
        <v>0</v>
      </c>
      <c r="Z657" s="198">
        <f>IF(NOTA[[#This Row],[JUMLAH]]="","",NOTA[[#This Row],[DISC 1-]]+NOTA[[#This Row],[DISC 2-]])</f>
        <v>367200</v>
      </c>
      <c r="AA657" s="198">
        <f>IF(NOTA[[#This Row],[JUMLAH]]="","",NOTA[[#This Row],[JUMLAH]]-NOTA[[#This Row],[DISC]])</f>
        <v>1792800</v>
      </c>
      <c r="AB657" s="198"/>
      <c r="AC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657" s="200" t="str">
        <f>IF(OR(NOTA[[#This Row],[QTY]]="",NOTA[[#This Row],[HARGA SATUAN]]="",),"",NOTA[[#This Row],[QTY]]*NOTA[[#This Row],[HARGA SATUAN]])</f>
        <v/>
      </c>
      <c r="AG657" s="192">
        <f ca="1">IF(NOTA[ID_H]="","",INDEX(NOTA[TANGGAL],MATCH(,INDIRECT(ADDRESS(ROW(NOTA[TANGGAL]),COLUMN(NOTA[TANGGAL]))&amp;":"&amp;ADDRESS(ROW(),COLUMN(NOTA[TANGGAL]))),-1)))</f>
        <v>45069</v>
      </c>
      <c r="AH657" s="187" t="str">
        <f ca="1">IF(NOTA[[#This Row],[NAMA BARANG]]="","",INDEX(NOTA[SUPPLIER],MATCH(,INDIRECT(ADDRESS(ROW(NOTA[ID]),COLUMN(NOTA[ID]))&amp;":"&amp;ADDRESS(ROW(),COLUMN(NOTA[ID]))),-1)))</f>
        <v>KENKO SINAR INDONESIA</v>
      </c>
      <c r="AI657" s="187" t="str">
        <f ca="1">IF(NOTA[[#This Row],[ID_H]]="","",IF(NOTA[[#This Row],[FAKTUR]]="",INDIRECT(ADDRESS(ROW()-1,COLUMN())),NOTA[[#This Row],[FAKTUR]]))</f>
        <v>ARTO MORO</v>
      </c>
      <c r="AJ657" s="188" t="str">
        <f ca="1">IF(NOTA[[#This Row],[ID]]="","",COUNTIF(NOTA[ID_H],NOTA[[#This Row],[ID_H]]))</f>
        <v/>
      </c>
      <c r="AK657" s="188">
        <f ca="1">IF(NOTA[[#This Row],[TGL.NOTA]]="",IF(NOTA[[#This Row],[SUPPLIER_H]]="","",AK656),MONTH(NOTA[[#This Row],[TGL.NOTA]]))</f>
        <v>5</v>
      </c>
      <c r="AL657" s="188" t="str">
        <f>LOWER(SUBSTITUTE(SUBSTITUTE(SUBSTITUTE(SUBSTITUTE(SUBSTITUTE(SUBSTITUTE(SUBSTITUTE(SUBSTITUTE(SUBSTITUTE(NOTA[NAMA BARANG]," ",),".",""),"-",""),"(",""),")",""),",",""),"/",""),"""",""),"+",""))</f>
        <v>kenkocompasssetc288</v>
      </c>
      <c r="AM6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kenkocompasssetc28821600000.17</v>
      </c>
      <c r="AN6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kenkocompasssetc28821600000.17</v>
      </c>
      <c r="AO6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188" t="str">
        <f>IF(NOTA[[#This Row],[CONCAT4]]="","",_xlfn.IFNA(MATCH(NOTA[[#This Row],[CONCAT4]],[2]!RAW[CONCAT_H],0),FALSE))</f>
        <v/>
      </c>
      <c r="AQ657" s="188">
        <f>IF(NOTA[[#This Row],[CONCAT1]]="","",MATCH(NOTA[[#This Row],[CONCAT1]],[3]!db[NB NOTA_C],0)+1)</f>
        <v>1192</v>
      </c>
    </row>
    <row r="658" spans="1:43" ht="20.100000000000001" customHeight="1" x14ac:dyDescent="0.25">
      <c r="A6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188" t="str">
        <f>IF(NOTA[[#This Row],[ID_P]]="","",MATCH(NOTA[[#This Row],[ID_P]],[1]!B_MSK[N_ID],0))</f>
        <v/>
      </c>
      <c r="D658" s="188">
        <f ca="1">IF(NOTA[[#This Row],[NAMA BARANG]]="","",INDEX(NOTA[ID],MATCH(,INDIRECT(ADDRESS(ROW(NOTA[ID]),COLUMN(NOTA[ID]))&amp;":"&amp;ADDRESS(ROW(),COLUMN(NOTA[ID]))),-1)))</f>
        <v>118</v>
      </c>
      <c r="E658" s="189"/>
      <c r="F658" s="190"/>
      <c r="G658" s="190"/>
      <c r="H658" s="191"/>
      <c r="I658" s="190"/>
      <c r="J658" s="192"/>
      <c r="K658" s="190"/>
      <c r="L658" s="190" t="s">
        <v>707</v>
      </c>
      <c r="M658" s="193">
        <v>2</v>
      </c>
      <c r="N658" s="188"/>
      <c r="O658" s="190"/>
      <c r="P658" s="187"/>
      <c r="Q658" s="194">
        <v>2160000</v>
      </c>
      <c r="R658" s="195" t="s">
        <v>152</v>
      </c>
      <c r="S658" s="196">
        <v>0.17</v>
      </c>
      <c r="T658" s="197"/>
      <c r="U658" s="198"/>
      <c r="V658" s="199"/>
      <c r="W658" s="198">
        <f>IF(NOTA[[#This Row],[HARGA/ CTN]]="",NOTA[[#This Row],[JUMLAH_H]],NOTA[[#This Row],[HARGA/ CTN]]*IF(NOTA[[#This Row],[C]]="",0,NOTA[[#This Row],[C]]))</f>
        <v>4320000</v>
      </c>
      <c r="X658" s="198">
        <f>IF(NOTA[[#This Row],[JUMLAH]]="","",NOTA[[#This Row],[JUMLAH]]*NOTA[[#This Row],[DISC 1]])</f>
        <v>734400</v>
      </c>
      <c r="Y658" s="198">
        <f>IF(NOTA[[#This Row],[JUMLAH]]="","",(NOTA[[#This Row],[JUMLAH]]-NOTA[[#This Row],[DISC 1-]])*NOTA[[#This Row],[DISC 2]])</f>
        <v>0</v>
      </c>
      <c r="Z658" s="198">
        <f>IF(NOTA[[#This Row],[JUMLAH]]="","",NOTA[[#This Row],[DISC 1-]]+NOTA[[#This Row],[DISC 2-]])</f>
        <v>734400</v>
      </c>
      <c r="AA658" s="198">
        <f>IF(NOTA[[#This Row],[JUMLAH]]="","",NOTA[[#This Row],[JUMLAH]]-NOTA[[#This Row],[DISC]])</f>
        <v>3585600</v>
      </c>
      <c r="AB658" s="198"/>
      <c r="AC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18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658" s="200" t="str">
        <f>IF(OR(NOTA[[#This Row],[QTY]]="",NOTA[[#This Row],[HARGA SATUAN]]="",),"",NOTA[[#This Row],[QTY]]*NOTA[[#This Row],[HARGA SATUAN]])</f>
        <v/>
      </c>
      <c r="AG658" s="192">
        <f ca="1">IF(NOTA[ID_H]="","",INDEX(NOTA[TANGGAL],MATCH(,INDIRECT(ADDRESS(ROW(NOTA[TANGGAL]),COLUMN(NOTA[TANGGAL]))&amp;":"&amp;ADDRESS(ROW(),COLUMN(NOTA[TANGGAL]))),-1)))</f>
        <v>45069</v>
      </c>
      <c r="AH658" s="187" t="str">
        <f ca="1">IF(NOTA[[#This Row],[NAMA BARANG]]="","",INDEX(NOTA[SUPPLIER],MATCH(,INDIRECT(ADDRESS(ROW(NOTA[ID]),COLUMN(NOTA[ID]))&amp;":"&amp;ADDRESS(ROW(),COLUMN(NOTA[ID]))),-1)))</f>
        <v>KENKO SINAR INDONESIA</v>
      </c>
      <c r="AI658" s="187" t="str">
        <f ca="1">IF(NOTA[[#This Row],[ID_H]]="","",IF(NOTA[[#This Row],[FAKTUR]]="",INDIRECT(ADDRESS(ROW()-1,COLUMN())),NOTA[[#This Row],[FAKTUR]]))</f>
        <v>ARTO MORO</v>
      </c>
      <c r="AJ658" s="188" t="str">
        <f ca="1">IF(NOTA[[#This Row],[ID]]="","",COUNTIF(NOTA[ID_H],NOTA[[#This Row],[ID_H]]))</f>
        <v/>
      </c>
      <c r="AK658" s="188">
        <f ca="1">IF(NOTA[[#This Row],[TGL.NOTA]]="",IF(NOTA[[#This Row],[SUPPLIER_H]]="","",AK657),MONTH(NOTA[[#This Row],[TGL.NOTA]]))</f>
        <v>5</v>
      </c>
      <c r="AL658" s="18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6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6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6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188" t="str">
        <f>IF(NOTA[[#This Row],[CONCAT4]]="","",_xlfn.IFNA(MATCH(NOTA[[#This Row],[CONCAT4]],[2]!RAW[CONCAT_H],0),FALSE))</f>
        <v/>
      </c>
      <c r="AQ658" s="188">
        <f>IF(NOTA[[#This Row],[CONCAT1]]="","",MATCH(NOTA[[#This Row],[CONCAT1]],[3]!db[NB NOTA_C],0)+1)</f>
        <v>1193</v>
      </c>
    </row>
    <row r="659" spans="1:43" ht="20.100000000000001" customHeight="1" x14ac:dyDescent="0.25">
      <c r="A6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188" t="str">
        <f>IF(NOTA[[#This Row],[ID_P]]="","",MATCH(NOTA[[#This Row],[ID_P]],[1]!B_MSK[N_ID],0))</f>
        <v/>
      </c>
      <c r="D659" s="188">
        <f ca="1">IF(NOTA[[#This Row],[NAMA BARANG]]="","",INDEX(NOTA[ID],MATCH(,INDIRECT(ADDRESS(ROW(NOTA[ID]),COLUMN(NOTA[ID]))&amp;":"&amp;ADDRESS(ROW(),COLUMN(NOTA[ID]))),-1)))</f>
        <v>118</v>
      </c>
      <c r="E659" s="189"/>
      <c r="F659" s="190"/>
      <c r="G659" s="190"/>
      <c r="H659" s="191"/>
      <c r="I659" s="190"/>
      <c r="J659" s="192"/>
      <c r="K659" s="190"/>
      <c r="L659" s="190" t="s">
        <v>867</v>
      </c>
      <c r="M659" s="193">
        <v>1</v>
      </c>
      <c r="N659" s="188"/>
      <c r="O659" s="190"/>
      <c r="P659" s="187"/>
      <c r="Q659" s="194">
        <v>2592000</v>
      </c>
      <c r="R659" s="195" t="s">
        <v>151</v>
      </c>
      <c r="S659" s="196">
        <v>0.17</v>
      </c>
      <c r="T659" s="197"/>
      <c r="U659" s="198"/>
      <c r="V659" s="199"/>
      <c r="W659" s="198">
        <f>IF(NOTA[[#This Row],[HARGA/ CTN]]="",NOTA[[#This Row],[JUMLAH_H]],NOTA[[#This Row],[HARGA/ CTN]]*IF(NOTA[[#This Row],[C]]="",0,NOTA[[#This Row],[C]]))</f>
        <v>2592000</v>
      </c>
      <c r="X659" s="198">
        <f>IF(NOTA[[#This Row],[JUMLAH]]="","",NOTA[[#This Row],[JUMLAH]]*NOTA[[#This Row],[DISC 1]])</f>
        <v>440640.00000000006</v>
      </c>
      <c r="Y659" s="198">
        <f>IF(NOTA[[#This Row],[JUMLAH]]="","",(NOTA[[#This Row],[JUMLAH]]-NOTA[[#This Row],[DISC 1-]])*NOTA[[#This Row],[DISC 2]])</f>
        <v>0</v>
      </c>
      <c r="Z659" s="198">
        <f>IF(NOTA[[#This Row],[JUMLAH]]="","",NOTA[[#This Row],[DISC 1-]]+NOTA[[#This Row],[DISC 2-]])</f>
        <v>440640.00000000006</v>
      </c>
      <c r="AA659" s="198">
        <f>IF(NOTA[[#This Row],[JUMLAH]]="","",NOTA[[#This Row],[JUMLAH]]-NOTA[[#This Row],[DISC]])</f>
        <v>2151360</v>
      </c>
      <c r="AB659" s="198"/>
      <c r="AC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187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659" s="200" t="str">
        <f>IF(OR(NOTA[[#This Row],[QTY]]="",NOTA[[#This Row],[HARGA SATUAN]]="",),"",NOTA[[#This Row],[QTY]]*NOTA[[#This Row],[HARGA SATUAN]])</f>
        <v/>
      </c>
      <c r="AG659" s="192">
        <f ca="1">IF(NOTA[ID_H]="","",INDEX(NOTA[TANGGAL],MATCH(,INDIRECT(ADDRESS(ROW(NOTA[TANGGAL]),COLUMN(NOTA[TANGGAL]))&amp;":"&amp;ADDRESS(ROW(),COLUMN(NOTA[TANGGAL]))),-1)))</f>
        <v>45069</v>
      </c>
      <c r="AH659" s="187" t="str">
        <f ca="1">IF(NOTA[[#This Row],[NAMA BARANG]]="","",INDEX(NOTA[SUPPLIER],MATCH(,INDIRECT(ADDRESS(ROW(NOTA[ID]),COLUMN(NOTA[ID]))&amp;":"&amp;ADDRESS(ROW(),COLUMN(NOTA[ID]))),-1)))</f>
        <v>KENKO SINAR INDONESIA</v>
      </c>
      <c r="AI659" s="187" t="str">
        <f ca="1">IF(NOTA[[#This Row],[ID_H]]="","",IF(NOTA[[#This Row],[FAKTUR]]="",INDIRECT(ADDRESS(ROW()-1,COLUMN())),NOTA[[#This Row],[FAKTUR]]))</f>
        <v>ARTO MORO</v>
      </c>
      <c r="AJ659" s="188" t="str">
        <f ca="1">IF(NOTA[[#This Row],[ID]]="","",COUNTIF(NOTA[ID_H],NOTA[[#This Row],[ID_H]]))</f>
        <v/>
      </c>
      <c r="AK659" s="188">
        <f ca="1">IF(NOTA[[#This Row],[TGL.NOTA]]="",IF(NOTA[[#This Row],[SUPPLIER_H]]="","",AK658),MONTH(NOTA[[#This Row],[TGL.NOTA]]))</f>
        <v>5</v>
      </c>
      <c r="AL659" s="188" t="str">
        <f>LOWER(SUBSTITUTE(SUBSTITUTE(SUBSTITUTE(SUBSTITUTE(SUBSTITUTE(SUBSTITUTE(SUBSTITUTE(SUBSTITUTE(SUBSTITUTE(NOTA[NAMA BARANG]," ",),".",""),"-",""),"(",""),")",""),",",""),"/",""),"""",""),"+",""))</f>
        <v>kenkocorrectiontapect634dt8mx5mm</v>
      </c>
      <c r="AM6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N6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kenkocorrectiontapect634dt8mx5mm25920000.17</v>
      </c>
      <c r="AO6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188" t="str">
        <f>IF(NOTA[[#This Row],[CONCAT4]]="","",_xlfn.IFNA(MATCH(NOTA[[#This Row],[CONCAT4]],[2]!RAW[CONCAT_H],0),FALSE))</f>
        <v/>
      </c>
      <c r="AQ659" s="188">
        <f>IF(NOTA[[#This Row],[CONCAT1]]="","",MATCH(NOTA[[#This Row],[CONCAT1]],[3]!db[NB NOTA_C],0)+1)</f>
        <v>1217</v>
      </c>
    </row>
    <row r="660" spans="1:43" ht="20.100000000000001" customHeight="1" x14ac:dyDescent="0.25">
      <c r="A6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188" t="str">
        <f>IF(NOTA[[#This Row],[ID_P]]="","",MATCH(NOTA[[#This Row],[ID_P]],[1]!B_MSK[N_ID],0))</f>
        <v/>
      </c>
      <c r="D660" s="188">
        <f ca="1">IF(NOTA[[#This Row],[NAMA BARANG]]="","",INDEX(NOTA[ID],MATCH(,INDIRECT(ADDRESS(ROW(NOTA[ID]),COLUMN(NOTA[ID]))&amp;":"&amp;ADDRESS(ROW(),COLUMN(NOTA[ID]))),-1)))</f>
        <v>118</v>
      </c>
      <c r="E660" s="189"/>
      <c r="F660" s="190"/>
      <c r="G660" s="190"/>
      <c r="H660" s="191"/>
      <c r="I660" s="190"/>
      <c r="J660" s="192"/>
      <c r="K660" s="190"/>
      <c r="L660" s="190" t="s">
        <v>868</v>
      </c>
      <c r="M660" s="193">
        <v>2</v>
      </c>
      <c r="N660" s="188"/>
      <c r="O660" s="190"/>
      <c r="P660" s="187"/>
      <c r="Q660" s="194">
        <v>2880000</v>
      </c>
      <c r="R660" s="195" t="s">
        <v>151</v>
      </c>
      <c r="S660" s="196">
        <v>0.17</v>
      </c>
      <c r="T660" s="197"/>
      <c r="U660" s="198"/>
      <c r="V660" s="199"/>
      <c r="W660" s="198">
        <f>IF(NOTA[[#This Row],[HARGA/ CTN]]="",NOTA[[#This Row],[JUMLAH_H]],NOTA[[#This Row],[HARGA/ CTN]]*IF(NOTA[[#This Row],[C]]="",0,NOTA[[#This Row],[C]]))</f>
        <v>5760000</v>
      </c>
      <c r="X660" s="198">
        <f>IF(NOTA[[#This Row],[JUMLAH]]="","",NOTA[[#This Row],[JUMLAH]]*NOTA[[#This Row],[DISC 1]])</f>
        <v>979200.00000000012</v>
      </c>
      <c r="Y660" s="198">
        <f>IF(NOTA[[#This Row],[JUMLAH]]="","",(NOTA[[#This Row],[JUMLAH]]-NOTA[[#This Row],[DISC 1-]])*NOTA[[#This Row],[DISC 2]])</f>
        <v>0</v>
      </c>
      <c r="Z660" s="198">
        <f>IF(NOTA[[#This Row],[JUMLAH]]="","",NOTA[[#This Row],[DISC 1-]]+NOTA[[#This Row],[DISC 2-]])</f>
        <v>979200.00000000012</v>
      </c>
      <c r="AA660" s="198">
        <f>IF(NOTA[[#This Row],[JUMLAH]]="","",NOTA[[#This Row],[JUMLAH]]-NOTA[[#This Row],[DISC]])</f>
        <v>4780800</v>
      </c>
      <c r="AB660" s="198"/>
      <c r="AC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60" s="200" t="str">
        <f>IF(OR(NOTA[[#This Row],[QTY]]="",NOTA[[#This Row],[HARGA SATUAN]]="",),"",NOTA[[#This Row],[QTY]]*NOTA[[#This Row],[HARGA SATUAN]])</f>
        <v/>
      </c>
      <c r="AG660" s="192">
        <f ca="1">IF(NOTA[ID_H]="","",INDEX(NOTA[TANGGAL],MATCH(,INDIRECT(ADDRESS(ROW(NOTA[TANGGAL]),COLUMN(NOTA[TANGGAL]))&amp;":"&amp;ADDRESS(ROW(),COLUMN(NOTA[TANGGAL]))),-1)))</f>
        <v>45069</v>
      </c>
      <c r="AH660" s="187" t="str">
        <f ca="1">IF(NOTA[[#This Row],[NAMA BARANG]]="","",INDEX(NOTA[SUPPLIER],MATCH(,INDIRECT(ADDRESS(ROW(NOTA[ID]),COLUMN(NOTA[ID]))&amp;":"&amp;ADDRESS(ROW(),COLUMN(NOTA[ID]))),-1)))</f>
        <v>KENKO SINAR INDONESIA</v>
      </c>
      <c r="AI660" s="187" t="str">
        <f ca="1">IF(NOTA[[#This Row],[ID_H]]="","",IF(NOTA[[#This Row],[FAKTUR]]="",INDIRECT(ADDRESS(ROW()-1,COLUMN())),NOTA[[#This Row],[FAKTUR]]))</f>
        <v>ARTO MORO</v>
      </c>
      <c r="AJ660" s="188" t="str">
        <f ca="1">IF(NOTA[[#This Row],[ID]]="","",COUNTIF(NOTA[ID_H],NOTA[[#This Row],[ID_H]]))</f>
        <v/>
      </c>
      <c r="AK660" s="188">
        <f ca="1">IF(NOTA[[#This Row],[TGL.NOTA]]="",IF(NOTA[[#This Row],[SUPPLIER_H]]="","",AK659),MONTH(NOTA[[#This Row],[TGL.NOTA]]))</f>
        <v>5</v>
      </c>
      <c r="AL660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6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6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6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188" t="str">
        <f>IF(NOTA[[#This Row],[CONCAT4]]="","",_xlfn.IFNA(MATCH(NOTA[[#This Row],[CONCAT4]],[2]!RAW[CONCAT_H],0),FALSE))</f>
        <v/>
      </c>
      <c r="AQ660" s="188">
        <f>IF(NOTA[[#This Row],[CONCAT1]]="","",MATCH(NOTA[[#This Row],[CONCAT1]],[3]!db[NB NOTA_C],0)+1)</f>
        <v>1225</v>
      </c>
    </row>
    <row r="661" spans="1:43" ht="20.100000000000001" customHeight="1" x14ac:dyDescent="0.25">
      <c r="A6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188" t="str">
        <f>IF(NOTA[[#This Row],[ID_P]]="","",MATCH(NOTA[[#This Row],[ID_P]],[1]!B_MSK[N_ID],0))</f>
        <v/>
      </c>
      <c r="D661" s="188">
        <f ca="1">IF(NOTA[[#This Row],[NAMA BARANG]]="","",INDEX(NOTA[ID],MATCH(,INDIRECT(ADDRESS(ROW(NOTA[ID]),COLUMN(NOTA[ID]))&amp;":"&amp;ADDRESS(ROW(),COLUMN(NOTA[ID]))),-1)))</f>
        <v>118</v>
      </c>
      <c r="E661" s="189"/>
      <c r="F661" s="190"/>
      <c r="G661" s="190"/>
      <c r="H661" s="191"/>
      <c r="I661" s="190"/>
      <c r="J661" s="192"/>
      <c r="K661" s="190"/>
      <c r="L661" s="190" t="s">
        <v>869</v>
      </c>
      <c r="M661" s="193">
        <v>1</v>
      </c>
      <c r="N661" s="188"/>
      <c r="O661" s="190"/>
      <c r="P661" s="187"/>
      <c r="Q661" s="194">
        <v>2880000</v>
      </c>
      <c r="R661" s="195" t="s">
        <v>871</v>
      </c>
      <c r="S661" s="196">
        <v>0.17</v>
      </c>
      <c r="T661" s="197"/>
      <c r="U661" s="198"/>
      <c r="V661" s="199"/>
      <c r="W661" s="198">
        <f>IF(NOTA[[#This Row],[HARGA/ CTN]]="",NOTA[[#This Row],[JUMLAH_H]],NOTA[[#This Row],[HARGA/ CTN]]*IF(NOTA[[#This Row],[C]]="",0,NOTA[[#This Row],[C]]))</f>
        <v>2880000</v>
      </c>
      <c r="X661" s="198">
        <f>IF(NOTA[[#This Row],[JUMLAH]]="","",NOTA[[#This Row],[JUMLAH]]*NOTA[[#This Row],[DISC 1]])</f>
        <v>489600.00000000006</v>
      </c>
      <c r="Y661" s="198">
        <f>IF(NOTA[[#This Row],[JUMLAH]]="","",(NOTA[[#This Row],[JUMLAH]]-NOTA[[#This Row],[DISC 1-]])*NOTA[[#This Row],[DISC 2]])</f>
        <v>0</v>
      </c>
      <c r="Z661" s="198">
        <f>IF(NOTA[[#This Row],[JUMLAH]]="","",NOTA[[#This Row],[DISC 1-]]+NOTA[[#This Row],[DISC 2-]])</f>
        <v>489600.00000000006</v>
      </c>
      <c r="AA661" s="198">
        <f>IF(NOTA[[#This Row],[JUMLAH]]="","",NOTA[[#This Row],[JUMLAH]]-NOTA[[#This Row],[DISC]])</f>
        <v>2390400</v>
      </c>
      <c r="AB661" s="198"/>
      <c r="AC6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61" s="200" t="str">
        <f>IF(OR(NOTA[[#This Row],[QTY]]="",NOTA[[#This Row],[HARGA SATUAN]]="",),"",NOTA[[#This Row],[QTY]]*NOTA[[#This Row],[HARGA SATUAN]])</f>
        <v/>
      </c>
      <c r="AG661" s="192">
        <f ca="1">IF(NOTA[ID_H]="","",INDEX(NOTA[TANGGAL],MATCH(,INDIRECT(ADDRESS(ROW(NOTA[TANGGAL]),COLUMN(NOTA[TANGGAL]))&amp;":"&amp;ADDRESS(ROW(),COLUMN(NOTA[TANGGAL]))),-1)))</f>
        <v>45069</v>
      </c>
      <c r="AH661" s="187" t="str">
        <f ca="1">IF(NOTA[[#This Row],[NAMA BARANG]]="","",INDEX(NOTA[SUPPLIER],MATCH(,INDIRECT(ADDRESS(ROW(NOTA[ID]),COLUMN(NOTA[ID]))&amp;":"&amp;ADDRESS(ROW(),COLUMN(NOTA[ID]))),-1)))</f>
        <v>KENKO SINAR INDONESIA</v>
      </c>
      <c r="AI661" s="187" t="str">
        <f ca="1">IF(NOTA[[#This Row],[ID_H]]="","",IF(NOTA[[#This Row],[FAKTUR]]="",INDIRECT(ADDRESS(ROW()-1,COLUMN())),NOTA[[#This Row],[FAKTUR]]))</f>
        <v>ARTO MORO</v>
      </c>
      <c r="AJ661" s="188" t="str">
        <f ca="1">IF(NOTA[[#This Row],[ID]]="","",COUNTIF(NOTA[ID_H],NOTA[[#This Row],[ID_H]]))</f>
        <v/>
      </c>
      <c r="AK661" s="188">
        <f ca="1">IF(NOTA[[#This Row],[TGL.NOTA]]="",IF(NOTA[[#This Row],[SUPPLIER_H]]="","",AK660),MONTH(NOTA[[#This Row],[TGL.NOTA]]))</f>
        <v>5</v>
      </c>
      <c r="AL661" s="188" t="str">
        <f>LOWER(SUBSTITUTE(SUBSTITUTE(SUBSTITUTE(SUBSTITUTE(SUBSTITUTE(SUBSTITUTE(SUBSTITUTE(SUBSTITUTE(SUBSTITUTE(NOTA[NAMA BARANG]," ",),".",""),"-",""),"(",""),")",""),",",""),"/",""),"""",""),"+",""))</f>
        <v>kenkocorrectiontapect902dt12mx5mm</v>
      </c>
      <c r="AM6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N6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kenkocorrectiontapect902dt12mx5mm28800000.17</v>
      </c>
      <c r="AO6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188" t="str">
        <f>IF(NOTA[[#This Row],[CONCAT4]]="","",_xlfn.IFNA(MATCH(NOTA[[#This Row],[CONCAT4]],[2]!RAW[CONCAT_H],0),FALSE))</f>
        <v/>
      </c>
      <c r="AQ661" s="188">
        <f>IF(NOTA[[#This Row],[CONCAT1]]="","",MATCH(NOTA[[#This Row],[CONCAT1]],[3]!db[NB NOTA_C],0)+1)</f>
        <v>1228</v>
      </c>
    </row>
    <row r="662" spans="1:43" ht="20.100000000000001" customHeight="1" x14ac:dyDescent="0.25">
      <c r="A6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188" t="str">
        <f>IF(NOTA[[#This Row],[ID_P]]="","",MATCH(NOTA[[#This Row],[ID_P]],[1]!B_MSK[N_ID],0))</f>
        <v/>
      </c>
      <c r="D662" s="188">
        <f ca="1">IF(NOTA[[#This Row],[NAMA BARANG]]="","",INDEX(NOTA[ID],MATCH(,INDIRECT(ADDRESS(ROW(NOTA[ID]),COLUMN(NOTA[ID]))&amp;":"&amp;ADDRESS(ROW(),COLUMN(NOTA[ID]))),-1)))</f>
        <v>118</v>
      </c>
      <c r="E662" s="189"/>
      <c r="F662" s="190"/>
      <c r="G662" s="190"/>
      <c r="H662" s="191"/>
      <c r="I662" s="190"/>
      <c r="J662" s="192"/>
      <c r="K662" s="190"/>
      <c r="L662" s="190" t="s">
        <v>870</v>
      </c>
      <c r="M662" s="193">
        <v>1</v>
      </c>
      <c r="N662" s="188"/>
      <c r="O662" s="190"/>
      <c r="P662" s="187"/>
      <c r="Q662" s="194">
        <v>2995200</v>
      </c>
      <c r="R662" s="195" t="s">
        <v>151</v>
      </c>
      <c r="S662" s="196">
        <v>0.17</v>
      </c>
      <c r="T662" s="197"/>
      <c r="U662" s="198"/>
      <c r="V662" s="199"/>
      <c r="W662" s="198">
        <f>IF(NOTA[[#This Row],[HARGA/ CTN]]="",NOTA[[#This Row],[JUMLAH_H]],NOTA[[#This Row],[HARGA/ CTN]]*IF(NOTA[[#This Row],[C]]="",0,NOTA[[#This Row],[C]]))</f>
        <v>2995200</v>
      </c>
      <c r="X662" s="198">
        <f>IF(NOTA[[#This Row],[JUMLAH]]="","",NOTA[[#This Row],[JUMLAH]]*NOTA[[#This Row],[DISC 1]])</f>
        <v>509184.00000000006</v>
      </c>
      <c r="Y662" s="198">
        <f>IF(NOTA[[#This Row],[JUMLAH]]="","",(NOTA[[#This Row],[JUMLAH]]-NOTA[[#This Row],[DISC 1-]])*NOTA[[#This Row],[DISC 2]])</f>
        <v>0</v>
      </c>
      <c r="Z662" s="198">
        <f>IF(NOTA[[#This Row],[JUMLAH]]="","",NOTA[[#This Row],[DISC 1-]]+NOTA[[#This Row],[DISC 2-]])</f>
        <v>509184.00000000006</v>
      </c>
      <c r="AA662" s="198">
        <f>IF(NOTA[[#This Row],[JUMLAH]]="","",NOTA[[#This Row],[JUMLAH]]-NOTA[[#This Row],[DISC]])</f>
        <v>2486016</v>
      </c>
      <c r="AB662" s="198"/>
      <c r="AC66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5887644</v>
      </c>
      <c r="AD66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28745556</v>
      </c>
      <c r="AE662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662" s="200" t="str">
        <f>IF(OR(NOTA[[#This Row],[QTY]]="",NOTA[[#This Row],[HARGA SATUAN]]="",),"",NOTA[[#This Row],[QTY]]*NOTA[[#This Row],[HARGA SATUAN]])</f>
        <v/>
      </c>
      <c r="AG662" s="192">
        <f ca="1">IF(NOTA[ID_H]="","",INDEX(NOTA[TANGGAL],MATCH(,INDIRECT(ADDRESS(ROW(NOTA[TANGGAL]),COLUMN(NOTA[TANGGAL]))&amp;":"&amp;ADDRESS(ROW(),COLUMN(NOTA[TANGGAL]))),-1)))</f>
        <v>45069</v>
      </c>
      <c r="AH662" s="187" t="str">
        <f ca="1">IF(NOTA[[#This Row],[NAMA BARANG]]="","",INDEX(NOTA[SUPPLIER],MATCH(,INDIRECT(ADDRESS(ROW(NOTA[ID]),COLUMN(NOTA[ID]))&amp;":"&amp;ADDRESS(ROW(),COLUMN(NOTA[ID]))),-1)))</f>
        <v>KENKO SINAR INDONESIA</v>
      </c>
      <c r="AI662" s="187" t="str">
        <f ca="1">IF(NOTA[[#This Row],[ID_H]]="","",IF(NOTA[[#This Row],[FAKTUR]]="",INDIRECT(ADDRESS(ROW()-1,COLUMN())),NOTA[[#This Row],[FAKTUR]]))</f>
        <v>ARTO MORO</v>
      </c>
      <c r="AJ662" s="188" t="str">
        <f ca="1">IF(NOTA[[#This Row],[ID]]="","",COUNTIF(NOTA[ID_H],NOTA[[#This Row],[ID_H]]))</f>
        <v/>
      </c>
      <c r="AK662" s="188">
        <f ca="1">IF(NOTA[[#This Row],[TGL.NOTA]]="",IF(NOTA[[#This Row],[SUPPLIER_H]]="","",AK661),MONTH(NOTA[[#This Row],[TGL.NOTA]]))</f>
        <v>5</v>
      </c>
      <c r="AL662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6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6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6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188" t="str">
        <f>IF(NOTA[[#This Row],[CONCAT4]]="","",_xlfn.IFNA(MATCH(NOTA[[#This Row],[CONCAT4]],[2]!RAW[CONCAT_H],0),FALSE))</f>
        <v/>
      </c>
      <c r="AQ662" s="188">
        <f>IF(NOTA[[#This Row],[CONCAT1]]="","",MATCH(NOTA[[#This Row],[CONCAT1]],[3]!db[NB NOTA_C],0)+1)</f>
        <v>1231</v>
      </c>
    </row>
    <row r="663" spans="1:43" ht="20.100000000000001" customHeight="1" x14ac:dyDescent="0.25">
      <c r="A6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188" t="str">
        <f>IF(NOTA[[#This Row],[ID_P]]="","",MATCH(NOTA[[#This Row],[ID_P]],[1]!B_MSK[N_ID],0))</f>
        <v/>
      </c>
      <c r="D663" s="188" t="str">
        <f ca="1">IF(NOTA[[#This Row],[NAMA BARANG]]="","",INDEX(NOTA[ID],MATCH(,INDIRECT(ADDRESS(ROW(NOTA[ID]),COLUMN(NOTA[ID]))&amp;":"&amp;ADDRESS(ROW(),COLUMN(NOTA[ID]))),-1)))</f>
        <v/>
      </c>
      <c r="E663" s="189"/>
      <c r="F663" s="190"/>
      <c r="G663" s="190"/>
      <c r="H663" s="191"/>
      <c r="I663" s="190"/>
      <c r="J663" s="192"/>
      <c r="K663" s="190"/>
      <c r="L663" s="190"/>
      <c r="M663" s="193"/>
      <c r="N663" s="188"/>
      <c r="O663" s="190"/>
      <c r="P663" s="187"/>
      <c r="Q663" s="194"/>
      <c r="R663" s="195"/>
      <c r="S663" s="196"/>
      <c r="T663" s="197"/>
      <c r="U663" s="198"/>
      <c r="V663" s="199"/>
      <c r="W663" s="198" t="str">
        <f>IF(NOTA[[#This Row],[HARGA/ CTN]]="",NOTA[[#This Row],[JUMLAH_H]],NOTA[[#This Row],[HARGA/ CTN]]*IF(NOTA[[#This Row],[C]]="",0,NOTA[[#This Row],[C]]))</f>
        <v/>
      </c>
      <c r="X663" s="198" t="str">
        <f>IF(NOTA[[#This Row],[JUMLAH]]="","",NOTA[[#This Row],[JUMLAH]]*NOTA[[#This Row],[DISC 1]])</f>
        <v/>
      </c>
      <c r="Y663" s="198" t="str">
        <f>IF(NOTA[[#This Row],[JUMLAH]]="","",(NOTA[[#This Row],[JUMLAH]]-NOTA[[#This Row],[DISC 1-]])*NOTA[[#This Row],[DISC 2]])</f>
        <v/>
      </c>
      <c r="Z663" s="198" t="str">
        <f>IF(NOTA[[#This Row],[JUMLAH]]="","",NOTA[[#This Row],[DISC 1-]]+NOTA[[#This Row],[DISC 2-]])</f>
        <v/>
      </c>
      <c r="AA663" s="198" t="str">
        <f>IF(NOTA[[#This Row],[JUMLAH]]="","",NOTA[[#This Row],[JUMLAH]]-NOTA[[#This Row],[DISC]])</f>
        <v/>
      </c>
      <c r="AB663" s="198"/>
      <c r="AC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200" t="str">
        <f>IF(OR(NOTA[[#This Row],[QTY]]="",NOTA[[#This Row],[HARGA SATUAN]]="",),"",NOTA[[#This Row],[QTY]]*NOTA[[#This Row],[HARGA SATUAN]])</f>
        <v/>
      </c>
      <c r="AG663" s="192" t="str">
        <f ca="1">IF(NOTA[ID_H]="","",INDEX(NOTA[TANGGAL],MATCH(,INDIRECT(ADDRESS(ROW(NOTA[TANGGAL]),COLUMN(NOTA[TANGGAL]))&amp;":"&amp;ADDRESS(ROW(),COLUMN(NOTA[TANGGAL]))),-1)))</f>
        <v/>
      </c>
      <c r="AH663" s="187" t="str">
        <f ca="1">IF(NOTA[[#This Row],[NAMA BARANG]]="","",INDEX(NOTA[SUPPLIER],MATCH(,INDIRECT(ADDRESS(ROW(NOTA[ID]),COLUMN(NOTA[ID]))&amp;":"&amp;ADDRESS(ROW(),COLUMN(NOTA[ID]))),-1)))</f>
        <v/>
      </c>
      <c r="AI663" s="187" t="str">
        <f ca="1">IF(NOTA[[#This Row],[ID_H]]="","",IF(NOTA[[#This Row],[FAKTUR]]="",INDIRECT(ADDRESS(ROW()-1,COLUMN())),NOTA[[#This Row],[FAKTUR]]))</f>
        <v/>
      </c>
      <c r="AJ663" s="188" t="str">
        <f ca="1">IF(NOTA[[#This Row],[ID]]="","",COUNTIF(NOTA[ID_H],NOTA[[#This Row],[ID_H]]))</f>
        <v/>
      </c>
      <c r="AK663" s="188" t="str">
        <f ca="1">IF(NOTA[[#This Row],[TGL.NOTA]]="",IF(NOTA[[#This Row],[SUPPLIER_H]]="","",AK662),MONTH(NOTA[[#This Row],[TGL.NOTA]]))</f>
        <v/>
      </c>
      <c r="AL663" s="188" t="str">
        <f>LOWER(SUBSTITUTE(SUBSTITUTE(SUBSTITUTE(SUBSTITUTE(SUBSTITUTE(SUBSTITUTE(SUBSTITUTE(SUBSTITUTE(SUBSTITUTE(NOTA[NAMA BARANG]," ",),".",""),"-",""),"(",""),")",""),",",""),"/",""),"""",""),"+",""))</f>
        <v/>
      </c>
      <c r="AM6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188" t="str">
        <f>IF(NOTA[[#This Row],[CONCAT4]]="","",_xlfn.IFNA(MATCH(NOTA[[#This Row],[CONCAT4]],[2]!RAW[CONCAT_H],0),FALSE))</f>
        <v/>
      </c>
      <c r="AQ663" s="188" t="str">
        <f>IF(NOTA[[#This Row],[CONCAT1]]="","",MATCH(NOTA[[#This Row],[CONCAT1]],[3]!db[NB NOTA_C],0)+1)</f>
        <v/>
      </c>
    </row>
    <row r="664" spans="1:43" ht="20.100000000000001" customHeight="1" x14ac:dyDescent="0.25">
      <c r="A664" s="187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ALP_2305_A01-1</v>
      </c>
      <c r="C664" s="188" t="e">
        <f ca="1">IF(NOTA[[#This Row],[ID_P]]="","",MATCH(NOTA[[#This Row],[ID_P]],[1]!B_MSK[N_ID],0))</f>
        <v>#REF!</v>
      </c>
      <c r="D664" s="188">
        <f ca="1">IF(NOTA[[#This Row],[NAMA BARANG]]="","",INDEX(NOTA[ID],MATCH(,INDIRECT(ADDRESS(ROW(NOTA[ID]),COLUMN(NOTA[ID]))&amp;":"&amp;ADDRESS(ROW(),COLUMN(NOTA[ID]))),-1)))</f>
        <v>119</v>
      </c>
      <c r="E664" s="189"/>
      <c r="F664" s="190" t="s">
        <v>765</v>
      </c>
      <c r="G664" s="190" t="s">
        <v>112</v>
      </c>
      <c r="H664" s="191" t="s">
        <v>874</v>
      </c>
      <c r="I664" s="190"/>
      <c r="J664" s="192">
        <v>45068</v>
      </c>
      <c r="K664" s="190"/>
      <c r="L664" s="190" t="s">
        <v>875</v>
      </c>
      <c r="M664" s="193">
        <v>10</v>
      </c>
      <c r="N664" s="188">
        <v>400</v>
      </c>
      <c r="O664" s="190" t="s">
        <v>160</v>
      </c>
      <c r="P664" s="187">
        <v>17500</v>
      </c>
      <c r="Q664" s="194"/>
      <c r="R664" s="195" t="s">
        <v>771</v>
      </c>
      <c r="S664" s="196">
        <v>0.27500000000000002</v>
      </c>
      <c r="T664" s="197"/>
      <c r="U664" s="198"/>
      <c r="V664" s="199"/>
      <c r="W664" s="198">
        <f>IF(NOTA[[#This Row],[HARGA/ CTN]]="",NOTA[[#This Row],[JUMLAH_H]],NOTA[[#This Row],[HARGA/ CTN]]*IF(NOTA[[#This Row],[C]]="",0,NOTA[[#This Row],[C]]))</f>
        <v>7000000</v>
      </c>
      <c r="X664" s="198">
        <f>IF(NOTA[[#This Row],[JUMLAH]]="","",NOTA[[#This Row],[JUMLAH]]*NOTA[[#This Row],[DISC 1]])</f>
        <v>1925000.0000000002</v>
      </c>
      <c r="Y664" s="198">
        <f>IF(NOTA[[#This Row],[JUMLAH]]="","",(NOTA[[#This Row],[JUMLAH]]-NOTA[[#This Row],[DISC 1-]])*NOTA[[#This Row],[DISC 2]])</f>
        <v>0</v>
      </c>
      <c r="Z664" s="198">
        <f>IF(NOTA[[#This Row],[JUMLAH]]="","",NOTA[[#This Row],[DISC 1-]]+NOTA[[#This Row],[DISC 2-]])</f>
        <v>1925000.0000000002</v>
      </c>
      <c r="AA664" s="198">
        <f>IF(NOTA[[#This Row],[JUMLAH]]="","",NOTA[[#This Row],[JUMLAH]]-NOTA[[#This Row],[DISC]])</f>
        <v>5075000</v>
      </c>
      <c r="AB664" s="198"/>
      <c r="AC6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6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664" s="187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664" s="200">
        <f>IF(OR(NOTA[[#This Row],[QTY]]="",NOTA[[#This Row],[HARGA SATUAN]]="",),"",NOTA[[#This Row],[QTY]]*NOTA[[#This Row],[HARGA SATUAN]])</f>
        <v>7000000</v>
      </c>
      <c r="AG664" s="192">
        <f ca="1">IF(NOTA[ID_H]="","",INDEX(NOTA[TANGGAL],MATCH(,INDIRECT(ADDRESS(ROW(NOTA[TANGGAL]),COLUMN(NOTA[TANGGAL]))&amp;":"&amp;ADDRESS(ROW(),COLUMN(NOTA[TANGGAL]))),-1)))</f>
        <v>45069</v>
      </c>
      <c r="AH664" s="187" t="str">
        <f ca="1">IF(NOTA[[#This Row],[NAMA BARANG]]="","",INDEX(NOTA[SUPPLIER],MATCH(,INDIRECT(ADDRESS(ROW(NOTA[ID]),COLUMN(NOTA[ID]))&amp;":"&amp;ADDRESS(ROW(),COLUMN(NOTA[ID]))),-1)))</f>
        <v>ALPHINDO</v>
      </c>
      <c r="AI664" s="187" t="str">
        <f ca="1">IF(NOTA[[#This Row],[ID_H]]="","",IF(NOTA[[#This Row],[FAKTUR]]="",INDIRECT(ADDRESS(ROW()-1,COLUMN())),NOTA[[#This Row],[FAKTUR]]))</f>
        <v>UNTANA</v>
      </c>
      <c r="AJ664" s="188">
        <f ca="1">IF(NOTA[[#This Row],[ID]]="","",COUNTIF(NOTA[ID_H],NOTA[[#This Row],[ID_H]]))</f>
        <v>1</v>
      </c>
      <c r="AK664" s="188">
        <f>IF(NOTA[[#This Row],[TGL.NOTA]]="",IF(NOTA[[#This Row],[SUPPLIER_H]]="","",AK663),MONTH(NOTA[[#This Row],[TGL.NOTA]]))</f>
        <v>5</v>
      </c>
      <c r="AL664" s="188" t="str">
        <f>LOWER(SUBSTITUTE(SUBSTITUTE(SUBSTITUTE(SUBSTITUTE(SUBSTITUTE(SUBSTITUTE(SUBSTITUTE(SUBSTITUTE(SUBSTITUTE(NOTA[NAMA BARANG]," ",),".",""),"-",""),"(",""),")",""),",",""),"/",""),"""",""),"+",""))</f>
        <v>dispkjno50</v>
      </c>
      <c r="AM6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N6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O664" s="188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ALPHINDOUNTANAXIAXIA0145068dispkjno50</v>
      </c>
      <c r="AP664" s="188" t="e">
        <f>IF(NOTA[[#This Row],[CONCAT4]]="","",_xlfn.IFNA(MATCH(NOTA[[#This Row],[CONCAT4]],[2]!RAW[CONCAT_H],0),FALSE))</f>
        <v>#REF!</v>
      </c>
      <c r="AQ664" s="188">
        <f>IF(NOTA[[#This Row],[CONCAT1]]="","",MATCH(NOTA[[#This Row],[CONCAT1]],[3]!db[NB NOTA_C],0)+1)</f>
        <v>641</v>
      </c>
    </row>
    <row r="665" spans="1:43" ht="20.100000000000001" customHeight="1" x14ac:dyDescent="0.25">
      <c r="A6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188" t="str">
        <f>IF(NOTA[[#This Row],[ID_P]]="","",MATCH(NOTA[[#This Row],[ID_P]],[1]!B_MSK[N_ID],0))</f>
        <v/>
      </c>
      <c r="D665" s="188" t="str">
        <f ca="1">IF(NOTA[[#This Row],[NAMA BARANG]]="","",INDEX(NOTA[ID],MATCH(,INDIRECT(ADDRESS(ROW(NOTA[ID]),COLUMN(NOTA[ID]))&amp;":"&amp;ADDRESS(ROW(),COLUMN(NOTA[ID]))),-1)))</f>
        <v/>
      </c>
      <c r="E665" s="189"/>
      <c r="F665" s="190"/>
      <c r="G665" s="190"/>
      <c r="H665" s="191"/>
      <c r="I665" s="190"/>
      <c r="J665" s="192"/>
      <c r="K665" s="190"/>
      <c r="L665" s="190"/>
      <c r="M665" s="193"/>
      <c r="N665" s="188"/>
      <c r="O665" s="190"/>
      <c r="P665" s="187"/>
      <c r="Q665" s="194"/>
      <c r="R665" s="195"/>
      <c r="S665" s="196"/>
      <c r="T665" s="197"/>
      <c r="U665" s="198"/>
      <c r="V665" s="199"/>
      <c r="W665" s="198" t="str">
        <f>IF(NOTA[[#This Row],[HARGA/ CTN]]="",NOTA[[#This Row],[JUMLAH_H]],NOTA[[#This Row],[HARGA/ CTN]]*IF(NOTA[[#This Row],[C]]="",0,NOTA[[#This Row],[C]]))</f>
        <v/>
      </c>
      <c r="X665" s="198" t="str">
        <f>IF(NOTA[[#This Row],[JUMLAH]]="","",NOTA[[#This Row],[JUMLAH]]*NOTA[[#This Row],[DISC 1]])</f>
        <v/>
      </c>
      <c r="Y665" s="198" t="str">
        <f>IF(NOTA[[#This Row],[JUMLAH]]="","",(NOTA[[#This Row],[JUMLAH]]-NOTA[[#This Row],[DISC 1-]])*NOTA[[#This Row],[DISC 2]])</f>
        <v/>
      </c>
      <c r="Z665" s="198" t="str">
        <f>IF(NOTA[[#This Row],[JUMLAH]]="","",NOTA[[#This Row],[DISC 1-]]+NOTA[[#This Row],[DISC 2-]])</f>
        <v/>
      </c>
      <c r="AA665" s="198" t="str">
        <f>IF(NOTA[[#This Row],[JUMLAH]]="","",NOTA[[#This Row],[JUMLAH]]-NOTA[[#This Row],[DISC]])</f>
        <v/>
      </c>
      <c r="AB665" s="198"/>
      <c r="AC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5" s="200" t="str">
        <f>IF(OR(NOTA[[#This Row],[QTY]]="",NOTA[[#This Row],[HARGA SATUAN]]="",),"",NOTA[[#This Row],[QTY]]*NOTA[[#This Row],[HARGA SATUAN]])</f>
        <v/>
      </c>
      <c r="AG665" s="192" t="str">
        <f ca="1">IF(NOTA[ID_H]="","",INDEX(NOTA[TANGGAL],MATCH(,INDIRECT(ADDRESS(ROW(NOTA[TANGGAL]),COLUMN(NOTA[TANGGAL]))&amp;":"&amp;ADDRESS(ROW(),COLUMN(NOTA[TANGGAL]))),-1)))</f>
        <v/>
      </c>
      <c r="AH665" s="187" t="str">
        <f ca="1">IF(NOTA[[#This Row],[NAMA BARANG]]="","",INDEX(NOTA[SUPPLIER],MATCH(,INDIRECT(ADDRESS(ROW(NOTA[ID]),COLUMN(NOTA[ID]))&amp;":"&amp;ADDRESS(ROW(),COLUMN(NOTA[ID]))),-1)))</f>
        <v/>
      </c>
      <c r="AI665" s="187" t="str">
        <f ca="1">IF(NOTA[[#This Row],[ID_H]]="","",IF(NOTA[[#This Row],[FAKTUR]]="",INDIRECT(ADDRESS(ROW()-1,COLUMN())),NOTA[[#This Row],[FAKTUR]]))</f>
        <v/>
      </c>
      <c r="AJ665" s="188" t="str">
        <f ca="1">IF(NOTA[[#This Row],[ID]]="","",COUNTIF(NOTA[ID_H],NOTA[[#This Row],[ID_H]]))</f>
        <v/>
      </c>
      <c r="AK665" s="188" t="str">
        <f ca="1">IF(NOTA[[#This Row],[TGL.NOTA]]="",IF(NOTA[[#This Row],[SUPPLIER_H]]="","",AK664),MONTH(NOTA[[#This Row],[TGL.NOTA]]))</f>
        <v/>
      </c>
      <c r="AL665" s="188" t="str">
        <f>LOWER(SUBSTITUTE(SUBSTITUTE(SUBSTITUTE(SUBSTITUTE(SUBSTITUTE(SUBSTITUTE(SUBSTITUTE(SUBSTITUTE(SUBSTITUTE(NOTA[NAMA BARANG]," ",),".",""),"-",""),"(",""),")",""),",",""),"/",""),"""",""),"+",""))</f>
        <v/>
      </c>
      <c r="AM6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188" t="str">
        <f>IF(NOTA[[#This Row],[CONCAT4]]="","",_xlfn.IFNA(MATCH(NOTA[[#This Row],[CONCAT4]],[2]!RAW[CONCAT_H],0),FALSE))</f>
        <v/>
      </c>
      <c r="AQ665" s="188" t="str">
        <f>IF(NOTA[[#This Row],[CONCAT1]]="","",MATCH(NOTA[[#This Row],[CONCAT1]],[3]!db[NB NOTA_C],0)+1)</f>
        <v/>
      </c>
    </row>
    <row r="666" spans="1:43" ht="20.100000000000001" customHeight="1" x14ac:dyDescent="0.25">
      <c r="A666" s="187">
        <f ca="1">IF(INDIRECT(ADDRESS(ROW()-1,COLUMN(NOTA[[#Headers],[ID]])))="ID",1,IF(NOTA[[#This Row],[FAKTUR]]="","",COUNT(INDIRECT(ADDRESS(ROW(NOTA[ID]),COLUMN(NOTA[ID]))&amp;":"&amp;ADDRESS(ROW()-1,COLUMN(NOTA[ID]))))+1))</f>
        <v>120</v>
      </c>
      <c r="B66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GLO_2405_ 31-1</v>
      </c>
      <c r="C666" s="188" t="e">
        <f ca="1">IF(NOTA[[#This Row],[ID_P]]="","",MATCH(NOTA[[#This Row],[ID_P]],[1]!B_MSK[N_ID],0))</f>
        <v>#REF!</v>
      </c>
      <c r="D666" s="188">
        <f ca="1">IF(NOTA[[#This Row],[NAMA BARANG]]="","",INDEX(NOTA[ID],MATCH(,INDIRECT(ADDRESS(ROW(NOTA[ID]),COLUMN(NOTA[ID]))&amp;":"&amp;ADDRESS(ROW(),COLUMN(NOTA[ID]))),-1)))</f>
        <v>120</v>
      </c>
      <c r="E666" s="189">
        <v>45070</v>
      </c>
      <c r="F666" s="190" t="s">
        <v>460</v>
      </c>
      <c r="G666" s="190" t="s">
        <v>112</v>
      </c>
      <c r="H666" s="191" t="s">
        <v>876</v>
      </c>
      <c r="I666" s="190"/>
      <c r="J666" s="192">
        <v>45070</v>
      </c>
      <c r="K666" s="190"/>
      <c r="L666" s="190" t="s">
        <v>462</v>
      </c>
      <c r="M666" s="193"/>
      <c r="N666" s="188">
        <v>7</v>
      </c>
      <c r="O666" s="190" t="s">
        <v>146</v>
      </c>
      <c r="P666" s="187">
        <v>161000</v>
      </c>
      <c r="Q666" s="194"/>
      <c r="R666" s="195"/>
      <c r="S666" s="196"/>
      <c r="T666" s="197"/>
      <c r="U666" s="198"/>
      <c r="V666" s="199" t="s">
        <v>877</v>
      </c>
      <c r="W666" s="198">
        <f>IF(NOTA[[#This Row],[HARGA/ CTN]]="",NOTA[[#This Row],[JUMLAH_H]],NOTA[[#This Row],[HARGA/ CTN]]*IF(NOTA[[#This Row],[C]]="",0,NOTA[[#This Row],[C]]))</f>
        <v>1127000</v>
      </c>
      <c r="X666" s="198">
        <f>IF(NOTA[[#This Row],[JUMLAH]]="","",NOTA[[#This Row],[JUMLAH]]*NOTA[[#This Row],[DISC 1]])</f>
        <v>0</v>
      </c>
      <c r="Y666" s="198">
        <f>IF(NOTA[[#This Row],[JUMLAH]]="","",(NOTA[[#This Row],[JUMLAH]]-NOTA[[#This Row],[DISC 1-]])*NOTA[[#This Row],[DISC 2]])</f>
        <v>0</v>
      </c>
      <c r="Z666" s="198">
        <f>IF(NOTA[[#This Row],[JUMLAH]]="","",NOTA[[#This Row],[DISC 1-]]+NOTA[[#This Row],[DISC 2-]])</f>
        <v>0</v>
      </c>
      <c r="AA666" s="198">
        <f>IF(NOTA[[#This Row],[JUMLAH]]="","",NOTA[[#This Row],[JUMLAH]]-NOTA[[#This Row],[DISC]])</f>
        <v>1127000</v>
      </c>
      <c r="AB666" s="198"/>
      <c r="AC6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E666" s="187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666" s="200">
        <f>IF(OR(NOTA[[#This Row],[QTY]]="",NOTA[[#This Row],[HARGA SATUAN]]="",),"",NOTA[[#This Row],[QTY]]*NOTA[[#This Row],[HARGA SATUAN]])</f>
        <v>1127000</v>
      </c>
      <c r="AG666" s="192">
        <f ca="1">IF(NOTA[ID_H]="","",INDEX(NOTA[TANGGAL],MATCH(,INDIRECT(ADDRESS(ROW(NOTA[TANGGAL]),COLUMN(NOTA[TANGGAL]))&amp;":"&amp;ADDRESS(ROW(),COLUMN(NOTA[TANGGAL]))),-1)))</f>
        <v>45070</v>
      </c>
      <c r="AH666" s="187" t="str">
        <f ca="1">IF(NOTA[[#This Row],[NAMA BARANG]]="","",INDEX(NOTA[SUPPLIER],MATCH(,INDIRECT(ADDRESS(ROW(NOTA[ID]),COLUMN(NOTA[ID]))&amp;":"&amp;ADDRESS(ROW(),COLUMN(NOTA[ID]))),-1)))</f>
        <v>GLORY</v>
      </c>
      <c r="AI666" s="187" t="str">
        <f ca="1">IF(NOTA[[#This Row],[ID_H]]="","",IF(NOTA[[#This Row],[FAKTUR]]="",INDIRECT(ADDRESS(ROW()-1,COLUMN())),NOTA[[#This Row],[FAKTUR]]))</f>
        <v>UNTANA</v>
      </c>
      <c r="AJ666" s="188">
        <f ca="1">IF(NOTA[[#This Row],[ID]]="","",COUNTIF(NOTA[ID_H],NOTA[[#This Row],[ID_H]]))</f>
        <v>1</v>
      </c>
      <c r="AK666" s="188">
        <f>IF(NOTA[[#This Row],[TGL.NOTA]]="",IF(NOTA[[#This Row],[SUPPLIER_H]]="","",AK665),MONTH(NOTA[[#This Row],[TGL.NOTA]]))</f>
        <v>5</v>
      </c>
      <c r="AL666" s="188" t="str">
        <f>LOWER(SUBSTITUTE(SUBSTITUTE(SUBSTITUTE(SUBSTITUTE(SUBSTITUTE(SUBSTITUTE(SUBSTITUTE(SUBSTITUTE(SUBSTITUTE(NOTA[NAMA BARANG]," ",),".",""),"-",""),"(",""),")",""),",",""),"/",""),"""",""),"+",""))</f>
        <v>btbatik</v>
      </c>
      <c r="AM6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6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666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 3145070btbatik</v>
      </c>
      <c r="AP666" s="188" t="e">
        <f>IF(NOTA[[#This Row],[CONCAT4]]="","",_xlfn.IFNA(MATCH(NOTA[[#This Row],[CONCAT4]],[2]!RAW[CONCAT_H],0),FALSE))</f>
        <v>#REF!</v>
      </c>
      <c r="AQ666" s="188">
        <f>IF(NOTA[[#This Row],[CONCAT1]]="","",MATCH(NOTA[[#This Row],[CONCAT1]],[3]!db[NB NOTA_C],0)+1)</f>
        <v>371</v>
      </c>
    </row>
    <row r="667" spans="1:43" ht="20.100000000000001" customHeight="1" x14ac:dyDescent="0.25">
      <c r="A6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188" t="str">
        <f>IF(NOTA[[#This Row],[ID_P]]="","",MATCH(NOTA[[#This Row],[ID_P]],[1]!B_MSK[N_ID],0))</f>
        <v/>
      </c>
      <c r="D667" s="188" t="str">
        <f ca="1">IF(NOTA[[#This Row],[NAMA BARANG]]="","",INDEX(NOTA[ID],MATCH(,INDIRECT(ADDRESS(ROW(NOTA[ID]),COLUMN(NOTA[ID]))&amp;":"&amp;ADDRESS(ROW(),COLUMN(NOTA[ID]))),-1)))</f>
        <v/>
      </c>
      <c r="E667" s="189"/>
      <c r="F667" s="190"/>
      <c r="G667" s="190"/>
      <c r="H667" s="191"/>
      <c r="I667" s="190"/>
      <c r="J667" s="192"/>
      <c r="K667" s="190"/>
      <c r="L667" s="190"/>
      <c r="M667" s="193"/>
      <c r="N667" s="188"/>
      <c r="O667" s="190"/>
      <c r="P667" s="187"/>
      <c r="Q667" s="194"/>
      <c r="R667" s="195"/>
      <c r="S667" s="196"/>
      <c r="T667" s="197"/>
      <c r="U667" s="198"/>
      <c r="V667" s="199"/>
      <c r="W667" s="198" t="str">
        <f>IF(NOTA[[#This Row],[HARGA/ CTN]]="",NOTA[[#This Row],[JUMLAH_H]],NOTA[[#This Row],[HARGA/ CTN]]*IF(NOTA[[#This Row],[C]]="",0,NOTA[[#This Row],[C]]))</f>
        <v/>
      </c>
      <c r="X667" s="198" t="str">
        <f>IF(NOTA[[#This Row],[JUMLAH]]="","",NOTA[[#This Row],[JUMLAH]]*NOTA[[#This Row],[DISC 1]])</f>
        <v/>
      </c>
      <c r="Y667" s="198" t="str">
        <f>IF(NOTA[[#This Row],[JUMLAH]]="","",(NOTA[[#This Row],[JUMLAH]]-NOTA[[#This Row],[DISC 1-]])*NOTA[[#This Row],[DISC 2]])</f>
        <v/>
      </c>
      <c r="Z667" s="198" t="str">
        <f>IF(NOTA[[#This Row],[JUMLAH]]="","",NOTA[[#This Row],[DISC 1-]]+NOTA[[#This Row],[DISC 2-]])</f>
        <v/>
      </c>
      <c r="AA667" s="198" t="str">
        <f>IF(NOTA[[#This Row],[JUMLAH]]="","",NOTA[[#This Row],[JUMLAH]]-NOTA[[#This Row],[DISC]])</f>
        <v/>
      </c>
      <c r="AB667" s="198"/>
      <c r="AC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7" s="200" t="str">
        <f>IF(OR(NOTA[[#This Row],[QTY]]="",NOTA[[#This Row],[HARGA SATUAN]]="",),"",NOTA[[#This Row],[QTY]]*NOTA[[#This Row],[HARGA SATUAN]])</f>
        <v/>
      </c>
      <c r="AG667" s="192" t="str">
        <f ca="1">IF(NOTA[ID_H]="","",INDEX(NOTA[TANGGAL],MATCH(,INDIRECT(ADDRESS(ROW(NOTA[TANGGAL]),COLUMN(NOTA[TANGGAL]))&amp;":"&amp;ADDRESS(ROW(),COLUMN(NOTA[TANGGAL]))),-1)))</f>
        <v/>
      </c>
      <c r="AH667" s="187" t="str">
        <f ca="1">IF(NOTA[[#This Row],[NAMA BARANG]]="","",INDEX(NOTA[SUPPLIER],MATCH(,INDIRECT(ADDRESS(ROW(NOTA[ID]),COLUMN(NOTA[ID]))&amp;":"&amp;ADDRESS(ROW(),COLUMN(NOTA[ID]))),-1)))</f>
        <v/>
      </c>
      <c r="AI667" s="187" t="str">
        <f ca="1">IF(NOTA[[#This Row],[ID_H]]="","",IF(NOTA[[#This Row],[FAKTUR]]="",INDIRECT(ADDRESS(ROW()-1,COLUMN())),NOTA[[#This Row],[FAKTUR]]))</f>
        <v/>
      </c>
      <c r="AJ667" s="188" t="str">
        <f ca="1">IF(NOTA[[#This Row],[ID]]="","",COUNTIF(NOTA[ID_H],NOTA[[#This Row],[ID_H]]))</f>
        <v/>
      </c>
      <c r="AK667" s="188" t="str">
        <f ca="1">IF(NOTA[[#This Row],[TGL.NOTA]]="",IF(NOTA[[#This Row],[SUPPLIER_H]]="","",AK666),MONTH(NOTA[[#This Row],[TGL.NOTA]]))</f>
        <v/>
      </c>
      <c r="AL667" s="188" t="str">
        <f>LOWER(SUBSTITUTE(SUBSTITUTE(SUBSTITUTE(SUBSTITUTE(SUBSTITUTE(SUBSTITUTE(SUBSTITUTE(SUBSTITUTE(SUBSTITUTE(NOTA[NAMA BARANG]," ",),".",""),"-",""),"(",""),")",""),",",""),"/",""),"""",""),"+",""))</f>
        <v/>
      </c>
      <c r="AM6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188" t="str">
        <f>IF(NOTA[[#This Row],[CONCAT4]]="","",_xlfn.IFNA(MATCH(NOTA[[#This Row],[CONCAT4]],[2]!RAW[CONCAT_H],0),FALSE))</f>
        <v/>
      </c>
      <c r="AQ667" s="188" t="str">
        <f>IF(NOTA[[#This Row],[CONCAT1]]="","",MATCH(NOTA[[#This Row],[CONCAT1]],[3]!db[NB NOTA_C],0)+1)</f>
        <v/>
      </c>
    </row>
    <row r="668" spans="1:43" ht="20.100000000000001" customHeight="1" x14ac:dyDescent="0.25">
      <c r="A668" s="187">
        <f ca="1">IF(INDIRECT(ADDRESS(ROW()-1,COLUMN(NOTA[[#Headers],[ID]])))="ID",1,IF(NOTA[[#This Row],[FAKTUR]]="","",COUNT(INDIRECT(ADDRESS(ROW(NOTA[ID]),COLUMN(NOTA[ID]))&amp;":"&amp;ADDRESS(ROW()-1,COLUMN(NOTA[ID]))))+1))</f>
        <v>121</v>
      </c>
      <c r="B66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ATA_2405_030-10</v>
      </c>
      <c r="C668" s="188" t="e">
        <f ca="1">IF(NOTA[[#This Row],[ID_P]]="","",MATCH(NOTA[[#This Row],[ID_P]],[1]!B_MSK[N_ID],0))</f>
        <v>#REF!</v>
      </c>
      <c r="D668" s="188">
        <f ca="1">IF(NOTA[[#This Row],[NAMA BARANG]]="","",INDEX(NOTA[ID],MATCH(,INDIRECT(ADDRESS(ROW(NOTA[ID]),COLUMN(NOTA[ID]))&amp;":"&amp;ADDRESS(ROW(),COLUMN(NOTA[ID]))),-1)))</f>
        <v>121</v>
      </c>
      <c r="E668" s="189"/>
      <c r="F668" s="190" t="s">
        <v>25</v>
      </c>
      <c r="G668" s="190" t="s">
        <v>24</v>
      </c>
      <c r="H668" s="191" t="s">
        <v>878</v>
      </c>
      <c r="I668" s="190"/>
      <c r="J668" s="192">
        <v>45066</v>
      </c>
      <c r="K668" s="190"/>
      <c r="L668" s="190" t="s">
        <v>306</v>
      </c>
      <c r="M668" s="193">
        <v>2</v>
      </c>
      <c r="N668" s="188">
        <v>100</v>
      </c>
      <c r="O668" s="190" t="s">
        <v>262</v>
      </c>
      <c r="P668" s="187">
        <v>34100</v>
      </c>
      <c r="Q668" s="194"/>
      <c r="R668" s="195" t="s">
        <v>307</v>
      </c>
      <c r="S668" s="196">
        <v>0.125</v>
      </c>
      <c r="T668" s="197">
        <v>0.05</v>
      </c>
      <c r="U668" s="198"/>
      <c r="V668" s="199"/>
      <c r="W668" s="198">
        <f>IF(NOTA[[#This Row],[HARGA/ CTN]]="",NOTA[[#This Row],[JUMLAH_H]],NOTA[[#This Row],[HARGA/ CTN]]*IF(NOTA[[#This Row],[C]]="",0,NOTA[[#This Row],[C]]))</f>
        <v>3410000</v>
      </c>
      <c r="X668" s="198">
        <f>IF(NOTA[[#This Row],[JUMLAH]]="","",NOTA[[#This Row],[JUMLAH]]*NOTA[[#This Row],[DISC 1]])</f>
        <v>426250</v>
      </c>
      <c r="Y668" s="198">
        <f>IF(NOTA[[#This Row],[JUMLAH]]="","",(NOTA[[#This Row],[JUMLAH]]-NOTA[[#This Row],[DISC 1-]])*NOTA[[#This Row],[DISC 2]])</f>
        <v>149187.5</v>
      </c>
      <c r="Z668" s="198">
        <f>IF(NOTA[[#This Row],[JUMLAH]]="","",NOTA[[#This Row],[DISC 1-]]+NOTA[[#This Row],[DISC 2-]])</f>
        <v>575437.5</v>
      </c>
      <c r="AA668" s="198">
        <f>IF(NOTA[[#This Row],[JUMLAH]]="","",NOTA[[#This Row],[JUMLAH]]-NOTA[[#This Row],[DISC]])</f>
        <v>2834562.5</v>
      </c>
      <c r="AB668" s="198"/>
      <c r="AC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18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68" s="200">
        <f>IF(OR(NOTA[[#This Row],[QTY]]="",NOTA[[#This Row],[HARGA SATUAN]]="",),"",NOTA[[#This Row],[QTY]]*NOTA[[#This Row],[HARGA SATUAN]])</f>
        <v>3410000</v>
      </c>
      <c r="AG668" s="192">
        <f ca="1">IF(NOTA[ID_H]="","",INDEX(NOTA[TANGGAL],MATCH(,INDIRECT(ADDRESS(ROW(NOTA[TANGGAL]),COLUMN(NOTA[TANGGAL]))&amp;":"&amp;ADDRESS(ROW(),COLUMN(NOTA[TANGGAL]))),-1)))</f>
        <v>45070</v>
      </c>
      <c r="AH668" s="187" t="str">
        <f ca="1">IF(NOTA[[#This Row],[NAMA BARANG]]="","",INDEX(NOTA[SUPPLIER],MATCH(,INDIRECT(ADDRESS(ROW(NOTA[ID]),COLUMN(NOTA[ID]))&amp;":"&amp;ADDRESS(ROW(),COLUMN(NOTA[ID]))),-1)))</f>
        <v>ATALI MAKMUR</v>
      </c>
      <c r="AI668" s="187" t="str">
        <f ca="1">IF(NOTA[[#This Row],[ID_H]]="","",IF(NOTA[[#This Row],[FAKTUR]]="",INDIRECT(ADDRESS(ROW()-1,COLUMN())),NOTA[[#This Row],[FAKTUR]]))</f>
        <v>ARTO MORO</v>
      </c>
      <c r="AJ668" s="188">
        <f ca="1">IF(NOTA[[#This Row],[ID]]="","",COUNTIF(NOTA[ID_H],NOTA[[#This Row],[ID_H]]))</f>
        <v>10</v>
      </c>
      <c r="AK668" s="188">
        <f>IF(NOTA[[#This Row],[TGL.NOTA]]="",IF(NOTA[[#This Row],[SUPPLIER_H]]="","",AK667),MONTH(NOTA[[#This Row],[TGL.NOTA]]))</f>
        <v>5</v>
      </c>
      <c r="AL668" s="188" t="str">
        <f>LOWER(SUBSTITUTE(SUBSTITUTE(SUBSTITUTE(SUBSTITUTE(SUBSTITUTE(SUBSTITUTE(SUBSTITUTE(SUBSTITUTE(SUBSTITUTE(NOTA[NAMA BARANG]," ",),".",""),"-",""),"(",""),")",""),",",""),"/",""),"""",""),"+",""))</f>
        <v>eraser526b20jk</v>
      </c>
      <c r="AM6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6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668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MOROSA23050803045066eraser526b20jk</v>
      </c>
      <c r="AP668" s="188" t="e">
        <f>IF(NOTA[[#This Row],[CONCAT4]]="","",_xlfn.IFNA(MATCH(NOTA[[#This Row],[CONCAT4]],[2]!RAW[CONCAT_H],0),FALSE))</f>
        <v>#REF!</v>
      </c>
      <c r="AQ668" s="188">
        <f>IF(NOTA[[#This Row],[CONCAT1]]="","",MATCH(NOTA[[#This Row],[CONCAT1]],[3]!db[NB NOTA_C],0)+1)</f>
        <v>742</v>
      </c>
    </row>
    <row r="669" spans="1:43" ht="20.100000000000001" customHeight="1" x14ac:dyDescent="0.25">
      <c r="A6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188" t="str">
        <f>IF(NOTA[[#This Row],[ID_P]]="","",MATCH(NOTA[[#This Row],[ID_P]],[1]!B_MSK[N_ID],0))</f>
        <v/>
      </c>
      <c r="D669" s="188">
        <f ca="1">IF(NOTA[[#This Row],[NAMA BARANG]]="","",INDEX(NOTA[ID],MATCH(,INDIRECT(ADDRESS(ROW(NOTA[ID]),COLUMN(NOTA[ID]))&amp;":"&amp;ADDRESS(ROW(),COLUMN(NOTA[ID]))),-1)))</f>
        <v>121</v>
      </c>
      <c r="E669" s="189"/>
      <c r="F669" s="190"/>
      <c r="G669" s="190"/>
      <c r="H669" s="191"/>
      <c r="I669" s="190"/>
      <c r="J669" s="192"/>
      <c r="K669" s="190"/>
      <c r="L669" s="190" t="s">
        <v>310</v>
      </c>
      <c r="M669" s="193">
        <v>1</v>
      </c>
      <c r="N669" s="188">
        <v>50</v>
      </c>
      <c r="O669" s="190" t="s">
        <v>262</v>
      </c>
      <c r="P669" s="187">
        <v>32000</v>
      </c>
      <c r="Q669" s="194"/>
      <c r="R669" s="195" t="s">
        <v>309</v>
      </c>
      <c r="S669" s="196">
        <v>0.125</v>
      </c>
      <c r="T669" s="197">
        <v>0.05</v>
      </c>
      <c r="U669" s="198"/>
      <c r="V669" s="199"/>
      <c r="W669" s="198">
        <f>IF(NOTA[[#This Row],[HARGA/ CTN]]="",NOTA[[#This Row],[JUMLAH_H]],NOTA[[#This Row],[HARGA/ CTN]]*IF(NOTA[[#This Row],[C]]="",0,NOTA[[#This Row],[C]]))</f>
        <v>1600000</v>
      </c>
      <c r="X669" s="198">
        <f>IF(NOTA[[#This Row],[JUMLAH]]="","",NOTA[[#This Row],[JUMLAH]]*NOTA[[#This Row],[DISC 1]])</f>
        <v>200000</v>
      </c>
      <c r="Y669" s="198">
        <f>IF(NOTA[[#This Row],[JUMLAH]]="","",(NOTA[[#This Row],[JUMLAH]]-NOTA[[#This Row],[DISC 1-]])*NOTA[[#This Row],[DISC 2]])</f>
        <v>70000</v>
      </c>
      <c r="Z669" s="198">
        <f>IF(NOTA[[#This Row],[JUMLAH]]="","",NOTA[[#This Row],[DISC 1-]]+NOTA[[#This Row],[DISC 2-]])</f>
        <v>270000</v>
      </c>
      <c r="AA669" s="198">
        <f>IF(NOTA[[#This Row],[JUMLAH]]="","",NOTA[[#This Row],[JUMLAH]]-NOTA[[#This Row],[DISC]])</f>
        <v>1330000</v>
      </c>
      <c r="AB669" s="198"/>
      <c r="AC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187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69" s="200">
        <f>IF(OR(NOTA[[#This Row],[QTY]]="",NOTA[[#This Row],[HARGA SATUAN]]="",),"",NOTA[[#This Row],[QTY]]*NOTA[[#This Row],[HARGA SATUAN]])</f>
        <v>1600000</v>
      </c>
      <c r="AG669" s="192">
        <f ca="1">IF(NOTA[ID_H]="","",INDEX(NOTA[TANGGAL],MATCH(,INDIRECT(ADDRESS(ROW(NOTA[TANGGAL]),COLUMN(NOTA[TANGGAL]))&amp;":"&amp;ADDRESS(ROW(),COLUMN(NOTA[TANGGAL]))),-1)))</f>
        <v>45070</v>
      </c>
      <c r="AH669" s="187" t="str">
        <f ca="1">IF(NOTA[[#This Row],[NAMA BARANG]]="","",INDEX(NOTA[SUPPLIER],MATCH(,INDIRECT(ADDRESS(ROW(NOTA[ID]),COLUMN(NOTA[ID]))&amp;":"&amp;ADDRESS(ROW(),COLUMN(NOTA[ID]))),-1)))</f>
        <v>ATALI MAKMUR</v>
      </c>
      <c r="AI669" s="187" t="str">
        <f ca="1">IF(NOTA[[#This Row],[ID_H]]="","",IF(NOTA[[#This Row],[FAKTUR]]="",INDIRECT(ADDRESS(ROW()-1,COLUMN())),NOTA[[#This Row],[FAKTUR]]))</f>
        <v>ARTO MORO</v>
      </c>
      <c r="AJ669" s="188" t="str">
        <f ca="1">IF(NOTA[[#This Row],[ID]]="","",COUNTIF(NOTA[ID_H],NOTA[[#This Row],[ID_H]]))</f>
        <v/>
      </c>
      <c r="AK669" s="188">
        <f ca="1">IF(NOTA[[#This Row],[TGL.NOTA]]="",IF(NOTA[[#This Row],[SUPPLIER_H]]="","",AK668),MONTH(NOTA[[#This Row],[TGL.NOTA]]))</f>
        <v>5</v>
      </c>
      <c r="AL669" s="188" t="str">
        <f>LOWER(SUBSTITUTE(SUBSTITUTE(SUBSTITUTE(SUBSTITUTE(SUBSTITUTE(SUBSTITUTE(SUBSTITUTE(SUBSTITUTE(SUBSTITUTE(NOTA[NAMA BARANG]," ",),".",""),"-",""),"(",""),")",""),",",""),"/",""),"""",""),"+",""))</f>
        <v>eraserer30wjk</v>
      </c>
      <c r="AM6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6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6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188" t="str">
        <f>IF(NOTA[[#This Row],[CONCAT4]]="","",_xlfn.IFNA(MATCH(NOTA[[#This Row],[CONCAT4]],[2]!RAW[CONCAT_H],0),FALSE))</f>
        <v/>
      </c>
      <c r="AQ669" s="188">
        <f>IF(NOTA[[#This Row],[CONCAT1]]="","",MATCH(NOTA[[#This Row],[CONCAT1]],[3]!db[NB NOTA_C],0)+1)</f>
        <v>752</v>
      </c>
    </row>
    <row r="670" spans="1:43" ht="20.100000000000001" customHeight="1" x14ac:dyDescent="0.25">
      <c r="A6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188" t="str">
        <f>IF(NOTA[[#This Row],[ID_P]]="","",MATCH(NOTA[[#This Row],[ID_P]],[1]!B_MSK[N_ID],0))</f>
        <v/>
      </c>
      <c r="D670" s="188">
        <f ca="1">IF(NOTA[[#This Row],[NAMA BARANG]]="","",INDEX(NOTA[ID],MATCH(,INDIRECT(ADDRESS(ROW(NOTA[ID]),COLUMN(NOTA[ID]))&amp;":"&amp;ADDRESS(ROW(),COLUMN(NOTA[ID]))),-1)))</f>
        <v>121</v>
      </c>
      <c r="E670" s="189"/>
      <c r="F670" s="190"/>
      <c r="G670" s="190"/>
      <c r="H670" s="191"/>
      <c r="I670" s="190"/>
      <c r="J670" s="192"/>
      <c r="K670" s="190"/>
      <c r="L670" s="190" t="s">
        <v>303</v>
      </c>
      <c r="M670" s="193">
        <v>3</v>
      </c>
      <c r="N670" s="188">
        <v>150</v>
      </c>
      <c r="O670" s="190" t="s">
        <v>262</v>
      </c>
      <c r="P670" s="187">
        <v>28300</v>
      </c>
      <c r="Q670" s="194"/>
      <c r="R670" s="195" t="s">
        <v>302</v>
      </c>
      <c r="S670" s="196">
        <v>0.125</v>
      </c>
      <c r="T670" s="197">
        <v>0.05</v>
      </c>
      <c r="U670" s="198"/>
      <c r="V670" s="199"/>
      <c r="W670" s="198">
        <f>IF(NOTA[[#This Row],[HARGA/ CTN]]="",NOTA[[#This Row],[JUMLAH_H]],NOTA[[#This Row],[HARGA/ CTN]]*IF(NOTA[[#This Row],[C]]="",0,NOTA[[#This Row],[C]]))</f>
        <v>4245000</v>
      </c>
      <c r="X670" s="198">
        <f>IF(NOTA[[#This Row],[JUMLAH]]="","",NOTA[[#This Row],[JUMLAH]]*NOTA[[#This Row],[DISC 1]])</f>
        <v>530625</v>
      </c>
      <c r="Y670" s="198">
        <f>IF(NOTA[[#This Row],[JUMLAH]]="","",(NOTA[[#This Row],[JUMLAH]]-NOTA[[#This Row],[DISC 1-]])*NOTA[[#This Row],[DISC 2]])</f>
        <v>185718.75</v>
      </c>
      <c r="Z670" s="198">
        <f>IF(NOTA[[#This Row],[JUMLAH]]="","",NOTA[[#This Row],[DISC 1-]]+NOTA[[#This Row],[DISC 2-]])</f>
        <v>716343.75</v>
      </c>
      <c r="AA670" s="198">
        <f>IF(NOTA[[#This Row],[JUMLAH]]="","",NOTA[[#This Row],[JUMLAH]]-NOTA[[#This Row],[DISC]])</f>
        <v>3528656.25</v>
      </c>
      <c r="AB670" s="198"/>
      <c r="AC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18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0" s="200">
        <f>IF(OR(NOTA[[#This Row],[QTY]]="",NOTA[[#This Row],[HARGA SATUAN]]="",),"",NOTA[[#This Row],[QTY]]*NOTA[[#This Row],[HARGA SATUAN]])</f>
        <v>4245000</v>
      </c>
      <c r="AG670" s="192">
        <f ca="1">IF(NOTA[ID_H]="","",INDEX(NOTA[TANGGAL],MATCH(,INDIRECT(ADDRESS(ROW(NOTA[TANGGAL]),COLUMN(NOTA[TANGGAL]))&amp;":"&amp;ADDRESS(ROW(),COLUMN(NOTA[TANGGAL]))),-1)))</f>
        <v>45070</v>
      </c>
      <c r="AH670" s="187" t="str">
        <f ca="1">IF(NOTA[[#This Row],[NAMA BARANG]]="","",INDEX(NOTA[SUPPLIER],MATCH(,INDIRECT(ADDRESS(ROW(NOTA[ID]),COLUMN(NOTA[ID]))&amp;":"&amp;ADDRESS(ROW(),COLUMN(NOTA[ID]))),-1)))</f>
        <v>ATALI MAKMUR</v>
      </c>
      <c r="AI670" s="187" t="str">
        <f ca="1">IF(NOTA[[#This Row],[ID_H]]="","",IF(NOTA[[#This Row],[FAKTUR]]="",INDIRECT(ADDRESS(ROW()-1,COLUMN())),NOTA[[#This Row],[FAKTUR]]))</f>
        <v>ARTO MORO</v>
      </c>
      <c r="AJ670" s="188" t="str">
        <f ca="1">IF(NOTA[[#This Row],[ID]]="","",COUNTIF(NOTA[ID_H],NOTA[[#This Row],[ID_H]]))</f>
        <v/>
      </c>
      <c r="AK670" s="188">
        <f ca="1">IF(NOTA[[#This Row],[TGL.NOTA]]="",IF(NOTA[[#This Row],[SUPPLIER_H]]="","",AK669),MONTH(NOTA[[#This Row],[TGL.NOTA]]))</f>
        <v>5</v>
      </c>
      <c r="AL670" s="188" t="str">
        <f>LOWER(SUBSTITUTE(SUBSTITUTE(SUBSTITUTE(SUBSTITUTE(SUBSTITUTE(SUBSTITUTE(SUBSTITUTE(SUBSTITUTE(SUBSTITUTE(NOTA[NAMA BARANG]," ",),".",""),"-",""),"(",""),")",""),",",""),"/",""),"""",""),"+",""))</f>
        <v>eraser526b40pjk</v>
      </c>
      <c r="AM6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6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6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188" t="str">
        <f>IF(NOTA[[#This Row],[CONCAT4]]="","",_xlfn.IFNA(MATCH(NOTA[[#This Row],[CONCAT4]],[2]!RAW[CONCAT_H],0),FALSE))</f>
        <v/>
      </c>
      <c r="AQ670" s="188">
        <f>IF(NOTA[[#This Row],[CONCAT1]]="","",MATCH(NOTA[[#This Row],[CONCAT1]],[3]!db[NB NOTA_C],0)+1)</f>
        <v>745</v>
      </c>
    </row>
    <row r="671" spans="1:43" ht="20.100000000000001" customHeight="1" x14ac:dyDescent="0.25">
      <c r="A6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188" t="str">
        <f>IF(NOTA[[#This Row],[ID_P]]="","",MATCH(NOTA[[#This Row],[ID_P]],[1]!B_MSK[N_ID],0))</f>
        <v/>
      </c>
      <c r="D671" s="188">
        <f ca="1">IF(NOTA[[#This Row],[NAMA BARANG]]="","",INDEX(NOTA[ID],MATCH(,INDIRECT(ADDRESS(ROW(NOTA[ID]),COLUMN(NOTA[ID]))&amp;":"&amp;ADDRESS(ROW(),COLUMN(NOTA[ID]))),-1)))</f>
        <v>121</v>
      </c>
      <c r="E671" s="189"/>
      <c r="F671" s="190"/>
      <c r="G671" s="190"/>
      <c r="H671" s="191"/>
      <c r="I671" s="190"/>
      <c r="J671" s="192"/>
      <c r="K671" s="190"/>
      <c r="L671" s="190" t="s">
        <v>879</v>
      </c>
      <c r="M671" s="193">
        <v>2</v>
      </c>
      <c r="N671" s="188">
        <v>288</v>
      </c>
      <c r="O671" s="190" t="s">
        <v>252</v>
      </c>
      <c r="P671" s="187">
        <v>18600</v>
      </c>
      <c r="Q671" s="194"/>
      <c r="R671" s="195" t="s">
        <v>273</v>
      </c>
      <c r="S671" s="196">
        <v>0.125</v>
      </c>
      <c r="T671" s="197">
        <v>0.05</v>
      </c>
      <c r="U671" s="198"/>
      <c r="V671" s="199"/>
      <c r="W671" s="198">
        <f>IF(NOTA[[#This Row],[HARGA/ CTN]]="",NOTA[[#This Row],[JUMLAH_H]],NOTA[[#This Row],[HARGA/ CTN]]*IF(NOTA[[#This Row],[C]]="",0,NOTA[[#This Row],[C]]))</f>
        <v>5356800</v>
      </c>
      <c r="X671" s="198">
        <f>IF(NOTA[[#This Row],[JUMLAH]]="","",NOTA[[#This Row],[JUMLAH]]*NOTA[[#This Row],[DISC 1]])</f>
        <v>669600</v>
      </c>
      <c r="Y671" s="198">
        <f>IF(NOTA[[#This Row],[JUMLAH]]="","",(NOTA[[#This Row],[JUMLAH]]-NOTA[[#This Row],[DISC 1-]])*NOTA[[#This Row],[DISC 2]])</f>
        <v>234360</v>
      </c>
      <c r="Z671" s="198">
        <f>IF(NOTA[[#This Row],[JUMLAH]]="","",NOTA[[#This Row],[DISC 1-]]+NOTA[[#This Row],[DISC 2-]])</f>
        <v>903960</v>
      </c>
      <c r="AA671" s="198">
        <f>IF(NOTA[[#This Row],[JUMLAH]]="","",NOTA[[#This Row],[JUMLAH]]-NOTA[[#This Row],[DISC]])</f>
        <v>4452840</v>
      </c>
      <c r="AB671" s="198"/>
      <c r="AC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71" s="200">
        <f>IF(OR(NOTA[[#This Row],[QTY]]="",NOTA[[#This Row],[HARGA SATUAN]]="",),"",NOTA[[#This Row],[QTY]]*NOTA[[#This Row],[HARGA SATUAN]])</f>
        <v>5356800</v>
      </c>
      <c r="AG671" s="192">
        <f ca="1">IF(NOTA[ID_H]="","",INDEX(NOTA[TANGGAL],MATCH(,INDIRECT(ADDRESS(ROW(NOTA[TANGGAL]),COLUMN(NOTA[TANGGAL]))&amp;":"&amp;ADDRESS(ROW(),COLUMN(NOTA[TANGGAL]))),-1)))</f>
        <v>45070</v>
      </c>
      <c r="AH671" s="187" t="str">
        <f ca="1">IF(NOTA[[#This Row],[NAMA BARANG]]="","",INDEX(NOTA[SUPPLIER],MATCH(,INDIRECT(ADDRESS(ROW(NOTA[ID]),COLUMN(NOTA[ID]))&amp;":"&amp;ADDRESS(ROW(),COLUMN(NOTA[ID]))),-1)))</f>
        <v>ATALI MAKMUR</v>
      </c>
      <c r="AI671" s="187" t="str">
        <f ca="1">IF(NOTA[[#This Row],[ID_H]]="","",IF(NOTA[[#This Row],[FAKTUR]]="",INDIRECT(ADDRESS(ROW()-1,COLUMN())),NOTA[[#This Row],[FAKTUR]]))</f>
        <v>ARTO MORO</v>
      </c>
      <c r="AJ671" s="188" t="str">
        <f ca="1">IF(NOTA[[#This Row],[ID]]="","",COUNTIF(NOTA[ID_H],NOTA[[#This Row],[ID_H]]))</f>
        <v/>
      </c>
      <c r="AK671" s="188">
        <f ca="1">IF(NOTA[[#This Row],[TGL.NOTA]]="",IF(NOTA[[#This Row],[SUPPLIER_H]]="","",AK670),MONTH(NOTA[[#This Row],[TGL.NOTA]]))</f>
        <v>5</v>
      </c>
      <c r="AL671" s="18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6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6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6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188" t="str">
        <f>IF(NOTA[[#This Row],[CONCAT4]]="","",_xlfn.IFNA(MATCH(NOTA[[#This Row],[CONCAT4]],[2]!RAW[CONCAT_H],0),FALSE))</f>
        <v/>
      </c>
      <c r="AQ671" s="188">
        <f>IF(NOTA[[#This Row],[CONCAT1]]="","",MATCH(NOTA[[#This Row],[CONCAT1]],[3]!db[NB NOTA_C],0)+1)</f>
        <v>601</v>
      </c>
    </row>
    <row r="672" spans="1:43" ht="20.100000000000001" customHeight="1" x14ac:dyDescent="0.25">
      <c r="A6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188" t="str">
        <f>IF(NOTA[[#This Row],[ID_P]]="","",MATCH(NOTA[[#This Row],[ID_P]],[1]!B_MSK[N_ID],0))</f>
        <v/>
      </c>
      <c r="D672" s="188">
        <f ca="1">IF(NOTA[[#This Row],[NAMA BARANG]]="","",INDEX(NOTA[ID],MATCH(,INDIRECT(ADDRESS(ROW(NOTA[ID]),COLUMN(NOTA[ID]))&amp;":"&amp;ADDRESS(ROW(),COLUMN(NOTA[ID]))),-1)))</f>
        <v>121</v>
      </c>
      <c r="E672" s="189"/>
      <c r="F672" s="190"/>
      <c r="G672" s="190"/>
      <c r="H672" s="191"/>
      <c r="I672" s="190"/>
      <c r="J672" s="192"/>
      <c r="K672" s="190"/>
      <c r="L672" s="190" t="s">
        <v>616</v>
      </c>
      <c r="M672" s="193">
        <v>2</v>
      </c>
      <c r="N672" s="188">
        <v>144</v>
      </c>
      <c r="O672" s="190" t="s">
        <v>252</v>
      </c>
      <c r="P672" s="187">
        <v>21200</v>
      </c>
      <c r="Q672" s="194"/>
      <c r="R672" s="195" t="s">
        <v>617</v>
      </c>
      <c r="S672" s="196">
        <v>0.125</v>
      </c>
      <c r="T672" s="197">
        <v>0.05</v>
      </c>
      <c r="U672" s="198"/>
      <c r="V672" s="199"/>
      <c r="W672" s="198">
        <f>IF(NOTA[[#This Row],[HARGA/ CTN]]="",NOTA[[#This Row],[JUMLAH_H]],NOTA[[#This Row],[HARGA/ CTN]]*IF(NOTA[[#This Row],[C]]="",0,NOTA[[#This Row],[C]]))</f>
        <v>3052800</v>
      </c>
      <c r="X672" s="198">
        <f>IF(NOTA[[#This Row],[JUMLAH]]="","",NOTA[[#This Row],[JUMLAH]]*NOTA[[#This Row],[DISC 1]])</f>
        <v>381600</v>
      </c>
      <c r="Y672" s="198">
        <f>IF(NOTA[[#This Row],[JUMLAH]]="","",(NOTA[[#This Row],[JUMLAH]]-NOTA[[#This Row],[DISC 1-]])*NOTA[[#This Row],[DISC 2]])</f>
        <v>133560</v>
      </c>
      <c r="Z672" s="198">
        <f>IF(NOTA[[#This Row],[JUMLAH]]="","",NOTA[[#This Row],[DISC 1-]]+NOTA[[#This Row],[DISC 2-]])</f>
        <v>515160</v>
      </c>
      <c r="AA672" s="198">
        <f>IF(NOTA[[#This Row],[JUMLAH]]="","",NOTA[[#This Row],[JUMLAH]]-NOTA[[#This Row],[DISC]])</f>
        <v>2537640</v>
      </c>
      <c r="AB672" s="198"/>
      <c r="AC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18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200">
        <f>IF(OR(NOTA[[#This Row],[QTY]]="",NOTA[[#This Row],[HARGA SATUAN]]="",),"",NOTA[[#This Row],[QTY]]*NOTA[[#This Row],[HARGA SATUAN]])</f>
        <v>3052800</v>
      </c>
      <c r="AG672" s="192">
        <f ca="1">IF(NOTA[ID_H]="","",INDEX(NOTA[TANGGAL],MATCH(,INDIRECT(ADDRESS(ROW(NOTA[TANGGAL]),COLUMN(NOTA[TANGGAL]))&amp;":"&amp;ADDRESS(ROW(),COLUMN(NOTA[TANGGAL]))),-1)))</f>
        <v>45070</v>
      </c>
      <c r="AH672" s="187" t="str">
        <f ca="1">IF(NOTA[[#This Row],[NAMA BARANG]]="","",INDEX(NOTA[SUPPLIER],MATCH(,INDIRECT(ADDRESS(ROW(NOTA[ID]),COLUMN(NOTA[ID]))&amp;":"&amp;ADDRESS(ROW(),COLUMN(NOTA[ID]))),-1)))</f>
        <v>ATALI MAKMUR</v>
      </c>
      <c r="AI672" s="187" t="str">
        <f ca="1">IF(NOTA[[#This Row],[ID_H]]="","",IF(NOTA[[#This Row],[FAKTUR]]="",INDIRECT(ADDRESS(ROW()-1,COLUMN())),NOTA[[#This Row],[FAKTUR]]))</f>
        <v>ARTO MORO</v>
      </c>
      <c r="AJ672" s="188" t="str">
        <f ca="1">IF(NOTA[[#This Row],[ID]]="","",COUNTIF(NOTA[ID_H],NOTA[[#This Row],[ID_H]]))</f>
        <v/>
      </c>
      <c r="AK672" s="188">
        <f ca="1">IF(NOTA[[#This Row],[TGL.NOTA]]="",IF(NOTA[[#This Row],[SUPPLIER_H]]="","",AK671),MONTH(NOTA[[#This Row],[TGL.NOTA]]))</f>
        <v>5</v>
      </c>
      <c r="AL672" s="18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6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6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6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188" t="str">
        <f>IF(NOTA[[#This Row],[CONCAT4]]="","",_xlfn.IFNA(MATCH(NOTA[[#This Row],[CONCAT4]],[2]!RAW[CONCAT_H],0),FALSE))</f>
        <v/>
      </c>
      <c r="AQ672" s="188">
        <f>IF(NOTA[[#This Row],[CONCAT1]]="","",MATCH(NOTA[[#This Row],[CONCAT1]],[3]!db[NB NOTA_C],0)+1)</f>
        <v>532</v>
      </c>
    </row>
    <row r="673" spans="1:43" ht="20.100000000000001" customHeight="1" x14ac:dyDescent="0.25">
      <c r="A6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188" t="str">
        <f>IF(NOTA[[#This Row],[ID_P]]="","",MATCH(NOTA[[#This Row],[ID_P]],[1]!B_MSK[N_ID],0))</f>
        <v/>
      </c>
      <c r="D673" s="188">
        <f ca="1">IF(NOTA[[#This Row],[NAMA BARANG]]="","",INDEX(NOTA[ID],MATCH(,INDIRECT(ADDRESS(ROW(NOTA[ID]),COLUMN(NOTA[ID]))&amp;":"&amp;ADDRESS(ROW(),COLUMN(NOTA[ID]))),-1)))</f>
        <v>121</v>
      </c>
      <c r="E673" s="189"/>
      <c r="F673" s="190"/>
      <c r="G673" s="190"/>
      <c r="H673" s="191"/>
      <c r="I673" s="190"/>
      <c r="J673" s="192"/>
      <c r="K673" s="190"/>
      <c r="L673" s="190" t="s">
        <v>880</v>
      </c>
      <c r="M673" s="193">
        <v>3</v>
      </c>
      <c r="N673" s="188">
        <v>216</v>
      </c>
      <c r="O673" s="190" t="s">
        <v>146</v>
      </c>
      <c r="P673" s="187">
        <v>37200</v>
      </c>
      <c r="Q673" s="194"/>
      <c r="R673" s="195" t="s">
        <v>835</v>
      </c>
      <c r="S673" s="196">
        <v>0.125</v>
      </c>
      <c r="T673" s="197">
        <v>0.05</v>
      </c>
      <c r="U673" s="198"/>
      <c r="V673" s="199"/>
      <c r="W673" s="198">
        <f>IF(NOTA[[#This Row],[HARGA/ CTN]]="",NOTA[[#This Row],[JUMLAH_H]],NOTA[[#This Row],[HARGA/ CTN]]*IF(NOTA[[#This Row],[C]]="",0,NOTA[[#This Row],[C]]))</f>
        <v>8035200</v>
      </c>
      <c r="X673" s="198">
        <f>IF(NOTA[[#This Row],[JUMLAH]]="","",NOTA[[#This Row],[JUMLAH]]*NOTA[[#This Row],[DISC 1]])</f>
        <v>1004400</v>
      </c>
      <c r="Y673" s="198">
        <f>IF(NOTA[[#This Row],[JUMLAH]]="","",(NOTA[[#This Row],[JUMLAH]]-NOTA[[#This Row],[DISC 1-]])*NOTA[[#This Row],[DISC 2]])</f>
        <v>351540</v>
      </c>
      <c r="Z673" s="198">
        <f>IF(NOTA[[#This Row],[JUMLAH]]="","",NOTA[[#This Row],[DISC 1-]]+NOTA[[#This Row],[DISC 2-]])</f>
        <v>1355940</v>
      </c>
      <c r="AA673" s="198">
        <f>IF(NOTA[[#This Row],[JUMLAH]]="","",NOTA[[#This Row],[JUMLAH]]-NOTA[[#This Row],[DISC]])</f>
        <v>6679260</v>
      </c>
      <c r="AB673" s="198"/>
      <c r="AC6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18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73" s="200">
        <f>IF(OR(NOTA[[#This Row],[QTY]]="",NOTA[[#This Row],[HARGA SATUAN]]="",),"",NOTA[[#This Row],[QTY]]*NOTA[[#This Row],[HARGA SATUAN]])</f>
        <v>8035200</v>
      </c>
      <c r="AG673" s="192">
        <f ca="1">IF(NOTA[ID_H]="","",INDEX(NOTA[TANGGAL],MATCH(,INDIRECT(ADDRESS(ROW(NOTA[TANGGAL]),COLUMN(NOTA[TANGGAL]))&amp;":"&amp;ADDRESS(ROW(),COLUMN(NOTA[TANGGAL]))),-1)))</f>
        <v>45070</v>
      </c>
      <c r="AH673" s="187" t="str">
        <f ca="1">IF(NOTA[[#This Row],[NAMA BARANG]]="","",INDEX(NOTA[SUPPLIER],MATCH(,INDIRECT(ADDRESS(ROW(NOTA[ID]),COLUMN(NOTA[ID]))&amp;":"&amp;ADDRESS(ROW(),COLUMN(NOTA[ID]))),-1)))</f>
        <v>ATALI MAKMUR</v>
      </c>
      <c r="AI673" s="187" t="str">
        <f ca="1">IF(NOTA[[#This Row],[ID_H]]="","",IF(NOTA[[#This Row],[FAKTUR]]="",INDIRECT(ADDRESS(ROW()-1,COLUMN())),NOTA[[#This Row],[FAKTUR]]))</f>
        <v>ARTO MORO</v>
      </c>
      <c r="AJ673" s="188" t="str">
        <f ca="1">IF(NOTA[[#This Row],[ID]]="","",COUNTIF(NOTA[ID_H],NOTA[[#This Row],[ID_H]]))</f>
        <v/>
      </c>
      <c r="AK673" s="188">
        <f ca="1">IF(NOTA[[#This Row],[TGL.NOTA]]="",IF(NOTA[[#This Row],[SUPPLIER_H]]="","",AK672),MONTH(NOTA[[#This Row],[TGL.NOTA]]))</f>
        <v>5</v>
      </c>
      <c r="AL673" s="18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6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6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6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188" t="str">
        <f>IF(NOTA[[#This Row],[CONCAT4]]="","",_xlfn.IFNA(MATCH(NOTA[[#This Row],[CONCAT4]],[2]!RAW[CONCAT_H],0),FALSE))</f>
        <v/>
      </c>
      <c r="AQ673" s="188">
        <f>IF(NOTA[[#This Row],[CONCAT1]]="","",MATCH(NOTA[[#This Row],[CONCAT1]],[3]!db[NB NOTA_C],0)+1)</f>
        <v>1924</v>
      </c>
    </row>
    <row r="674" spans="1:43" ht="20.100000000000001" customHeight="1" x14ac:dyDescent="0.25">
      <c r="A6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188" t="str">
        <f>IF(NOTA[[#This Row],[ID_P]]="","",MATCH(NOTA[[#This Row],[ID_P]],[1]!B_MSK[N_ID],0))</f>
        <v/>
      </c>
      <c r="D674" s="188">
        <f ca="1">IF(NOTA[[#This Row],[NAMA BARANG]]="","",INDEX(NOTA[ID],MATCH(,INDIRECT(ADDRESS(ROW(NOTA[ID]),COLUMN(NOTA[ID]))&amp;":"&amp;ADDRESS(ROW(),COLUMN(NOTA[ID]))),-1)))</f>
        <v>121</v>
      </c>
      <c r="E674" s="189"/>
      <c r="F674" s="190"/>
      <c r="G674" s="190"/>
      <c r="H674" s="191"/>
      <c r="I674" s="190"/>
      <c r="J674" s="192"/>
      <c r="K674" s="190"/>
      <c r="L674" s="190" t="s">
        <v>276</v>
      </c>
      <c r="M674" s="193">
        <v>1</v>
      </c>
      <c r="N674" s="188">
        <v>24</v>
      </c>
      <c r="O674" s="190" t="s">
        <v>146</v>
      </c>
      <c r="P674" s="187">
        <v>162000</v>
      </c>
      <c r="Q674" s="194"/>
      <c r="R674" s="195" t="s">
        <v>277</v>
      </c>
      <c r="S674" s="196">
        <v>0.125</v>
      </c>
      <c r="T674" s="197">
        <v>0.05</v>
      </c>
      <c r="U674" s="198"/>
      <c r="V674" s="199"/>
      <c r="W674" s="198">
        <f>IF(NOTA[[#This Row],[HARGA/ CTN]]="",NOTA[[#This Row],[JUMLAH_H]],NOTA[[#This Row],[HARGA/ CTN]]*IF(NOTA[[#This Row],[C]]="",0,NOTA[[#This Row],[C]]))</f>
        <v>3888000</v>
      </c>
      <c r="X674" s="198">
        <f>IF(NOTA[[#This Row],[JUMLAH]]="","",NOTA[[#This Row],[JUMLAH]]*NOTA[[#This Row],[DISC 1]])</f>
        <v>486000</v>
      </c>
      <c r="Y674" s="198">
        <f>IF(NOTA[[#This Row],[JUMLAH]]="","",(NOTA[[#This Row],[JUMLAH]]-NOTA[[#This Row],[DISC 1-]])*NOTA[[#This Row],[DISC 2]])</f>
        <v>170100</v>
      </c>
      <c r="Z674" s="198">
        <f>IF(NOTA[[#This Row],[JUMLAH]]="","",NOTA[[#This Row],[DISC 1-]]+NOTA[[#This Row],[DISC 2-]])</f>
        <v>656100</v>
      </c>
      <c r="AA674" s="198">
        <f>IF(NOTA[[#This Row],[JUMLAH]]="","",NOTA[[#This Row],[JUMLAH]]-NOTA[[#This Row],[DISC]])</f>
        <v>3231900</v>
      </c>
      <c r="AB674" s="198"/>
      <c r="AC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74" s="200">
        <f>IF(OR(NOTA[[#This Row],[QTY]]="",NOTA[[#This Row],[HARGA SATUAN]]="",),"",NOTA[[#This Row],[QTY]]*NOTA[[#This Row],[HARGA SATUAN]])</f>
        <v>3888000</v>
      </c>
      <c r="AG674" s="192">
        <f ca="1">IF(NOTA[ID_H]="","",INDEX(NOTA[TANGGAL],MATCH(,INDIRECT(ADDRESS(ROW(NOTA[TANGGAL]),COLUMN(NOTA[TANGGAL]))&amp;":"&amp;ADDRESS(ROW(),COLUMN(NOTA[TANGGAL]))),-1)))</f>
        <v>45070</v>
      </c>
      <c r="AH674" s="187" t="str">
        <f ca="1">IF(NOTA[[#This Row],[NAMA BARANG]]="","",INDEX(NOTA[SUPPLIER],MATCH(,INDIRECT(ADDRESS(ROW(NOTA[ID]),COLUMN(NOTA[ID]))&amp;":"&amp;ADDRESS(ROW(),COLUMN(NOTA[ID]))),-1)))</f>
        <v>ATALI MAKMUR</v>
      </c>
      <c r="AI674" s="187" t="str">
        <f ca="1">IF(NOTA[[#This Row],[ID_H]]="","",IF(NOTA[[#This Row],[FAKTUR]]="",INDIRECT(ADDRESS(ROW()-1,COLUMN())),NOTA[[#This Row],[FAKTUR]]))</f>
        <v>ARTO MORO</v>
      </c>
      <c r="AJ674" s="188" t="str">
        <f ca="1">IF(NOTA[[#This Row],[ID]]="","",COUNTIF(NOTA[ID_H],NOTA[[#This Row],[ID_H]]))</f>
        <v/>
      </c>
      <c r="AK674" s="188">
        <f ca="1">IF(NOTA[[#This Row],[TGL.NOTA]]="",IF(NOTA[[#This Row],[SUPPLIER_H]]="","",AK673),MONTH(NOTA[[#This Row],[TGL.NOTA]]))</f>
        <v>5</v>
      </c>
      <c r="AL674" s="188" t="str">
        <f>LOWER(SUBSTITUTE(SUBSTITUTE(SUBSTITUTE(SUBSTITUTE(SUBSTITUTE(SUBSTITUTE(SUBSTITUTE(SUBSTITUTE(SUBSTITUTE(NOTA[NAMA BARANG]," ",),".",""),"-",""),"(",""),")",""),",",""),"/",""),"""",""),"+",""))</f>
        <v>cutterl500jk</v>
      </c>
      <c r="AM6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6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6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188" t="str">
        <f>IF(NOTA[[#This Row],[CONCAT4]]="","",_xlfn.IFNA(MATCH(NOTA[[#This Row],[CONCAT4]],[2]!RAW[CONCAT_H],0),FALSE))</f>
        <v/>
      </c>
      <c r="AQ674" s="188">
        <f>IF(NOTA[[#This Row],[CONCAT1]]="","",MATCH(NOTA[[#This Row],[CONCAT1]],[3]!db[NB NOTA_C],0)+1)</f>
        <v>621</v>
      </c>
    </row>
    <row r="675" spans="1:43" ht="20.100000000000001" customHeight="1" x14ac:dyDescent="0.25">
      <c r="A6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188" t="str">
        <f>IF(NOTA[[#This Row],[ID_P]]="","",MATCH(NOTA[[#This Row],[ID_P]],[1]!B_MSK[N_ID],0))</f>
        <v/>
      </c>
      <c r="D675" s="188">
        <f ca="1">IF(NOTA[[#This Row],[NAMA BARANG]]="","",INDEX(NOTA[ID],MATCH(,INDIRECT(ADDRESS(ROW(NOTA[ID]),COLUMN(NOTA[ID]))&amp;":"&amp;ADDRESS(ROW(),COLUMN(NOTA[ID]))),-1)))</f>
        <v>121</v>
      </c>
      <c r="E675" s="189"/>
      <c r="F675" s="190"/>
      <c r="G675" s="190"/>
      <c r="H675" s="191"/>
      <c r="I675" s="190"/>
      <c r="J675" s="192"/>
      <c r="K675" s="190"/>
      <c r="L675" s="27" t="s">
        <v>1195</v>
      </c>
      <c r="M675" s="193"/>
      <c r="N675" s="188">
        <v>24</v>
      </c>
      <c r="O675" s="190" t="s">
        <v>146</v>
      </c>
      <c r="P675" s="187"/>
      <c r="Q675" s="194"/>
      <c r="R675" s="195" t="s">
        <v>279</v>
      </c>
      <c r="S675" s="196"/>
      <c r="T675" s="197"/>
      <c r="U675" s="198"/>
      <c r="V675" s="199" t="s">
        <v>181</v>
      </c>
      <c r="W675" s="198" t="str">
        <f>IF(NOTA[[#This Row],[HARGA/ CTN]]="",NOTA[[#This Row],[JUMLAH_H]],NOTA[[#This Row],[HARGA/ CTN]]*IF(NOTA[[#This Row],[C]]="",0,NOTA[[#This Row],[C]]))</f>
        <v/>
      </c>
      <c r="X675" s="198" t="str">
        <f>IF(NOTA[[#This Row],[JUMLAH]]="","",NOTA[[#This Row],[JUMLAH]]*NOTA[[#This Row],[DISC 1]])</f>
        <v/>
      </c>
      <c r="Y675" s="198" t="str">
        <f>IF(NOTA[[#This Row],[JUMLAH]]="","",(NOTA[[#This Row],[JUMLAH]]-NOTA[[#This Row],[DISC 1-]])*NOTA[[#This Row],[DISC 2]])</f>
        <v/>
      </c>
      <c r="Z675" s="198" t="str">
        <f>IF(NOTA[[#This Row],[JUMLAH]]="","",NOTA[[#This Row],[DISC 1-]]+NOTA[[#This Row],[DISC 2-]])</f>
        <v/>
      </c>
      <c r="AA675" s="198" t="str">
        <f>IF(NOTA[[#This Row],[JUMLAH]]="","",NOTA[[#This Row],[JUMLAH]]-NOTA[[#This Row],[DISC]])</f>
        <v/>
      </c>
      <c r="AB675" s="198"/>
      <c r="AC6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75" s="200" t="str">
        <f>IF(OR(NOTA[[#This Row],[QTY]]="",NOTA[[#This Row],[HARGA SATUAN]]="",),"",NOTA[[#This Row],[QTY]]*NOTA[[#This Row],[HARGA SATUAN]])</f>
        <v/>
      </c>
      <c r="AG675" s="192">
        <f ca="1">IF(NOTA[ID_H]="","",INDEX(NOTA[TANGGAL],MATCH(,INDIRECT(ADDRESS(ROW(NOTA[TANGGAL]),COLUMN(NOTA[TANGGAL]))&amp;":"&amp;ADDRESS(ROW(),COLUMN(NOTA[TANGGAL]))),-1)))</f>
        <v>45070</v>
      </c>
      <c r="AH675" s="187" t="str">
        <f ca="1">IF(NOTA[[#This Row],[NAMA BARANG]]="","",INDEX(NOTA[SUPPLIER],MATCH(,INDIRECT(ADDRESS(ROW(NOTA[ID]),COLUMN(NOTA[ID]))&amp;":"&amp;ADDRESS(ROW(),COLUMN(NOTA[ID]))),-1)))</f>
        <v>ATALI MAKMUR</v>
      </c>
      <c r="AI675" s="187" t="str">
        <f ca="1">IF(NOTA[[#This Row],[ID_H]]="","",IF(NOTA[[#This Row],[FAKTUR]]="",INDIRECT(ADDRESS(ROW()-1,COLUMN())),NOTA[[#This Row],[FAKTUR]]))</f>
        <v>ARTO MORO</v>
      </c>
      <c r="AJ675" s="188" t="str">
        <f ca="1">IF(NOTA[[#This Row],[ID]]="","",COUNTIF(NOTA[ID_H],NOTA[[#This Row],[ID_H]]))</f>
        <v/>
      </c>
      <c r="AK675" s="188">
        <f ca="1">IF(NOTA[[#This Row],[TGL.NOTA]]="",IF(NOTA[[#This Row],[SUPPLIER_H]]="","",AK674),MONTH(NOTA[[#This Row],[TGL.NOTA]]))</f>
        <v>5</v>
      </c>
      <c r="AL675" s="18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6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6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6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188" t="str">
        <f>IF(NOTA[[#This Row],[CONCAT4]]="","",_xlfn.IFNA(MATCH(NOTA[[#This Row],[CONCAT4]],[2]!RAW[CONCAT_H],0),FALSE))</f>
        <v/>
      </c>
      <c r="AQ675" s="188">
        <f>IF(NOTA[[#This Row],[CONCAT1]]="","",MATCH(NOTA[[#This Row],[CONCAT1]],[3]!db[NB NOTA_C],0)+1)</f>
        <v>614</v>
      </c>
    </row>
    <row r="676" spans="1:43" ht="20.100000000000001" customHeight="1" x14ac:dyDescent="0.25">
      <c r="A6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188" t="str">
        <f>IF(NOTA[[#This Row],[ID_P]]="","",MATCH(NOTA[[#This Row],[ID_P]],[1]!B_MSK[N_ID],0))</f>
        <v/>
      </c>
      <c r="D676" s="188">
        <f ca="1">IF(NOTA[[#This Row],[NAMA BARANG]]="","",INDEX(NOTA[ID],MATCH(,INDIRECT(ADDRESS(ROW(NOTA[ID]),COLUMN(NOTA[ID]))&amp;":"&amp;ADDRESS(ROW(),COLUMN(NOTA[ID]))),-1)))</f>
        <v>121</v>
      </c>
      <c r="E676" s="189"/>
      <c r="F676" s="190"/>
      <c r="G676" s="190"/>
      <c r="H676" s="191"/>
      <c r="I676" s="190"/>
      <c r="J676" s="192"/>
      <c r="K676" s="190"/>
      <c r="L676" s="190" t="s">
        <v>881</v>
      </c>
      <c r="M676" s="193">
        <v>2</v>
      </c>
      <c r="N676" s="188">
        <v>288</v>
      </c>
      <c r="O676" s="190" t="s">
        <v>252</v>
      </c>
      <c r="P676" s="187">
        <v>11900</v>
      </c>
      <c r="Q676" s="194"/>
      <c r="R676" s="195" t="s">
        <v>273</v>
      </c>
      <c r="S676" s="196">
        <v>0.125</v>
      </c>
      <c r="T676" s="197">
        <v>0.05</v>
      </c>
      <c r="U676" s="198"/>
      <c r="V676" s="199"/>
      <c r="W676" s="198">
        <f>IF(NOTA[[#This Row],[HARGA/ CTN]]="",NOTA[[#This Row],[JUMLAH_H]],NOTA[[#This Row],[HARGA/ CTN]]*IF(NOTA[[#This Row],[C]]="",0,NOTA[[#This Row],[C]]))</f>
        <v>3427200</v>
      </c>
      <c r="X676" s="198">
        <f>IF(NOTA[[#This Row],[JUMLAH]]="","",NOTA[[#This Row],[JUMLAH]]*NOTA[[#This Row],[DISC 1]])</f>
        <v>428400</v>
      </c>
      <c r="Y676" s="198">
        <f>IF(NOTA[[#This Row],[JUMLAH]]="","",(NOTA[[#This Row],[JUMLAH]]-NOTA[[#This Row],[DISC 1-]])*NOTA[[#This Row],[DISC 2]])</f>
        <v>149940</v>
      </c>
      <c r="Z676" s="198">
        <f>IF(NOTA[[#This Row],[JUMLAH]]="","",NOTA[[#This Row],[DISC 1-]]+NOTA[[#This Row],[DISC 2-]])</f>
        <v>578340</v>
      </c>
      <c r="AA676" s="198">
        <f>IF(NOTA[[#This Row],[JUMLAH]]="","",NOTA[[#This Row],[JUMLAH]]-NOTA[[#This Row],[DISC]])</f>
        <v>2848860</v>
      </c>
      <c r="AB676" s="198"/>
      <c r="AC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187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76" s="200">
        <f>IF(OR(NOTA[[#This Row],[QTY]]="",NOTA[[#This Row],[HARGA SATUAN]]="",),"",NOTA[[#This Row],[QTY]]*NOTA[[#This Row],[HARGA SATUAN]])</f>
        <v>3427200</v>
      </c>
      <c r="AG676" s="192">
        <f ca="1">IF(NOTA[ID_H]="","",INDEX(NOTA[TANGGAL],MATCH(,INDIRECT(ADDRESS(ROW(NOTA[TANGGAL]),COLUMN(NOTA[TANGGAL]))&amp;":"&amp;ADDRESS(ROW(),COLUMN(NOTA[TANGGAL]))),-1)))</f>
        <v>45070</v>
      </c>
      <c r="AH676" s="187" t="str">
        <f ca="1">IF(NOTA[[#This Row],[NAMA BARANG]]="","",INDEX(NOTA[SUPPLIER],MATCH(,INDIRECT(ADDRESS(ROW(NOTA[ID]),COLUMN(NOTA[ID]))&amp;":"&amp;ADDRESS(ROW(),COLUMN(NOTA[ID]))),-1)))</f>
        <v>ATALI MAKMUR</v>
      </c>
      <c r="AI676" s="187" t="str">
        <f ca="1">IF(NOTA[[#This Row],[ID_H]]="","",IF(NOTA[[#This Row],[FAKTUR]]="",INDIRECT(ADDRESS(ROW()-1,COLUMN())),NOTA[[#This Row],[FAKTUR]]))</f>
        <v>ARTO MORO</v>
      </c>
      <c r="AJ676" s="188" t="str">
        <f ca="1">IF(NOTA[[#This Row],[ID]]="","",COUNTIF(NOTA[ID_H],NOTA[[#This Row],[ID_H]]))</f>
        <v/>
      </c>
      <c r="AK676" s="188">
        <f ca="1">IF(NOTA[[#This Row],[TGL.NOTA]]="",IF(NOTA[[#This Row],[SUPPLIER_H]]="","",AK675),MONTH(NOTA[[#This Row],[TGL.NOTA]]))</f>
        <v>5</v>
      </c>
      <c r="AL676" s="18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6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6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188" t="str">
        <f>IF(NOTA[[#This Row],[CONCAT4]]="","",_xlfn.IFNA(MATCH(NOTA[[#This Row],[CONCAT4]],[2]!RAW[CONCAT_H],0),FALSE))</f>
        <v/>
      </c>
      <c r="AQ676" s="188">
        <f>IF(NOTA[[#This Row],[CONCAT1]]="","",MATCH(NOTA[[#This Row],[CONCAT1]],[3]!db[NB NOTA_C],0)+1)</f>
        <v>1704</v>
      </c>
    </row>
    <row r="677" spans="1:43" ht="20.100000000000001" customHeight="1" x14ac:dyDescent="0.25">
      <c r="A6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188" t="str">
        <f>IF(NOTA[[#This Row],[ID_P]]="","",MATCH(NOTA[[#This Row],[ID_P]],[1]!B_MSK[N_ID],0))</f>
        <v/>
      </c>
      <c r="D677" s="188">
        <f ca="1">IF(NOTA[[#This Row],[NAMA BARANG]]="","",INDEX(NOTA[ID],MATCH(,INDIRECT(ADDRESS(ROW(NOTA[ID]),COLUMN(NOTA[ID]))&amp;":"&amp;ADDRESS(ROW(),COLUMN(NOTA[ID]))),-1)))</f>
        <v>121</v>
      </c>
      <c r="E677" s="189"/>
      <c r="F677" s="190"/>
      <c r="G677" s="190"/>
      <c r="H677" s="191"/>
      <c r="I677" s="190"/>
      <c r="J677" s="192"/>
      <c r="K677" s="190"/>
      <c r="L677" s="27" t="s">
        <v>1101</v>
      </c>
      <c r="M677" s="193"/>
      <c r="N677" s="188">
        <v>1</v>
      </c>
      <c r="O677" s="190" t="s">
        <v>252</v>
      </c>
      <c r="P677" s="187">
        <v>145000</v>
      </c>
      <c r="Q677" s="194"/>
      <c r="R677" s="195" t="s">
        <v>882</v>
      </c>
      <c r="S677" s="196">
        <v>0.1</v>
      </c>
      <c r="T677" s="197">
        <v>0.05</v>
      </c>
      <c r="U677" s="198">
        <v>123975</v>
      </c>
      <c r="V677" s="199" t="s">
        <v>181</v>
      </c>
      <c r="W677" s="198">
        <f>IF(NOTA[[#This Row],[HARGA/ CTN]]="",NOTA[[#This Row],[JUMLAH_H]],NOTA[[#This Row],[HARGA/ CTN]]*IF(NOTA[[#This Row],[C]]="",0,NOTA[[#This Row],[C]]))</f>
        <v>145000</v>
      </c>
      <c r="X677" s="198">
        <f>IF(NOTA[[#This Row],[JUMLAH]]="","",NOTA[[#This Row],[JUMLAH]]*NOTA[[#This Row],[DISC 1]])</f>
        <v>14500</v>
      </c>
      <c r="Y677" s="198">
        <f>IF(NOTA[[#This Row],[JUMLAH]]="","",(NOTA[[#This Row],[JUMLAH]]-NOTA[[#This Row],[DISC 1-]])*NOTA[[#This Row],[DISC 2]])</f>
        <v>6525</v>
      </c>
      <c r="Z677" s="198">
        <f>IF(NOTA[[#This Row],[JUMLAH]]="","",NOTA[[#This Row],[DISC 1-]]+NOTA[[#This Row],[DISC 2-]])</f>
        <v>21025</v>
      </c>
      <c r="AA677" s="198">
        <f>IF(NOTA[[#This Row],[JUMLAH]]="","",NOTA[[#This Row],[JUMLAH]]-NOTA[[#This Row],[DISC]])</f>
        <v>123975</v>
      </c>
      <c r="AB677" s="198"/>
      <c r="AC67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5716281.25</v>
      </c>
      <c r="AD67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27443718.75</v>
      </c>
      <c r="AE677" s="187">
        <f>IF(NOTA[[#This Row],[NAMA BARANG]]="","",IF(NOTA[[#This Row],[JUMLAH_H]]="",NOTA[[#This Row],[HARGA/ CTN]],NOTA[[#This Row],[QTY]]*NOTA[[#This Row],[HARGA SATUAN]]/IF(ISNUMBER(NOTA[[#This Row],[C]]),NOTA[[#This Row],[C]],1)))</f>
        <v>145000</v>
      </c>
      <c r="AF677" s="200">
        <f>IF(OR(NOTA[[#This Row],[QTY]]="",NOTA[[#This Row],[HARGA SATUAN]]="",),"",NOTA[[#This Row],[QTY]]*NOTA[[#This Row],[HARGA SATUAN]])</f>
        <v>145000</v>
      </c>
      <c r="AG677" s="192">
        <f ca="1">IF(NOTA[ID_H]="","",INDEX(NOTA[TANGGAL],MATCH(,INDIRECT(ADDRESS(ROW(NOTA[TANGGAL]),COLUMN(NOTA[TANGGAL]))&amp;":"&amp;ADDRESS(ROW(),COLUMN(NOTA[TANGGAL]))),-1)))</f>
        <v>45070</v>
      </c>
      <c r="AH677" s="187" t="str">
        <f ca="1">IF(NOTA[[#This Row],[NAMA BARANG]]="","",INDEX(NOTA[SUPPLIER],MATCH(,INDIRECT(ADDRESS(ROW(NOTA[ID]),COLUMN(NOTA[ID]))&amp;":"&amp;ADDRESS(ROW(),COLUMN(NOTA[ID]))),-1)))</f>
        <v>ATALI MAKMUR</v>
      </c>
      <c r="AI677" s="187" t="str">
        <f ca="1">IF(NOTA[[#This Row],[ID_H]]="","",IF(NOTA[[#This Row],[FAKTUR]]="",INDIRECT(ADDRESS(ROW()-1,COLUMN())),NOTA[[#This Row],[FAKTUR]]))</f>
        <v>ARTO MORO</v>
      </c>
      <c r="AJ677" s="188" t="str">
        <f ca="1">IF(NOTA[[#This Row],[ID]]="","",COUNTIF(NOTA[ID_H],NOTA[[#This Row],[ID_H]]))</f>
        <v/>
      </c>
      <c r="AK677" s="188">
        <f ca="1">IF(NOTA[[#This Row],[TGL.NOTA]]="",IF(NOTA[[#This Row],[SUPPLIER_H]]="","",AK676),MONTH(NOTA[[#This Row],[TGL.NOTA]]))</f>
        <v>5</v>
      </c>
      <c r="AL677" s="188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6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N6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6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188" t="str">
        <f>IF(NOTA[[#This Row],[CONCAT4]]="","",_xlfn.IFNA(MATCH(NOTA[[#This Row],[CONCAT4]],[2]!RAW[CONCAT_H],0),FALSE))</f>
        <v/>
      </c>
      <c r="AQ677" s="188">
        <f>IF(NOTA[[#This Row],[CONCAT1]]="","",MATCH(NOTA[[#This Row],[CONCAT1]],[3]!db[NB NOTA_C],0)+1)</f>
        <v>2063</v>
      </c>
    </row>
    <row r="678" spans="1:43" ht="20.100000000000001" customHeight="1" x14ac:dyDescent="0.25">
      <c r="A6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188" t="str">
        <f>IF(NOTA[[#This Row],[ID_P]]="","",MATCH(NOTA[[#This Row],[ID_P]],[1]!B_MSK[N_ID],0))</f>
        <v/>
      </c>
      <c r="D678" s="188" t="str">
        <f ca="1">IF(NOTA[[#This Row],[NAMA BARANG]]="","",INDEX(NOTA[ID],MATCH(,INDIRECT(ADDRESS(ROW(NOTA[ID]),COLUMN(NOTA[ID]))&amp;":"&amp;ADDRESS(ROW(),COLUMN(NOTA[ID]))),-1)))</f>
        <v/>
      </c>
      <c r="E678" s="189"/>
      <c r="F678" s="190"/>
      <c r="G678" s="190"/>
      <c r="H678" s="191"/>
      <c r="I678" s="190"/>
      <c r="J678" s="192"/>
      <c r="K678" s="190"/>
      <c r="L678" s="190"/>
      <c r="M678" s="193"/>
      <c r="N678" s="188"/>
      <c r="O678" s="190"/>
      <c r="P678" s="187"/>
      <c r="Q678" s="194"/>
      <c r="R678" s="195"/>
      <c r="S678" s="196"/>
      <c r="T678" s="197"/>
      <c r="U678" s="198"/>
      <c r="V678" s="199"/>
      <c r="W678" s="198" t="str">
        <f>IF(NOTA[[#This Row],[HARGA/ CTN]]="",NOTA[[#This Row],[JUMLAH_H]],NOTA[[#This Row],[HARGA/ CTN]]*IF(NOTA[[#This Row],[C]]="",0,NOTA[[#This Row],[C]]))</f>
        <v/>
      </c>
      <c r="X678" s="198" t="str">
        <f>IF(NOTA[[#This Row],[JUMLAH]]="","",NOTA[[#This Row],[JUMLAH]]*NOTA[[#This Row],[DISC 1]])</f>
        <v/>
      </c>
      <c r="Y678" s="198" t="str">
        <f>IF(NOTA[[#This Row],[JUMLAH]]="","",(NOTA[[#This Row],[JUMLAH]]-NOTA[[#This Row],[DISC 1-]])*NOTA[[#This Row],[DISC 2]])</f>
        <v/>
      </c>
      <c r="Z678" s="198" t="str">
        <f>IF(NOTA[[#This Row],[JUMLAH]]="","",NOTA[[#This Row],[DISC 1-]]+NOTA[[#This Row],[DISC 2-]])</f>
        <v/>
      </c>
      <c r="AA678" s="198" t="str">
        <f>IF(NOTA[[#This Row],[JUMLAH]]="","",NOTA[[#This Row],[JUMLAH]]-NOTA[[#This Row],[DISC]])</f>
        <v/>
      </c>
      <c r="AB678" s="198"/>
      <c r="AC6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8" s="200" t="str">
        <f>IF(OR(NOTA[[#This Row],[QTY]]="",NOTA[[#This Row],[HARGA SATUAN]]="",),"",NOTA[[#This Row],[QTY]]*NOTA[[#This Row],[HARGA SATUAN]])</f>
        <v/>
      </c>
      <c r="AG678" s="192" t="str">
        <f ca="1">IF(NOTA[ID_H]="","",INDEX(NOTA[TANGGAL],MATCH(,INDIRECT(ADDRESS(ROW(NOTA[TANGGAL]),COLUMN(NOTA[TANGGAL]))&amp;":"&amp;ADDRESS(ROW(),COLUMN(NOTA[TANGGAL]))),-1)))</f>
        <v/>
      </c>
      <c r="AH678" s="187" t="str">
        <f ca="1">IF(NOTA[[#This Row],[NAMA BARANG]]="","",INDEX(NOTA[SUPPLIER],MATCH(,INDIRECT(ADDRESS(ROW(NOTA[ID]),COLUMN(NOTA[ID]))&amp;":"&amp;ADDRESS(ROW(),COLUMN(NOTA[ID]))),-1)))</f>
        <v/>
      </c>
      <c r="AI678" s="187" t="str">
        <f ca="1">IF(NOTA[[#This Row],[ID_H]]="","",IF(NOTA[[#This Row],[FAKTUR]]="",INDIRECT(ADDRESS(ROW()-1,COLUMN())),NOTA[[#This Row],[FAKTUR]]))</f>
        <v/>
      </c>
      <c r="AJ678" s="188" t="str">
        <f ca="1">IF(NOTA[[#This Row],[ID]]="","",COUNTIF(NOTA[ID_H],NOTA[[#This Row],[ID_H]]))</f>
        <v/>
      </c>
      <c r="AK678" s="188" t="str">
        <f ca="1">IF(NOTA[[#This Row],[TGL.NOTA]]="",IF(NOTA[[#This Row],[SUPPLIER_H]]="","",AK677),MONTH(NOTA[[#This Row],[TGL.NOTA]]))</f>
        <v/>
      </c>
      <c r="AL678" s="188" t="str">
        <f>LOWER(SUBSTITUTE(SUBSTITUTE(SUBSTITUTE(SUBSTITUTE(SUBSTITUTE(SUBSTITUTE(SUBSTITUTE(SUBSTITUTE(SUBSTITUTE(NOTA[NAMA BARANG]," ",),".",""),"-",""),"(",""),")",""),",",""),"/",""),"""",""),"+",""))</f>
        <v/>
      </c>
      <c r="AM6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188" t="str">
        <f>IF(NOTA[[#This Row],[CONCAT4]]="","",_xlfn.IFNA(MATCH(NOTA[[#This Row],[CONCAT4]],[2]!RAW[CONCAT_H],0),FALSE))</f>
        <v/>
      </c>
      <c r="AQ678" s="188" t="str">
        <f>IF(NOTA[[#This Row],[CONCAT1]]="","",MATCH(NOTA[[#This Row],[CONCAT1]],[3]!db[NB NOTA_C],0)+1)</f>
        <v/>
      </c>
    </row>
    <row r="679" spans="1:43" ht="20.100000000000001" customHeight="1" x14ac:dyDescent="0.25">
      <c r="A679" s="187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ATA_2405_029-11</v>
      </c>
      <c r="C679" s="188" t="e">
        <f ca="1">IF(NOTA[[#This Row],[ID_P]]="","",MATCH(NOTA[[#This Row],[ID_P]],[1]!B_MSK[N_ID],0))</f>
        <v>#REF!</v>
      </c>
      <c r="D679" s="188">
        <f ca="1">IF(NOTA[[#This Row],[NAMA BARANG]]="","",INDEX(NOTA[ID],MATCH(,INDIRECT(ADDRESS(ROW(NOTA[ID]),COLUMN(NOTA[ID]))&amp;":"&amp;ADDRESS(ROW(),COLUMN(NOTA[ID]))),-1)))</f>
        <v>122</v>
      </c>
      <c r="E679" s="189"/>
      <c r="F679" s="190" t="s">
        <v>25</v>
      </c>
      <c r="G679" s="190" t="s">
        <v>24</v>
      </c>
      <c r="H679" s="191" t="s">
        <v>883</v>
      </c>
      <c r="I679" s="190"/>
      <c r="J679" s="192">
        <v>45066</v>
      </c>
      <c r="K679" s="190"/>
      <c r="L679" s="190" t="s">
        <v>885</v>
      </c>
      <c r="M679" s="193">
        <v>6</v>
      </c>
      <c r="N679" s="188">
        <v>1728</v>
      </c>
      <c r="O679" s="190" t="s">
        <v>252</v>
      </c>
      <c r="P679" s="187">
        <v>6700</v>
      </c>
      <c r="Q679" s="194"/>
      <c r="R679" s="195" t="s">
        <v>884</v>
      </c>
      <c r="S679" s="196">
        <v>0.125</v>
      </c>
      <c r="T679" s="197">
        <v>0.05</v>
      </c>
      <c r="U679" s="198"/>
      <c r="V679" s="199"/>
      <c r="W679" s="198">
        <f>IF(NOTA[[#This Row],[HARGA/ CTN]]="",NOTA[[#This Row],[JUMLAH_H]],NOTA[[#This Row],[HARGA/ CTN]]*IF(NOTA[[#This Row],[C]]="",0,NOTA[[#This Row],[C]]))</f>
        <v>11577600</v>
      </c>
      <c r="X679" s="198">
        <f>IF(NOTA[[#This Row],[JUMLAH]]="","",NOTA[[#This Row],[JUMLAH]]*NOTA[[#This Row],[DISC 1]])</f>
        <v>1447200</v>
      </c>
      <c r="Y679" s="198">
        <f>IF(NOTA[[#This Row],[JUMLAH]]="","",(NOTA[[#This Row],[JUMLAH]]-NOTA[[#This Row],[DISC 1-]])*NOTA[[#This Row],[DISC 2]])</f>
        <v>506520</v>
      </c>
      <c r="Z679" s="198">
        <f>IF(NOTA[[#This Row],[JUMLAH]]="","",NOTA[[#This Row],[DISC 1-]]+NOTA[[#This Row],[DISC 2-]])</f>
        <v>1953720</v>
      </c>
      <c r="AA679" s="198">
        <f>IF(NOTA[[#This Row],[JUMLAH]]="","",NOTA[[#This Row],[JUMLAH]]-NOTA[[#This Row],[DISC]])</f>
        <v>9623880</v>
      </c>
      <c r="AB679" s="198"/>
      <c r="AC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18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9" s="200">
        <f>IF(OR(NOTA[[#This Row],[QTY]]="",NOTA[[#This Row],[HARGA SATUAN]]="",),"",NOTA[[#This Row],[QTY]]*NOTA[[#This Row],[HARGA SATUAN]])</f>
        <v>11577600</v>
      </c>
      <c r="AG679" s="192">
        <f ca="1">IF(NOTA[ID_H]="","",INDEX(NOTA[TANGGAL],MATCH(,INDIRECT(ADDRESS(ROW(NOTA[TANGGAL]),COLUMN(NOTA[TANGGAL]))&amp;":"&amp;ADDRESS(ROW(),COLUMN(NOTA[TANGGAL]))),-1)))</f>
        <v>45070</v>
      </c>
      <c r="AH679" s="187" t="str">
        <f ca="1">IF(NOTA[[#This Row],[NAMA BARANG]]="","",INDEX(NOTA[SUPPLIER],MATCH(,INDIRECT(ADDRESS(ROW(NOTA[ID]),COLUMN(NOTA[ID]))&amp;":"&amp;ADDRESS(ROW(),COLUMN(NOTA[ID]))),-1)))</f>
        <v>ATALI MAKMUR</v>
      </c>
      <c r="AI679" s="187" t="str">
        <f ca="1">IF(NOTA[[#This Row],[ID_H]]="","",IF(NOTA[[#This Row],[FAKTUR]]="",INDIRECT(ADDRESS(ROW()-1,COLUMN())),NOTA[[#This Row],[FAKTUR]]))</f>
        <v>ARTO MORO</v>
      </c>
      <c r="AJ679" s="188">
        <f ca="1">IF(NOTA[[#This Row],[ID]]="","",COUNTIF(NOTA[ID_H],NOTA[[#This Row],[ID_H]]))</f>
        <v>11</v>
      </c>
      <c r="AK679" s="188">
        <f>IF(NOTA[[#This Row],[TGL.NOTA]]="",IF(NOTA[[#This Row],[SUPPLIER_H]]="","",AK678),MONTH(NOTA[[#This Row],[TGL.NOTA]]))</f>
        <v>5</v>
      </c>
      <c r="AL679" s="18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6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6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679" s="18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MOROSA23050802945066colorpencilcps12jk</v>
      </c>
      <c r="AP679" s="188" t="e">
        <f>IF(NOTA[[#This Row],[CONCAT4]]="","",_xlfn.IFNA(MATCH(NOTA[[#This Row],[CONCAT4]],[2]!RAW[CONCAT_H],0),FALSE))</f>
        <v>#REF!</v>
      </c>
      <c r="AQ679" s="188">
        <f>IF(NOTA[[#This Row],[CONCAT1]]="","",MATCH(NOTA[[#This Row],[CONCAT1]],[3]!db[NB NOTA_C],0)+1)</f>
        <v>535</v>
      </c>
    </row>
    <row r="680" spans="1:43" ht="20.100000000000001" customHeight="1" x14ac:dyDescent="0.25">
      <c r="A6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188" t="str">
        <f>IF(NOTA[[#This Row],[ID_P]]="","",MATCH(NOTA[[#This Row],[ID_P]],[1]!B_MSK[N_ID],0))</f>
        <v/>
      </c>
      <c r="D680" s="188">
        <f ca="1">IF(NOTA[[#This Row],[NAMA BARANG]]="","",INDEX(NOTA[ID],MATCH(,INDIRECT(ADDRESS(ROW(NOTA[ID]),COLUMN(NOTA[ID]))&amp;":"&amp;ADDRESS(ROW(),COLUMN(NOTA[ID]))),-1)))</f>
        <v>122</v>
      </c>
      <c r="E680" s="189"/>
      <c r="F680" s="190"/>
      <c r="G680" s="190"/>
      <c r="H680" s="191"/>
      <c r="I680" s="190"/>
      <c r="J680" s="192"/>
      <c r="K680" s="190"/>
      <c r="L680" s="190" t="s">
        <v>888</v>
      </c>
      <c r="M680" s="193">
        <v>1</v>
      </c>
      <c r="N680" s="188">
        <v>144</v>
      </c>
      <c r="O680" s="190" t="s">
        <v>146</v>
      </c>
      <c r="P680" s="187">
        <v>12600</v>
      </c>
      <c r="Q680" s="194"/>
      <c r="R680" s="195" t="s">
        <v>293</v>
      </c>
      <c r="S680" s="196">
        <v>0.125</v>
      </c>
      <c r="T680" s="197">
        <v>0.05</v>
      </c>
      <c r="U680" s="198"/>
      <c r="V680" s="199"/>
      <c r="W680" s="198">
        <f>IF(NOTA[[#This Row],[HARGA/ CTN]]="",NOTA[[#This Row],[JUMLAH_H]],NOTA[[#This Row],[HARGA/ CTN]]*IF(NOTA[[#This Row],[C]]="",0,NOTA[[#This Row],[C]]))</f>
        <v>1814400</v>
      </c>
      <c r="X680" s="198">
        <f>IF(NOTA[[#This Row],[JUMLAH]]="","",NOTA[[#This Row],[JUMLAH]]*NOTA[[#This Row],[DISC 1]])</f>
        <v>226800</v>
      </c>
      <c r="Y680" s="198">
        <f>IF(NOTA[[#This Row],[JUMLAH]]="","",(NOTA[[#This Row],[JUMLAH]]-NOTA[[#This Row],[DISC 1-]])*NOTA[[#This Row],[DISC 2]])</f>
        <v>79380</v>
      </c>
      <c r="Z680" s="198">
        <f>IF(NOTA[[#This Row],[JUMLAH]]="","",NOTA[[#This Row],[DISC 1-]]+NOTA[[#This Row],[DISC 2-]])</f>
        <v>306180</v>
      </c>
      <c r="AA680" s="198">
        <f>IF(NOTA[[#This Row],[JUMLAH]]="","",NOTA[[#This Row],[JUMLAH]]-NOTA[[#This Row],[DISC]])</f>
        <v>1508220</v>
      </c>
      <c r="AB680" s="198"/>
      <c r="AC6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80" s="200">
        <f>IF(OR(NOTA[[#This Row],[QTY]]="",NOTA[[#This Row],[HARGA SATUAN]]="",),"",NOTA[[#This Row],[QTY]]*NOTA[[#This Row],[HARGA SATUAN]])</f>
        <v>1814400</v>
      </c>
      <c r="AG680" s="192">
        <f ca="1">IF(NOTA[ID_H]="","",INDEX(NOTA[TANGGAL],MATCH(,INDIRECT(ADDRESS(ROW(NOTA[TANGGAL]),COLUMN(NOTA[TANGGAL]))&amp;":"&amp;ADDRESS(ROW(),COLUMN(NOTA[TANGGAL]))),-1)))</f>
        <v>45070</v>
      </c>
      <c r="AH680" s="187" t="str">
        <f ca="1">IF(NOTA[[#This Row],[NAMA BARANG]]="","",INDEX(NOTA[SUPPLIER],MATCH(,INDIRECT(ADDRESS(ROW(NOTA[ID]),COLUMN(NOTA[ID]))&amp;":"&amp;ADDRESS(ROW(),COLUMN(NOTA[ID]))),-1)))</f>
        <v>ATALI MAKMUR</v>
      </c>
      <c r="AI680" s="187" t="str">
        <f ca="1">IF(NOTA[[#This Row],[ID_H]]="","",IF(NOTA[[#This Row],[FAKTUR]]="",INDIRECT(ADDRESS(ROW()-1,COLUMN())),NOTA[[#This Row],[FAKTUR]]))</f>
        <v>ARTO MORO</v>
      </c>
      <c r="AJ680" s="188" t="str">
        <f ca="1">IF(NOTA[[#This Row],[ID]]="","",COUNTIF(NOTA[ID_H],NOTA[[#This Row],[ID_H]]))</f>
        <v/>
      </c>
      <c r="AK680" s="188">
        <f ca="1">IF(NOTA[[#This Row],[TGL.NOTA]]="",IF(NOTA[[#This Row],[SUPPLIER_H]]="","",AK679),MONTH(NOTA[[#This Row],[TGL.NOTA]]))</f>
        <v>5</v>
      </c>
      <c r="AL680" s="188" t="str">
        <f>LOWER(SUBSTITUTE(SUBSTITUTE(SUBSTITUTE(SUBSTITUTE(SUBSTITUTE(SUBSTITUTE(SUBSTITUTE(SUBSTITUTE(SUBSTITUTE(NOTA[NAMA BARANG]," ",),".",""),"-",""),"(",""),")",""),",",""),"/",""),"""",""),"+",""))</f>
        <v>ballpenbp338vocusblackjknonbonus</v>
      </c>
      <c r="AM6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N6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ballpenbp338vocusblackjknonbonus18144000.1250.05</v>
      </c>
      <c r="AO6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188" t="str">
        <f>IF(NOTA[[#This Row],[CONCAT4]]="","",_xlfn.IFNA(MATCH(NOTA[[#This Row],[CONCAT4]],[2]!RAW[CONCAT_H],0),FALSE))</f>
        <v/>
      </c>
      <c r="AQ680" s="188">
        <f>IF(NOTA[[#This Row],[CONCAT1]]="","",MATCH(NOTA[[#This Row],[CONCAT1]],[3]!db[NB NOTA_C],0)+1)</f>
        <v>92</v>
      </c>
    </row>
    <row r="681" spans="1:43" ht="20.100000000000001" customHeight="1" x14ac:dyDescent="0.25">
      <c r="A6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188" t="str">
        <f>IF(NOTA[[#This Row],[ID_P]]="","",MATCH(NOTA[[#This Row],[ID_P]],[1]!B_MSK[N_ID],0))</f>
        <v/>
      </c>
      <c r="D681" s="188">
        <f ca="1">IF(NOTA[[#This Row],[NAMA BARANG]]="","",INDEX(NOTA[ID],MATCH(,INDIRECT(ADDRESS(ROW(NOTA[ID]),COLUMN(NOTA[ID]))&amp;":"&amp;ADDRESS(ROW(),COLUMN(NOTA[ID]))),-1)))</f>
        <v>122</v>
      </c>
      <c r="E681" s="189"/>
      <c r="F681" s="190"/>
      <c r="G681" s="190"/>
      <c r="H681" s="191"/>
      <c r="I681" s="190"/>
      <c r="J681" s="192"/>
      <c r="K681" s="190"/>
      <c r="L681" s="190" t="s">
        <v>889</v>
      </c>
      <c r="M681" s="193">
        <v>1</v>
      </c>
      <c r="N681" s="188">
        <v>120</v>
      </c>
      <c r="O681" s="190" t="s">
        <v>160</v>
      </c>
      <c r="P681" s="187">
        <v>18700</v>
      </c>
      <c r="Q681" s="194"/>
      <c r="R681" s="195" t="s">
        <v>890</v>
      </c>
      <c r="S681" s="196">
        <v>0.125</v>
      </c>
      <c r="T681" s="197">
        <v>0.05</v>
      </c>
      <c r="U681" s="198"/>
      <c r="V681" s="199"/>
      <c r="W681" s="198">
        <f>IF(NOTA[[#This Row],[HARGA/ CTN]]="",NOTA[[#This Row],[JUMLAH_H]],NOTA[[#This Row],[HARGA/ CTN]]*IF(NOTA[[#This Row],[C]]="",0,NOTA[[#This Row],[C]]))</f>
        <v>2244000</v>
      </c>
      <c r="X681" s="198">
        <f>IF(NOTA[[#This Row],[JUMLAH]]="","",NOTA[[#This Row],[JUMLAH]]*NOTA[[#This Row],[DISC 1]])</f>
        <v>280500</v>
      </c>
      <c r="Y681" s="198">
        <f>IF(NOTA[[#This Row],[JUMLAH]]="","",(NOTA[[#This Row],[JUMLAH]]-NOTA[[#This Row],[DISC 1-]])*NOTA[[#This Row],[DISC 2]])</f>
        <v>98175</v>
      </c>
      <c r="Z681" s="198">
        <f>IF(NOTA[[#This Row],[JUMLAH]]="","",NOTA[[#This Row],[DISC 1-]]+NOTA[[#This Row],[DISC 2-]])</f>
        <v>378675</v>
      </c>
      <c r="AA681" s="198">
        <f>IF(NOTA[[#This Row],[JUMLAH]]="","",NOTA[[#This Row],[JUMLAH]]-NOTA[[#This Row],[DISC]])</f>
        <v>1865325</v>
      </c>
      <c r="AB681" s="198"/>
      <c r="AC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18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681" s="200">
        <f>IF(OR(NOTA[[#This Row],[QTY]]="",NOTA[[#This Row],[HARGA SATUAN]]="",),"",NOTA[[#This Row],[QTY]]*NOTA[[#This Row],[HARGA SATUAN]])</f>
        <v>2244000</v>
      </c>
      <c r="AG681" s="192">
        <f ca="1">IF(NOTA[ID_H]="","",INDEX(NOTA[TANGGAL],MATCH(,INDIRECT(ADDRESS(ROW(NOTA[TANGGAL]),COLUMN(NOTA[TANGGAL]))&amp;":"&amp;ADDRESS(ROW(),COLUMN(NOTA[TANGGAL]))),-1)))</f>
        <v>45070</v>
      </c>
      <c r="AH681" s="187" t="str">
        <f ca="1">IF(NOTA[[#This Row],[NAMA BARANG]]="","",INDEX(NOTA[SUPPLIER],MATCH(,INDIRECT(ADDRESS(ROW(NOTA[ID]),COLUMN(NOTA[ID]))&amp;":"&amp;ADDRESS(ROW(),COLUMN(NOTA[ID]))),-1)))</f>
        <v>ATALI MAKMUR</v>
      </c>
      <c r="AI681" s="187" t="str">
        <f ca="1">IF(NOTA[[#This Row],[ID_H]]="","",IF(NOTA[[#This Row],[FAKTUR]]="",INDIRECT(ADDRESS(ROW()-1,COLUMN())),NOTA[[#This Row],[FAKTUR]]))</f>
        <v>ARTO MORO</v>
      </c>
      <c r="AJ681" s="188" t="str">
        <f ca="1">IF(NOTA[[#This Row],[ID]]="","",COUNTIF(NOTA[ID_H],NOTA[[#This Row],[ID_H]]))</f>
        <v/>
      </c>
      <c r="AK681" s="188">
        <f ca="1">IF(NOTA[[#This Row],[TGL.NOTA]]="",IF(NOTA[[#This Row],[SUPPLIER_H]]="","",AK680),MONTH(NOTA[[#This Row],[TGL.NOTA]]))</f>
        <v>5</v>
      </c>
      <c r="AL681" s="188" t="str">
        <f>LOWER(SUBSTITUTE(SUBSTITUTE(SUBSTITUTE(SUBSTITUTE(SUBSTITUTE(SUBSTITUTE(SUBSTITUTE(SUBSTITUTE(SUBSTITUTE(NOTA[NAMA BARANG]," ",),".",""),"-",""),"(",""),")",""),",",""),"/",""),"""",""),"+",""))</f>
        <v>staplerhd50jk</v>
      </c>
      <c r="AM6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6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6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188" t="str">
        <f>IF(NOTA[[#This Row],[CONCAT4]]="","",_xlfn.IFNA(MATCH(NOTA[[#This Row],[CONCAT4]],[2]!RAW[CONCAT_H],0),FALSE))</f>
        <v/>
      </c>
      <c r="AQ681" s="188">
        <f>IF(NOTA[[#This Row],[CONCAT1]]="","",MATCH(NOTA[[#This Row],[CONCAT1]],[3]!db[NB NOTA_C],0)+1)</f>
        <v>2181</v>
      </c>
    </row>
    <row r="682" spans="1:43" ht="20.100000000000001" customHeight="1" x14ac:dyDescent="0.25">
      <c r="A6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188" t="str">
        <f>IF(NOTA[[#This Row],[ID_P]]="","",MATCH(NOTA[[#This Row],[ID_P]],[1]!B_MSK[N_ID],0))</f>
        <v/>
      </c>
      <c r="D682" s="188">
        <f ca="1">IF(NOTA[[#This Row],[NAMA BARANG]]="","",INDEX(NOTA[ID],MATCH(,INDIRECT(ADDRESS(ROW(NOTA[ID]),COLUMN(NOTA[ID]))&amp;":"&amp;ADDRESS(ROW(),COLUMN(NOTA[ID]))),-1)))</f>
        <v>122</v>
      </c>
      <c r="E682" s="189"/>
      <c r="F682" s="190"/>
      <c r="G682" s="190"/>
      <c r="H682" s="191"/>
      <c r="I682" s="190"/>
      <c r="J682" s="192"/>
      <c r="K682" s="190"/>
      <c r="L682" s="190" t="s">
        <v>891</v>
      </c>
      <c r="M682" s="193">
        <v>1</v>
      </c>
      <c r="N682" s="188">
        <v>240</v>
      </c>
      <c r="O682" s="190" t="s">
        <v>252</v>
      </c>
      <c r="P682" s="187">
        <v>8800</v>
      </c>
      <c r="Q682" s="194"/>
      <c r="R682" s="195" t="s">
        <v>892</v>
      </c>
      <c r="S682" s="196">
        <v>0.125</v>
      </c>
      <c r="T682" s="197">
        <v>0.05</v>
      </c>
      <c r="U682" s="198"/>
      <c r="V682" s="199"/>
      <c r="W682" s="198">
        <f>IF(NOTA[[#This Row],[HARGA/ CTN]]="",NOTA[[#This Row],[JUMLAH_H]],NOTA[[#This Row],[HARGA/ CTN]]*IF(NOTA[[#This Row],[C]]="",0,NOTA[[#This Row],[C]]))</f>
        <v>2112000</v>
      </c>
      <c r="X682" s="198">
        <f>IF(NOTA[[#This Row],[JUMLAH]]="","",NOTA[[#This Row],[JUMLAH]]*NOTA[[#This Row],[DISC 1]])</f>
        <v>264000</v>
      </c>
      <c r="Y682" s="198">
        <f>IF(NOTA[[#This Row],[JUMLAH]]="","",(NOTA[[#This Row],[JUMLAH]]-NOTA[[#This Row],[DISC 1-]])*NOTA[[#This Row],[DISC 2]])</f>
        <v>92400</v>
      </c>
      <c r="Z682" s="198">
        <f>IF(NOTA[[#This Row],[JUMLAH]]="","",NOTA[[#This Row],[DISC 1-]]+NOTA[[#This Row],[DISC 2-]])</f>
        <v>356400</v>
      </c>
      <c r="AA682" s="198">
        <f>IF(NOTA[[#This Row],[JUMLAH]]="","",NOTA[[#This Row],[JUMLAH]]-NOTA[[#This Row],[DISC]])</f>
        <v>1755600</v>
      </c>
      <c r="AB682" s="198"/>
      <c r="AC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187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682" s="200">
        <f>IF(OR(NOTA[[#This Row],[QTY]]="",NOTA[[#This Row],[HARGA SATUAN]]="",),"",NOTA[[#This Row],[QTY]]*NOTA[[#This Row],[HARGA SATUAN]])</f>
        <v>2112000</v>
      </c>
      <c r="AG682" s="192">
        <f ca="1">IF(NOTA[ID_H]="","",INDEX(NOTA[TANGGAL],MATCH(,INDIRECT(ADDRESS(ROW(NOTA[TANGGAL]),COLUMN(NOTA[TANGGAL]))&amp;":"&amp;ADDRESS(ROW(),COLUMN(NOTA[TANGGAL]))),-1)))</f>
        <v>45070</v>
      </c>
      <c r="AH682" s="187" t="str">
        <f ca="1">IF(NOTA[[#This Row],[NAMA BARANG]]="","",INDEX(NOTA[SUPPLIER],MATCH(,INDIRECT(ADDRESS(ROW(NOTA[ID]),COLUMN(NOTA[ID]))&amp;":"&amp;ADDRESS(ROW(),COLUMN(NOTA[ID]))),-1)))</f>
        <v>ATALI MAKMUR</v>
      </c>
      <c r="AI682" s="187" t="str">
        <f ca="1">IF(NOTA[[#This Row],[ID_H]]="","",IF(NOTA[[#This Row],[FAKTUR]]="",INDIRECT(ADDRESS(ROW()-1,COLUMN())),NOTA[[#This Row],[FAKTUR]]))</f>
        <v>ARTO MORO</v>
      </c>
      <c r="AJ682" s="188" t="str">
        <f ca="1">IF(NOTA[[#This Row],[ID]]="","",COUNTIF(NOTA[ID_H],NOTA[[#This Row],[ID_H]]))</f>
        <v/>
      </c>
      <c r="AK682" s="188">
        <f ca="1">IF(NOTA[[#This Row],[TGL.NOTA]]="",IF(NOTA[[#This Row],[SUPPLIER_H]]="","",AK681),MONTH(NOTA[[#This Row],[TGL.NOTA]]))</f>
        <v>5</v>
      </c>
      <c r="AL682" s="188" t="str">
        <f>LOWER(SUBSTITUTE(SUBSTITUTE(SUBSTITUTE(SUBSTITUTE(SUBSTITUTE(SUBSTITUTE(SUBSTITUTE(SUBSTITUTE(SUBSTITUTE(NOTA[NAMA BARANG]," ",),".",""),"-",""),"(",""),")",""),",",""),"/",""),"""",""),"+",""))</f>
        <v>brushbr1jk</v>
      </c>
      <c r="AM6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6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6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188" t="str">
        <f>IF(NOTA[[#This Row],[CONCAT4]]="","",_xlfn.IFNA(MATCH(NOTA[[#This Row],[CONCAT4]],[2]!RAW[CONCAT_H],0),FALSE))</f>
        <v/>
      </c>
      <c r="AQ682" s="188">
        <f>IF(NOTA[[#This Row],[CONCAT1]]="","",MATCH(NOTA[[#This Row],[CONCAT1]],[3]!db[NB NOTA_C],0)+1)</f>
        <v>342</v>
      </c>
    </row>
    <row r="683" spans="1:43" ht="20.100000000000001" customHeight="1" x14ac:dyDescent="0.25">
      <c r="A6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188" t="str">
        <f>IF(NOTA[[#This Row],[ID_P]]="","",MATCH(NOTA[[#This Row],[ID_P]],[1]!B_MSK[N_ID],0))</f>
        <v/>
      </c>
      <c r="D683" s="188">
        <f ca="1">IF(NOTA[[#This Row],[NAMA BARANG]]="","",INDEX(NOTA[ID],MATCH(,INDIRECT(ADDRESS(ROW(NOTA[ID]),COLUMN(NOTA[ID]))&amp;":"&amp;ADDRESS(ROW(),COLUMN(NOTA[ID]))),-1)))</f>
        <v>122</v>
      </c>
      <c r="E683" s="189"/>
      <c r="F683" s="190"/>
      <c r="G683" s="190"/>
      <c r="H683" s="191"/>
      <c r="I683" s="190"/>
      <c r="J683" s="192"/>
      <c r="K683" s="190"/>
      <c r="L683" s="190" t="s">
        <v>503</v>
      </c>
      <c r="M683" s="193">
        <v>1</v>
      </c>
      <c r="N683" s="188">
        <v>144</v>
      </c>
      <c r="O683" s="190" t="s">
        <v>160</v>
      </c>
      <c r="P683" s="187">
        <v>4350</v>
      </c>
      <c r="Q683" s="194"/>
      <c r="R683" s="195" t="s">
        <v>502</v>
      </c>
      <c r="S683" s="196">
        <v>0.125</v>
      </c>
      <c r="T683" s="197">
        <v>0.05</v>
      </c>
      <c r="U683" s="198"/>
      <c r="V683" s="199"/>
      <c r="W683" s="198">
        <f>IF(NOTA[[#This Row],[HARGA/ CTN]]="",NOTA[[#This Row],[JUMLAH_H]],NOTA[[#This Row],[HARGA/ CTN]]*IF(NOTA[[#This Row],[C]]="",0,NOTA[[#This Row],[C]]))</f>
        <v>626400</v>
      </c>
      <c r="X683" s="198">
        <f>IF(NOTA[[#This Row],[JUMLAH]]="","",NOTA[[#This Row],[JUMLAH]]*NOTA[[#This Row],[DISC 1]])</f>
        <v>78300</v>
      </c>
      <c r="Y683" s="198">
        <f>IF(NOTA[[#This Row],[JUMLAH]]="","",(NOTA[[#This Row],[JUMLAH]]-NOTA[[#This Row],[DISC 1-]])*NOTA[[#This Row],[DISC 2]])</f>
        <v>27405</v>
      </c>
      <c r="Z683" s="198">
        <f>IF(NOTA[[#This Row],[JUMLAH]]="","",NOTA[[#This Row],[DISC 1-]]+NOTA[[#This Row],[DISC 2-]])</f>
        <v>105705</v>
      </c>
      <c r="AA683" s="198">
        <f>IF(NOTA[[#This Row],[JUMLAH]]="","",NOTA[[#This Row],[JUMLAH]]-NOTA[[#This Row],[DISC]])</f>
        <v>520695</v>
      </c>
      <c r="AB683" s="198"/>
      <c r="AC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18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683" s="200">
        <f>IF(OR(NOTA[[#This Row],[QTY]]="",NOTA[[#This Row],[HARGA SATUAN]]="",),"",NOTA[[#This Row],[QTY]]*NOTA[[#This Row],[HARGA SATUAN]])</f>
        <v>626400</v>
      </c>
      <c r="AG683" s="192">
        <f ca="1">IF(NOTA[ID_H]="","",INDEX(NOTA[TANGGAL],MATCH(,INDIRECT(ADDRESS(ROW(NOTA[TANGGAL]),COLUMN(NOTA[TANGGAL]))&amp;":"&amp;ADDRESS(ROW(),COLUMN(NOTA[TANGGAL]))),-1)))</f>
        <v>45070</v>
      </c>
      <c r="AH683" s="187" t="str">
        <f ca="1">IF(NOTA[[#This Row],[NAMA BARANG]]="","",INDEX(NOTA[SUPPLIER],MATCH(,INDIRECT(ADDRESS(ROW(NOTA[ID]),COLUMN(NOTA[ID]))&amp;":"&amp;ADDRESS(ROW(),COLUMN(NOTA[ID]))),-1)))</f>
        <v>ATALI MAKMUR</v>
      </c>
      <c r="AI683" s="187" t="str">
        <f ca="1">IF(NOTA[[#This Row],[ID_H]]="","",IF(NOTA[[#This Row],[FAKTUR]]="",INDIRECT(ADDRESS(ROW()-1,COLUMN())),NOTA[[#This Row],[FAKTUR]]))</f>
        <v>ARTO MORO</v>
      </c>
      <c r="AJ683" s="188" t="str">
        <f ca="1">IF(NOTA[[#This Row],[ID]]="","",COUNTIF(NOTA[ID_H],NOTA[[#This Row],[ID_H]]))</f>
        <v/>
      </c>
      <c r="AK683" s="188">
        <f ca="1">IF(NOTA[[#This Row],[TGL.NOTA]]="",IF(NOTA[[#This Row],[SUPPLIER_H]]="","",AK682),MONTH(NOTA[[#This Row],[TGL.NOTA]]))</f>
        <v>5</v>
      </c>
      <c r="AL683" s="188" t="str">
        <f>LOWER(SUBSTITUTE(SUBSTITUTE(SUBSTITUTE(SUBSTITUTE(SUBSTITUTE(SUBSTITUTE(SUBSTITUTE(SUBSTITUTE(SUBSTITUTE(NOTA[NAMA BARANG]," ",),".",""),"-",""),"(",""),")",""),",",""),"/",""),"""",""),"+",""))</f>
        <v>scissorssc828jk</v>
      </c>
      <c r="AM6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6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6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3" s="188" t="str">
        <f>IF(NOTA[[#This Row],[CONCAT4]]="","",_xlfn.IFNA(MATCH(NOTA[[#This Row],[CONCAT4]],[2]!RAW[CONCAT_H],0),FALSE))</f>
        <v/>
      </c>
      <c r="AQ683" s="188">
        <f>IF(NOTA[[#This Row],[CONCAT1]]="","",MATCH(NOTA[[#This Row],[CONCAT1]],[3]!db[NB NOTA_C],0)+1)</f>
        <v>2111</v>
      </c>
    </row>
    <row r="684" spans="1:43" ht="20.100000000000001" customHeight="1" x14ac:dyDescent="0.25">
      <c r="A6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188" t="str">
        <f>IF(NOTA[[#This Row],[ID_P]]="","",MATCH(NOTA[[#This Row],[ID_P]],[1]!B_MSK[N_ID],0))</f>
        <v/>
      </c>
      <c r="D684" s="188">
        <f ca="1">IF(NOTA[[#This Row],[NAMA BARANG]]="","",INDEX(NOTA[ID],MATCH(,INDIRECT(ADDRESS(ROW(NOTA[ID]),COLUMN(NOTA[ID]))&amp;":"&amp;ADDRESS(ROW(),COLUMN(NOTA[ID]))),-1)))</f>
        <v>122</v>
      </c>
      <c r="E684" s="189"/>
      <c r="F684" s="190"/>
      <c r="G684" s="190"/>
      <c r="H684" s="191"/>
      <c r="I684" s="190"/>
      <c r="J684" s="192"/>
      <c r="K684" s="190"/>
      <c r="L684" s="190" t="s">
        <v>783</v>
      </c>
      <c r="M684" s="193">
        <v>1</v>
      </c>
      <c r="N684" s="188">
        <v>864</v>
      </c>
      <c r="O684" s="190" t="s">
        <v>160</v>
      </c>
      <c r="P684" s="187">
        <v>2100</v>
      </c>
      <c r="Q684" s="194"/>
      <c r="R684" s="195" t="s">
        <v>295</v>
      </c>
      <c r="S684" s="196">
        <v>0.125</v>
      </c>
      <c r="T684" s="197">
        <v>0.05</v>
      </c>
      <c r="U684" s="198"/>
      <c r="V684" s="199"/>
      <c r="W684" s="198">
        <f>IF(NOTA[[#This Row],[HARGA/ CTN]]="",NOTA[[#This Row],[JUMLAH_H]],NOTA[[#This Row],[HARGA/ CTN]]*IF(NOTA[[#This Row],[C]]="",0,NOTA[[#This Row],[C]]))</f>
        <v>1814400</v>
      </c>
      <c r="X684" s="198">
        <f>IF(NOTA[[#This Row],[JUMLAH]]="","",NOTA[[#This Row],[JUMLAH]]*NOTA[[#This Row],[DISC 1]])</f>
        <v>226800</v>
      </c>
      <c r="Y684" s="198">
        <f>IF(NOTA[[#This Row],[JUMLAH]]="","",(NOTA[[#This Row],[JUMLAH]]-NOTA[[#This Row],[DISC 1-]])*NOTA[[#This Row],[DISC 2]])</f>
        <v>79380</v>
      </c>
      <c r="Z684" s="198">
        <f>IF(NOTA[[#This Row],[JUMLAH]]="","",NOTA[[#This Row],[DISC 1-]]+NOTA[[#This Row],[DISC 2-]])</f>
        <v>306180</v>
      </c>
      <c r="AA684" s="198">
        <f>IF(NOTA[[#This Row],[JUMLAH]]="","",NOTA[[#This Row],[JUMLAH]]-NOTA[[#This Row],[DISC]])</f>
        <v>1508220</v>
      </c>
      <c r="AB684" s="198"/>
      <c r="AC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18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684" s="200">
        <f>IF(OR(NOTA[[#This Row],[QTY]]="",NOTA[[#This Row],[HARGA SATUAN]]="",),"",NOTA[[#This Row],[QTY]]*NOTA[[#This Row],[HARGA SATUAN]])</f>
        <v>1814400</v>
      </c>
      <c r="AG684" s="192">
        <f ca="1">IF(NOTA[ID_H]="","",INDEX(NOTA[TANGGAL],MATCH(,INDIRECT(ADDRESS(ROW(NOTA[TANGGAL]),COLUMN(NOTA[TANGGAL]))&amp;":"&amp;ADDRESS(ROW(),COLUMN(NOTA[TANGGAL]))),-1)))</f>
        <v>45070</v>
      </c>
      <c r="AH684" s="187" t="str">
        <f ca="1">IF(NOTA[[#This Row],[NAMA BARANG]]="","",INDEX(NOTA[SUPPLIER],MATCH(,INDIRECT(ADDRESS(ROW(NOTA[ID]),COLUMN(NOTA[ID]))&amp;":"&amp;ADDRESS(ROW(),COLUMN(NOTA[ID]))),-1)))</f>
        <v>ATALI MAKMUR</v>
      </c>
      <c r="AI684" s="187" t="str">
        <f ca="1">IF(NOTA[[#This Row],[ID_H]]="","",IF(NOTA[[#This Row],[FAKTUR]]="",INDIRECT(ADDRESS(ROW()-1,COLUMN())),NOTA[[#This Row],[FAKTUR]]))</f>
        <v>ARTO MORO</v>
      </c>
      <c r="AJ684" s="188" t="str">
        <f ca="1">IF(NOTA[[#This Row],[ID]]="","",COUNTIF(NOTA[ID_H],NOTA[[#This Row],[ID_H]]))</f>
        <v/>
      </c>
      <c r="AK684" s="188">
        <f ca="1">IF(NOTA[[#This Row],[TGL.NOTA]]="",IF(NOTA[[#This Row],[SUPPLIER_H]]="","",AK683),MONTH(NOTA[[#This Row],[TGL.NOTA]]))</f>
        <v>5</v>
      </c>
      <c r="AL684" s="18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6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6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6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188" t="str">
        <f>IF(NOTA[[#This Row],[CONCAT4]]="","",_xlfn.IFNA(MATCH(NOTA[[#This Row],[CONCAT4]],[2]!RAW[CONCAT_H],0),FALSE))</f>
        <v/>
      </c>
      <c r="AQ684" s="188">
        <f>IF(NOTA[[#This Row],[CONCAT1]]="","",MATCH(NOTA[[#This Row],[CONCAT1]],[3]!db[NB NOTA_C],0)+1)</f>
        <v>1006</v>
      </c>
    </row>
    <row r="685" spans="1:43" ht="20.100000000000001" customHeight="1" x14ac:dyDescent="0.25">
      <c r="A6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188" t="str">
        <f>IF(NOTA[[#This Row],[ID_P]]="","",MATCH(NOTA[[#This Row],[ID_P]],[1]!B_MSK[N_ID],0))</f>
        <v/>
      </c>
      <c r="D685" s="188">
        <f ca="1">IF(NOTA[[#This Row],[NAMA BARANG]]="","",INDEX(NOTA[ID],MATCH(,INDIRECT(ADDRESS(ROW(NOTA[ID]),COLUMN(NOTA[ID]))&amp;":"&amp;ADDRESS(ROW(),COLUMN(NOTA[ID]))),-1)))</f>
        <v>122</v>
      </c>
      <c r="E685" s="189"/>
      <c r="F685" s="190"/>
      <c r="G685" s="190"/>
      <c r="H685" s="191"/>
      <c r="I685" s="190"/>
      <c r="J685" s="192"/>
      <c r="K685" s="190"/>
      <c r="L685" s="190" t="s">
        <v>893</v>
      </c>
      <c r="M685" s="193">
        <v>1</v>
      </c>
      <c r="N685" s="188">
        <v>12</v>
      </c>
      <c r="O685" s="190" t="s">
        <v>183</v>
      </c>
      <c r="P685" s="187">
        <v>176400</v>
      </c>
      <c r="Q685" s="194"/>
      <c r="R685" s="195" t="s">
        <v>150</v>
      </c>
      <c r="S685" s="196">
        <v>0.125</v>
      </c>
      <c r="T685" s="197">
        <v>0.05</v>
      </c>
      <c r="U685" s="198"/>
      <c r="V685" s="199"/>
      <c r="W685" s="198">
        <f>IF(NOTA[[#This Row],[HARGA/ CTN]]="",NOTA[[#This Row],[JUMLAH_H]],NOTA[[#This Row],[HARGA/ CTN]]*IF(NOTA[[#This Row],[C]]="",0,NOTA[[#This Row],[C]]))</f>
        <v>2116800</v>
      </c>
      <c r="X685" s="198">
        <f>IF(NOTA[[#This Row],[JUMLAH]]="","",NOTA[[#This Row],[JUMLAH]]*NOTA[[#This Row],[DISC 1]])</f>
        <v>264600</v>
      </c>
      <c r="Y685" s="198">
        <f>IF(NOTA[[#This Row],[JUMLAH]]="","",(NOTA[[#This Row],[JUMLAH]]-NOTA[[#This Row],[DISC 1-]])*NOTA[[#This Row],[DISC 2]])</f>
        <v>92610</v>
      </c>
      <c r="Z685" s="198">
        <f>IF(NOTA[[#This Row],[JUMLAH]]="","",NOTA[[#This Row],[DISC 1-]]+NOTA[[#This Row],[DISC 2-]])</f>
        <v>357210</v>
      </c>
      <c r="AA685" s="198">
        <f>IF(NOTA[[#This Row],[JUMLAH]]="","",NOTA[[#This Row],[JUMLAH]]-NOTA[[#This Row],[DISC]])</f>
        <v>1759590</v>
      </c>
      <c r="AB685" s="198"/>
      <c r="AC6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187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685" s="200">
        <f>IF(OR(NOTA[[#This Row],[QTY]]="",NOTA[[#This Row],[HARGA SATUAN]]="",),"",NOTA[[#This Row],[QTY]]*NOTA[[#This Row],[HARGA SATUAN]])</f>
        <v>2116800</v>
      </c>
      <c r="AG685" s="192">
        <f ca="1">IF(NOTA[ID_H]="","",INDEX(NOTA[TANGGAL],MATCH(,INDIRECT(ADDRESS(ROW(NOTA[TANGGAL]),COLUMN(NOTA[TANGGAL]))&amp;":"&amp;ADDRESS(ROW(),COLUMN(NOTA[TANGGAL]))),-1)))</f>
        <v>45070</v>
      </c>
      <c r="AH685" s="187" t="str">
        <f ca="1">IF(NOTA[[#This Row],[NAMA BARANG]]="","",INDEX(NOTA[SUPPLIER],MATCH(,INDIRECT(ADDRESS(ROW(NOTA[ID]),COLUMN(NOTA[ID]))&amp;":"&amp;ADDRESS(ROW(),COLUMN(NOTA[ID]))),-1)))</f>
        <v>ATALI MAKMUR</v>
      </c>
      <c r="AI685" s="187" t="str">
        <f ca="1">IF(NOTA[[#This Row],[ID_H]]="","",IF(NOTA[[#This Row],[FAKTUR]]="",INDIRECT(ADDRESS(ROW()-1,COLUMN())),NOTA[[#This Row],[FAKTUR]]))</f>
        <v>ARTO MORO</v>
      </c>
      <c r="AJ685" s="188" t="str">
        <f ca="1">IF(NOTA[[#This Row],[ID]]="","",COUNTIF(NOTA[ID_H],NOTA[[#This Row],[ID_H]]))</f>
        <v/>
      </c>
      <c r="AK685" s="188">
        <f ca="1">IF(NOTA[[#This Row],[TGL.NOTA]]="",IF(NOTA[[#This Row],[SUPPLIER_H]]="","",AK684),MONTH(NOTA[[#This Row],[TGL.NOTA]]))</f>
        <v>5</v>
      </c>
      <c r="AL685" s="18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6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6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6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188" t="str">
        <f>IF(NOTA[[#This Row],[CONCAT4]]="","",_xlfn.IFNA(MATCH(NOTA[[#This Row],[CONCAT4]],[2]!RAW[CONCAT_H],0),FALSE))</f>
        <v/>
      </c>
      <c r="AQ685" s="188">
        <f>IF(NOTA[[#This Row],[CONCAT1]]="","",MATCH(NOTA[[#This Row],[CONCAT1]],[3]!db[NB NOTA_C],0)+1)</f>
        <v>1922</v>
      </c>
    </row>
    <row r="686" spans="1:43" ht="20.100000000000001" customHeight="1" x14ac:dyDescent="0.25">
      <c r="A6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188" t="str">
        <f>IF(NOTA[[#This Row],[ID_P]]="","",MATCH(NOTA[[#This Row],[ID_P]],[1]!B_MSK[N_ID],0))</f>
        <v/>
      </c>
      <c r="D686" s="188">
        <f ca="1">IF(NOTA[[#This Row],[NAMA BARANG]]="","",INDEX(NOTA[ID],MATCH(,INDIRECT(ADDRESS(ROW(NOTA[ID]),COLUMN(NOTA[ID]))&amp;":"&amp;ADDRESS(ROW(),COLUMN(NOTA[ID]))),-1)))</f>
        <v>122</v>
      </c>
      <c r="E686" s="189"/>
      <c r="F686" s="190"/>
      <c r="G686" s="190"/>
      <c r="H686" s="191"/>
      <c r="I686" s="190"/>
      <c r="J686" s="192"/>
      <c r="K686" s="190"/>
      <c r="L686" s="190" t="s">
        <v>269</v>
      </c>
      <c r="M686" s="193">
        <v>1</v>
      </c>
      <c r="N686" s="188">
        <v>30</v>
      </c>
      <c r="O686" s="190" t="s">
        <v>183</v>
      </c>
      <c r="P686" s="187">
        <v>104400</v>
      </c>
      <c r="Q686" s="194"/>
      <c r="R686" s="195" t="s">
        <v>270</v>
      </c>
      <c r="S686" s="196">
        <v>0.125</v>
      </c>
      <c r="T686" s="197">
        <v>0.05</v>
      </c>
      <c r="U686" s="198"/>
      <c r="V686" s="199"/>
      <c r="W686" s="198">
        <f>IF(NOTA[[#This Row],[HARGA/ CTN]]="",NOTA[[#This Row],[JUMLAH_H]],NOTA[[#This Row],[HARGA/ CTN]]*IF(NOTA[[#This Row],[C]]="",0,NOTA[[#This Row],[C]]))</f>
        <v>3132000</v>
      </c>
      <c r="X686" s="198">
        <f>IF(NOTA[[#This Row],[JUMLAH]]="","",NOTA[[#This Row],[JUMLAH]]*NOTA[[#This Row],[DISC 1]])</f>
        <v>391500</v>
      </c>
      <c r="Y686" s="198">
        <f>IF(NOTA[[#This Row],[JUMLAH]]="","",(NOTA[[#This Row],[JUMLAH]]-NOTA[[#This Row],[DISC 1-]])*NOTA[[#This Row],[DISC 2]])</f>
        <v>137025</v>
      </c>
      <c r="Z686" s="198">
        <f>IF(NOTA[[#This Row],[JUMLAH]]="","",NOTA[[#This Row],[DISC 1-]]+NOTA[[#This Row],[DISC 2-]])</f>
        <v>528525</v>
      </c>
      <c r="AA686" s="198">
        <f>IF(NOTA[[#This Row],[JUMLAH]]="","",NOTA[[#This Row],[JUMLAH]]-NOTA[[#This Row],[DISC]])</f>
        <v>2603475</v>
      </c>
      <c r="AB686" s="198"/>
      <c r="AC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686" s="200">
        <f>IF(OR(NOTA[[#This Row],[QTY]]="",NOTA[[#This Row],[HARGA SATUAN]]="",),"",NOTA[[#This Row],[QTY]]*NOTA[[#This Row],[HARGA SATUAN]])</f>
        <v>3132000</v>
      </c>
      <c r="AG686" s="192">
        <f ca="1">IF(NOTA[ID_H]="","",INDEX(NOTA[TANGGAL],MATCH(,INDIRECT(ADDRESS(ROW(NOTA[TANGGAL]),COLUMN(NOTA[TANGGAL]))&amp;":"&amp;ADDRESS(ROW(),COLUMN(NOTA[TANGGAL]))),-1)))</f>
        <v>45070</v>
      </c>
      <c r="AH686" s="187" t="str">
        <f ca="1">IF(NOTA[[#This Row],[NAMA BARANG]]="","",INDEX(NOTA[SUPPLIER],MATCH(,INDIRECT(ADDRESS(ROW(NOTA[ID]),COLUMN(NOTA[ID]))&amp;":"&amp;ADDRESS(ROW(),COLUMN(NOTA[ID]))),-1)))</f>
        <v>ATALI MAKMUR</v>
      </c>
      <c r="AI686" s="187" t="str">
        <f ca="1">IF(NOTA[[#This Row],[ID_H]]="","",IF(NOTA[[#This Row],[FAKTUR]]="",INDIRECT(ADDRESS(ROW()-1,COLUMN())),NOTA[[#This Row],[FAKTUR]]))</f>
        <v>ARTO MORO</v>
      </c>
      <c r="AJ686" s="188" t="str">
        <f ca="1">IF(NOTA[[#This Row],[ID]]="","",COUNTIF(NOTA[ID_H],NOTA[[#This Row],[ID_H]]))</f>
        <v/>
      </c>
      <c r="AK686" s="188">
        <f ca="1">IF(NOTA[[#This Row],[TGL.NOTA]]="",IF(NOTA[[#This Row],[SUPPLIER_H]]="","",AK685),MONTH(NOTA[[#This Row],[TGL.NOTA]]))</f>
        <v>5</v>
      </c>
      <c r="AL686" s="188" t="str">
        <f>LOWER(SUBSTITUTE(SUBSTITUTE(SUBSTITUTE(SUBSTITUTE(SUBSTITUTE(SUBSTITUTE(SUBSTITUTE(SUBSTITUTE(SUBSTITUTE(NOTA[NAMA BARANG]," ",),".",""),"-",""),"(",""),")",""),",",""),"/",""),"""",""),"+",""))</f>
        <v>pencilp882bjk</v>
      </c>
      <c r="AM6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6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6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188" t="str">
        <f>IF(NOTA[[#This Row],[CONCAT4]]="","",_xlfn.IFNA(MATCH(NOTA[[#This Row],[CONCAT4]],[2]!RAW[CONCAT_H],0),FALSE))</f>
        <v/>
      </c>
      <c r="AQ686" s="188">
        <f>IF(NOTA[[#This Row],[CONCAT1]]="","",MATCH(NOTA[[#This Row],[CONCAT1]],[3]!db[NB NOTA_C],0)+1)</f>
        <v>1927</v>
      </c>
    </row>
    <row r="687" spans="1:43" ht="20.100000000000001" customHeight="1" x14ac:dyDescent="0.25">
      <c r="A6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188" t="str">
        <f>IF(NOTA[[#This Row],[ID_P]]="","",MATCH(NOTA[[#This Row],[ID_P]],[1]!B_MSK[N_ID],0))</f>
        <v/>
      </c>
      <c r="D687" s="188">
        <f ca="1">IF(NOTA[[#This Row],[NAMA BARANG]]="","",INDEX(NOTA[ID],MATCH(,INDIRECT(ADDRESS(ROW(NOTA[ID]),COLUMN(NOTA[ID]))&amp;":"&amp;ADDRESS(ROW(),COLUMN(NOTA[ID]))),-1)))</f>
        <v>122</v>
      </c>
      <c r="E687" s="189"/>
      <c r="F687" s="190"/>
      <c r="G687" s="190"/>
      <c r="H687" s="191"/>
      <c r="I687" s="190"/>
      <c r="J687" s="192"/>
      <c r="K687" s="190"/>
      <c r="L687" s="190" t="s">
        <v>894</v>
      </c>
      <c r="M687" s="193">
        <v>1</v>
      </c>
      <c r="N687" s="188">
        <v>36</v>
      </c>
      <c r="O687" s="190" t="s">
        <v>146</v>
      </c>
      <c r="P687" s="187">
        <v>41400</v>
      </c>
      <c r="Q687" s="194"/>
      <c r="R687" s="195" t="s">
        <v>603</v>
      </c>
      <c r="S687" s="196">
        <v>0.125</v>
      </c>
      <c r="T687" s="197">
        <v>0.05</v>
      </c>
      <c r="U687" s="198"/>
      <c r="V687" s="199"/>
      <c r="W687" s="198">
        <f>IF(NOTA[[#This Row],[HARGA/ CTN]]="",NOTA[[#This Row],[JUMLAH_H]],NOTA[[#This Row],[HARGA/ CTN]]*IF(NOTA[[#This Row],[C]]="",0,NOTA[[#This Row],[C]]))</f>
        <v>1490400</v>
      </c>
      <c r="X687" s="198">
        <f>IF(NOTA[[#This Row],[JUMLAH]]="","",NOTA[[#This Row],[JUMLAH]]*NOTA[[#This Row],[DISC 1]])</f>
        <v>186300</v>
      </c>
      <c r="Y687" s="198">
        <f>IF(NOTA[[#This Row],[JUMLAH]]="","",(NOTA[[#This Row],[JUMLAH]]-NOTA[[#This Row],[DISC 1-]])*NOTA[[#This Row],[DISC 2]])</f>
        <v>65205</v>
      </c>
      <c r="Z687" s="198">
        <f>IF(NOTA[[#This Row],[JUMLAH]]="","",NOTA[[#This Row],[DISC 1-]]+NOTA[[#This Row],[DISC 2-]])</f>
        <v>251505</v>
      </c>
      <c r="AA687" s="198">
        <f>IF(NOTA[[#This Row],[JUMLAH]]="","",NOTA[[#This Row],[JUMLAH]]-NOTA[[#This Row],[DISC]])</f>
        <v>1238895</v>
      </c>
      <c r="AB687" s="198"/>
      <c r="AC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18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687" s="200">
        <f>IF(OR(NOTA[[#This Row],[QTY]]="",NOTA[[#This Row],[HARGA SATUAN]]="",),"",NOTA[[#This Row],[QTY]]*NOTA[[#This Row],[HARGA SATUAN]])</f>
        <v>1490400</v>
      </c>
      <c r="AG687" s="192">
        <f ca="1">IF(NOTA[ID_H]="","",INDEX(NOTA[TANGGAL],MATCH(,INDIRECT(ADDRESS(ROW(NOTA[TANGGAL]),COLUMN(NOTA[TANGGAL]))&amp;":"&amp;ADDRESS(ROW(),COLUMN(NOTA[TANGGAL]))),-1)))</f>
        <v>45070</v>
      </c>
      <c r="AH687" s="187" t="str">
        <f ca="1">IF(NOTA[[#This Row],[NAMA BARANG]]="","",INDEX(NOTA[SUPPLIER],MATCH(,INDIRECT(ADDRESS(ROW(NOTA[ID]),COLUMN(NOTA[ID]))&amp;":"&amp;ADDRESS(ROW(),COLUMN(NOTA[ID]))),-1)))</f>
        <v>ATALI MAKMUR</v>
      </c>
      <c r="AI687" s="187" t="str">
        <f ca="1">IF(NOTA[[#This Row],[ID_H]]="","",IF(NOTA[[#This Row],[FAKTUR]]="",INDIRECT(ADDRESS(ROW()-1,COLUMN())),NOTA[[#This Row],[FAKTUR]]))</f>
        <v>ARTO MORO</v>
      </c>
      <c r="AJ687" s="188" t="str">
        <f ca="1">IF(NOTA[[#This Row],[ID]]="","",COUNTIF(NOTA[ID_H],NOTA[[#This Row],[ID_H]]))</f>
        <v/>
      </c>
      <c r="AK687" s="188">
        <f ca="1">IF(NOTA[[#This Row],[TGL.NOTA]]="",IF(NOTA[[#This Row],[SUPPLIER_H]]="","",AK686),MONTH(NOTA[[#This Row],[TGL.NOTA]]))</f>
        <v>5</v>
      </c>
      <c r="AL687" s="18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6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6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6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188" t="str">
        <f>IF(NOTA[[#This Row],[CONCAT4]]="","",_xlfn.IFNA(MATCH(NOTA[[#This Row],[CONCAT4]],[2]!RAW[CONCAT_H],0),FALSE))</f>
        <v/>
      </c>
      <c r="AQ687" s="188">
        <f>IF(NOTA[[#This Row],[CONCAT1]]="","",MATCH(NOTA[[#This Row],[CONCAT1]],[3]!db[NB NOTA_C],0)+1)</f>
        <v>551</v>
      </c>
    </row>
    <row r="688" spans="1:43" ht="20.100000000000001" customHeight="1" x14ac:dyDescent="0.25">
      <c r="A6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188" t="str">
        <f>IF(NOTA[[#This Row],[ID_P]]="","",MATCH(NOTA[[#This Row],[ID_P]],[1]!B_MSK[N_ID],0))</f>
        <v/>
      </c>
      <c r="D688" s="188">
        <f ca="1">IF(NOTA[[#This Row],[NAMA BARANG]]="","",INDEX(NOTA[ID],MATCH(,INDIRECT(ADDRESS(ROW(NOTA[ID]),COLUMN(NOTA[ID]))&amp;":"&amp;ADDRESS(ROW(),COLUMN(NOTA[ID]))),-1)))</f>
        <v>122</v>
      </c>
      <c r="E688" s="189"/>
      <c r="F688" s="190"/>
      <c r="G688" s="190"/>
      <c r="H688" s="191"/>
      <c r="I688" s="190"/>
      <c r="J688" s="192"/>
      <c r="K688" s="190"/>
      <c r="L688" s="190" t="s">
        <v>833</v>
      </c>
      <c r="M688" s="193">
        <v>3</v>
      </c>
      <c r="N688" s="188">
        <v>3000</v>
      </c>
      <c r="O688" s="190" t="s">
        <v>288</v>
      </c>
      <c r="P688" s="187">
        <v>2050</v>
      </c>
      <c r="Q688" s="194"/>
      <c r="R688" s="195" t="s">
        <v>500</v>
      </c>
      <c r="S688" s="196">
        <v>0.125</v>
      </c>
      <c r="T688" s="197">
        <v>0.05</v>
      </c>
      <c r="U688" s="198"/>
      <c r="V688" s="199"/>
      <c r="W688" s="198">
        <f>IF(NOTA[[#This Row],[HARGA/ CTN]]="",NOTA[[#This Row],[JUMLAH_H]],NOTA[[#This Row],[HARGA/ CTN]]*IF(NOTA[[#This Row],[C]]="",0,NOTA[[#This Row],[C]]))</f>
        <v>6150000</v>
      </c>
      <c r="X688" s="198">
        <f>IF(NOTA[[#This Row],[JUMLAH]]="","",NOTA[[#This Row],[JUMLAH]]*NOTA[[#This Row],[DISC 1]])</f>
        <v>768750</v>
      </c>
      <c r="Y688" s="198">
        <f>IF(NOTA[[#This Row],[JUMLAH]]="","",(NOTA[[#This Row],[JUMLAH]]-NOTA[[#This Row],[DISC 1-]])*NOTA[[#This Row],[DISC 2]])</f>
        <v>269062.5</v>
      </c>
      <c r="Z688" s="198">
        <f>IF(NOTA[[#This Row],[JUMLAH]]="","",NOTA[[#This Row],[DISC 1-]]+NOTA[[#This Row],[DISC 2-]])</f>
        <v>1037812.5</v>
      </c>
      <c r="AA688" s="198">
        <f>IF(NOTA[[#This Row],[JUMLAH]]="","",NOTA[[#This Row],[JUMLAH]]-NOTA[[#This Row],[DISC]])</f>
        <v>5112187.5</v>
      </c>
      <c r="AB688" s="198"/>
      <c r="AC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187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688" s="200">
        <f>IF(OR(NOTA[[#This Row],[QTY]]="",NOTA[[#This Row],[HARGA SATUAN]]="",),"",NOTA[[#This Row],[QTY]]*NOTA[[#This Row],[HARGA SATUAN]])</f>
        <v>6150000</v>
      </c>
      <c r="AG688" s="192">
        <f ca="1">IF(NOTA[ID_H]="","",INDEX(NOTA[TANGGAL],MATCH(,INDIRECT(ADDRESS(ROW(NOTA[TANGGAL]),COLUMN(NOTA[TANGGAL]))&amp;":"&amp;ADDRESS(ROW(),COLUMN(NOTA[TANGGAL]))),-1)))</f>
        <v>45070</v>
      </c>
      <c r="AH688" s="187" t="str">
        <f ca="1">IF(NOTA[[#This Row],[NAMA BARANG]]="","",INDEX(NOTA[SUPPLIER],MATCH(,INDIRECT(ADDRESS(ROW(NOTA[ID]),COLUMN(NOTA[ID]))&amp;":"&amp;ADDRESS(ROW(),COLUMN(NOTA[ID]))),-1)))</f>
        <v>ATALI MAKMUR</v>
      </c>
      <c r="AI688" s="187" t="str">
        <f ca="1">IF(NOTA[[#This Row],[ID_H]]="","",IF(NOTA[[#This Row],[FAKTUR]]="",INDIRECT(ADDRESS(ROW()-1,COLUMN())),NOTA[[#This Row],[FAKTUR]]))</f>
        <v>ARTO MORO</v>
      </c>
      <c r="AJ688" s="188" t="str">
        <f ca="1">IF(NOTA[[#This Row],[ID]]="","",COUNTIF(NOTA[ID_H],NOTA[[#This Row],[ID_H]]))</f>
        <v/>
      </c>
      <c r="AK688" s="188">
        <f ca="1">IF(NOTA[[#This Row],[TGL.NOTA]]="",IF(NOTA[[#This Row],[SUPPLIER_H]]="","",AK687),MONTH(NOTA[[#This Row],[TGL.NOTA]]))</f>
        <v>5</v>
      </c>
      <c r="AL688" s="18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6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6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6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188" t="str">
        <f>IF(NOTA[[#This Row],[CONCAT4]]="","",_xlfn.IFNA(MATCH(NOTA[[#This Row],[CONCAT4]],[2]!RAW[CONCAT_H],0),FALSE))</f>
        <v/>
      </c>
      <c r="AQ688" s="188">
        <f>IF(NOTA[[#This Row],[CONCAT1]]="","",MATCH(NOTA[[#This Row],[CONCAT1]],[3]!db[NB NOTA_C],0)+1)</f>
        <v>1464</v>
      </c>
    </row>
    <row r="689" spans="1:43" ht="20.100000000000001" customHeight="1" x14ac:dyDescent="0.25">
      <c r="A6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188" t="str">
        <f>IF(NOTA[[#This Row],[ID_P]]="","",MATCH(NOTA[[#This Row],[ID_P]],[1]!B_MSK[N_ID],0))</f>
        <v/>
      </c>
      <c r="D689" s="188">
        <f ca="1">IF(NOTA[[#This Row],[NAMA BARANG]]="","",INDEX(NOTA[ID],MATCH(,INDIRECT(ADDRESS(ROW(NOTA[ID]),COLUMN(NOTA[ID]))&amp;":"&amp;ADDRESS(ROW(),COLUMN(NOTA[ID]))),-1)))</f>
        <v>122</v>
      </c>
      <c r="E689" s="189"/>
      <c r="F689" s="190"/>
      <c r="G689" s="190"/>
      <c r="H689" s="191"/>
      <c r="I689" s="190"/>
      <c r="J689" s="192"/>
      <c r="K689" s="190"/>
      <c r="L689" s="190" t="s">
        <v>895</v>
      </c>
      <c r="M689" s="193">
        <v>1</v>
      </c>
      <c r="N689" s="188">
        <v>288</v>
      </c>
      <c r="O689" s="190" t="s">
        <v>160</v>
      </c>
      <c r="P689" s="187">
        <v>2150</v>
      </c>
      <c r="Q689" s="194"/>
      <c r="R689" s="195" t="s">
        <v>597</v>
      </c>
      <c r="S689" s="196">
        <v>0.125</v>
      </c>
      <c r="T689" s="197">
        <v>0.05</v>
      </c>
      <c r="U689" s="198"/>
      <c r="V689" s="199"/>
      <c r="W689" s="198">
        <f>IF(NOTA[[#This Row],[HARGA/ CTN]]="",NOTA[[#This Row],[JUMLAH_H]],NOTA[[#This Row],[HARGA/ CTN]]*IF(NOTA[[#This Row],[C]]="",0,NOTA[[#This Row],[C]]))</f>
        <v>619200</v>
      </c>
      <c r="X689" s="198">
        <f>IF(NOTA[[#This Row],[JUMLAH]]="","",NOTA[[#This Row],[JUMLAH]]*NOTA[[#This Row],[DISC 1]])</f>
        <v>77400</v>
      </c>
      <c r="Y689" s="198">
        <f>IF(NOTA[[#This Row],[JUMLAH]]="","",(NOTA[[#This Row],[JUMLAH]]-NOTA[[#This Row],[DISC 1-]])*NOTA[[#This Row],[DISC 2]])</f>
        <v>27090</v>
      </c>
      <c r="Z689" s="198">
        <f>IF(NOTA[[#This Row],[JUMLAH]]="","",NOTA[[#This Row],[DISC 1-]]+NOTA[[#This Row],[DISC 2-]])</f>
        <v>104490</v>
      </c>
      <c r="AA689" s="198">
        <f>IF(NOTA[[#This Row],[JUMLAH]]="","",NOTA[[#This Row],[JUMLAH]]-NOTA[[#This Row],[DISC]])</f>
        <v>514710</v>
      </c>
      <c r="AB689" s="198"/>
      <c r="AC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5686402.5</v>
      </c>
      <c r="AD68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28010797.5</v>
      </c>
      <c r="AE689" s="187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89" s="200">
        <f>IF(OR(NOTA[[#This Row],[QTY]]="",NOTA[[#This Row],[HARGA SATUAN]]="",),"",NOTA[[#This Row],[QTY]]*NOTA[[#This Row],[HARGA SATUAN]])</f>
        <v>619200</v>
      </c>
      <c r="AG689" s="192">
        <f ca="1">IF(NOTA[ID_H]="","",INDEX(NOTA[TANGGAL],MATCH(,INDIRECT(ADDRESS(ROW(NOTA[TANGGAL]),COLUMN(NOTA[TANGGAL]))&amp;":"&amp;ADDRESS(ROW(),COLUMN(NOTA[TANGGAL]))),-1)))</f>
        <v>45070</v>
      </c>
      <c r="AH689" s="187" t="str">
        <f ca="1">IF(NOTA[[#This Row],[NAMA BARANG]]="","",INDEX(NOTA[SUPPLIER],MATCH(,INDIRECT(ADDRESS(ROW(NOTA[ID]),COLUMN(NOTA[ID]))&amp;":"&amp;ADDRESS(ROW(),COLUMN(NOTA[ID]))),-1)))</f>
        <v>ATALI MAKMUR</v>
      </c>
      <c r="AI689" s="187" t="str">
        <f ca="1">IF(NOTA[[#This Row],[ID_H]]="","",IF(NOTA[[#This Row],[FAKTUR]]="",INDIRECT(ADDRESS(ROW()-1,COLUMN())),NOTA[[#This Row],[FAKTUR]]))</f>
        <v>ARTO MORO</v>
      </c>
      <c r="AJ689" s="188" t="str">
        <f ca="1">IF(NOTA[[#This Row],[ID]]="","",COUNTIF(NOTA[ID_H],NOTA[[#This Row],[ID_H]]))</f>
        <v/>
      </c>
      <c r="AK689" s="188">
        <f ca="1">IF(NOTA[[#This Row],[TGL.NOTA]]="",IF(NOTA[[#This Row],[SUPPLIER_H]]="","",AK688),MONTH(NOTA[[#This Row],[TGL.NOTA]]))</f>
        <v>5</v>
      </c>
      <c r="AL689" s="188" t="str">
        <f>LOWER(SUBSTITUTE(SUBSTITUTE(SUBSTITUTE(SUBSTITUTE(SUBSTITUTE(SUBSTITUTE(SUBSTITUTE(SUBSTITUTE(SUBSTITUTE(NOTA[NAMA BARANG]," ",),".",""),"-",""),"(",""),")",""),",",""),"/",""),"""",""),"+",""))</f>
        <v>glueglr50jk</v>
      </c>
      <c r="AM6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6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6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188" t="str">
        <f>IF(NOTA[[#This Row],[CONCAT4]]="","",_xlfn.IFNA(MATCH(NOTA[[#This Row],[CONCAT4]],[2]!RAW[CONCAT_H],0),FALSE))</f>
        <v/>
      </c>
      <c r="AQ689" s="188">
        <f>IF(NOTA[[#This Row],[CONCAT1]]="","",MATCH(NOTA[[#This Row],[CONCAT1]],[3]!db[NB NOTA_C],0)+1)</f>
        <v>999</v>
      </c>
    </row>
    <row r="690" spans="1:43" ht="20.100000000000001" customHeight="1" x14ac:dyDescent="0.25">
      <c r="A6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188" t="str">
        <f>IF(NOTA[[#This Row],[ID_P]]="","",MATCH(NOTA[[#This Row],[ID_P]],[1]!B_MSK[N_ID],0))</f>
        <v/>
      </c>
      <c r="D690" s="188" t="str">
        <f ca="1">IF(NOTA[[#This Row],[NAMA BARANG]]="","",INDEX(NOTA[ID],MATCH(,INDIRECT(ADDRESS(ROW(NOTA[ID]),COLUMN(NOTA[ID]))&amp;":"&amp;ADDRESS(ROW(),COLUMN(NOTA[ID]))),-1)))</f>
        <v/>
      </c>
      <c r="E690" s="189"/>
      <c r="F690" s="190"/>
      <c r="G690" s="190"/>
      <c r="H690" s="191"/>
      <c r="I690" s="190"/>
      <c r="J690" s="192"/>
      <c r="K690" s="190"/>
      <c r="L690" s="190"/>
      <c r="M690" s="193"/>
      <c r="N690" s="188"/>
      <c r="O690" s="190"/>
      <c r="P690" s="187"/>
      <c r="Q690" s="194"/>
      <c r="R690" s="195"/>
      <c r="S690" s="196"/>
      <c r="T690" s="197"/>
      <c r="U690" s="198"/>
      <c r="V690" s="199"/>
      <c r="W690" s="198" t="str">
        <f>IF(NOTA[[#This Row],[HARGA/ CTN]]="",NOTA[[#This Row],[JUMLAH_H]],NOTA[[#This Row],[HARGA/ CTN]]*IF(NOTA[[#This Row],[C]]="",0,NOTA[[#This Row],[C]]))</f>
        <v/>
      </c>
      <c r="X690" s="198" t="str">
        <f>IF(NOTA[[#This Row],[JUMLAH]]="","",NOTA[[#This Row],[JUMLAH]]*NOTA[[#This Row],[DISC 1]])</f>
        <v/>
      </c>
      <c r="Y690" s="198" t="str">
        <f>IF(NOTA[[#This Row],[JUMLAH]]="","",(NOTA[[#This Row],[JUMLAH]]-NOTA[[#This Row],[DISC 1-]])*NOTA[[#This Row],[DISC 2]])</f>
        <v/>
      </c>
      <c r="Z690" s="198" t="str">
        <f>IF(NOTA[[#This Row],[JUMLAH]]="","",NOTA[[#This Row],[DISC 1-]]+NOTA[[#This Row],[DISC 2-]])</f>
        <v/>
      </c>
      <c r="AA690" s="198" t="str">
        <f>IF(NOTA[[#This Row],[JUMLAH]]="","",NOTA[[#This Row],[JUMLAH]]-NOTA[[#This Row],[DISC]])</f>
        <v/>
      </c>
      <c r="AB690" s="198"/>
      <c r="AC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200" t="str">
        <f>IF(OR(NOTA[[#This Row],[QTY]]="",NOTA[[#This Row],[HARGA SATUAN]]="",),"",NOTA[[#This Row],[QTY]]*NOTA[[#This Row],[HARGA SATUAN]])</f>
        <v/>
      </c>
      <c r="AG690" s="192" t="str">
        <f ca="1">IF(NOTA[ID_H]="","",INDEX(NOTA[TANGGAL],MATCH(,INDIRECT(ADDRESS(ROW(NOTA[TANGGAL]),COLUMN(NOTA[TANGGAL]))&amp;":"&amp;ADDRESS(ROW(),COLUMN(NOTA[TANGGAL]))),-1)))</f>
        <v/>
      </c>
      <c r="AH690" s="187" t="str">
        <f ca="1">IF(NOTA[[#This Row],[NAMA BARANG]]="","",INDEX(NOTA[SUPPLIER],MATCH(,INDIRECT(ADDRESS(ROW(NOTA[ID]),COLUMN(NOTA[ID]))&amp;":"&amp;ADDRESS(ROW(),COLUMN(NOTA[ID]))),-1)))</f>
        <v/>
      </c>
      <c r="AI690" s="187" t="str">
        <f ca="1">IF(NOTA[[#This Row],[ID_H]]="","",IF(NOTA[[#This Row],[FAKTUR]]="",INDIRECT(ADDRESS(ROW()-1,COLUMN())),NOTA[[#This Row],[FAKTUR]]))</f>
        <v/>
      </c>
      <c r="AJ690" s="188" t="str">
        <f ca="1">IF(NOTA[[#This Row],[ID]]="","",COUNTIF(NOTA[ID_H],NOTA[[#This Row],[ID_H]]))</f>
        <v/>
      </c>
      <c r="AK690" s="188" t="str">
        <f ca="1">IF(NOTA[[#This Row],[TGL.NOTA]]="",IF(NOTA[[#This Row],[SUPPLIER_H]]="","",#REF!),MONTH(NOTA[[#This Row],[TGL.NOTA]]))</f>
        <v/>
      </c>
      <c r="AL690" s="188" t="str">
        <f>LOWER(SUBSTITUTE(SUBSTITUTE(SUBSTITUTE(SUBSTITUTE(SUBSTITUTE(SUBSTITUTE(SUBSTITUTE(SUBSTITUTE(SUBSTITUTE(NOTA[NAMA BARANG]," ",),".",""),"-",""),"(",""),")",""),",",""),"/",""),"""",""),"+",""))</f>
        <v/>
      </c>
      <c r="AM6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188" t="str">
        <f>IF(NOTA[[#This Row],[CONCAT4]]="","",_xlfn.IFNA(MATCH(NOTA[[#This Row],[CONCAT4]],[2]!RAW[CONCAT_H],0),FALSE))</f>
        <v/>
      </c>
      <c r="AQ690" s="188" t="str">
        <f>IF(NOTA[[#This Row],[CONCAT1]]="","",MATCH(NOTA[[#This Row],[CONCAT1]],[3]!db[NB NOTA_C],0)+1)</f>
        <v/>
      </c>
    </row>
    <row r="691" spans="1:43" ht="20.100000000000001" customHeight="1" x14ac:dyDescent="0.25">
      <c r="A691" s="187">
        <f ca="1">IF(INDIRECT(ADDRESS(ROW()-1,COLUMN(NOTA[[#Headers],[ID]])))="ID",1,IF(NOTA[[#This Row],[FAKTUR]]="","",COUNT(INDIRECT(ADDRESS(ROW(NOTA[ID]),COLUMN(NOTA[ID]))&amp;":"&amp;ADDRESS(ROW()-1,COLUMN(NOTA[ID]))))+1))</f>
        <v>123</v>
      </c>
      <c r="B69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BIN_2405_-1</v>
      </c>
      <c r="C691" s="188" t="e">
        <f ca="1">IF(NOTA[[#This Row],[ID_P]]="","",MATCH(NOTA[[#This Row],[ID_P]],[1]!B_MSK[N_ID],0))</f>
        <v>#REF!</v>
      </c>
      <c r="D691" s="188">
        <f ca="1">IF(NOTA[[#This Row],[NAMA BARANG]]="","",INDEX(NOTA[ID],MATCH(,INDIRECT(ADDRESS(ROW(NOTA[ID]),COLUMN(NOTA[ID]))&amp;":"&amp;ADDRESS(ROW(),COLUMN(NOTA[ID]))),-1)))</f>
        <v>123</v>
      </c>
      <c r="E691" s="189"/>
      <c r="F691" s="190" t="s">
        <v>157</v>
      </c>
      <c r="G691" s="190" t="s">
        <v>112</v>
      </c>
      <c r="H691" s="191"/>
      <c r="I691" s="190" t="s">
        <v>886</v>
      </c>
      <c r="J691" s="192">
        <v>45066</v>
      </c>
      <c r="K691" s="190"/>
      <c r="L691" s="190" t="s">
        <v>887</v>
      </c>
      <c r="M691" s="193">
        <v>27</v>
      </c>
      <c r="N691" s="188">
        <f>240*27</f>
        <v>6480</v>
      </c>
      <c r="O691" s="190" t="s">
        <v>160</v>
      </c>
      <c r="P691" s="187">
        <v>5850</v>
      </c>
      <c r="Q691" s="194"/>
      <c r="R691" s="195" t="s">
        <v>574</v>
      </c>
      <c r="S691" s="196">
        <v>0.05</v>
      </c>
      <c r="T691" s="197">
        <v>2.5000000000000001E-2</v>
      </c>
      <c r="U691" s="198"/>
      <c r="V691" s="199"/>
      <c r="W691" s="198">
        <f>IF(NOTA[[#This Row],[HARGA/ CTN]]="",NOTA[[#This Row],[JUMLAH_H]],NOTA[[#This Row],[HARGA/ CTN]]*IF(NOTA[[#This Row],[C]]="",0,NOTA[[#This Row],[C]]))</f>
        <v>37908000</v>
      </c>
      <c r="X691" s="198">
        <f>IF(NOTA[[#This Row],[JUMLAH]]="","",NOTA[[#This Row],[JUMLAH]]*NOTA[[#This Row],[DISC 1]])</f>
        <v>1895400</v>
      </c>
      <c r="Y691" s="198">
        <f>IF(NOTA[[#This Row],[JUMLAH]]="","",(NOTA[[#This Row],[JUMLAH]]-NOTA[[#This Row],[DISC 1-]])*NOTA[[#This Row],[DISC 2]])</f>
        <v>900315</v>
      </c>
      <c r="Z691" s="198">
        <f>IF(NOTA[[#This Row],[JUMLAH]]="","",NOTA[[#This Row],[DISC 1-]]+NOTA[[#This Row],[DISC 2-]])</f>
        <v>2795715</v>
      </c>
      <c r="AA691" s="198">
        <f>IF(NOTA[[#This Row],[JUMLAH]]="","",NOTA[[#This Row],[JUMLAH]]-NOTA[[#This Row],[DISC]])</f>
        <v>35112285</v>
      </c>
      <c r="AB691" s="198"/>
      <c r="AC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2795715</v>
      </c>
      <c r="AD69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35112285</v>
      </c>
      <c r="AE691" s="187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691" s="200">
        <f>IF(OR(NOTA[[#This Row],[QTY]]="",NOTA[[#This Row],[HARGA SATUAN]]="",),"",NOTA[[#This Row],[QTY]]*NOTA[[#This Row],[HARGA SATUAN]])</f>
        <v>37908000</v>
      </c>
      <c r="AG691" s="192">
        <f ca="1">IF(NOTA[ID_H]="","",INDEX(NOTA[TANGGAL],MATCH(,INDIRECT(ADDRESS(ROW(NOTA[TANGGAL]),COLUMN(NOTA[TANGGAL]))&amp;":"&amp;ADDRESS(ROW(),COLUMN(NOTA[TANGGAL]))),-1)))</f>
        <v>45070</v>
      </c>
      <c r="AH691" s="187" t="str">
        <f ca="1">IF(NOTA[[#This Row],[NAMA BARANG]]="","",INDEX(NOTA[SUPPLIER],MATCH(,INDIRECT(ADDRESS(ROW(NOTA[ID]),COLUMN(NOTA[ID]))&amp;":"&amp;ADDRESS(ROW(),COLUMN(NOTA[ID]))),-1)))</f>
        <v>BINTANG JAYA</v>
      </c>
      <c r="AI691" s="187" t="str">
        <f ca="1">IF(NOTA[[#This Row],[ID_H]]="","",IF(NOTA[[#This Row],[FAKTUR]]="",INDIRECT(ADDRESS(ROW()-1,COLUMN())),NOTA[[#This Row],[FAKTUR]]))</f>
        <v>UNTANA</v>
      </c>
      <c r="AJ691" s="188">
        <f ca="1">IF(NOTA[[#This Row],[ID]]="","",COUNTIF(NOTA[ID_H],NOTA[[#This Row],[ID_H]]))</f>
        <v>1</v>
      </c>
      <c r="AK691" s="188">
        <f>IF(NOTA[[#This Row],[TGL.NOTA]]="",IF(NOTA[[#This Row],[SUPPLIER_H]]="","",AK684),MONTH(NOTA[[#This Row],[TGL.NOTA]]))</f>
        <v>5</v>
      </c>
      <c r="AL691" s="188" t="str">
        <f>LOWER(SUBSTITUTE(SUBSTITUTE(SUBSTITUTE(SUBSTITUTE(SUBSTITUTE(SUBSTITUTE(SUBSTITUTE(SUBSTITUTE(SUBSTITUTE(NOTA[NAMA BARANG]," ",),".",""),"-",""),"(",""),")",""),",",""),"/",""),"""",""),"+",""))</f>
        <v>gelpenfancyrefill05mmgprsq321</v>
      </c>
      <c r="AM6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N6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gelpenfancyrefill05mmgprsq32114040000.050.025</v>
      </c>
      <c r="AO691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JAYAUNTANADO.2023.05.0068245066gelpenfancyrefill05mmgprsq321</v>
      </c>
      <c r="AP691" s="188" t="e">
        <f>IF(NOTA[[#This Row],[CONCAT4]]="","",_xlfn.IFNA(MATCH(NOTA[[#This Row],[CONCAT4]],[2]!RAW[CONCAT_H],0),FALSE))</f>
        <v>#REF!</v>
      </c>
      <c r="AQ691" s="188" t="e">
        <f>IF(NOTA[[#This Row],[CONCAT1]]="","",MATCH(NOTA[[#This Row],[CONCAT1]],[3]!db[NB NOTA_C],0)+1)</f>
        <v>#N/A</v>
      </c>
    </row>
    <row r="692" spans="1:43" ht="20.100000000000001" customHeight="1" x14ac:dyDescent="0.25">
      <c r="A69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188" t="str">
        <f>IF(NOTA[[#This Row],[ID_P]]="","",MATCH(NOTA[[#This Row],[ID_P]],[1]!B_MSK[N_ID],0))</f>
        <v/>
      </c>
      <c r="D692" s="188" t="str">
        <f ca="1">IF(NOTA[[#This Row],[NAMA BARANG]]="","",INDEX(NOTA[ID],MATCH(,INDIRECT(ADDRESS(ROW(NOTA[ID]),COLUMN(NOTA[ID]))&amp;":"&amp;ADDRESS(ROW(),COLUMN(NOTA[ID]))),-1)))</f>
        <v/>
      </c>
      <c r="E692" s="189"/>
      <c r="F692" s="190"/>
      <c r="G692" s="190"/>
      <c r="H692" s="191"/>
      <c r="I692" s="190"/>
      <c r="J692" s="192"/>
      <c r="K692" s="190"/>
      <c r="L692" s="190"/>
      <c r="M692" s="193"/>
      <c r="N692" s="188"/>
      <c r="O692" s="190"/>
      <c r="P692" s="187"/>
      <c r="Q692" s="194"/>
      <c r="R692" s="195"/>
      <c r="S692" s="196"/>
      <c r="T692" s="197"/>
      <c r="U692" s="198"/>
      <c r="V692" s="199"/>
      <c r="W692" s="198" t="str">
        <f>IF(NOTA[[#This Row],[HARGA/ CTN]]="",NOTA[[#This Row],[JUMLAH_H]],NOTA[[#This Row],[HARGA/ CTN]]*IF(NOTA[[#This Row],[C]]="",0,NOTA[[#This Row],[C]]))</f>
        <v/>
      </c>
      <c r="X692" s="198" t="str">
        <f>IF(NOTA[[#This Row],[JUMLAH]]="","",NOTA[[#This Row],[JUMLAH]]*NOTA[[#This Row],[DISC 1]])</f>
        <v/>
      </c>
      <c r="Y692" s="198" t="str">
        <f>IF(NOTA[[#This Row],[JUMLAH]]="","",(NOTA[[#This Row],[JUMLAH]]-NOTA[[#This Row],[DISC 1-]])*NOTA[[#This Row],[DISC 2]])</f>
        <v/>
      </c>
      <c r="Z692" s="198" t="str">
        <f>IF(NOTA[[#This Row],[JUMLAH]]="","",NOTA[[#This Row],[DISC 1-]]+NOTA[[#This Row],[DISC 2-]])</f>
        <v/>
      </c>
      <c r="AA692" s="198" t="str">
        <f>IF(NOTA[[#This Row],[JUMLAH]]="","",NOTA[[#This Row],[JUMLAH]]-NOTA[[#This Row],[DISC]])</f>
        <v/>
      </c>
      <c r="AB692" s="198"/>
      <c r="AC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200" t="str">
        <f>IF(OR(NOTA[[#This Row],[QTY]]="",NOTA[[#This Row],[HARGA SATUAN]]="",),"",NOTA[[#This Row],[QTY]]*NOTA[[#This Row],[HARGA SATUAN]])</f>
        <v/>
      </c>
      <c r="AG692" s="192" t="str">
        <f ca="1">IF(NOTA[ID_H]="","",INDEX(NOTA[TANGGAL],MATCH(,INDIRECT(ADDRESS(ROW(NOTA[TANGGAL]),COLUMN(NOTA[TANGGAL]))&amp;":"&amp;ADDRESS(ROW(),COLUMN(NOTA[TANGGAL]))),-1)))</f>
        <v/>
      </c>
      <c r="AH692" s="187" t="str">
        <f ca="1">IF(NOTA[[#This Row],[NAMA BARANG]]="","",INDEX(NOTA[SUPPLIER],MATCH(,INDIRECT(ADDRESS(ROW(NOTA[ID]),COLUMN(NOTA[ID]))&amp;":"&amp;ADDRESS(ROW(),COLUMN(NOTA[ID]))),-1)))</f>
        <v/>
      </c>
      <c r="AI692" s="187" t="str">
        <f ca="1">IF(NOTA[[#This Row],[ID_H]]="","",IF(NOTA[[#This Row],[FAKTUR]]="",INDIRECT(ADDRESS(ROW()-1,COLUMN())),NOTA[[#This Row],[FAKTUR]]))</f>
        <v/>
      </c>
      <c r="AJ692" s="188" t="str">
        <f ca="1">IF(NOTA[[#This Row],[ID]]="","",COUNTIF(NOTA[ID_H],NOTA[[#This Row],[ID_H]]))</f>
        <v/>
      </c>
      <c r="AK692" s="188" t="str">
        <f ca="1">IF(NOTA[[#This Row],[TGL.NOTA]]="",IF(NOTA[[#This Row],[SUPPLIER_H]]="","",AK691),MONTH(NOTA[[#This Row],[TGL.NOTA]]))</f>
        <v/>
      </c>
      <c r="AL692" s="188" t="str">
        <f>LOWER(SUBSTITUTE(SUBSTITUTE(SUBSTITUTE(SUBSTITUTE(SUBSTITUTE(SUBSTITUTE(SUBSTITUTE(SUBSTITUTE(SUBSTITUTE(NOTA[NAMA BARANG]," ",),".",""),"-",""),"(",""),")",""),",",""),"/",""),"""",""),"+",""))</f>
        <v/>
      </c>
      <c r="AM6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188" t="str">
        <f>IF(NOTA[[#This Row],[CONCAT4]]="","",_xlfn.IFNA(MATCH(NOTA[[#This Row],[CONCAT4]],[2]!RAW[CONCAT_H],0),FALSE))</f>
        <v/>
      </c>
      <c r="AQ692" s="188" t="str">
        <f>IF(NOTA[[#This Row],[CONCAT1]]="","",MATCH(NOTA[[#This Row],[CONCAT1]],[3]!db[NB NOTA_C],0)+1)</f>
        <v/>
      </c>
    </row>
    <row r="693" spans="1:43" ht="20.100000000000001" customHeight="1" x14ac:dyDescent="0.25">
      <c r="A693" s="187">
        <f ca="1">IF(INDIRECT(ADDRESS(ROW()-1,COLUMN(NOTA[[#Headers],[ID]])))="ID",1,IF(NOTA[[#This Row],[FAKTUR]]="","",COUNT(INDIRECT(ADDRESS(ROW(NOTA[ID]),COLUMN(NOTA[ID]))&amp;":"&amp;ADDRESS(ROW()-1,COLUMN(NOTA[ID]))))+1))</f>
        <v>124</v>
      </c>
      <c r="B69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KEN_2405_092-2</v>
      </c>
      <c r="C693" s="188" t="e">
        <f ca="1">IF(NOTA[[#This Row],[ID_P]]="","",MATCH(NOTA[[#This Row],[ID_P]],[1]!B_MSK[N_ID],0))</f>
        <v>#REF!</v>
      </c>
      <c r="D693" s="188">
        <f ca="1">IF(NOTA[[#This Row],[NAMA BARANG]]="","",INDEX(NOTA[ID],MATCH(,INDIRECT(ADDRESS(ROW(NOTA[ID]),COLUMN(NOTA[ID]))&amp;":"&amp;ADDRESS(ROW(),COLUMN(NOTA[ID]))),-1)))</f>
        <v>124</v>
      </c>
      <c r="E693" s="189"/>
      <c r="F693" s="190" t="s">
        <v>23</v>
      </c>
      <c r="G693" s="190" t="s">
        <v>24</v>
      </c>
      <c r="H693" s="191" t="s">
        <v>896</v>
      </c>
      <c r="I693" s="190" t="s">
        <v>898</v>
      </c>
      <c r="J693" s="192">
        <v>45068</v>
      </c>
      <c r="K693" s="190"/>
      <c r="L693" s="190" t="s">
        <v>228</v>
      </c>
      <c r="M693" s="193">
        <v>1</v>
      </c>
      <c r="N693" s="188"/>
      <c r="O693" s="190"/>
      <c r="P693" s="187"/>
      <c r="Q693" s="194">
        <v>2880000</v>
      </c>
      <c r="R693" s="195" t="s">
        <v>151</v>
      </c>
      <c r="S693" s="196">
        <v>0.17</v>
      </c>
      <c r="T693" s="197"/>
      <c r="U693" s="198"/>
      <c r="V693" s="199"/>
      <c r="W693" s="198">
        <f>IF(NOTA[[#This Row],[HARGA/ CTN]]="",NOTA[[#This Row],[JUMLAH_H]],NOTA[[#This Row],[HARGA/ CTN]]*IF(NOTA[[#This Row],[C]]="",0,NOTA[[#This Row],[C]]))</f>
        <v>2880000</v>
      </c>
      <c r="X693" s="198">
        <f>IF(NOTA[[#This Row],[JUMLAH]]="","",NOTA[[#This Row],[JUMLAH]]*NOTA[[#This Row],[DISC 1]])</f>
        <v>489600.00000000006</v>
      </c>
      <c r="Y693" s="198">
        <f>IF(NOTA[[#This Row],[JUMLAH]]="","",(NOTA[[#This Row],[JUMLAH]]-NOTA[[#This Row],[DISC 1-]])*NOTA[[#This Row],[DISC 2]])</f>
        <v>0</v>
      </c>
      <c r="Z693" s="198">
        <f>IF(NOTA[[#This Row],[JUMLAH]]="","",NOTA[[#This Row],[DISC 1-]]+NOTA[[#This Row],[DISC 2-]])</f>
        <v>489600.00000000006</v>
      </c>
      <c r="AA693" s="198">
        <f>IF(NOTA[[#This Row],[JUMLAH]]="","",NOTA[[#This Row],[JUMLAH]]-NOTA[[#This Row],[DISC]])</f>
        <v>2390400</v>
      </c>
      <c r="AB693" s="198"/>
      <c r="AC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187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93" s="200" t="str">
        <f>IF(OR(NOTA[[#This Row],[QTY]]="",NOTA[[#This Row],[HARGA SATUAN]]="",),"",NOTA[[#This Row],[QTY]]*NOTA[[#This Row],[HARGA SATUAN]])</f>
        <v/>
      </c>
      <c r="AG693" s="192">
        <f ca="1">IF(NOTA[ID_H]="","",INDEX(NOTA[TANGGAL],MATCH(,INDIRECT(ADDRESS(ROW(NOTA[TANGGAL]),COLUMN(NOTA[TANGGAL]))&amp;":"&amp;ADDRESS(ROW(),COLUMN(NOTA[TANGGAL]))),-1)))</f>
        <v>45070</v>
      </c>
      <c r="AH693" s="187" t="str">
        <f ca="1">IF(NOTA[[#This Row],[NAMA BARANG]]="","",INDEX(NOTA[SUPPLIER],MATCH(,INDIRECT(ADDRESS(ROW(NOTA[ID]),COLUMN(NOTA[ID]))&amp;":"&amp;ADDRESS(ROW(),COLUMN(NOTA[ID]))),-1)))</f>
        <v>KENKO SINAR INDONESIA</v>
      </c>
      <c r="AI693" s="187" t="str">
        <f ca="1">IF(NOTA[[#This Row],[ID_H]]="","",IF(NOTA[[#This Row],[FAKTUR]]="",INDIRECT(ADDRESS(ROW()-1,COLUMN())),NOTA[[#This Row],[FAKTUR]]))</f>
        <v>ARTO MORO</v>
      </c>
      <c r="AJ693" s="188">
        <f ca="1">IF(NOTA[[#This Row],[ID]]="","",COUNTIF(NOTA[ID_H],NOTA[[#This Row],[ID_H]]))</f>
        <v>2</v>
      </c>
      <c r="AK693" s="188">
        <f>IF(NOTA[[#This Row],[TGL.NOTA]]="",IF(NOTA[[#This Row],[SUPPLIER_H]]="","",AK692),MONTH(NOTA[[#This Row],[TGL.NOTA]]))</f>
        <v>5</v>
      </c>
      <c r="AL693" s="18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6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6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693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MORO23052092SA 4173745068kenkocorrectiontapect90212mx5mm</v>
      </c>
      <c r="AP693" s="188" t="e">
        <f>IF(NOTA[[#This Row],[CONCAT4]]="","",_xlfn.IFNA(MATCH(NOTA[[#This Row],[CONCAT4]],[2]!RAW[CONCAT_H],0),FALSE))</f>
        <v>#REF!</v>
      </c>
      <c r="AQ693" s="188">
        <f>IF(NOTA[[#This Row],[CONCAT1]]="","",MATCH(NOTA[[#This Row],[CONCAT1]],[3]!db[NB NOTA_C],0)+1)</f>
        <v>1225</v>
      </c>
    </row>
    <row r="694" spans="1:43" ht="20.100000000000001" customHeight="1" x14ac:dyDescent="0.25">
      <c r="A6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188" t="str">
        <f>IF(NOTA[[#This Row],[ID_P]]="","",MATCH(NOTA[[#This Row],[ID_P]],[1]!B_MSK[N_ID],0))</f>
        <v/>
      </c>
      <c r="D694" s="188">
        <f ca="1">IF(NOTA[[#This Row],[NAMA BARANG]]="","",INDEX(NOTA[ID],MATCH(,INDIRECT(ADDRESS(ROW(NOTA[ID]),COLUMN(NOTA[ID]))&amp;":"&amp;ADDRESS(ROW(),COLUMN(NOTA[ID]))),-1)))</f>
        <v>124</v>
      </c>
      <c r="E694" s="189"/>
      <c r="F694" s="190"/>
      <c r="G694" s="190"/>
      <c r="H694" s="191"/>
      <c r="I694" s="190"/>
      <c r="J694" s="192"/>
      <c r="K694" s="190"/>
      <c r="L694" s="190" t="s">
        <v>897</v>
      </c>
      <c r="M694" s="193">
        <v>2</v>
      </c>
      <c r="N694" s="188"/>
      <c r="O694" s="190"/>
      <c r="P694" s="187"/>
      <c r="Q694" s="194">
        <v>2995200</v>
      </c>
      <c r="R694" s="195" t="s">
        <v>151</v>
      </c>
      <c r="S694" s="196">
        <v>0.17</v>
      </c>
      <c r="T694" s="197"/>
      <c r="U694" s="198"/>
      <c r="V694" s="199"/>
      <c r="W694" s="198">
        <f>IF(NOTA[[#This Row],[HARGA/ CTN]]="",NOTA[[#This Row],[JUMLAH_H]],NOTA[[#This Row],[HARGA/ CTN]]*IF(NOTA[[#This Row],[C]]="",0,NOTA[[#This Row],[C]]))</f>
        <v>5990400</v>
      </c>
      <c r="X694" s="198">
        <f>IF(NOTA[[#This Row],[JUMLAH]]="","",NOTA[[#This Row],[JUMLAH]]*NOTA[[#This Row],[DISC 1]])</f>
        <v>1018368.0000000001</v>
      </c>
      <c r="Y694" s="198">
        <f>IF(NOTA[[#This Row],[JUMLAH]]="","",(NOTA[[#This Row],[JUMLAH]]-NOTA[[#This Row],[DISC 1-]])*NOTA[[#This Row],[DISC 2]])</f>
        <v>0</v>
      </c>
      <c r="Z694" s="198">
        <f>IF(NOTA[[#This Row],[JUMLAH]]="","",NOTA[[#This Row],[DISC 1-]]+NOTA[[#This Row],[DISC 2-]])</f>
        <v>1018368.0000000001</v>
      </c>
      <c r="AA694" s="198">
        <f>IF(NOTA[[#This Row],[JUMLAH]]="","",NOTA[[#This Row],[JUMLAH]]-NOTA[[#This Row],[DISC]])</f>
        <v>4972032</v>
      </c>
      <c r="AB694" s="198"/>
      <c r="AC69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1507968.0000000002</v>
      </c>
      <c r="AD69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7362432</v>
      </c>
      <c r="AE694" s="187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694" s="200" t="str">
        <f>IF(OR(NOTA[[#This Row],[QTY]]="",NOTA[[#This Row],[HARGA SATUAN]]="",),"",NOTA[[#This Row],[QTY]]*NOTA[[#This Row],[HARGA SATUAN]])</f>
        <v/>
      </c>
      <c r="AG694" s="192">
        <f ca="1">IF(NOTA[ID_H]="","",INDEX(NOTA[TANGGAL],MATCH(,INDIRECT(ADDRESS(ROW(NOTA[TANGGAL]),COLUMN(NOTA[TANGGAL]))&amp;":"&amp;ADDRESS(ROW(),COLUMN(NOTA[TANGGAL]))),-1)))</f>
        <v>45070</v>
      </c>
      <c r="AH694" s="187" t="str">
        <f ca="1">IF(NOTA[[#This Row],[NAMA BARANG]]="","",INDEX(NOTA[SUPPLIER],MATCH(,INDIRECT(ADDRESS(ROW(NOTA[ID]),COLUMN(NOTA[ID]))&amp;":"&amp;ADDRESS(ROW(),COLUMN(NOTA[ID]))),-1)))</f>
        <v>KENKO SINAR INDONESIA</v>
      </c>
      <c r="AI694" s="187" t="str">
        <f ca="1">IF(NOTA[[#This Row],[ID_H]]="","",IF(NOTA[[#This Row],[FAKTUR]]="",INDIRECT(ADDRESS(ROW()-1,COLUMN())),NOTA[[#This Row],[FAKTUR]]))</f>
        <v>ARTO MORO</v>
      </c>
      <c r="AJ694" s="188" t="str">
        <f ca="1">IF(NOTA[[#This Row],[ID]]="","",COUNTIF(NOTA[ID_H],NOTA[[#This Row],[ID_H]]))</f>
        <v/>
      </c>
      <c r="AK694" s="188">
        <f ca="1">IF(NOTA[[#This Row],[TGL.NOTA]]="",IF(NOTA[[#This Row],[SUPPLIER_H]]="","",AK693),MONTH(NOTA[[#This Row],[TGL.NOTA]]))</f>
        <v>5</v>
      </c>
      <c r="AL694" s="18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M6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N6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O6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188" t="str">
        <f>IF(NOTA[[#This Row],[CONCAT4]]="","",_xlfn.IFNA(MATCH(NOTA[[#This Row],[CONCAT4]],[2]!RAW[CONCAT_H],0),FALSE))</f>
        <v/>
      </c>
      <c r="AQ694" s="188">
        <f>IF(NOTA[[#This Row],[CONCAT1]]="","",MATCH(NOTA[[#This Row],[CONCAT1]],[3]!db[NB NOTA_C],0)+1)</f>
        <v>1231</v>
      </c>
    </row>
    <row r="695" spans="1:43" ht="20.100000000000001" customHeight="1" x14ac:dyDescent="0.25">
      <c r="A6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188" t="str">
        <f>IF(NOTA[[#This Row],[ID_P]]="","",MATCH(NOTA[[#This Row],[ID_P]],[1]!B_MSK[N_ID],0))</f>
        <v/>
      </c>
      <c r="D695" s="188" t="str">
        <f ca="1">IF(NOTA[[#This Row],[NAMA BARANG]]="","",INDEX(NOTA[ID],MATCH(,INDIRECT(ADDRESS(ROW(NOTA[ID]),COLUMN(NOTA[ID]))&amp;":"&amp;ADDRESS(ROW(),COLUMN(NOTA[ID]))),-1)))</f>
        <v/>
      </c>
      <c r="E695" s="189"/>
      <c r="F695" s="190"/>
      <c r="G695" s="190"/>
      <c r="H695" s="191"/>
      <c r="I695" s="190"/>
      <c r="J695" s="192"/>
      <c r="K695" s="190"/>
      <c r="L695" s="190"/>
      <c r="M695" s="193"/>
      <c r="N695" s="188"/>
      <c r="O695" s="190"/>
      <c r="P695" s="187"/>
      <c r="Q695" s="194"/>
      <c r="R695" s="195"/>
      <c r="S695" s="196"/>
      <c r="T695" s="197"/>
      <c r="U695" s="198"/>
      <c r="V695" s="199"/>
      <c r="W695" s="198" t="str">
        <f>IF(NOTA[[#This Row],[HARGA/ CTN]]="",NOTA[[#This Row],[JUMLAH_H]],NOTA[[#This Row],[HARGA/ CTN]]*IF(NOTA[[#This Row],[C]]="",0,NOTA[[#This Row],[C]]))</f>
        <v/>
      </c>
      <c r="X695" s="198" t="str">
        <f>IF(NOTA[[#This Row],[JUMLAH]]="","",NOTA[[#This Row],[JUMLAH]]*NOTA[[#This Row],[DISC 1]])</f>
        <v/>
      </c>
      <c r="Y695" s="198" t="str">
        <f>IF(NOTA[[#This Row],[JUMLAH]]="","",(NOTA[[#This Row],[JUMLAH]]-NOTA[[#This Row],[DISC 1-]])*NOTA[[#This Row],[DISC 2]])</f>
        <v/>
      </c>
      <c r="Z695" s="198" t="str">
        <f>IF(NOTA[[#This Row],[JUMLAH]]="","",NOTA[[#This Row],[DISC 1-]]+NOTA[[#This Row],[DISC 2-]])</f>
        <v/>
      </c>
      <c r="AA695" s="198" t="str">
        <f>IF(NOTA[[#This Row],[JUMLAH]]="","",NOTA[[#This Row],[JUMLAH]]-NOTA[[#This Row],[DISC]])</f>
        <v/>
      </c>
      <c r="AB695" s="198"/>
      <c r="AC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5" s="200" t="str">
        <f>IF(OR(NOTA[[#This Row],[QTY]]="",NOTA[[#This Row],[HARGA SATUAN]]="",),"",NOTA[[#This Row],[QTY]]*NOTA[[#This Row],[HARGA SATUAN]])</f>
        <v/>
      </c>
      <c r="AG695" s="192" t="str">
        <f ca="1">IF(NOTA[ID_H]="","",INDEX(NOTA[TANGGAL],MATCH(,INDIRECT(ADDRESS(ROW(NOTA[TANGGAL]),COLUMN(NOTA[TANGGAL]))&amp;":"&amp;ADDRESS(ROW(),COLUMN(NOTA[TANGGAL]))),-1)))</f>
        <v/>
      </c>
      <c r="AH695" s="187" t="str">
        <f ca="1">IF(NOTA[[#This Row],[NAMA BARANG]]="","",INDEX(NOTA[SUPPLIER],MATCH(,INDIRECT(ADDRESS(ROW(NOTA[ID]),COLUMN(NOTA[ID]))&amp;":"&amp;ADDRESS(ROW(),COLUMN(NOTA[ID]))),-1)))</f>
        <v/>
      </c>
      <c r="AI695" s="187" t="str">
        <f ca="1">IF(NOTA[[#This Row],[ID_H]]="","",IF(NOTA[[#This Row],[FAKTUR]]="",INDIRECT(ADDRESS(ROW()-1,COLUMN())),NOTA[[#This Row],[FAKTUR]]))</f>
        <v/>
      </c>
      <c r="AJ695" s="188" t="str">
        <f ca="1">IF(NOTA[[#This Row],[ID]]="","",COUNTIF(NOTA[ID_H],NOTA[[#This Row],[ID_H]]))</f>
        <v/>
      </c>
      <c r="AK695" s="188" t="str">
        <f ca="1">IF(NOTA[[#This Row],[TGL.NOTA]]="",IF(NOTA[[#This Row],[SUPPLIER_H]]="","",AK694),MONTH(NOTA[[#This Row],[TGL.NOTA]]))</f>
        <v/>
      </c>
      <c r="AL695" s="188" t="str">
        <f>LOWER(SUBSTITUTE(SUBSTITUTE(SUBSTITUTE(SUBSTITUTE(SUBSTITUTE(SUBSTITUTE(SUBSTITUTE(SUBSTITUTE(SUBSTITUTE(NOTA[NAMA BARANG]," ",),".",""),"-",""),"(",""),")",""),",",""),"/",""),"""",""),"+",""))</f>
        <v/>
      </c>
      <c r="AM6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188" t="str">
        <f>IF(NOTA[[#This Row],[CONCAT4]]="","",_xlfn.IFNA(MATCH(NOTA[[#This Row],[CONCAT4]],[2]!RAW[CONCAT_H],0),FALSE))</f>
        <v/>
      </c>
      <c r="AQ695" s="188" t="str">
        <f>IF(NOTA[[#This Row],[CONCAT1]]="","",MATCH(NOTA[[#This Row],[CONCAT1]],[3]!db[NB NOTA_C],0)+1)</f>
        <v/>
      </c>
    </row>
    <row r="696" spans="1:43" ht="20.100000000000001" customHeight="1" x14ac:dyDescent="0.25">
      <c r="A696" s="187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HAN_2505_405-1</v>
      </c>
      <c r="C696" s="188" t="e">
        <f ca="1">IF(NOTA[[#This Row],[ID_P]]="","",MATCH(NOTA[[#This Row],[ID_P]],[1]!B_MSK[N_ID],0))</f>
        <v>#REF!</v>
      </c>
      <c r="D696" s="188">
        <f ca="1">IF(NOTA[[#This Row],[NAMA BARANG]]="","",INDEX(NOTA[ID],MATCH(,INDIRECT(ADDRESS(ROW(NOTA[ID]),COLUMN(NOTA[ID]))&amp;":"&amp;ADDRESS(ROW(),COLUMN(NOTA[ID]))),-1)))</f>
        <v>125</v>
      </c>
      <c r="E696" s="189">
        <v>45071</v>
      </c>
      <c r="F696" s="190" t="s">
        <v>153</v>
      </c>
      <c r="G696" s="190" t="s">
        <v>112</v>
      </c>
      <c r="H696" s="191" t="s">
        <v>899</v>
      </c>
      <c r="I696" s="190"/>
      <c r="J696" s="192">
        <v>45071</v>
      </c>
      <c r="K696" s="190"/>
      <c r="L696" s="190" t="s">
        <v>900</v>
      </c>
      <c r="M696" s="193"/>
      <c r="N696" s="188">
        <v>5</v>
      </c>
      <c r="O696" s="190" t="s">
        <v>125</v>
      </c>
      <c r="P696" s="187">
        <v>13000</v>
      </c>
      <c r="Q696" s="194"/>
      <c r="R696" s="195"/>
      <c r="S696" s="196"/>
      <c r="T696" s="197"/>
      <c r="U696" s="198"/>
      <c r="V696" s="199" t="s">
        <v>901</v>
      </c>
      <c r="W696" s="198">
        <f>IF(NOTA[[#This Row],[HARGA/ CTN]]="",NOTA[[#This Row],[JUMLAH_H]],NOTA[[#This Row],[HARGA/ CTN]]*IF(NOTA[[#This Row],[C]]="",0,NOTA[[#This Row],[C]]))</f>
        <v>65000</v>
      </c>
      <c r="X696" s="198">
        <f>IF(NOTA[[#This Row],[JUMLAH]]="","",NOTA[[#This Row],[JUMLAH]]*NOTA[[#This Row],[DISC 1]])</f>
        <v>0</v>
      </c>
      <c r="Y696" s="198">
        <f>IF(NOTA[[#This Row],[JUMLAH]]="","",(NOTA[[#This Row],[JUMLAH]]-NOTA[[#This Row],[DISC 1-]])*NOTA[[#This Row],[DISC 2]])</f>
        <v>0</v>
      </c>
      <c r="Z696" s="198">
        <f>IF(NOTA[[#This Row],[JUMLAH]]="","",NOTA[[#This Row],[DISC 1-]]+NOTA[[#This Row],[DISC 2-]])</f>
        <v>0</v>
      </c>
      <c r="AA696" s="198">
        <f>IF(NOTA[[#This Row],[JUMLAH]]="","",NOTA[[#This Row],[JUMLAH]]-NOTA[[#This Row],[DISC]])</f>
        <v>65000</v>
      </c>
      <c r="AB696" s="198"/>
      <c r="AC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65000</v>
      </c>
      <c r="AE696" s="187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696" s="200">
        <f>IF(OR(NOTA[[#This Row],[QTY]]="",NOTA[[#This Row],[HARGA SATUAN]]="",),"",NOTA[[#This Row],[QTY]]*NOTA[[#This Row],[HARGA SATUAN]])</f>
        <v>65000</v>
      </c>
      <c r="AG696" s="192">
        <f ca="1">IF(NOTA[ID_H]="","",INDEX(NOTA[TANGGAL],MATCH(,INDIRECT(ADDRESS(ROW(NOTA[TANGGAL]),COLUMN(NOTA[TANGGAL]))&amp;":"&amp;ADDRESS(ROW(),COLUMN(NOTA[TANGGAL]))),-1)))</f>
        <v>45071</v>
      </c>
      <c r="AH696" s="187" t="str">
        <f ca="1">IF(NOTA[[#This Row],[NAMA BARANG]]="","",INDEX(NOTA[SUPPLIER],MATCH(,INDIRECT(ADDRESS(ROW(NOTA[ID]),COLUMN(NOTA[ID]))&amp;":"&amp;ADDRESS(ROW(),COLUMN(NOTA[ID]))),-1)))</f>
        <v>HANSA</v>
      </c>
      <c r="AI696" s="187" t="str">
        <f ca="1">IF(NOTA[[#This Row],[ID_H]]="","",IF(NOTA[[#This Row],[FAKTUR]]="",INDIRECT(ADDRESS(ROW()-1,COLUMN())),NOTA[[#This Row],[FAKTUR]]))</f>
        <v>UNTANA</v>
      </c>
      <c r="AJ696" s="188">
        <f ca="1">IF(NOTA[[#This Row],[ID]]="","",COUNTIF(NOTA[ID_H],NOTA[[#This Row],[ID_H]]))</f>
        <v>1</v>
      </c>
      <c r="AK696" s="188">
        <f>IF(NOTA[[#This Row],[TGL.NOTA]]="",IF(NOTA[[#This Row],[SUPPLIER_H]]="","",AK695),MONTH(NOTA[[#This Row],[TGL.NOTA]]))</f>
        <v>5</v>
      </c>
      <c r="AL696" s="18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6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N6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696" s="188" t="str">
        <f>IF(NOTA[[#This Row],[SUPPLIER]]="","",NOTA[[#This Row],[SUPPLIER]]&amp;NOTA[[#This Row],[FAKTUR]]&amp;NOTA[[#This Row],[NO.NOTA]]&amp;NOTA[[#This Row],[NO.SJ]]&amp;NOTA[[#This Row],[TGL.NOTA]]&amp;NOTA[[#This Row],[CONCAT1]])</f>
        <v>HANSAUNTANAH05202340545071lilinangkashintoeng</v>
      </c>
      <c r="AP696" s="188" t="e">
        <f>IF(NOTA[[#This Row],[CONCAT4]]="","",_xlfn.IFNA(MATCH(NOTA[[#This Row],[CONCAT4]],[2]!RAW[CONCAT_H],0),FALSE))</f>
        <v>#REF!</v>
      </c>
      <c r="AQ696" s="188">
        <f>IF(NOTA[[#This Row],[CONCAT1]]="","",MATCH(NOTA[[#This Row],[CONCAT1]],[3]!db[NB NOTA_C],0)+1)</f>
        <v>1495</v>
      </c>
    </row>
    <row r="697" spans="1:43" ht="20.100000000000001" customHeight="1" x14ac:dyDescent="0.25">
      <c r="A6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188" t="str">
        <f>IF(NOTA[[#This Row],[ID_P]]="","",MATCH(NOTA[[#This Row],[ID_P]],[1]!B_MSK[N_ID],0))</f>
        <v/>
      </c>
      <c r="D697" s="188" t="str">
        <f ca="1">IF(NOTA[[#This Row],[NAMA BARANG]]="","",INDEX(NOTA[ID],MATCH(,INDIRECT(ADDRESS(ROW(NOTA[ID]),COLUMN(NOTA[ID]))&amp;":"&amp;ADDRESS(ROW(),COLUMN(NOTA[ID]))),-1)))</f>
        <v/>
      </c>
      <c r="E697" s="189"/>
      <c r="F697" s="190"/>
      <c r="G697" s="190"/>
      <c r="H697" s="191"/>
      <c r="I697" s="190"/>
      <c r="J697" s="192"/>
      <c r="K697" s="190"/>
      <c r="L697" s="190"/>
      <c r="M697" s="193"/>
      <c r="N697" s="188"/>
      <c r="O697" s="190"/>
      <c r="P697" s="187"/>
      <c r="Q697" s="194"/>
      <c r="R697" s="195"/>
      <c r="S697" s="196"/>
      <c r="T697" s="197"/>
      <c r="U697" s="198"/>
      <c r="V697" s="199"/>
      <c r="W697" s="198" t="str">
        <f>IF(NOTA[[#This Row],[HARGA/ CTN]]="",NOTA[[#This Row],[JUMLAH_H]],NOTA[[#This Row],[HARGA/ CTN]]*IF(NOTA[[#This Row],[C]]="",0,NOTA[[#This Row],[C]]))</f>
        <v/>
      </c>
      <c r="X697" s="198" t="str">
        <f>IF(NOTA[[#This Row],[JUMLAH]]="","",NOTA[[#This Row],[JUMLAH]]*NOTA[[#This Row],[DISC 1]])</f>
        <v/>
      </c>
      <c r="Y697" s="198" t="str">
        <f>IF(NOTA[[#This Row],[JUMLAH]]="","",(NOTA[[#This Row],[JUMLAH]]-NOTA[[#This Row],[DISC 1-]])*NOTA[[#This Row],[DISC 2]])</f>
        <v/>
      </c>
      <c r="Z697" s="198" t="str">
        <f>IF(NOTA[[#This Row],[JUMLAH]]="","",NOTA[[#This Row],[DISC 1-]]+NOTA[[#This Row],[DISC 2-]])</f>
        <v/>
      </c>
      <c r="AA697" s="198" t="str">
        <f>IF(NOTA[[#This Row],[JUMLAH]]="","",NOTA[[#This Row],[JUMLAH]]-NOTA[[#This Row],[DISC]])</f>
        <v/>
      </c>
      <c r="AB697" s="198"/>
      <c r="AC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200" t="str">
        <f>IF(OR(NOTA[[#This Row],[QTY]]="",NOTA[[#This Row],[HARGA SATUAN]]="",),"",NOTA[[#This Row],[QTY]]*NOTA[[#This Row],[HARGA SATUAN]])</f>
        <v/>
      </c>
      <c r="AG697" s="192" t="str">
        <f ca="1">IF(NOTA[ID_H]="","",INDEX(NOTA[TANGGAL],MATCH(,INDIRECT(ADDRESS(ROW(NOTA[TANGGAL]),COLUMN(NOTA[TANGGAL]))&amp;":"&amp;ADDRESS(ROW(),COLUMN(NOTA[TANGGAL]))),-1)))</f>
        <v/>
      </c>
      <c r="AH697" s="187" t="str">
        <f ca="1">IF(NOTA[[#This Row],[NAMA BARANG]]="","",INDEX(NOTA[SUPPLIER],MATCH(,INDIRECT(ADDRESS(ROW(NOTA[ID]),COLUMN(NOTA[ID]))&amp;":"&amp;ADDRESS(ROW(),COLUMN(NOTA[ID]))),-1)))</f>
        <v/>
      </c>
      <c r="AI697" s="187" t="str">
        <f ca="1">IF(NOTA[[#This Row],[ID_H]]="","",IF(NOTA[[#This Row],[FAKTUR]]="",INDIRECT(ADDRESS(ROW()-1,COLUMN())),NOTA[[#This Row],[FAKTUR]]))</f>
        <v/>
      </c>
      <c r="AJ697" s="188" t="str">
        <f ca="1">IF(NOTA[[#This Row],[ID]]="","",COUNTIF(NOTA[ID_H],NOTA[[#This Row],[ID_H]]))</f>
        <v/>
      </c>
      <c r="AK697" s="188" t="str">
        <f ca="1">IF(NOTA[[#This Row],[TGL.NOTA]]="",IF(NOTA[[#This Row],[SUPPLIER_H]]="","",AK696),MONTH(NOTA[[#This Row],[TGL.NOTA]]))</f>
        <v/>
      </c>
      <c r="AL697" s="188" t="str">
        <f>LOWER(SUBSTITUTE(SUBSTITUTE(SUBSTITUTE(SUBSTITUTE(SUBSTITUTE(SUBSTITUTE(SUBSTITUTE(SUBSTITUTE(SUBSTITUTE(NOTA[NAMA BARANG]," ",),".",""),"-",""),"(",""),")",""),",",""),"/",""),"""",""),"+",""))</f>
        <v/>
      </c>
      <c r="AM6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188" t="str">
        <f>IF(NOTA[[#This Row],[CONCAT4]]="","",_xlfn.IFNA(MATCH(NOTA[[#This Row],[CONCAT4]],[2]!RAW[CONCAT_H],0),FALSE))</f>
        <v/>
      </c>
      <c r="AQ697" s="188" t="str">
        <f>IF(NOTA[[#This Row],[CONCAT1]]="","",MATCH(NOTA[[#This Row],[CONCAT1]],[3]!db[NB NOTA_C],0)+1)</f>
        <v/>
      </c>
    </row>
    <row r="698" spans="1:43" ht="20.100000000000001" customHeight="1" x14ac:dyDescent="0.25">
      <c r="A698" s="187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MSI_2505_396-1</v>
      </c>
      <c r="C698" s="188" t="e">
        <f ca="1">IF(NOTA[[#This Row],[ID_P]]="","",MATCH(NOTA[[#This Row],[ID_P]],[1]!B_MSK[N_ID],0))</f>
        <v>#REF!</v>
      </c>
      <c r="D698" s="188">
        <f ca="1">IF(NOTA[[#This Row],[NAMA BARANG]]="","",INDEX(NOTA[ID],MATCH(,INDIRECT(ADDRESS(ROW(NOTA[ID]),COLUMN(NOTA[ID]))&amp;":"&amp;ADDRESS(ROW(),COLUMN(NOTA[ID]))),-1)))</f>
        <v>126</v>
      </c>
      <c r="E698" s="189"/>
      <c r="F698" s="190" t="s">
        <v>759</v>
      </c>
      <c r="G698" s="190" t="s">
        <v>112</v>
      </c>
      <c r="H698" s="191" t="s">
        <v>902</v>
      </c>
      <c r="I698" s="190"/>
      <c r="J698" s="192">
        <v>45059</v>
      </c>
      <c r="K698" s="190"/>
      <c r="L698" s="190" t="s">
        <v>903</v>
      </c>
      <c r="M698" s="193">
        <v>10</v>
      </c>
      <c r="N698" s="188">
        <v>2400</v>
      </c>
      <c r="O698" s="190" t="s">
        <v>125</v>
      </c>
      <c r="P698" s="187">
        <v>2850</v>
      </c>
      <c r="Q698" s="194"/>
      <c r="R698" s="195" t="s">
        <v>904</v>
      </c>
      <c r="S698" s="196"/>
      <c r="T698" s="197"/>
      <c r="U698" s="198"/>
      <c r="V698" s="199"/>
      <c r="W698" s="198">
        <f>IF(NOTA[[#This Row],[HARGA/ CTN]]="",NOTA[[#This Row],[JUMLAH_H]],NOTA[[#This Row],[HARGA/ CTN]]*IF(NOTA[[#This Row],[C]]="",0,NOTA[[#This Row],[C]]))</f>
        <v>6840000</v>
      </c>
      <c r="X698" s="198">
        <f>IF(NOTA[[#This Row],[JUMLAH]]="","",NOTA[[#This Row],[JUMLAH]]*NOTA[[#This Row],[DISC 1]])</f>
        <v>0</v>
      </c>
      <c r="Y698" s="198">
        <f>IF(NOTA[[#This Row],[JUMLAH]]="","",(NOTA[[#This Row],[JUMLAH]]-NOTA[[#This Row],[DISC 1-]])*NOTA[[#This Row],[DISC 2]])</f>
        <v>0</v>
      </c>
      <c r="Z698" s="198">
        <f>IF(NOTA[[#This Row],[JUMLAH]]="","",NOTA[[#This Row],[DISC 1-]]+NOTA[[#This Row],[DISC 2-]])</f>
        <v>0</v>
      </c>
      <c r="AA698" s="198">
        <f>IF(NOTA[[#This Row],[JUMLAH]]="","",NOTA[[#This Row],[JUMLAH]]-NOTA[[#This Row],[DISC]])</f>
        <v>6840000</v>
      </c>
      <c r="AB698" s="198"/>
      <c r="AC69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9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698" s="187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F698" s="200">
        <f>IF(OR(NOTA[[#This Row],[QTY]]="",NOTA[[#This Row],[HARGA SATUAN]]="",),"",NOTA[[#This Row],[QTY]]*NOTA[[#This Row],[HARGA SATUAN]])</f>
        <v>6840000</v>
      </c>
      <c r="AG698" s="192">
        <f ca="1">IF(NOTA[ID_H]="","",INDEX(NOTA[TANGGAL],MATCH(,INDIRECT(ADDRESS(ROW(NOTA[TANGGAL]),COLUMN(NOTA[TANGGAL]))&amp;":"&amp;ADDRESS(ROW(),COLUMN(NOTA[TANGGAL]))),-1)))</f>
        <v>45071</v>
      </c>
      <c r="AH698" s="187" t="str">
        <f ca="1">IF(NOTA[[#This Row],[NAMA BARANG]]="","",INDEX(NOTA[SUPPLIER],MATCH(,INDIRECT(ADDRESS(ROW(NOTA[ID]),COLUMN(NOTA[ID]))&amp;":"&amp;ADDRESS(ROW(),COLUMN(NOTA[ID]))),-1)))</f>
        <v>MSI</v>
      </c>
      <c r="AI698" s="187" t="str">
        <f ca="1">IF(NOTA[[#This Row],[ID_H]]="","",IF(NOTA[[#This Row],[FAKTUR]]="",INDIRECT(ADDRESS(ROW()-1,COLUMN())),NOTA[[#This Row],[FAKTUR]]))</f>
        <v>UNTANA</v>
      </c>
      <c r="AJ698" s="188">
        <f ca="1">IF(NOTA[[#This Row],[ID]]="","",COUNTIF(NOTA[ID_H],NOTA[[#This Row],[ID_H]]))</f>
        <v>1</v>
      </c>
      <c r="AK698" s="188">
        <f>IF(NOTA[[#This Row],[TGL.NOTA]]="",IF(NOTA[[#This Row],[SUPPLIER_H]]="","",AK697),MONTH(NOTA[[#This Row],[TGL.NOTA]]))</f>
        <v>5</v>
      </c>
      <c r="AL698" s="188" t="str">
        <f>LOWER(SUBSTITUTE(SUBSTITUTE(SUBSTITUTE(SUBSTITUTE(SUBSTITUTE(SUBSTITUTE(SUBSTITUTE(SUBSTITUTE(SUBSTITUTE(NOTA[NAMA BARANG]," ",),".",""),"-",""),"(",""),")",""),",",""),"/",""),"""",""),"+",""))</f>
        <v>siletpemesrentengyg</v>
      </c>
      <c r="AM6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siletpemesrentengyg684000</v>
      </c>
      <c r="AN6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siletpemesrentengyg684000</v>
      </c>
      <c r="AO698" s="188" t="str">
        <f>IF(NOTA[[#This Row],[SUPPLIER]]="","",NOTA[[#This Row],[SUPPLIER]]&amp;NOTA[[#This Row],[FAKTUR]]&amp;NOTA[[#This Row],[NO.NOTA]]&amp;NOTA[[#This Row],[NO.SJ]]&amp;NOTA[[#This Row],[TGL.NOTA]]&amp;NOTA[[#This Row],[CONCAT1]])</f>
        <v>MSIUNTANA22/1/39645059siletpemesrentengyg</v>
      </c>
      <c r="AP698" s="188" t="e">
        <f>IF(NOTA[[#This Row],[CONCAT4]]="","",_xlfn.IFNA(MATCH(NOTA[[#This Row],[CONCAT4]],[2]!RAW[CONCAT_H],0),FALSE))</f>
        <v>#REF!</v>
      </c>
      <c r="AQ698" s="188">
        <f>IF(NOTA[[#This Row],[CONCAT1]]="","",MATCH(NOTA[[#This Row],[CONCAT1]],[3]!db[NB NOTA_C],0)+1)</f>
        <v>2159</v>
      </c>
    </row>
    <row r="699" spans="1:43" ht="20.100000000000001" customHeight="1" x14ac:dyDescent="0.25">
      <c r="A6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188" t="str">
        <f>IF(NOTA[[#This Row],[ID_P]]="","",MATCH(NOTA[[#This Row],[ID_P]],[1]!B_MSK[N_ID],0))</f>
        <v/>
      </c>
      <c r="D699" s="188" t="str">
        <f ca="1">IF(NOTA[[#This Row],[NAMA BARANG]]="","",INDEX(NOTA[ID],MATCH(,INDIRECT(ADDRESS(ROW(NOTA[ID]),COLUMN(NOTA[ID]))&amp;":"&amp;ADDRESS(ROW(),COLUMN(NOTA[ID]))),-1)))</f>
        <v/>
      </c>
      <c r="E699" s="189"/>
      <c r="F699" s="190"/>
      <c r="G699" s="190"/>
      <c r="H699" s="191"/>
      <c r="I699" s="190"/>
      <c r="J699" s="192"/>
      <c r="K699" s="190"/>
      <c r="L699" s="190"/>
      <c r="M699" s="193"/>
      <c r="N699" s="188"/>
      <c r="O699" s="190"/>
      <c r="P699" s="187"/>
      <c r="Q699" s="194"/>
      <c r="R699" s="195"/>
      <c r="S699" s="196"/>
      <c r="T699" s="197"/>
      <c r="U699" s="198"/>
      <c r="V699" s="199"/>
      <c r="W699" s="198" t="str">
        <f>IF(NOTA[[#This Row],[HARGA/ CTN]]="",NOTA[[#This Row],[JUMLAH_H]],NOTA[[#This Row],[HARGA/ CTN]]*IF(NOTA[[#This Row],[C]]="",0,NOTA[[#This Row],[C]]))</f>
        <v/>
      </c>
      <c r="X699" s="198" t="str">
        <f>IF(NOTA[[#This Row],[JUMLAH]]="","",NOTA[[#This Row],[JUMLAH]]*NOTA[[#This Row],[DISC 1]])</f>
        <v/>
      </c>
      <c r="Y699" s="198" t="str">
        <f>IF(NOTA[[#This Row],[JUMLAH]]="","",(NOTA[[#This Row],[JUMLAH]]-NOTA[[#This Row],[DISC 1-]])*NOTA[[#This Row],[DISC 2]])</f>
        <v/>
      </c>
      <c r="Z699" s="198" t="str">
        <f>IF(NOTA[[#This Row],[JUMLAH]]="","",NOTA[[#This Row],[DISC 1-]]+NOTA[[#This Row],[DISC 2-]])</f>
        <v/>
      </c>
      <c r="AA699" s="198" t="str">
        <f>IF(NOTA[[#This Row],[JUMLAH]]="","",NOTA[[#This Row],[JUMLAH]]-NOTA[[#This Row],[DISC]])</f>
        <v/>
      </c>
      <c r="AB699" s="198"/>
      <c r="AC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200" t="str">
        <f>IF(OR(NOTA[[#This Row],[QTY]]="",NOTA[[#This Row],[HARGA SATUAN]]="",),"",NOTA[[#This Row],[QTY]]*NOTA[[#This Row],[HARGA SATUAN]])</f>
        <v/>
      </c>
      <c r="AG699" s="192" t="str">
        <f ca="1">IF(NOTA[ID_H]="","",INDEX(NOTA[TANGGAL],MATCH(,INDIRECT(ADDRESS(ROW(NOTA[TANGGAL]),COLUMN(NOTA[TANGGAL]))&amp;":"&amp;ADDRESS(ROW(),COLUMN(NOTA[TANGGAL]))),-1)))</f>
        <v/>
      </c>
      <c r="AH699" s="187" t="str">
        <f ca="1">IF(NOTA[[#This Row],[NAMA BARANG]]="","",INDEX(NOTA[SUPPLIER],MATCH(,INDIRECT(ADDRESS(ROW(NOTA[ID]),COLUMN(NOTA[ID]))&amp;":"&amp;ADDRESS(ROW(),COLUMN(NOTA[ID]))),-1)))</f>
        <v/>
      </c>
      <c r="AI699" s="187" t="str">
        <f ca="1">IF(NOTA[[#This Row],[ID_H]]="","",IF(NOTA[[#This Row],[FAKTUR]]="",INDIRECT(ADDRESS(ROW()-1,COLUMN())),NOTA[[#This Row],[FAKTUR]]))</f>
        <v/>
      </c>
      <c r="AJ699" s="188" t="str">
        <f ca="1">IF(NOTA[[#This Row],[ID]]="","",COUNTIF(NOTA[ID_H],NOTA[[#This Row],[ID_H]]))</f>
        <v/>
      </c>
      <c r="AK699" s="188" t="str">
        <f ca="1">IF(NOTA[[#This Row],[TGL.NOTA]]="",IF(NOTA[[#This Row],[SUPPLIER_H]]="","",AK698),MONTH(NOTA[[#This Row],[TGL.NOTA]]))</f>
        <v/>
      </c>
      <c r="AL699" s="188" t="str">
        <f>LOWER(SUBSTITUTE(SUBSTITUTE(SUBSTITUTE(SUBSTITUTE(SUBSTITUTE(SUBSTITUTE(SUBSTITUTE(SUBSTITUTE(SUBSTITUTE(NOTA[NAMA BARANG]," ",),".",""),"-",""),"(",""),")",""),",",""),"/",""),"""",""),"+",""))</f>
        <v/>
      </c>
      <c r="AM6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188" t="str">
        <f>IF(NOTA[[#This Row],[CONCAT4]]="","",_xlfn.IFNA(MATCH(NOTA[[#This Row],[CONCAT4]],[2]!RAW[CONCAT_H],0),FALSE))</f>
        <v/>
      </c>
      <c r="AQ699" s="188" t="str">
        <f>IF(NOTA[[#This Row],[CONCAT1]]="","",MATCH(NOTA[[#This Row],[CONCAT1]],[3]!db[NB NOTA_C],0)+1)</f>
        <v/>
      </c>
    </row>
    <row r="700" spans="1:43" ht="20.100000000000001" customHeight="1" x14ac:dyDescent="0.25">
      <c r="A700" s="187">
        <f ca="1">IF(INDIRECT(ADDRESS(ROW()-1,COLUMN(NOTA[[#Headers],[ID]])))="ID",1,IF(NOTA[[#This Row],[FAKTUR]]="","",COUNT(INDIRECT(ADDRESS(ROW(NOTA[ID]),COLUMN(NOTA[ID]))&amp;":"&amp;ADDRESS(ROW()-1,COLUMN(NOTA[ID]))))+1))</f>
        <v>127</v>
      </c>
      <c r="B70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JAY_2505_579-6</v>
      </c>
      <c r="C700" s="188" t="e">
        <f ca="1">IF(NOTA[[#This Row],[ID_P]]="","",MATCH(NOTA[[#This Row],[ID_P]],[1]!B_MSK[N_ID],0))</f>
        <v>#REF!</v>
      </c>
      <c r="D700" s="188">
        <f ca="1">IF(NOTA[[#This Row],[NAMA BARANG]]="","",INDEX(NOTA[ID],MATCH(,INDIRECT(ADDRESS(ROW(NOTA[ID]),COLUMN(NOTA[ID]))&amp;":"&amp;ADDRESS(ROW(),COLUMN(NOTA[ID]))),-1)))</f>
        <v>127</v>
      </c>
      <c r="E700" s="189"/>
      <c r="F700" s="190" t="s">
        <v>240</v>
      </c>
      <c r="G700" s="190" t="s">
        <v>112</v>
      </c>
      <c r="H700" s="191" t="s">
        <v>905</v>
      </c>
      <c r="I700" s="190"/>
      <c r="J700" s="192">
        <v>45069</v>
      </c>
      <c r="K700" s="190"/>
      <c r="L700" s="190" t="s">
        <v>242</v>
      </c>
      <c r="M700" s="193"/>
      <c r="N700" s="188">
        <v>120</v>
      </c>
      <c r="O700" s="190" t="s">
        <v>160</v>
      </c>
      <c r="P700" s="187">
        <v>12000</v>
      </c>
      <c r="Q700" s="194"/>
      <c r="R700" s="195"/>
      <c r="S700" s="196"/>
      <c r="T700" s="197"/>
      <c r="U700" s="198"/>
      <c r="V700" s="199"/>
      <c r="W700" s="198">
        <f>IF(NOTA[[#This Row],[HARGA/ CTN]]="",NOTA[[#This Row],[JUMLAH_H]],NOTA[[#This Row],[HARGA/ CTN]]*IF(NOTA[[#This Row],[C]]="",0,NOTA[[#This Row],[C]]))</f>
        <v>1440000</v>
      </c>
      <c r="X700" s="198">
        <f>IF(NOTA[[#This Row],[JUMLAH]]="","",NOTA[[#This Row],[JUMLAH]]*NOTA[[#This Row],[DISC 1]])</f>
        <v>0</v>
      </c>
      <c r="Y700" s="198">
        <f>IF(NOTA[[#This Row],[JUMLAH]]="","",(NOTA[[#This Row],[JUMLAH]]-NOTA[[#This Row],[DISC 1-]])*NOTA[[#This Row],[DISC 2]])</f>
        <v>0</v>
      </c>
      <c r="Z700" s="198">
        <f>IF(NOTA[[#This Row],[JUMLAH]]="","",NOTA[[#This Row],[DISC 1-]]+NOTA[[#This Row],[DISC 2-]])</f>
        <v>0</v>
      </c>
      <c r="AA700" s="198">
        <f>IF(NOTA[[#This Row],[JUMLAH]]="","",NOTA[[#This Row],[JUMLAH]]-NOTA[[#This Row],[DISC]])</f>
        <v>1440000</v>
      </c>
      <c r="AB700" s="198"/>
      <c r="AC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00" s="200">
        <f>IF(OR(NOTA[[#This Row],[QTY]]="",NOTA[[#This Row],[HARGA SATUAN]]="",),"",NOTA[[#This Row],[QTY]]*NOTA[[#This Row],[HARGA SATUAN]])</f>
        <v>1440000</v>
      </c>
      <c r="AG700" s="192">
        <f ca="1">IF(NOTA[ID_H]="","",INDEX(NOTA[TANGGAL],MATCH(,INDIRECT(ADDRESS(ROW(NOTA[TANGGAL]),COLUMN(NOTA[TANGGAL]))&amp;":"&amp;ADDRESS(ROW(),COLUMN(NOTA[TANGGAL]))),-1)))</f>
        <v>45071</v>
      </c>
      <c r="AH700" s="187" t="str">
        <f ca="1">IF(NOTA[[#This Row],[NAMA BARANG]]="","",INDEX(NOTA[SUPPLIER],MATCH(,INDIRECT(ADDRESS(ROW(NOTA[ID]),COLUMN(NOTA[ID]))&amp;":"&amp;ADDRESS(ROW(),COLUMN(NOTA[ID]))),-1)))</f>
        <v>JAYA MAKMUR</v>
      </c>
      <c r="AI700" s="187" t="str">
        <f ca="1">IF(NOTA[[#This Row],[ID_H]]="","",IF(NOTA[[#This Row],[FAKTUR]]="",INDIRECT(ADDRESS(ROW()-1,COLUMN())),NOTA[[#This Row],[FAKTUR]]))</f>
        <v>UNTANA</v>
      </c>
      <c r="AJ700" s="188">
        <f ca="1">IF(NOTA[[#This Row],[ID]]="","",COUNTIF(NOTA[ID_H],NOTA[[#This Row],[ID_H]]))</f>
        <v>6</v>
      </c>
      <c r="AK700" s="188">
        <f>IF(NOTA[[#This Row],[TGL.NOTA]]="",IF(NOTA[[#This Row],[SUPPLIER_H]]="","",AK699),MONTH(NOTA[[#This Row],[TGL.NOTA]]))</f>
        <v>5</v>
      </c>
      <c r="AL700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tapedispenser805merah1440000</v>
      </c>
      <c r="AN7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tapedispenser805merah12000</v>
      </c>
      <c r="AO700" s="188" t="str">
        <f>IF(NOTA[[#This Row],[SUPPLIER]]="","",NOTA[[#This Row],[SUPPLIER]]&amp;NOTA[[#This Row],[FAKTUR]]&amp;NOTA[[#This Row],[NO.NOTA]]&amp;NOTA[[#This Row],[NO.SJ]]&amp;NOTA[[#This Row],[TGL.NOTA]]&amp;NOTA[[#This Row],[CONCAT1]])</f>
        <v>JAYA MAKMURUNTANAJM / 1357945069tapedispenser805merah</v>
      </c>
      <c r="AP700" s="188" t="e">
        <f>IF(NOTA[[#This Row],[CONCAT4]]="","",_xlfn.IFNA(MATCH(NOTA[[#This Row],[CONCAT4]],[2]!RAW[CONCAT_H],0),FALSE))</f>
        <v>#REF!</v>
      </c>
      <c r="AQ700" s="188">
        <f>IF(NOTA[[#This Row],[CONCAT1]]="","",MATCH(NOTA[[#This Row],[CONCAT1]],[3]!db[NB NOTA_C],0)+1)</f>
        <v>2231</v>
      </c>
    </row>
    <row r="701" spans="1:43" ht="20.100000000000001" customHeight="1" x14ac:dyDescent="0.25">
      <c r="A7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188" t="str">
        <f>IF(NOTA[[#This Row],[ID_P]]="","",MATCH(NOTA[[#This Row],[ID_P]],[1]!B_MSK[N_ID],0))</f>
        <v/>
      </c>
      <c r="D701" s="188">
        <f ca="1">IF(NOTA[[#This Row],[NAMA BARANG]]="","",INDEX(NOTA[ID],MATCH(,INDIRECT(ADDRESS(ROW(NOTA[ID]),COLUMN(NOTA[ID]))&amp;":"&amp;ADDRESS(ROW(),COLUMN(NOTA[ID]))),-1)))</f>
        <v>127</v>
      </c>
      <c r="E701" s="189"/>
      <c r="F701" s="190"/>
      <c r="G701" s="190"/>
      <c r="H701" s="191"/>
      <c r="I701" s="190"/>
      <c r="J701" s="192"/>
      <c r="K701" s="190"/>
      <c r="L701" s="190" t="s">
        <v>243</v>
      </c>
      <c r="M701" s="193"/>
      <c r="N701" s="188">
        <v>120</v>
      </c>
      <c r="O701" s="190" t="s">
        <v>160</v>
      </c>
      <c r="P701" s="187">
        <v>12000</v>
      </c>
      <c r="Q701" s="194"/>
      <c r="R701" s="195"/>
      <c r="S701" s="196"/>
      <c r="T701" s="197"/>
      <c r="U701" s="198"/>
      <c r="V701" s="199"/>
      <c r="W701" s="198">
        <f>IF(NOTA[[#This Row],[HARGA/ CTN]]="",NOTA[[#This Row],[JUMLAH_H]],NOTA[[#This Row],[HARGA/ CTN]]*IF(NOTA[[#This Row],[C]]="",0,NOTA[[#This Row],[C]]))</f>
        <v>1440000</v>
      </c>
      <c r="X701" s="198">
        <f>IF(NOTA[[#This Row],[JUMLAH]]="","",NOTA[[#This Row],[JUMLAH]]*NOTA[[#This Row],[DISC 1]])</f>
        <v>0</v>
      </c>
      <c r="Y701" s="198">
        <f>IF(NOTA[[#This Row],[JUMLAH]]="","",(NOTA[[#This Row],[JUMLAH]]-NOTA[[#This Row],[DISC 1-]])*NOTA[[#This Row],[DISC 2]])</f>
        <v>0</v>
      </c>
      <c r="Z701" s="198">
        <f>IF(NOTA[[#This Row],[JUMLAH]]="","",NOTA[[#This Row],[DISC 1-]]+NOTA[[#This Row],[DISC 2-]])</f>
        <v>0</v>
      </c>
      <c r="AA701" s="198">
        <f>IF(NOTA[[#This Row],[JUMLAH]]="","",NOTA[[#This Row],[JUMLAH]]-NOTA[[#This Row],[DISC]])</f>
        <v>1440000</v>
      </c>
      <c r="AB701" s="198"/>
      <c r="AC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01" s="200">
        <f>IF(OR(NOTA[[#This Row],[QTY]]="",NOTA[[#This Row],[HARGA SATUAN]]="",),"",NOTA[[#This Row],[QTY]]*NOTA[[#This Row],[HARGA SATUAN]])</f>
        <v>1440000</v>
      </c>
      <c r="AG701" s="192">
        <f ca="1">IF(NOTA[ID_H]="","",INDEX(NOTA[TANGGAL],MATCH(,INDIRECT(ADDRESS(ROW(NOTA[TANGGAL]),COLUMN(NOTA[TANGGAL]))&amp;":"&amp;ADDRESS(ROW(),COLUMN(NOTA[TANGGAL]))),-1)))</f>
        <v>45071</v>
      </c>
      <c r="AH701" s="187" t="str">
        <f ca="1">IF(NOTA[[#This Row],[NAMA BARANG]]="","",INDEX(NOTA[SUPPLIER],MATCH(,INDIRECT(ADDRESS(ROW(NOTA[ID]),COLUMN(NOTA[ID]))&amp;":"&amp;ADDRESS(ROW(),COLUMN(NOTA[ID]))),-1)))</f>
        <v>JAYA MAKMUR</v>
      </c>
      <c r="AI701" s="187" t="str">
        <f ca="1">IF(NOTA[[#This Row],[ID_H]]="","",IF(NOTA[[#This Row],[FAKTUR]]="",INDIRECT(ADDRESS(ROW()-1,COLUMN())),NOTA[[#This Row],[FAKTUR]]))</f>
        <v>UNTANA</v>
      </c>
      <c r="AJ701" s="188" t="str">
        <f ca="1">IF(NOTA[[#This Row],[ID]]="","",COUNTIF(NOTA[ID_H],NOTA[[#This Row],[ID_H]]))</f>
        <v/>
      </c>
      <c r="AK701" s="188">
        <f ca="1">IF(NOTA[[#This Row],[TGL.NOTA]]="",IF(NOTA[[#This Row],[SUPPLIER_H]]="","",AK700),MONTH(NOTA[[#This Row],[TGL.NOTA]]))</f>
        <v>5</v>
      </c>
      <c r="AL701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tapedispenser805hijau1440000</v>
      </c>
      <c r="AN7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tapedispenser805hijau12000</v>
      </c>
      <c r="AO7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188" t="str">
        <f>IF(NOTA[[#This Row],[CONCAT4]]="","",_xlfn.IFNA(MATCH(NOTA[[#This Row],[CONCAT4]],[2]!RAW[CONCAT_H],0),FALSE))</f>
        <v/>
      </c>
      <c r="AQ701" s="188">
        <f>IF(NOTA[[#This Row],[CONCAT1]]="","",MATCH(NOTA[[#This Row],[CONCAT1]],[3]!db[NB NOTA_C],0)+1)</f>
        <v>2230</v>
      </c>
    </row>
    <row r="702" spans="1:43" ht="20.100000000000001" customHeight="1" x14ac:dyDescent="0.25">
      <c r="A7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188" t="str">
        <f>IF(NOTA[[#This Row],[ID_P]]="","",MATCH(NOTA[[#This Row],[ID_P]],[1]!B_MSK[N_ID],0))</f>
        <v/>
      </c>
      <c r="D702" s="188">
        <f ca="1">IF(NOTA[[#This Row],[NAMA BARANG]]="","",INDEX(NOTA[ID],MATCH(,INDIRECT(ADDRESS(ROW(NOTA[ID]),COLUMN(NOTA[ID]))&amp;":"&amp;ADDRESS(ROW(),COLUMN(NOTA[ID]))),-1)))</f>
        <v>127</v>
      </c>
      <c r="E702" s="189"/>
      <c r="F702" s="190"/>
      <c r="G702" s="190"/>
      <c r="H702" s="191"/>
      <c r="I702" s="190"/>
      <c r="J702" s="192"/>
      <c r="K702" s="190"/>
      <c r="L702" s="190" t="s">
        <v>244</v>
      </c>
      <c r="M702" s="193"/>
      <c r="N702" s="188">
        <v>120</v>
      </c>
      <c r="O702" s="190" t="s">
        <v>160</v>
      </c>
      <c r="P702" s="187">
        <v>12000</v>
      </c>
      <c r="Q702" s="194"/>
      <c r="R702" s="195"/>
      <c r="S702" s="196"/>
      <c r="T702" s="197"/>
      <c r="U702" s="198"/>
      <c r="V702" s="199"/>
      <c r="W702" s="198">
        <f>IF(NOTA[[#This Row],[HARGA/ CTN]]="",NOTA[[#This Row],[JUMLAH_H]],NOTA[[#This Row],[HARGA/ CTN]]*IF(NOTA[[#This Row],[C]]="",0,NOTA[[#This Row],[C]]))</f>
        <v>1440000</v>
      </c>
      <c r="X702" s="198">
        <f>IF(NOTA[[#This Row],[JUMLAH]]="","",NOTA[[#This Row],[JUMLAH]]*NOTA[[#This Row],[DISC 1]])</f>
        <v>0</v>
      </c>
      <c r="Y702" s="198">
        <f>IF(NOTA[[#This Row],[JUMLAH]]="","",(NOTA[[#This Row],[JUMLAH]]-NOTA[[#This Row],[DISC 1-]])*NOTA[[#This Row],[DISC 2]])</f>
        <v>0</v>
      </c>
      <c r="Z702" s="198">
        <f>IF(NOTA[[#This Row],[JUMLAH]]="","",NOTA[[#This Row],[DISC 1-]]+NOTA[[#This Row],[DISC 2-]])</f>
        <v>0</v>
      </c>
      <c r="AA702" s="198">
        <f>IF(NOTA[[#This Row],[JUMLAH]]="","",NOTA[[#This Row],[JUMLAH]]-NOTA[[#This Row],[DISC]])</f>
        <v>1440000</v>
      </c>
      <c r="AB702" s="198"/>
      <c r="AC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702" s="200">
        <f>IF(OR(NOTA[[#This Row],[QTY]]="",NOTA[[#This Row],[HARGA SATUAN]]="",),"",NOTA[[#This Row],[QTY]]*NOTA[[#This Row],[HARGA SATUAN]])</f>
        <v>1440000</v>
      </c>
      <c r="AG702" s="192">
        <f ca="1">IF(NOTA[ID_H]="","",INDEX(NOTA[TANGGAL],MATCH(,INDIRECT(ADDRESS(ROW(NOTA[TANGGAL]),COLUMN(NOTA[TANGGAL]))&amp;":"&amp;ADDRESS(ROW(),COLUMN(NOTA[TANGGAL]))),-1)))</f>
        <v>45071</v>
      </c>
      <c r="AH702" s="187" t="str">
        <f ca="1">IF(NOTA[[#This Row],[NAMA BARANG]]="","",INDEX(NOTA[SUPPLIER],MATCH(,INDIRECT(ADDRESS(ROW(NOTA[ID]),COLUMN(NOTA[ID]))&amp;":"&amp;ADDRESS(ROW(),COLUMN(NOTA[ID]))),-1)))</f>
        <v>JAYA MAKMUR</v>
      </c>
      <c r="AI702" s="187" t="str">
        <f ca="1">IF(NOTA[[#This Row],[ID_H]]="","",IF(NOTA[[#This Row],[FAKTUR]]="",INDIRECT(ADDRESS(ROW()-1,COLUMN())),NOTA[[#This Row],[FAKTUR]]))</f>
        <v>UNTANA</v>
      </c>
      <c r="AJ702" s="188" t="str">
        <f ca="1">IF(NOTA[[#This Row],[ID]]="","",COUNTIF(NOTA[ID_H],NOTA[[#This Row],[ID_H]]))</f>
        <v/>
      </c>
      <c r="AK702" s="188">
        <f ca="1">IF(NOTA[[#This Row],[TGL.NOTA]]="",IF(NOTA[[#This Row],[SUPPLIER_H]]="","",AK701),MONTH(NOTA[[#This Row],[TGL.NOTA]]))</f>
        <v>5</v>
      </c>
      <c r="AL702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tapedispenser805ungu1440000</v>
      </c>
      <c r="AN7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tapedispenser805ungu12000</v>
      </c>
      <c r="AO7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188" t="str">
        <f>IF(NOTA[[#This Row],[CONCAT4]]="","",_xlfn.IFNA(MATCH(NOTA[[#This Row],[CONCAT4]],[2]!RAW[CONCAT_H],0),FALSE))</f>
        <v/>
      </c>
      <c r="AQ702" s="188">
        <f>IF(NOTA[[#This Row],[CONCAT1]]="","",MATCH(NOTA[[#This Row],[CONCAT1]],[3]!db[NB NOTA_C],0)+1)</f>
        <v>2232</v>
      </c>
    </row>
    <row r="703" spans="1:43" ht="20.100000000000001" customHeight="1" x14ac:dyDescent="0.25">
      <c r="A7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188" t="str">
        <f>IF(NOTA[[#This Row],[ID_P]]="","",MATCH(NOTA[[#This Row],[ID_P]],[1]!B_MSK[N_ID],0))</f>
        <v/>
      </c>
      <c r="D703" s="188">
        <f ca="1">IF(NOTA[[#This Row],[NAMA BARANG]]="","",INDEX(NOTA[ID],MATCH(,INDIRECT(ADDRESS(ROW(NOTA[ID]),COLUMN(NOTA[ID]))&amp;":"&amp;ADDRESS(ROW(),COLUMN(NOTA[ID]))),-1)))</f>
        <v>127</v>
      </c>
      <c r="E703" s="189"/>
      <c r="F703" s="190"/>
      <c r="G703" s="190"/>
      <c r="H703" s="191"/>
      <c r="I703" s="190"/>
      <c r="J703" s="192"/>
      <c r="K703" s="190"/>
      <c r="L703" s="190" t="s">
        <v>242</v>
      </c>
      <c r="M703" s="193"/>
      <c r="N703" s="188">
        <v>12</v>
      </c>
      <c r="O703" s="190" t="s">
        <v>160</v>
      </c>
      <c r="P703" s="187"/>
      <c r="Q703" s="194"/>
      <c r="R703" s="195"/>
      <c r="S703" s="196"/>
      <c r="T703" s="197"/>
      <c r="U703" s="198"/>
      <c r="V703" s="199"/>
      <c r="W703" s="198" t="str">
        <f>IF(NOTA[[#This Row],[HARGA/ CTN]]="",NOTA[[#This Row],[JUMLAH_H]],NOTA[[#This Row],[HARGA/ CTN]]*IF(NOTA[[#This Row],[C]]="",0,NOTA[[#This Row],[C]]))</f>
        <v/>
      </c>
      <c r="X703" s="198" t="str">
        <f>IF(NOTA[[#This Row],[JUMLAH]]="","",NOTA[[#This Row],[JUMLAH]]*NOTA[[#This Row],[DISC 1]])</f>
        <v/>
      </c>
      <c r="Y703" s="198" t="str">
        <f>IF(NOTA[[#This Row],[JUMLAH]]="","",(NOTA[[#This Row],[JUMLAH]]-NOTA[[#This Row],[DISC 1-]])*NOTA[[#This Row],[DISC 2]])</f>
        <v/>
      </c>
      <c r="Z703" s="198" t="str">
        <f>IF(NOTA[[#This Row],[JUMLAH]]="","",NOTA[[#This Row],[DISC 1-]]+NOTA[[#This Row],[DISC 2-]])</f>
        <v/>
      </c>
      <c r="AA703" s="198" t="str">
        <f>IF(NOTA[[#This Row],[JUMLAH]]="","",NOTA[[#This Row],[JUMLAH]]-NOTA[[#This Row],[DISC]])</f>
        <v/>
      </c>
      <c r="AB703" s="198"/>
      <c r="AC7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03" s="200" t="str">
        <f>IF(OR(NOTA[[#This Row],[QTY]]="",NOTA[[#This Row],[HARGA SATUAN]]="",),"",NOTA[[#This Row],[QTY]]*NOTA[[#This Row],[HARGA SATUAN]])</f>
        <v/>
      </c>
      <c r="AG703" s="192">
        <f ca="1">IF(NOTA[ID_H]="","",INDEX(NOTA[TANGGAL],MATCH(,INDIRECT(ADDRESS(ROW(NOTA[TANGGAL]),COLUMN(NOTA[TANGGAL]))&amp;":"&amp;ADDRESS(ROW(),COLUMN(NOTA[TANGGAL]))),-1)))</f>
        <v>45071</v>
      </c>
      <c r="AH703" s="187" t="str">
        <f ca="1">IF(NOTA[[#This Row],[NAMA BARANG]]="","",INDEX(NOTA[SUPPLIER],MATCH(,INDIRECT(ADDRESS(ROW(NOTA[ID]),COLUMN(NOTA[ID]))&amp;":"&amp;ADDRESS(ROW(),COLUMN(NOTA[ID]))),-1)))</f>
        <v>JAYA MAKMUR</v>
      </c>
      <c r="AI703" s="187" t="str">
        <f ca="1">IF(NOTA[[#This Row],[ID_H]]="","",IF(NOTA[[#This Row],[FAKTUR]]="",INDIRECT(ADDRESS(ROW()-1,COLUMN())),NOTA[[#This Row],[FAKTUR]]))</f>
        <v>UNTANA</v>
      </c>
      <c r="AJ703" s="188" t="str">
        <f ca="1">IF(NOTA[[#This Row],[ID]]="","",COUNTIF(NOTA[ID_H],NOTA[[#This Row],[ID_H]]))</f>
        <v/>
      </c>
      <c r="AK703" s="188">
        <f ca="1">IF(NOTA[[#This Row],[TGL.NOTA]]="",IF(NOTA[[#This Row],[SUPPLIER_H]]="","",AK702),MONTH(NOTA[[#This Row],[TGL.NOTA]]))</f>
        <v>5</v>
      </c>
      <c r="AL703" s="188" t="str">
        <f>LOWER(SUBSTITUTE(SUBSTITUTE(SUBSTITUTE(SUBSTITUTE(SUBSTITUTE(SUBSTITUTE(SUBSTITUTE(SUBSTITUTE(SUBSTITUTE(NOTA[NAMA BARANG]," ",),".",""),"-",""),"(",""),")",""),",",""),"/",""),"""",""),"+",""))</f>
        <v>tapedispenser805merah</v>
      </c>
      <c r="AM7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tapedispenser805merah0</v>
      </c>
      <c r="AN7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tapedispenser805merah0</v>
      </c>
      <c r="AO7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188" t="str">
        <f>IF(NOTA[[#This Row],[CONCAT4]]="","",_xlfn.IFNA(MATCH(NOTA[[#This Row],[CONCAT4]],[2]!RAW[CONCAT_H],0),FALSE))</f>
        <v/>
      </c>
      <c r="AQ703" s="188">
        <f>IF(NOTA[[#This Row],[CONCAT1]]="","",MATCH(NOTA[[#This Row],[CONCAT1]],[3]!db[NB NOTA_C],0)+1)</f>
        <v>2231</v>
      </c>
    </row>
    <row r="704" spans="1:43" ht="20.100000000000001" customHeight="1" x14ac:dyDescent="0.25">
      <c r="A7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188" t="str">
        <f>IF(NOTA[[#This Row],[ID_P]]="","",MATCH(NOTA[[#This Row],[ID_P]],[1]!B_MSK[N_ID],0))</f>
        <v/>
      </c>
      <c r="D704" s="188">
        <f ca="1">IF(NOTA[[#This Row],[NAMA BARANG]]="","",INDEX(NOTA[ID],MATCH(,INDIRECT(ADDRESS(ROW(NOTA[ID]),COLUMN(NOTA[ID]))&amp;":"&amp;ADDRESS(ROW(),COLUMN(NOTA[ID]))),-1)))</f>
        <v>127</v>
      </c>
      <c r="E704" s="189"/>
      <c r="F704" s="190"/>
      <c r="G704" s="190"/>
      <c r="H704" s="191"/>
      <c r="I704" s="190"/>
      <c r="J704" s="192"/>
      <c r="K704" s="190"/>
      <c r="L704" s="190" t="s">
        <v>243</v>
      </c>
      <c r="M704" s="193"/>
      <c r="N704" s="188">
        <v>12</v>
      </c>
      <c r="O704" s="190" t="s">
        <v>160</v>
      </c>
      <c r="P704" s="187"/>
      <c r="Q704" s="194"/>
      <c r="R704" s="195"/>
      <c r="S704" s="196"/>
      <c r="T704" s="197"/>
      <c r="U704" s="198"/>
      <c r="V704" s="199"/>
      <c r="W704" s="198" t="str">
        <f>IF(NOTA[[#This Row],[HARGA/ CTN]]="",NOTA[[#This Row],[JUMLAH_H]],NOTA[[#This Row],[HARGA/ CTN]]*IF(NOTA[[#This Row],[C]]="",0,NOTA[[#This Row],[C]]))</f>
        <v/>
      </c>
      <c r="X704" s="198" t="str">
        <f>IF(NOTA[[#This Row],[JUMLAH]]="","",NOTA[[#This Row],[JUMLAH]]*NOTA[[#This Row],[DISC 1]])</f>
        <v/>
      </c>
      <c r="Y704" s="198" t="str">
        <f>IF(NOTA[[#This Row],[JUMLAH]]="","",(NOTA[[#This Row],[JUMLAH]]-NOTA[[#This Row],[DISC 1-]])*NOTA[[#This Row],[DISC 2]])</f>
        <v/>
      </c>
      <c r="Z704" s="198" t="str">
        <f>IF(NOTA[[#This Row],[JUMLAH]]="","",NOTA[[#This Row],[DISC 1-]]+NOTA[[#This Row],[DISC 2-]])</f>
        <v/>
      </c>
      <c r="AA704" s="198" t="str">
        <f>IF(NOTA[[#This Row],[JUMLAH]]="","",NOTA[[#This Row],[JUMLAH]]-NOTA[[#This Row],[DISC]])</f>
        <v/>
      </c>
      <c r="AB704" s="198"/>
      <c r="AC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04" s="200" t="str">
        <f>IF(OR(NOTA[[#This Row],[QTY]]="",NOTA[[#This Row],[HARGA SATUAN]]="",),"",NOTA[[#This Row],[QTY]]*NOTA[[#This Row],[HARGA SATUAN]])</f>
        <v/>
      </c>
      <c r="AG704" s="192">
        <f ca="1">IF(NOTA[ID_H]="","",INDEX(NOTA[TANGGAL],MATCH(,INDIRECT(ADDRESS(ROW(NOTA[TANGGAL]),COLUMN(NOTA[TANGGAL]))&amp;":"&amp;ADDRESS(ROW(),COLUMN(NOTA[TANGGAL]))),-1)))</f>
        <v>45071</v>
      </c>
      <c r="AH704" s="187" t="str">
        <f ca="1">IF(NOTA[[#This Row],[NAMA BARANG]]="","",INDEX(NOTA[SUPPLIER],MATCH(,INDIRECT(ADDRESS(ROW(NOTA[ID]),COLUMN(NOTA[ID]))&amp;":"&amp;ADDRESS(ROW(),COLUMN(NOTA[ID]))),-1)))</f>
        <v>JAYA MAKMUR</v>
      </c>
      <c r="AI704" s="187" t="str">
        <f ca="1">IF(NOTA[[#This Row],[ID_H]]="","",IF(NOTA[[#This Row],[FAKTUR]]="",INDIRECT(ADDRESS(ROW()-1,COLUMN())),NOTA[[#This Row],[FAKTUR]]))</f>
        <v>UNTANA</v>
      </c>
      <c r="AJ704" s="188" t="str">
        <f ca="1">IF(NOTA[[#This Row],[ID]]="","",COUNTIF(NOTA[ID_H],NOTA[[#This Row],[ID_H]]))</f>
        <v/>
      </c>
      <c r="AK704" s="188">
        <f ca="1">IF(NOTA[[#This Row],[TGL.NOTA]]="",IF(NOTA[[#This Row],[SUPPLIER_H]]="","",AK703),MONTH(NOTA[[#This Row],[TGL.NOTA]]))</f>
        <v>5</v>
      </c>
      <c r="AL704" s="188" t="str">
        <f>LOWER(SUBSTITUTE(SUBSTITUTE(SUBSTITUTE(SUBSTITUTE(SUBSTITUTE(SUBSTITUTE(SUBSTITUTE(SUBSTITUTE(SUBSTITUTE(NOTA[NAMA BARANG]," ",),".",""),"-",""),"(",""),")",""),",",""),"/",""),"""",""),"+",""))</f>
        <v>tapedispenser805hijau</v>
      </c>
      <c r="AM7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tapedispenser805hijau0</v>
      </c>
      <c r="AN7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tapedispenser805hijau0</v>
      </c>
      <c r="AO7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188" t="str">
        <f>IF(NOTA[[#This Row],[CONCAT4]]="","",_xlfn.IFNA(MATCH(NOTA[[#This Row],[CONCAT4]],[2]!RAW[CONCAT_H],0),FALSE))</f>
        <v/>
      </c>
      <c r="AQ704" s="188">
        <f>IF(NOTA[[#This Row],[CONCAT1]]="","",MATCH(NOTA[[#This Row],[CONCAT1]],[3]!db[NB NOTA_C],0)+1)</f>
        <v>2230</v>
      </c>
    </row>
    <row r="705" spans="1:43" ht="20.100000000000001" customHeight="1" x14ac:dyDescent="0.25">
      <c r="A7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188" t="str">
        <f>IF(NOTA[[#This Row],[ID_P]]="","",MATCH(NOTA[[#This Row],[ID_P]],[1]!B_MSK[N_ID],0))</f>
        <v/>
      </c>
      <c r="D705" s="188">
        <f ca="1">IF(NOTA[[#This Row],[NAMA BARANG]]="","",INDEX(NOTA[ID],MATCH(,INDIRECT(ADDRESS(ROW(NOTA[ID]),COLUMN(NOTA[ID]))&amp;":"&amp;ADDRESS(ROW(),COLUMN(NOTA[ID]))),-1)))</f>
        <v>127</v>
      </c>
      <c r="E705" s="189"/>
      <c r="F705" s="190"/>
      <c r="G705" s="190"/>
      <c r="H705" s="191"/>
      <c r="I705" s="190"/>
      <c r="J705" s="192"/>
      <c r="K705" s="190"/>
      <c r="L705" s="190" t="s">
        <v>244</v>
      </c>
      <c r="M705" s="193"/>
      <c r="N705" s="188">
        <v>12</v>
      </c>
      <c r="O705" s="190" t="s">
        <v>160</v>
      </c>
      <c r="P705" s="187"/>
      <c r="Q705" s="194"/>
      <c r="R705" s="195"/>
      <c r="S705" s="196"/>
      <c r="T705" s="197"/>
      <c r="U705" s="198"/>
      <c r="V705" s="199"/>
      <c r="W705" s="198" t="str">
        <f>IF(NOTA[[#This Row],[HARGA/ CTN]]="",NOTA[[#This Row],[JUMLAH_H]],NOTA[[#This Row],[HARGA/ CTN]]*IF(NOTA[[#This Row],[C]]="",0,NOTA[[#This Row],[C]]))</f>
        <v/>
      </c>
      <c r="X705" s="198" t="str">
        <f>IF(NOTA[[#This Row],[JUMLAH]]="","",NOTA[[#This Row],[JUMLAH]]*NOTA[[#This Row],[DISC 1]])</f>
        <v/>
      </c>
      <c r="Y705" s="198" t="str">
        <f>IF(NOTA[[#This Row],[JUMLAH]]="","",(NOTA[[#This Row],[JUMLAH]]-NOTA[[#This Row],[DISC 1-]])*NOTA[[#This Row],[DISC 2]])</f>
        <v/>
      </c>
      <c r="Z705" s="198" t="str">
        <f>IF(NOTA[[#This Row],[JUMLAH]]="","",NOTA[[#This Row],[DISC 1-]]+NOTA[[#This Row],[DISC 2-]])</f>
        <v/>
      </c>
      <c r="AA705" s="198" t="str">
        <f>IF(NOTA[[#This Row],[JUMLAH]]="","",NOTA[[#This Row],[JUMLAH]]-NOTA[[#This Row],[DISC]])</f>
        <v/>
      </c>
      <c r="AB705" s="198"/>
      <c r="AC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</v>
      </c>
      <c r="AE705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05" s="200" t="str">
        <f>IF(OR(NOTA[[#This Row],[QTY]]="",NOTA[[#This Row],[HARGA SATUAN]]="",),"",NOTA[[#This Row],[QTY]]*NOTA[[#This Row],[HARGA SATUAN]])</f>
        <v/>
      </c>
      <c r="AG705" s="192">
        <f ca="1">IF(NOTA[ID_H]="","",INDEX(NOTA[TANGGAL],MATCH(,INDIRECT(ADDRESS(ROW(NOTA[TANGGAL]),COLUMN(NOTA[TANGGAL]))&amp;":"&amp;ADDRESS(ROW(),COLUMN(NOTA[TANGGAL]))),-1)))</f>
        <v>45071</v>
      </c>
      <c r="AH705" s="187" t="str">
        <f ca="1">IF(NOTA[[#This Row],[NAMA BARANG]]="","",INDEX(NOTA[SUPPLIER],MATCH(,INDIRECT(ADDRESS(ROW(NOTA[ID]),COLUMN(NOTA[ID]))&amp;":"&amp;ADDRESS(ROW(),COLUMN(NOTA[ID]))),-1)))</f>
        <v>JAYA MAKMUR</v>
      </c>
      <c r="AI705" s="187" t="str">
        <f ca="1">IF(NOTA[[#This Row],[ID_H]]="","",IF(NOTA[[#This Row],[FAKTUR]]="",INDIRECT(ADDRESS(ROW()-1,COLUMN())),NOTA[[#This Row],[FAKTUR]]))</f>
        <v>UNTANA</v>
      </c>
      <c r="AJ705" s="188" t="str">
        <f ca="1">IF(NOTA[[#This Row],[ID]]="","",COUNTIF(NOTA[ID_H],NOTA[[#This Row],[ID_H]]))</f>
        <v/>
      </c>
      <c r="AK705" s="188">
        <f ca="1">IF(NOTA[[#This Row],[TGL.NOTA]]="",IF(NOTA[[#This Row],[SUPPLIER_H]]="","",AK704),MONTH(NOTA[[#This Row],[TGL.NOTA]]))</f>
        <v>5</v>
      </c>
      <c r="AL705" s="188" t="str">
        <f>LOWER(SUBSTITUTE(SUBSTITUTE(SUBSTITUTE(SUBSTITUTE(SUBSTITUTE(SUBSTITUTE(SUBSTITUTE(SUBSTITUTE(SUBSTITUTE(NOTA[NAMA BARANG]," ",),".",""),"-",""),"(",""),")",""),",",""),"/",""),"""",""),"+",""))</f>
        <v>tapedispenser805ungu</v>
      </c>
      <c r="AM7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tapedispenser805ungu0</v>
      </c>
      <c r="AN7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tapedispenser805ungu0</v>
      </c>
      <c r="AO7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5" s="188" t="str">
        <f>IF(NOTA[[#This Row],[CONCAT4]]="","",_xlfn.IFNA(MATCH(NOTA[[#This Row],[CONCAT4]],[2]!RAW[CONCAT_H],0),FALSE))</f>
        <v/>
      </c>
      <c r="AQ705" s="188">
        <f>IF(NOTA[[#This Row],[CONCAT1]]="","",MATCH(NOTA[[#This Row],[CONCAT1]],[3]!db[NB NOTA_C],0)+1)</f>
        <v>2232</v>
      </c>
    </row>
    <row r="706" spans="1:43" ht="20.100000000000001" customHeight="1" x14ac:dyDescent="0.25">
      <c r="A7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188" t="str">
        <f>IF(NOTA[[#This Row],[ID_P]]="","",MATCH(NOTA[[#This Row],[ID_P]],[1]!B_MSK[N_ID],0))</f>
        <v/>
      </c>
      <c r="D706" s="188" t="str">
        <f ca="1">IF(NOTA[[#This Row],[NAMA BARANG]]="","",INDEX(NOTA[ID],MATCH(,INDIRECT(ADDRESS(ROW(NOTA[ID]),COLUMN(NOTA[ID]))&amp;":"&amp;ADDRESS(ROW(),COLUMN(NOTA[ID]))),-1)))</f>
        <v/>
      </c>
      <c r="E706" s="189"/>
      <c r="F706" s="190"/>
      <c r="G706" s="190"/>
      <c r="H706" s="191"/>
      <c r="I706" s="190"/>
      <c r="J706" s="192"/>
      <c r="K706" s="190"/>
      <c r="L706" s="190"/>
      <c r="M706" s="193"/>
      <c r="N706" s="188"/>
      <c r="O706" s="190"/>
      <c r="P706" s="187"/>
      <c r="Q706" s="194"/>
      <c r="R706" s="195"/>
      <c r="S706" s="196"/>
      <c r="T706" s="197"/>
      <c r="U706" s="198"/>
      <c r="V706" s="199"/>
      <c r="W706" s="198" t="str">
        <f>IF(NOTA[[#This Row],[HARGA/ CTN]]="",NOTA[[#This Row],[JUMLAH_H]],NOTA[[#This Row],[HARGA/ CTN]]*IF(NOTA[[#This Row],[C]]="",0,NOTA[[#This Row],[C]]))</f>
        <v/>
      </c>
      <c r="X706" s="198" t="str">
        <f>IF(NOTA[[#This Row],[JUMLAH]]="","",NOTA[[#This Row],[JUMLAH]]*NOTA[[#This Row],[DISC 1]])</f>
        <v/>
      </c>
      <c r="Y706" s="198" t="str">
        <f>IF(NOTA[[#This Row],[JUMLAH]]="","",(NOTA[[#This Row],[JUMLAH]]-NOTA[[#This Row],[DISC 1-]])*NOTA[[#This Row],[DISC 2]])</f>
        <v/>
      </c>
      <c r="Z706" s="198" t="str">
        <f>IF(NOTA[[#This Row],[JUMLAH]]="","",NOTA[[#This Row],[DISC 1-]]+NOTA[[#This Row],[DISC 2-]])</f>
        <v/>
      </c>
      <c r="AA706" s="198" t="str">
        <f>IF(NOTA[[#This Row],[JUMLAH]]="","",NOTA[[#This Row],[JUMLAH]]-NOTA[[#This Row],[DISC]])</f>
        <v/>
      </c>
      <c r="AB706" s="198"/>
      <c r="AC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200" t="str">
        <f>IF(OR(NOTA[[#This Row],[QTY]]="",NOTA[[#This Row],[HARGA SATUAN]]="",),"",NOTA[[#This Row],[QTY]]*NOTA[[#This Row],[HARGA SATUAN]])</f>
        <v/>
      </c>
      <c r="AG706" s="192" t="str">
        <f ca="1">IF(NOTA[ID_H]="","",INDEX(NOTA[TANGGAL],MATCH(,INDIRECT(ADDRESS(ROW(NOTA[TANGGAL]),COLUMN(NOTA[TANGGAL]))&amp;":"&amp;ADDRESS(ROW(),COLUMN(NOTA[TANGGAL]))),-1)))</f>
        <v/>
      </c>
      <c r="AH706" s="187" t="str">
        <f ca="1">IF(NOTA[[#This Row],[NAMA BARANG]]="","",INDEX(NOTA[SUPPLIER],MATCH(,INDIRECT(ADDRESS(ROW(NOTA[ID]),COLUMN(NOTA[ID]))&amp;":"&amp;ADDRESS(ROW(),COLUMN(NOTA[ID]))),-1)))</f>
        <v/>
      </c>
      <c r="AI706" s="187" t="str">
        <f ca="1">IF(NOTA[[#This Row],[ID_H]]="","",IF(NOTA[[#This Row],[FAKTUR]]="",INDIRECT(ADDRESS(ROW()-1,COLUMN())),NOTA[[#This Row],[FAKTUR]]))</f>
        <v/>
      </c>
      <c r="AJ706" s="188" t="str">
        <f ca="1">IF(NOTA[[#This Row],[ID]]="","",COUNTIF(NOTA[ID_H],NOTA[[#This Row],[ID_H]]))</f>
        <v/>
      </c>
      <c r="AK706" s="188" t="str">
        <f ca="1">IF(NOTA[[#This Row],[TGL.NOTA]]="",IF(NOTA[[#This Row],[SUPPLIER_H]]="","",AK705),MONTH(NOTA[[#This Row],[TGL.NOTA]]))</f>
        <v/>
      </c>
      <c r="AL706" s="188" t="str">
        <f>LOWER(SUBSTITUTE(SUBSTITUTE(SUBSTITUTE(SUBSTITUTE(SUBSTITUTE(SUBSTITUTE(SUBSTITUTE(SUBSTITUTE(SUBSTITUTE(NOTA[NAMA BARANG]," ",),".",""),"-",""),"(",""),")",""),",",""),"/",""),"""",""),"+",""))</f>
        <v/>
      </c>
      <c r="AM7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188" t="str">
        <f>IF(NOTA[[#This Row],[CONCAT4]]="","",_xlfn.IFNA(MATCH(NOTA[[#This Row],[CONCAT4]],[2]!RAW[CONCAT_H],0),FALSE))</f>
        <v/>
      </c>
      <c r="AQ706" s="188" t="str">
        <f>IF(NOTA[[#This Row],[CONCAT1]]="","",MATCH(NOTA[[#This Row],[CONCAT1]],[3]!db[NB NOTA_C],0)+1)</f>
        <v/>
      </c>
    </row>
    <row r="707" spans="1:43" ht="20.100000000000001" customHeight="1" x14ac:dyDescent="0.25">
      <c r="A707" s="187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ETJ_2605_423-9</v>
      </c>
      <c r="C707" s="188" t="e">
        <f ca="1">IF(NOTA[[#This Row],[ID_P]]="","",MATCH(NOTA[[#This Row],[ID_P]],[1]!B_MSK[N_ID],0))</f>
        <v>#REF!</v>
      </c>
      <c r="D707" s="188">
        <f ca="1">IF(NOTA[[#This Row],[NAMA BARANG]]="","",INDEX(NOTA[ID],MATCH(,INDIRECT(ADDRESS(ROW(NOTA[ID]),COLUMN(NOTA[ID]))&amp;":"&amp;ADDRESS(ROW(),COLUMN(NOTA[ID]))),-1)))</f>
        <v>128</v>
      </c>
      <c r="E707" s="189">
        <v>45072</v>
      </c>
      <c r="F707" s="190" t="s">
        <v>331</v>
      </c>
      <c r="G707" s="190" t="s">
        <v>112</v>
      </c>
      <c r="H707" s="191" t="s">
        <v>906</v>
      </c>
      <c r="I707" s="190"/>
      <c r="J707" s="192">
        <v>45069</v>
      </c>
      <c r="K707" s="190"/>
      <c r="L707" s="190" t="s">
        <v>907</v>
      </c>
      <c r="M707" s="193">
        <v>3</v>
      </c>
      <c r="N707" s="188">
        <v>360</v>
      </c>
      <c r="O707" s="190" t="s">
        <v>125</v>
      </c>
      <c r="P707" s="187">
        <v>7500</v>
      </c>
      <c r="Q707" s="194"/>
      <c r="R707" s="195" t="s">
        <v>173</v>
      </c>
      <c r="S707" s="196"/>
      <c r="T707" s="197"/>
      <c r="U707" s="198"/>
      <c r="V707" s="199"/>
      <c r="W707" s="198">
        <f>IF(NOTA[[#This Row],[HARGA/ CTN]]="",NOTA[[#This Row],[JUMLAH_H]],NOTA[[#This Row],[HARGA/ CTN]]*IF(NOTA[[#This Row],[C]]="",0,NOTA[[#This Row],[C]]))</f>
        <v>2700000</v>
      </c>
      <c r="X707" s="198">
        <f>IF(NOTA[[#This Row],[JUMLAH]]="","",NOTA[[#This Row],[JUMLAH]]*NOTA[[#This Row],[DISC 1]])</f>
        <v>0</v>
      </c>
      <c r="Y707" s="198">
        <f>IF(NOTA[[#This Row],[JUMLAH]]="","",(NOTA[[#This Row],[JUMLAH]]-NOTA[[#This Row],[DISC 1-]])*NOTA[[#This Row],[DISC 2]])</f>
        <v>0</v>
      </c>
      <c r="Z707" s="198">
        <f>IF(NOTA[[#This Row],[JUMLAH]]="","",NOTA[[#This Row],[DISC 1-]]+NOTA[[#This Row],[DISC 2-]])</f>
        <v>0</v>
      </c>
      <c r="AA707" s="198">
        <f>IF(NOTA[[#This Row],[JUMLAH]]="","",NOTA[[#This Row],[JUMLAH]]-NOTA[[#This Row],[DISC]])</f>
        <v>2700000</v>
      </c>
      <c r="AB707" s="198"/>
      <c r="AC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187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707" s="200">
        <f>IF(OR(NOTA[[#This Row],[QTY]]="",NOTA[[#This Row],[HARGA SATUAN]]="",),"",NOTA[[#This Row],[QTY]]*NOTA[[#This Row],[HARGA SATUAN]])</f>
        <v>2700000</v>
      </c>
      <c r="AG707" s="192">
        <f ca="1">IF(NOTA[ID_H]="","",INDEX(NOTA[TANGGAL],MATCH(,INDIRECT(ADDRESS(ROW(NOTA[TANGGAL]),COLUMN(NOTA[TANGGAL]))&amp;":"&amp;ADDRESS(ROW(),COLUMN(NOTA[TANGGAL]))),-1)))</f>
        <v>45072</v>
      </c>
      <c r="AH707" s="187" t="str">
        <f ca="1">IF(NOTA[[#This Row],[NAMA BARANG]]="","",INDEX(NOTA[SUPPLIER],MATCH(,INDIRECT(ADDRESS(ROW(NOTA[ID]),COLUMN(NOTA[ID]))&amp;":"&amp;ADDRESS(ROW(),COLUMN(NOTA[ID]))),-1)))</f>
        <v>ETJ</v>
      </c>
      <c r="AI707" s="187" t="str">
        <f ca="1">IF(NOTA[[#This Row],[ID_H]]="","",IF(NOTA[[#This Row],[FAKTUR]]="",INDIRECT(ADDRESS(ROW()-1,COLUMN())),NOTA[[#This Row],[FAKTUR]]))</f>
        <v>UNTANA</v>
      </c>
      <c r="AJ707" s="188">
        <f ca="1">IF(NOTA[[#This Row],[ID]]="","",COUNTIF(NOTA[ID_H],NOTA[[#This Row],[ID_H]]))</f>
        <v>9</v>
      </c>
      <c r="AK707" s="188">
        <f>IF(NOTA[[#This Row],[TGL.NOTA]]="",IF(NOTA[[#This Row],[SUPPLIER_H]]="","",AK706),MONTH(NOTA[[#This Row],[TGL.NOTA]]))</f>
        <v>5</v>
      </c>
      <c r="AL707" s="188" t="str">
        <f>LOWER(SUBSTITUTE(SUBSTITUTE(SUBSTITUTE(SUBSTITUTE(SUBSTITUTE(SUBSTITUTE(SUBSTITUTE(SUBSTITUTE(SUBSTITUTE(NOTA[NAMA BARANG]," ",),".",""),"-",""),"(",""),")",""),",",""),"/",""),"""",""),"+",""))</f>
        <v>paletkepitingdoppkd202</v>
      </c>
      <c r="AM7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paletkepitingdoppkd202900000</v>
      </c>
      <c r="AN7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paletkepitingdoppkd202900000</v>
      </c>
      <c r="AO707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ETJUNTANAH54.2345069paletkepitingdoppkd202</v>
      </c>
      <c r="AP707" s="188" t="e">
        <f>IF(NOTA[[#This Row],[CONCAT4]]="","",_xlfn.IFNA(MATCH(NOTA[[#This Row],[CONCAT4]],[2]!RAW[CONCAT_H],0),FALSE))</f>
        <v>#REF!</v>
      </c>
      <c r="AQ707" s="188" t="e">
        <f>IF(NOTA[[#This Row],[CONCAT1]]="","",MATCH(NOTA[[#This Row],[CONCAT1]],[3]!db[NB NOTA_C],0)+1)</f>
        <v>#N/A</v>
      </c>
    </row>
    <row r="708" spans="1:43" ht="20.100000000000001" customHeight="1" x14ac:dyDescent="0.25">
      <c r="A7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188" t="str">
        <f>IF(NOTA[[#This Row],[ID_P]]="","",MATCH(NOTA[[#This Row],[ID_P]],[1]!B_MSK[N_ID],0))</f>
        <v/>
      </c>
      <c r="D708" s="188">
        <f ca="1">IF(NOTA[[#This Row],[NAMA BARANG]]="","",INDEX(NOTA[ID],MATCH(,INDIRECT(ADDRESS(ROW(NOTA[ID]),COLUMN(NOTA[ID]))&amp;":"&amp;ADDRESS(ROW(),COLUMN(NOTA[ID]))),-1)))</f>
        <v>128</v>
      </c>
      <c r="E708" s="189"/>
      <c r="F708" s="190"/>
      <c r="G708" s="190"/>
      <c r="H708" s="191"/>
      <c r="I708" s="190"/>
      <c r="J708" s="192"/>
      <c r="K708" s="190"/>
      <c r="L708" s="190" t="s">
        <v>342</v>
      </c>
      <c r="M708" s="193">
        <v>5</v>
      </c>
      <c r="N708" s="188">
        <v>600</v>
      </c>
      <c r="O708" s="190" t="s">
        <v>252</v>
      </c>
      <c r="P708" s="187">
        <v>14000</v>
      </c>
      <c r="Q708" s="194"/>
      <c r="R708" s="195" t="s">
        <v>908</v>
      </c>
      <c r="S708" s="196"/>
      <c r="T708" s="197"/>
      <c r="U708" s="198"/>
      <c r="V708" s="199"/>
      <c r="W708" s="198">
        <f>IF(NOTA[[#This Row],[HARGA/ CTN]]="",NOTA[[#This Row],[JUMLAH_H]],NOTA[[#This Row],[HARGA/ CTN]]*IF(NOTA[[#This Row],[C]]="",0,NOTA[[#This Row],[C]]))</f>
        <v>8400000</v>
      </c>
      <c r="X708" s="198">
        <f>IF(NOTA[[#This Row],[JUMLAH]]="","",NOTA[[#This Row],[JUMLAH]]*NOTA[[#This Row],[DISC 1]])</f>
        <v>0</v>
      </c>
      <c r="Y708" s="198">
        <f>IF(NOTA[[#This Row],[JUMLAH]]="","",(NOTA[[#This Row],[JUMLAH]]-NOTA[[#This Row],[DISC 1-]])*NOTA[[#This Row],[DISC 2]])</f>
        <v>0</v>
      </c>
      <c r="Z708" s="198">
        <f>IF(NOTA[[#This Row],[JUMLAH]]="","",NOTA[[#This Row],[DISC 1-]]+NOTA[[#This Row],[DISC 2-]])</f>
        <v>0</v>
      </c>
      <c r="AA708" s="198">
        <f>IF(NOTA[[#This Row],[JUMLAH]]="","",NOTA[[#This Row],[JUMLAH]]-NOTA[[#This Row],[DISC]])</f>
        <v>8400000</v>
      </c>
      <c r="AB708" s="198"/>
      <c r="AC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08" s="200">
        <f>IF(OR(NOTA[[#This Row],[QTY]]="",NOTA[[#This Row],[HARGA SATUAN]]="",),"",NOTA[[#This Row],[QTY]]*NOTA[[#This Row],[HARGA SATUAN]])</f>
        <v>8400000</v>
      </c>
      <c r="AG708" s="192">
        <f ca="1">IF(NOTA[ID_H]="","",INDEX(NOTA[TANGGAL],MATCH(,INDIRECT(ADDRESS(ROW(NOTA[TANGGAL]),COLUMN(NOTA[TANGGAL]))&amp;":"&amp;ADDRESS(ROW(),COLUMN(NOTA[TANGGAL]))),-1)))</f>
        <v>45072</v>
      </c>
      <c r="AH708" s="187" t="str">
        <f ca="1">IF(NOTA[[#This Row],[NAMA BARANG]]="","",INDEX(NOTA[SUPPLIER],MATCH(,INDIRECT(ADDRESS(ROW(NOTA[ID]),COLUMN(NOTA[ID]))&amp;":"&amp;ADDRESS(ROW(),COLUMN(NOTA[ID]))),-1)))</f>
        <v>ETJ</v>
      </c>
      <c r="AI708" s="187" t="str">
        <f ca="1">IF(NOTA[[#This Row],[ID_H]]="","",IF(NOTA[[#This Row],[FAKTUR]]="",INDIRECT(ADDRESS(ROW()-1,COLUMN())),NOTA[[#This Row],[FAKTUR]]))</f>
        <v>UNTANA</v>
      </c>
      <c r="AJ708" s="188" t="str">
        <f ca="1">IF(NOTA[[#This Row],[ID]]="","",COUNTIF(NOTA[ID_H],NOTA[[#This Row],[ID_H]]))</f>
        <v/>
      </c>
      <c r="AK708" s="188">
        <f ca="1">IF(NOTA[[#This Row],[TGL.NOTA]]="",IF(NOTA[[#This Row],[SUPPLIER_H]]="","",AK707),MONTH(NOTA[[#This Row],[TGL.NOTA]]))</f>
        <v>5</v>
      </c>
      <c r="AL708" s="188" t="str">
        <f>LOWER(SUBSTITUTE(SUBSTITUTE(SUBSTITUTE(SUBSTITUTE(SUBSTITUTE(SUBSTITUTE(SUBSTITUTE(SUBSTITUTE(SUBSTITUTE(NOTA[NAMA BARANG]," ",),".",""),"-",""),"(",""),")",""),",",""),"/",""),"""",""),"+",""))</f>
        <v>entercatacrylica912</v>
      </c>
      <c r="AM7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entercatacrylica9121680000</v>
      </c>
      <c r="AN7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entercatacrylica9121680000</v>
      </c>
      <c r="AO7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188" t="str">
        <f>IF(NOTA[[#This Row],[CONCAT4]]="","",_xlfn.IFNA(MATCH(NOTA[[#This Row],[CONCAT4]],[2]!RAW[CONCAT_H],0),FALSE))</f>
        <v/>
      </c>
      <c r="AQ708" s="188">
        <f>IF(NOTA[[#This Row],[CONCAT1]]="","",MATCH(NOTA[[#This Row],[CONCAT1]],[3]!db[NB NOTA_C],0)+1)</f>
        <v>725</v>
      </c>
    </row>
    <row r="709" spans="1:43" ht="20.100000000000001" customHeight="1" x14ac:dyDescent="0.25">
      <c r="A7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188" t="str">
        <f>IF(NOTA[[#This Row],[ID_P]]="","",MATCH(NOTA[[#This Row],[ID_P]],[1]!B_MSK[N_ID],0))</f>
        <v/>
      </c>
      <c r="D709" s="188">
        <f ca="1">IF(NOTA[[#This Row],[NAMA BARANG]]="","",INDEX(NOTA[ID],MATCH(,INDIRECT(ADDRESS(ROW(NOTA[ID]),COLUMN(NOTA[ID]))&amp;":"&amp;ADDRESS(ROW(),COLUMN(NOTA[ID]))),-1)))</f>
        <v>128</v>
      </c>
      <c r="E709" s="189"/>
      <c r="F709" s="190"/>
      <c r="G709" s="190"/>
      <c r="H709" s="191"/>
      <c r="I709" s="190"/>
      <c r="J709" s="192"/>
      <c r="K709" s="190"/>
      <c r="L709" s="190" t="s">
        <v>343</v>
      </c>
      <c r="M709" s="193">
        <v>1</v>
      </c>
      <c r="N709" s="188">
        <v>50</v>
      </c>
      <c r="O709" s="190" t="s">
        <v>252</v>
      </c>
      <c r="P709" s="187"/>
      <c r="Q709" s="194"/>
      <c r="R709" s="195"/>
      <c r="S709" s="196"/>
      <c r="T709" s="197"/>
      <c r="U709" s="198"/>
      <c r="V709" s="199"/>
      <c r="W709" s="198" t="str">
        <f>IF(NOTA[[#This Row],[HARGA/ CTN]]="",NOTA[[#This Row],[JUMLAH_H]],NOTA[[#This Row],[HARGA/ CTN]]*IF(NOTA[[#This Row],[C]]="",0,NOTA[[#This Row],[C]]))</f>
        <v/>
      </c>
      <c r="X709" s="198" t="str">
        <f>IF(NOTA[[#This Row],[JUMLAH]]="","",NOTA[[#This Row],[JUMLAH]]*NOTA[[#This Row],[DISC 1]])</f>
        <v/>
      </c>
      <c r="Y709" s="198" t="str">
        <f>IF(NOTA[[#This Row],[JUMLAH]]="","",(NOTA[[#This Row],[JUMLAH]]-NOTA[[#This Row],[DISC 1-]])*NOTA[[#This Row],[DISC 2]])</f>
        <v/>
      </c>
      <c r="Z709" s="198" t="str">
        <f>IF(NOTA[[#This Row],[JUMLAH]]="","",NOTA[[#This Row],[DISC 1-]]+NOTA[[#This Row],[DISC 2-]])</f>
        <v/>
      </c>
      <c r="AA709" s="198" t="str">
        <f>IF(NOTA[[#This Row],[JUMLAH]]="","",NOTA[[#This Row],[JUMLAH]]-NOTA[[#This Row],[DISC]])</f>
        <v/>
      </c>
      <c r="AB709" s="198"/>
      <c r="AC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09" s="200" t="str">
        <f>IF(OR(NOTA[[#This Row],[QTY]]="",NOTA[[#This Row],[HARGA SATUAN]]="",),"",NOTA[[#This Row],[QTY]]*NOTA[[#This Row],[HARGA SATUAN]])</f>
        <v/>
      </c>
      <c r="AG709" s="192">
        <f ca="1">IF(NOTA[ID_H]="","",INDEX(NOTA[TANGGAL],MATCH(,INDIRECT(ADDRESS(ROW(NOTA[TANGGAL]),COLUMN(NOTA[TANGGAL]))&amp;":"&amp;ADDRESS(ROW(),COLUMN(NOTA[TANGGAL]))),-1)))</f>
        <v>45072</v>
      </c>
      <c r="AH709" s="187" t="str">
        <f ca="1">IF(NOTA[[#This Row],[NAMA BARANG]]="","",INDEX(NOTA[SUPPLIER],MATCH(,INDIRECT(ADDRESS(ROW(NOTA[ID]),COLUMN(NOTA[ID]))&amp;":"&amp;ADDRESS(ROW(),COLUMN(NOTA[ID]))),-1)))</f>
        <v>ETJ</v>
      </c>
      <c r="AI709" s="187" t="str">
        <f ca="1">IF(NOTA[[#This Row],[ID_H]]="","",IF(NOTA[[#This Row],[FAKTUR]]="",INDIRECT(ADDRESS(ROW()-1,COLUMN())),NOTA[[#This Row],[FAKTUR]]))</f>
        <v>UNTANA</v>
      </c>
      <c r="AJ709" s="188" t="str">
        <f ca="1">IF(NOTA[[#This Row],[ID]]="","",COUNTIF(NOTA[ID_H],NOTA[[#This Row],[ID_H]]))</f>
        <v/>
      </c>
      <c r="AK709" s="188">
        <f ca="1">IF(NOTA[[#This Row],[TGL.NOTA]]="",IF(NOTA[[#This Row],[SUPPLIER_H]]="","",AK708),MONTH(NOTA[[#This Row],[TGL.NOTA]]))</f>
        <v>5</v>
      </c>
      <c r="AL709" s="188" t="str">
        <f>LOWER(SUBSTITUTE(SUBSTITUTE(SUBSTITUTE(SUBSTITUTE(SUBSTITUTE(SUBSTITUTE(SUBSTITUTE(SUBSTITUTE(SUBSTITUTE(NOTA[NAMA BARANG]," ",),".",""),"-",""),"(",""),")",""),",",""),"/",""),"""",""),"+",""))</f>
        <v>entercatacrylicputih</v>
      </c>
      <c r="AM7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entercatacrylicputih0</v>
      </c>
      <c r="AN7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entercatacrylicputih0</v>
      </c>
      <c r="AO7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188" t="str">
        <f>IF(NOTA[[#This Row],[CONCAT4]]="","",_xlfn.IFNA(MATCH(NOTA[[#This Row],[CONCAT4]],[2]!RAW[CONCAT_H],0),FALSE))</f>
        <v/>
      </c>
      <c r="AQ709" s="188" t="e">
        <f>IF(NOTA[[#This Row],[CONCAT1]]="","",MATCH(NOTA[[#This Row],[CONCAT1]],[3]!db[NB NOTA_C],0)+1)</f>
        <v>#N/A</v>
      </c>
    </row>
    <row r="710" spans="1:43" ht="20.100000000000001" customHeight="1" x14ac:dyDescent="0.25">
      <c r="A7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188" t="str">
        <f>IF(NOTA[[#This Row],[ID_P]]="","",MATCH(NOTA[[#This Row],[ID_P]],[1]!B_MSK[N_ID],0))</f>
        <v/>
      </c>
      <c r="D710" s="188">
        <f ca="1">IF(NOTA[[#This Row],[NAMA BARANG]]="","",INDEX(NOTA[ID],MATCH(,INDIRECT(ADDRESS(ROW(NOTA[ID]),COLUMN(NOTA[ID]))&amp;":"&amp;ADDRESS(ROW(),COLUMN(NOTA[ID]))),-1)))</f>
        <v>128</v>
      </c>
      <c r="E710" s="189"/>
      <c r="F710" s="190"/>
      <c r="G710" s="190"/>
      <c r="H710" s="191"/>
      <c r="I710" s="190"/>
      <c r="J710" s="192"/>
      <c r="K710" s="190"/>
      <c r="L710" s="190" t="s">
        <v>910</v>
      </c>
      <c r="M710" s="193">
        <v>3</v>
      </c>
      <c r="N710" s="188">
        <v>36</v>
      </c>
      <c r="O710" s="190" t="s">
        <v>125</v>
      </c>
      <c r="P710" s="187">
        <v>40000</v>
      </c>
      <c r="Q710" s="194"/>
      <c r="R710" s="195" t="s">
        <v>909</v>
      </c>
      <c r="S710" s="196"/>
      <c r="T710" s="197"/>
      <c r="U710" s="198"/>
      <c r="V710" s="199"/>
      <c r="W710" s="198">
        <f>IF(NOTA[[#This Row],[HARGA/ CTN]]="",NOTA[[#This Row],[JUMLAH_H]],NOTA[[#This Row],[HARGA/ CTN]]*IF(NOTA[[#This Row],[C]]="",0,NOTA[[#This Row],[C]]))</f>
        <v>1440000</v>
      </c>
      <c r="X710" s="198">
        <f>IF(NOTA[[#This Row],[JUMLAH]]="","",NOTA[[#This Row],[JUMLAH]]*NOTA[[#This Row],[DISC 1]])</f>
        <v>0</v>
      </c>
      <c r="Y710" s="198">
        <f>IF(NOTA[[#This Row],[JUMLAH]]="","",(NOTA[[#This Row],[JUMLAH]]-NOTA[[#This Row],[DISC 1-]])*NOTA[[#This Row],[DISC 2]])</f>
        <v>0</v>
      </c>
      <c r="Z710" s="198">
        <f>IF(NOTA[[#This Row],[JUMLAH]]="","",NOTA[[#This Row],[DISC 1-]]+NOTA[[#This Row],[DISC 2-]])</f>
        <v>0</v>
      </c>
      <c r="AA710" s="198">
        <f>IF(NOTA[[#This Row],[JUMLAH]]="","",NOTA[[#This Row],[JUMLAH]]-NOTA[[#This Row],[DISC]])</f>
        <v>1440000</v>
      </c>
      <c r="AB710" s="198"/>
      <c r="AC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187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710" s="200">
        <f>IF(OR(NOTA[[#This Row],[QTY]]="",NOTA[[#This Row],[HARGA SATUAN]]="",),"",NOTA[[#This Row],[QTY]]*NOTA[[#This Row],[HARGA SATUAN]])</f>
        <v>1440000</v>
      </c>
      <c r="AG710" s="192">
        <f ca="1">IF(NOTA[ID_H]="","",INDEX(NOTA[TANGGAL],MATCH(,INDIRECT(ADDRESS(ROW(NOTA[TANGGAL]),COLUMN(NOTA[TANGGAL]))&amp;":"&amp;ADDRESS(ROW(),COLUMN(NOTA[TANGGAL]))),-1)))</f>
        <v>45072</v>
      </c>
      <c r="AH710" s="187" t="str">
        <f ca="1">IF(NOTA[[#This Row],[NAMA BARANG]]="","",INDEX(NOTA[SUPPLIER],MATCH(,INDIRECT(ADDRESS(ROW(NOTA[ID]),COLUMN(NOTA[ID]))&amp;":"&amp;ADDRESS(ROW(),COLUMN(NOTA[ID]))),-1)))</f>
        <v>ETJ</v>
      </c>
      <c r="AI710" s="187" t="str">
        <f ca="1">IF(NOTA[[#This Row],[ID_H]]="","",IF(NOTA[[#This Row],[FAKTUR]]="",INDIRECT(ADDRESS(ROW()-1,COLUMN())),NOTA[[#This Row],[FAKTUR]]))</f>
        <v>UNTANA</v>
      </c>
      <c r="AJ710" s="188" t="str">
        <f ca="1">IF(NOTA[[#This Row],[ID]]="","",COUNTIF(NOTA[ID_H],NOTA[[#This Row],[ID_H]]))</f>
        <v/>
      </c>
      <c r="AK710" s="188">
        <f ca="1">IF(NOTA[[#This Row],[TGL.NOTA]]="",IF(NOTA[[#This Row],[SUPPLIER_H]]="","",AK709),MONTH(NOTA[[#This Row],[TGL.NOTA]]))</f>
        <v>5</v>
      </c>
      <c r="AL710" s="188" t="str">
        <f>LOWER(SUBSTITUTE(SUBSTITUTE(SUBSTITUTE(SUBSTITUTE(SUBSTITUTE(SUBSTITUTE(SUBSTITUTE(SUBSTITUTE(SUBSTITUTE(NOTA[NAMA BARANG]," ",),".",""),"-",""),"(",""),")",""),",",""),"/",""),"""",""),"+",""))</f>
        <v>entercboardantiapi</v>
      </c>
      <c r="AM7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entercboardantiapi480000</v>
      </c>
      <c r="AN7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entercboardantiapi480000</v>
      </c>
      <c r="AO7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188" t="str">
        <f>IF(NOTA[[#This Row],[CONCAT4]]="","",_xlfn.IFNA(MATCH(NOTA[[#This Row],[CONCAT4]],[2]!RAW[CONCAT_H],0),FALSE))</f>
        <v/>
      </c>
      <c r="AQ710" s="188" t="e">
        <f>IF(NOTA[[#This Row],[CONCAT1]]="","",MATCH(NOTA[[#This Row],[CONCAT1]],[3]!db[NB NOTA_C],0)+1)</f>
        <v>#N/A</v>
      </c>
    </row>
    <row r="711" spans="1:43" ht="20.100000000000001" customHeight="1" x14ac:dyDescent="0.25">
      <c r="A7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188" t="str">
        <f>IF(NOTA[[#This Row],[ID_P]]="","",MATCH(NOTA[[#This Row],[ID_P]],[1]!B_MSK[N_ID],0))</f>
        <v/>
      </c>
      <c r="D711" s="188">
        <f ca="1">IF(NOTA[[#This Row],[NAMA BARANG]]="","",INDEX(NOTA[ID],MATCH(,INDIRECT(ADDRESS(ROW(NOTA[ID]),COLUMN(NOTA[ID]))&amp;":"&amp;ADDRESS(ROW(),COLUMN(NOTA[ID]))),-1)))</f>
        <v>128</v>
      </c>
      <c r="E711" s="189"/>
      <c r="F711" s="190"/>
      <c r="G711" s="190"/>
      <c r="H711" s="191"/>
      <c r="I711" s="190"/>
      <c r="J711" s="192"/>
      <c r="K711" s="190"/>
      <c r="L711" s="190" t="s">
        <v>335</v>
      </c>
      <c r="M711" s="193">
        <v>3</v>
      </c>
      <c r="N711" s="188">
        <v>24</v>
      </c>
      <c r="O711" s="190" t="s">
        <v>125</v>
      </c>
      <c r="P711" s="187">
        <v>115000</v>
      </c>
      <c r="Q711" s="194"/>
      <c r="R711" s="195" t="s">
        <v>911</v>
      </c>
      <c r="S711" s="196"/>
      <c r="T711" s="197"/>
      <c r="U711" s="198"/>
      <c r="V711" s="199"/>
      <c r="W711" s="198">
        <f>IF(NOTA[[#This Row],[HARGA/ CTN]]="",NOTA[[#This Row],[JUMLAH_H]],NOTA[[#This Row],[HARGA/ CTN]]*IF(NOTA[[#This Row],[C]]="",0,NOTA[[#This Row],[C]]))</f>
        <v>2760000</v>
      </c>
      <c r="X711" s="198">
        <f>IF(NOTA[[#This Row],[JUMLAH]]="","",NOTA[[#This Row],[JUMLAH]]*NOTA[[#This Row],[DISC 1]])</f>
        <v>0</v>
      </c>
      <c r="Y711" s="198">
        <f>IF(NOTA[[#This Row],[JUMLAH]]="","",(NOTA[[#This Row],[JUMLAH]]-NOTA[[#This Row],[DISC 1-]])*NOTA[[#This Row],[DISC 2]])</f>
        <v>0</v>
      </c>
      <c r="Z711" s="198">
        <f>IF(NOTA[[#This Row],[JUMLAH]]="","",NOTA[[#This Row],[DISC 1-]]+NOTA[[#This Row],[DISC 2-]])</f>
        <v>0</v>
      </c>
      <c r="AA711" s="198">
        <f>IF(NOTA[[#This Row],[JUMLAH]]="","",NOTA[[#This Row],[JUMLAH]]-NOTA[[#This Row],[DISC]])</f>
        <v>2760000</v>
      </c>
      <c r="AB711" s="198"/>
      <c r="AC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187">
        <f>IF(NOTA[[#This Row],[NAMA BARANG]]="","",IF(NOTA[[#This Row],[JUMLAH_H]]="",NOTA[[#This Row],[HARGA/ CTN]],NOTA[[#This Row],[QTY]]*NOTA[[#This Row],[HARGA SATUAN]]/IF(ISNUMBER(NOTA[[#This Row],[C]]),NOTA[[#This Row],[C]],1)))</f>
        <v>920000</v>
      </c>
      <c r="AF711" s="200">
        <f>IF(OR(NOTA[[#This Row],[QTY]]="",NOTA[[#This Row],[HARGA SATUAN]]="",),"",NOTA[[#This Row],[QTY]]*NOTA[[#This Row],[HARGA SATUAN]])</f>
        <v>2760000</v>
      </c>
      <c r="AG711" s="192">
        <f ca="1">IF(NOTA[ID_H]="","",INDEX(NOTA[TANGGAL],MATCH(,INDIRECT(ADDRESS(ROW(NOTA[TANGGAL]),COLUMN(NOTA[TANGGAL]))&amp;":"&amp;ADDRESS(ROW(),COLUMN(NOTA[TANGGAL]))),-1)))</f>
        <v>45072</v>
      </c>
      <c r="AH711" s="187" t="str">
        <f ca="1">IF(NOTA[[#This Row],[NAMA BARANG]]="","",INDEX(NOTA[SUPPLIER],MATCH(,INDIRECT(ADDRESS(ROW(NOTA[ID]),COLUMN(NOTA[ID]))&amp;":"&amp;ADDRESS(ROW(),COLUMN(NOTA[ID]))),-1)))</f>
        <v>ETJ</v>
      </c>
      <c r="AI711" s="187" t="str">
        <f ca="1">IF(NOTA[[#This Row],[ID_H]]="","",IF(NOTA[[#This Row],[FAKTUR]]="",INDIRECT(ADDRESS(ROW()-1,COLUMN())),NOTA[[#This Row],[FAKTUR]]))</f>
        <v>UNTANA</v>
      </c>
      <c r="AJ711" s="188" t="str">
        <f ca="1">IF(NOTA[[#This Row],[ID]]="","",COUNTIF(NOTA[ID_H],NOTA[[#This Row],[ID_H]]))</f>
        <v/>
      </c>
      <c r="AK711" s="188">
        <f ca="1">IF(NOTA[[#This Row],[TGL.NOTA]]="",IF(NOTA[[#This Row],[SUPPLIER_H]]="","",AK710),MONTH(NOTA[[#This Row],[TGL.NOTA]]))</f>
        <v>5</v>
      </c>
      <c r="AL711" s="188" t="str">
        <f>LOWER(SUBSTITUTE(SUBSTITUTE(SUBSTITUTE(SUBSTITUTE(SUBSTITUTE(SUBSTITUTE(SUBSTITUTE(SUBSTITUTE(SUBSTITUTE(NOTA[NAMA BARANG]," ",),".",""),"-",""),"(",""),")",""),",",""),"/",""),"""",""),"+",""))</f>
        <v>entercboardantipecah</v>
      </c>
      <c r="AM7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entercboardantipecah920000</v>
      </c>
      <c r="AN7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entercboardantipecah920000</v>
      </c>
      <c r="AO7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188" t="str">
        <f>IF(NOTA[[#This Row],[CONCAT4]]="","",_xlfn.IFNA(MATCH(NOTA[[#This Row],[CONCAT4]],[2]!RAW[CONCAT_H],0),FALSE))</f>
        <v/>
      </c>
      <c r="AQ711" s="188" t="e">
        <f>IF(NOTA[[#This Row],[CONCAT1]]="","",MATCH(NOTA[[#This Row],[CONCAT1]],[3]!db[NB NOTA_C],0)+1)</f>
        <v>#N/A</v>
      </c>
    </row>
    <row r="712" spans="1:43" ht="20.100000000000001" customHeight="1" x14ac:dyDescent="0.25">
      <c r="A7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188" t="str">
        <f>IF(NOTA[[#This Row],[ID_P]]="","",MATCH(NOTA[[#This Row],[ID_P]],[1]!B_MSK[N_ID],0))</f>
        <v/>
      </c>
      <c r="D712" s="188">
        <f ca="1">IF(NOTA[[#This Row],[NAMA BARANG]]="","",INDEX(NOTA[ID],MATCH(,INDIRECT(ADDRESS(ROW(NOTA[ID]),COLUMN(NOTA[ID]))&amp;":"&amp;ADDRESS(ROW(),COLUMN(NOTA[ID]))),-1)))</f>
        <v>128</v>
      </c>
      <c r="E712" s="189"/>
      <c r="F712" s="190"/>
      <c r="G712" s="190"/>
      <c r="H712" s="191"/>
      <c r="I712" s="190"/>
      <c r="J712" s="192"/>
      <c r="K712" s="190"/>
      <c r="L712" s="190" t="s">
        <v>912</v>
      </c>
      <c r="M712" s="193">
        <v>4</v>
      </c>
      <c r="N712" s="188">
        <v>2400</v>
      </c>
      <c r="O712" s="190" t="s">
        <v>457</v>
      </c>
      <c r="P712" s="187">
        <v>2100</v>
      </c>
      <c r="Q712" s="194"/>
      <c r="R712" s="195" t="s">
        <v>913</v>
      </c>
      <c r="S712" s="196"/>
      <c r="T712" s="197"/>
      <c r="U712" s="198"/>
      <c r="V712" s="199"/>
      <c r="W712" s="198">
        <f>IF(NOTA[[#This Row],[HARGA/ CTN]]="",NOTA[[#This Row],[JUMLAH_H]],NOTA[[#This Row],[HARGA/ CTN]]*IF(NOTA[[#This Row],[C]]="",0,NOTA[[#This Row],[C]]))</f>
        <v>5040000</v>
      </c>
      <c r="X712" s="198">
        <f>IF(NOTA[[#This Row],[JUMLAH]]="","",NOTA[[#This Row],[JUMLAH]]*NOTA[[#This Row],[DISC 1]])</f>
        <v>0</v>
      </c>
      <c r="Y712" s="198">
        <f>IF(NOTA[[#This Row],[JUMLAH]]="","",(NOTA[[#This Row],[JUMLAH]]-NOTA[[#This Row],[DISC 1-]])*NOTA[[#This Row],[DISC 2]])</f>
        <v>0</v>
      </c>
      <c r="Z712" s="198">
        <f>IF(NOTA[[#This Row],[JUMLAH]]="","",NOTA[[#This Row],[DISC 1-]]+NOTA[[#This Row],[DISC 2-]])</f>
        <v>0</v>
      </c>
      <c r="AA712" s="198">
        <f>IF(NOTA[[#This Row],[JUMLAH]]="","",NOTA[[#This Row],[JUMLAH]]-NOTA[[#This Row],[DISC]])</f>
        <v>5040000</v>
      </c>
      <c r="AB712" s="198"/>
      <c r="AC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187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F712" s="200">
        <f>IF(OR(NOTA[[#This Row],[QTY]]="",NOTA[[#This Row],[HARGA SATUAN]]="",),"",NOTA[[#This Row],[QTY]]*NOTA[[#This Row],[HARGA SATUAN]])</f>
        <v>5040000</v>
      </c>
      <c r="AG712" s="192">
        <f ca="1">IF(NOTA[ID_H]="","",INDEX(NOTA[TANGGAL],MATCH(,INDIRECT(ADDRESS(ROW(NOTA[TANGGAL]),COLUMN(NOTA[TANGGAL]))&amp;":"&amp;ADDRESS(ROW(),COLUMN(NOTA[TANGGAL]))),-1)))</f>
        <v>45072</v>
      </c>
      <c r="AH712" s="187" t="str">
        <f ca="1">IF(NOTA[[#This Row],[NAMA BARANG]]="","",INDEX(NOTA[SUPPLIER],MATCH(,INDIRECT(ADDRESS(ROW(NOTA[ID]),COLUMN(NOTA[ID]))&amp;":"&amp;ADDRESS(ROW(),COLUMN(NOTA[ID]))),-1)))</f>
        <v>ETJ</v>
      </c>
      <c r="AI712" s="187" t="str">
        <f ca="1">IF(NOTA[[#This Row],[ID_H]]="","",IF(NOTA[[#This Row],[FAKTUR]]="",INDIRECT(ADDRESS(ROW()-1,COLUMN())),NOTA[[#This Row],[FAKTUR]]))</f>
        <v>UNTANA</v>
      </c>
      <c r="AJ712" s="188" t="str">
        <f ca="1">IF(NOTA[[#This Row],[ID]]="","",COUNTIF(NOTA[ID_H],NOTA[[#This Row],[ID_H]]))</f>
        <v/>
      </c>
      <c r="AK712" s="188">
        <f ca="1">IF(NOTA[[#This Row],[TGL.NOTA]]="",IF(NOTA[[#This Row],[SUPPLIER_H]]="","",AK711),MONTH(NOTA[[#This Row],[TGL.NOTA]]))</f>
        <v>5</v>
      </c>
      <c r="AL712" s="188" t="str">
        <f>LOWER(SUBSTITUTE(SUBSTITUTE(SUBSTITUTE(SUBSTITUTE(SUBSTITUTE(SUBSTITUTE(SUBSTITUTE(SUBSTITUTE(SUBSTITUTE(NOTA[NAMA BARANG]," ",),".",""),"-",""),"(",""),")",""),",",""),"/",""),"""",""),"+",""))</f>
        <v>labelkojiko103p</v>
      </c>
      <c r="AM7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labelkojiko103p1260000</v>
      </c>
      <c r="AN7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labelkojiko103p1260000</v>
      </c>
      <c r="AO7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188" t="str">
        <f>IF(NOTA[[#This Row],[CONCAT4]]="","",_xlfn.IFNA(MATCH(NOTA[[#This Row],[CONCAT4]],[2]!RAW[CONCAT_H],0),FALSE))</f>
        <v/>
      </c>
      <c r="AQ712" s="188" t="e">
        <f>IF(NOTA[[#This Row],[CONCAT1]]="","",MATCH(NOTA[[#This Row],[CONCAT1]],[3]!db[NB NOTA_C],0)+1)</f>
        <v>#N/A</v>
      </c>
    </row>
    <row r="713" spans="1:43" ht="20.100000000000001" customHeight="1" x14ac:dyDescent="0.25">
      <c r="A7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188" t="str">
        <f>IF(NOTA[[#This Row],[ID_P]]="","",MATCH(NOTA[[#This Row],[ID_P]],[1]!B_MSK[N_ID],0))</f>
        <v/>
      </c>
      <c r="D713" s="188">
        <f ca="1">IF(NOTA[[#This Row],[NAMA BARANG]]="","",INDEX(NOTA[ID],MATCH(,INDIRECT(ADDRESS(ROW(NOTA[ID]),COLUMN(NOTA[ID]))&amp;":"&amp;ADDRESS(ROW(),COLUMN(NOTA[ID]))),-1)))</f>
        <v>128</v>
      </c>
      <c r="E713" s="189"/>
      <c r="F713" s="190"/>
      <c r="G713" s="190"/>
      <c r="H713" s="191"/>
      <c r="I713" s="190"/>
      <c r="J713" s="192"/>
      <c r="K713" s="190"/>
      <c r="L713" s="190" t="s">
        <v>914</v>
      </c>
      <c r="M713" s="193">
        <v>1</v>
      </c>
      <c r="N713" s="188">
        <v>800</v>
      </c>
      <c r="O713" s="190" t="s">
        <v>457</v>
      </c>
      <c r="P713" s="187">
        <v>2100</v>
      </c>
      <c r="Q713" s="194"/>
      <c r="R713" s="195" t="s">
        <v>913</v>
      </c>
      <c r="S713" s="196"/>
      <c r="T713" s="197"/>
      <c r="U713" s="198"/>
      <c r="V713" s="199"/>
      <c r="W713" s="198">
        <f>IF(NOTA[[#This Row],[HARGA/ CTN]]="",NOTA[[#This Row],[JUMLAH_H]],NOTA[[#This Row],[HARGA/ CTN]]*IF(NOTA[[#This Row],[C]]="",0,NOTA[[#This Row],[C]]))</f>
        <v>1680000</v>
      </c>
      <c r="X713" s="198">
        <f>IF(NOTA[[#This Row],[JUMLAH]]="","",NOTA[[#This Row],[JUMLAH]]*NOTA[[#This Row],[DISC 1]])</f>
        <v>0</v>
      </c>
      <c r="Y713" s="198">
        <f>IF(NOTA[[#This Row],[JUMLAH]]="","",(NOTA[[#This Row],[JUMLAH]]-NOTA[[#This Row],[DISC 1-]])*NOTA[[#This Row],[DISC 2]])</f>
        <v>0</v>
      </c>
      <c r="Z713" s="198">
        <f>IF(NOTA[[#This Row],[JUMLAH]]="","",NOTA[[#This Row],[DISC 1-]]+NOTA[[#This Row],[DISC 2-]])</f>
        <v>0</v>
      </c>
      <c r="AA713" s="198">
        <f>IF(NOTA[[#This Row],[JUMLAH]]="","",NOTA[[#This Row],[JUMLAH]]-NOTA[[#This Row],[DISC]])</f>
        <v>1680000</v>
      </c>
      <c r="AB713" s="198"/>
      <c r="AC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187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713" s="200">
        <f>IF(OR(NOTA[[#This Row],[QTY]]="",NOTA[[#This Row],[HARGA SATUAN]]="",),"",NOTA[[#This Row],[QTY]]*NOTA[[#This Row],[HARGA SATUAN]])</f>
        <v>1680000</v>
      </c>
      <c r="AG713" s="192">
        <f ca="1">IF(NOTA[ID_H]="","",INDEX(NOTA[TANGGAL],MATCH(,INDIRECT(ADDRESS(ROW(NOTA[TANGGAL]),COLUMN(NOTA[TANGGAL]))&amp;":"&amp;ADDRESS(ROW(),COLUMN(NOTA[TANGGAL]))),-1)))</f>
        <v>45072</v>
      </c>
      <c r="AH713" s="187" t="str">
        <f ca="1">IF(NOTA[[#This Row],[NAMA BARANG]]="","",INDEX(NOTA[SUPPLIER],MATCH(,INDIRECT(ADDRESS(ROW(NOTA[ID]),COLUMN(NOTA[ID]))&amp;":"&amp;ADDRESS(ROW(),COLUMN(NOTA[ID]))),-1)))</f>
        <v>ETJ</v>
      </c>
      <c r="AI713" s="187" t="str">
        <f ca="1">IF(NOTA[[#This Row],[ID_H]]="","",IF(NOTA[[#This Row],[FAKTUR]]="",INDIRECT(ADDRESS(ROW()-1,COLUMN())),NOTA[[#This Row],[FAKTUR]]))</f>
        <v>UNTANA</v>
      </c>
      <c r="AJ713" s="188" t="str">
        <f ca="1">IF(NOTA[[#This Row],[ID]]="","",COUNTIF(NOTA[ID_H],NOTA[[#This Row],[ID_H]]))</f>
        <v/>
      </c>
      <c r="AK713" s="188">
        <f ca="1">IF(NOTA[[#This Row],[TGL.NOTA]]="",IF(NOTA[[#This Row],[SUPPLIER_H]]="","",AK712),MONTH(NOTA[[#This Row],[TGL.NOTA]]))</f>
        <v>5</v>
      </c>
      <c r="AL713" s="188" t="str">
        <f>LOWER(SUBSTITUTE(SUBSTITUTE(SUBSTITUTE(SUBSTITUTE(SUBSTITUTE(SUBSTITUTE(SUBSTITUTE(SUBSTITUTE(SUBSTITUTE(NOTA[NAMA BARANG]," ",),".",""),"-",""),"(",""),")",""),",",""),"/",""),"""",""),"+",""))</f>
        <v>labelkojiko99</v>
      </c>
      <c r="AM7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labelkojiko991680000</v>
      </c>
      <c r="AN7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labelkojiko991680000</v>
      </c>
      <c r="AO7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188" t="str">
        <f>IF(NOTA[[#This Row],[CONCAT4]]="","",_xlfn.IFNA(MATCH(NOTA[[#This Row],[CONCAT4]],[2]!RAW[CONCAT_H],0),FALSE))</f>
        <v/>
      </c>
      <c r="AQ713" s="188" t="e">
        <f>IF(NOTA[[#This Row],[CONCAT1]]="","",MATCH(NOTA[[#This Row],[CONCAT1]],[3]!db[NB NOTA_C],0)+1)</f>
        <v>#N/A</v>
      </c>
    </row>
    <row r="714" spans="1:43" ht="20.100000000000001" customHeight="1" x14ac:dyDescent="0.25">
      <c r="A7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188" t="str">
        <f>IF(NOTA[[#This Row],[ID_P]]="","",MATCH(NOTA[[#This Row],[ID_P]],[1]!B_MSK[N_ID],0))</f>
        <v/>
      </c>
      <c r="D714" s="188">
        <f ca="1">IF(NOTA[[#This Row],[NAMA BARANG]]="","",INDEX(NOTA[ID],MATCH(,INDIRECT(ADDRESS(ROW(NOTA[ID]),COLUMN(NOTA[ID]))&amp;":"&amp;ADDRESS(ROW(),COLUMN(NOTA[ID]))),-1)))</f>
        <v>128</v>
      </c>
      <c r="E714" s="189"/>
      <c r="F714" s="190"/>
      <c r="G714" s="190"/>
      <c r="H714" s="191"/>
      <c r="I714" s="190"/>
      <c r="J714" s="192"/>
      <c r="K714" s="190"/>
      <c r="L714" s="190" t="s">
        <v>915</v>
      </c>
      <c r="M714" s="193">
        <v>3</v>
      </c>
      <c r="N714" s="188">
        <v>144</v>
      </c>
      <c r="O714" s="190" t="s">
        <v>125</v>
      </c>
      <c r="P714" s="187">
        <v>18500</v>
      </c>
      <c r="Q714" s="194"/>
      <c r="R714" s="195" t="s">
        <v>916</v>
      </c>
      <c r="S714" s="196"/>
      <c r="T714" s="197"/>
      <c r="U714" s="198"/>
      <c r="V714" s="199"/>
      <c r="W714" s="198">
        <f>IF(NOTA[[#This Row],[HARGA/ CTN]]="",NOTA[[#This Row],[JUMLAH_H]],NOTA[[#This Row],[HARGA/ CTN]]*IF(NOTA[[#This Row],[C]]="",0,NOTA[[#This Row],[C]]))</f>
        <v>2664000</v>
      </c>
      <c r="X714" s="198">
        <f>IF(NOTA[[#This Row],[JUMLAH]]="","",NOTA[[#This Row],[JUMLAH]]*NOTA[[#This Row],[DISC 1]])</f>
        <v>0</v>
      </c>
      <c r="Y714" s="198">
        <f>IF(NOTA[[#This Row],[JUMLAH]]="","",(NOTA[[#This Row],[JUMLAH]]-NOTA[[#This Row],[DISC 1-]])*NOTA[[#This Row],[DISC 2]])</f>
        <v>0</v>
      </c>
      <c r="Z714" s="198">
        <f>IF(NOTA[[#This Row],[JUMLAH]]="","",NOTA[[#This Row],[DISC 1-]]+NOTA[[#This Row],[DISC 2-]])</f>
        <v>0</v>
      </c>
      <c r="AA714" s="198">
        <f>IF(NOTA[[#This Row],[JUMLAH]]="","",NOTA[[#This Row],[JUMLAH]]-NOTA[[#This Row],[DISC]])</f>
        <v>2664000</v>
      </c>
      <c r="AB714" s="198"/>
      <c r="AC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187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F714" s="200">
        <f>IF(OR(NOTA[[#This Row],[QTY]]="",NOTA[[#This Row],[HARGA SATUAN]]="",),"",NOTA[[#This Row],[QTY]]*NOTA[[#This Row],[HARGA SATUAN]])</f>
        <v>2664000</v>
      </c>
      <c r="AG714" s="192">
        <f ca="1">IF(NOTA[ID_H]="","",INDEX(NOTA[TANGGAL],MATCH(,INDIRECT(ADDRESS(ROW(NOTA[TANGGAL]),COLUMN(NOTA[TANGGAL]))&amp;":"&amp;ADDRESS(ROW(),COLUMN(NOTA[TANGGAL]))),-1)))</f>
        <v>45072</v>
      </c>
      <c r="AH714" s="187" t="str">
        <f ca="1">IF(NOTA[[#This Row],[NAMA BARANG]]="","",INDEX(NOTA[SUPPLIER],MATCH(,INDIRECT(ADDRESS(ROW(NOTA[ID]),COLUMN(NOTA[ID]))&amp;":"&amp;ADDRESS(ROW(),COLUMN(NOTA[ID]))),-1)))</f>
        <v>ETJ</v>
      </c>
      <c r="AI714" s="187" t="str">
        <f ca="1">IF(NOTA[[#This Row],[ID_H]]="","",IF(NOTA[[#This Row],[FAKTUR]]="",INDIRECT(ADDRESS(ROW()-1,COLUMN())),NOTA[[#This Row],[FAKTUR]]))</f>
        <v>UNTANA</v>
      </c>
      <c r="AJ714" s="188" t="str">
        <f ca="1">IF(NOTA[[#This Row],[ID]]="","",COUNTIF(NOTA[ID_H],NOTA[[#This Row],[ID_H]]))</f>
        <v/>
      </c>
      <c r="AK714" s="188">
        <f ca="1">IF(NOTA[[#This Row],[TGL.NOTA]]="",IF(NOTA[[#This Row],[SUPPLIER_H]]="","",AK713),MONTH(NOTA[[#This Row],[TGL.NOTA]]))</f>
        <v>5</v>
      </c>
      <c r="AL714" s="188" t="str">
        <f>LOWER(SUBSTITUTE(SUBSTITUTE(SUBSTITUTE(SUBSTITUTE(SUBSTITUTE(SUBSTITUTE(SUBSTITUTE(SUBSTITUTE(SUBSTITUTE(NOTA[NAMA BARANG]," ",),".",""),"-",""),"(",""),")",""),",",""),"/",""),"""",""),"+",""))</f>
        <v>enterbnotekuning</v>
      </c>
      <c r="AM7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enterbnotekuning888000</v>
      </c>
      <c r="AN7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enterbnotekuning888000</v>
      </c>
      <c r="AO7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188" t="str">
        <f>IF(NOTA[[#This Row],[CONCAT4]]="","",_xlfn.IFNA(MATCH(NOTA[[#This Row],[CONCAT4]],[2]!RAW[CONCAT_H],0),FALSE))</f>
        <v/>
      </c>
      <c r="AQ714" s="188" t="e">
        <f>IF(NOTA[[#This Row],[CONCAT1]]="","",MATCH(NOTA[[#This Row],[CONCAT1]],[3]!db[NB NOTA_C],0)+1)</f>
        <v>#N/A</v>
      </c>
    </row>
    <row r="715" spans="1:43" ht="20.100000000000001" customHeight="1" x14ac:dyDescent="0.25">
      <c r="A7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188" t="str">
        <f>IF(NOTA[[#This Row],[ID_P]]="","",MATCH(NOTA[[#This Row],[ID_P]],[1]!B_MSK[N_ID],0))</f>
        <v/>
      </c>
      <c r="D715" s="188">
        <f ca="1">IF(NOTA[[#This Row],[NAMA BARANG]]="","",INDEX(NOTA[ID],MATCH(,INDIRECT(ADDRESS(ROW(NOTA[ID]),COLUMN(NOTA[ID]))&amp;":"&amp;ADDRESS(ROW(),COLUMN(NOTA[ID]))),-1)))</f>
        <v>128</v>
      </c>
      <c r="E715" s="189"/>
      <c r="F715" s="190"/>
      <c r="G715" s="190"/>
      <c r="H715" s="191"/>
      <c r="I715" s="190"/>
      <c r="J715" s="192"/>
      <c r="K715" s="190"/>
      <c r="L715" s="190" t="s">
        <v>917</v>
      </c>
      <c r="M715" s="193">
        <v>3</v>
      </c>
      <c r="N715" s="188">
        <v>1800</v>
      </c>
      <c r="O715" s="190" t="s">
        <v>160</v>
      </c>
      <c r="P715" s="187">
        <v>1900</v>
      </c>
      <c r="Q715" s="194"/>
      <c r="R715" s="195" t="s">
        <v>482</v>
      </c>
      <c r="S715" s="196"/>
      <c r="T715" s="197"/>
      <c r="U715" s="198"/>
      <c r="V715" s="199"/>
      <c r="W715" s="198">
        <f>IF(NOTA[[#This Row],[HARGA/ CTN]]="",NOTA[[#This Row],[JUMLAH_H]],NOTA[[#This Row],[HARGA/ CTN]]*IF(NOTA[[#This Row],[C]]="",0,NOTA[[#This Row],[C]]))</f>
        <v>3420000</v>
      </c>
      <c r="X715" s="198">
        <f>IF(NOTA[[#This Row],[JUMLAH]]="","",NOTA[[#This Row],[JUMLAH]]*NOTA[[#This Row],[DISC 1]])</f>
        <v>0</v>
      </c>
      <c r="Y715" s="198">
        <f>IF(NOTA[[#This Row],[JUMLAH]]="","",(NOTA[[#This Row],[JUMLAH]]-NOTA[[#This Row],[DISC 1-]])*NOTA[[#This Row],[DISC 2]])</f>
        <v>0</v>
      </c>
      <c r="Z715" s="198">
        <f>IF(NOTA[[#This Row],[JUMLAH]]="","",NOTA[[#This Row],[DISC 1-]]+NOTA[[#This Row],[DISC 2-]])</f>
        <v>0</v>
      </c>
      <c r="AA715" s="198">
        <f>IF(NOTA[[#This Row],[JUMLAH]]="","",NOTA[[#This Row],[JUMLAH]]-NOTA[[#This Row],[DISC]])</f>
        <v>3420000</v>
      </c>
      <c r="AB715" s="198"/>
      <c r="AC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1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28104000</v>
      </c>
      <c r="AE715" s="187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715" s="200">
        <f>IF(OR(NOTA[[#This Row],[QTY]]="",NOTA[[#This Row],[HARGA SATUAN]]="",),"",NOTA[[#This Row],[QTY]]*NOTA[[#This Row],[HARGA SATUAN]])</f>
        <v>3420000</v>
      </c>
      <c r="AG715" s="192">
        <f ca="1">IF(NOTA[ID_H]="","",INDEX(NOTA[TANGGAL],MATCH(,INDIRECT(ADDRESS(ROW(NOTA[TANGGAL]),COLUMN(NOTA[TANGGAL]))&amp;":"&amp;ADDRESS(ROW(),COLUMN(NOTA[TANGGAL]))),-1)))</f>
        <v>45072</v>
      </c>
      <c r="AH715" s="187" t="str">
        <f ca="1">IF(NOTA[[#This Row],[NAMA BARANG]]="","",INDEX(NOTA[SUPPLIER],MATCH(,INDIRECT(ADDRESS(ROW(NOTA[ID]),COLUMN(NOTA[ID]))&amp;":"&amp;ADDRESS(ROW(),COLUMN(NOTA[ID]))),-1)))</f>
        <v>ETJ</v>
      </c>
      <c r="AI715" s="187" t="str">
        <f ca="1">IF(NOTA[[#This Row],[ID_H]]="","",IF(NOTA[[#This Row],[FAKTUR]]="",INDIRECT(ADDRESS(ROW()-1,COLUMN())),NOTA[[#This Row],[FAKTUR]]))</f>
        <v>UNTANA</v>
      </c>
      <c r="AJ715" s="188" t="str">
        <f ca="1">IF(NOTA[[#This Row],[ID]]="","",COUNTIF(NOTA[ID_H],NOTA[[#This Row],[ID_H]]))</f>
        <v/>
      </c>
      <c r="AK715" s="188">
        <f ca="1">IF(NOTA[[#This Row],[TGL.NOTA]]="",IF(NOTA[[#This Row],[SUPPLIER_H]]="","",AK714),MONTH(NOTA[[#This Row],[TGL.NOTA]]))</f>
        <v>5</v>
      </c>
      <c r="AL715" s="188" t="str">
        <f>LOWER(SUBSTITUTE(SUBSTITUTE(SUBSTITUTE(SUBSTITUTE(SUBSTITUTE(SUBSTITUTE(SUBSTITUTE(SUBSTITUTE(SUBSTITUTE(NOTA[NAMA BARANG]," ",),".",""),"-",""),"(",""),")",""),",",""),"/",""),"""",""),"+",""))</f>
        <v>enterbkmewarnaijumbo</v>
      </c>
      <c r="AM7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enterbkmewarnaijumbo1140000</v>
      </c>
      <c r="AN7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enterbkmewarnaijumbo1140000</v>
      </c>
      <c r="AO7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188" t="str">
        <f>IF(NOTA[[#This Row],[CONCAT4]]="","",_xlfn.IFNA(MATCH(NOTA[[#This Row],[CONCAT4]],[2]!RAW[CONCAT_H],0),FALSE))</f>
        <v/>
      </c>
      <c r="AQ715" s="188" t="e">
        <f>IF(NOTA[[#This Row],[CONCAT1]]="","",MATCH(NOTA[[#This Row],[CONCAT1]],[3]!db[NB NOTA_C],0)+1)</f>
        <v>#N/A</v>
      </c>
    </row>
    <row r="716" spans="1:43" ht="20.100000000000001" customHeight="1" x14ac:dyDescent="0.25">
      <c r="A7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188" t="str">
        <f>IF(NOTA[[#This Row],[ID_P]]="","",MATCH(NOTA[[#This Row],[ID_P]],[1]!B_MSK[N_ID],0))</f>
        <v/>
      </c>
      <c r="D716" s="188" t="str">
        <f ca="1">IF(NOTA[[#This Row],[NAMA BARANG]]="","",INDEX(NOTA[ID],MATCH(,INDIRECT(ADDRESS(ROW(NOTA[ID]),COLUMN(NOTA[ID]))&amp;":"&amp;ADDRESS(ROW(),COLUMN(NOTA[ID]))),-1)))</f>
        <v/>
      </c>
      <c r="E716" s="189"/>
      <c r="F716" s="190"/>
      <c r="G716" s="190"/>
      <c r="H716" s="191"/>
      <c r="I716" s="190"/>
      <c r="J716" s="192"/>
      <c r="K716" s="190"/>
      <c r="L716" s="190"/>
      <c r="M716" s="193"/>
      <c r="N716" s="188"/>
      <c r="O716" s="190"/>
      <c r="P716" s="187"/>
      <c r="Q716" s="194"/>
      <c r="R716" s="195"/>
      <c r="S716" s="196"/>
      <c r="T716" s="197"/>
      <c r="U716" s="198"/>
      <c r="V716" s="199"/>
      <c r="W716" s="198" t="str">
        <f>IF(NOTA[[#This Row],[HARGA/ CTN]]="",NOTA[[#This Row],[JUMLAH_H]],NOTA[[#This Row],[HARGA/ CTN]]*IF(NOTA[[#This Row],[C]]="",0,NOTA[[#This Row],[C]]))</f>
        <v/>
      </c>
      <c r="X716" s="198" t="str">
        <f>IF(NOTA[[#This Row],[JUMLAH]]="","",NOTA[[#This Row],[JUMLAH]]*NOTA[[#This Row],[DISC 1]])</f>
        <v/>
      </c>
      <c r="Y716" s="198" t="str">
        <f>IF(NOTA[[#This Row],[JUMLAH]]="","",(NOTA[[#This Row],[JUMLAH]]-NOTA[[#This Row],[DISC 1-]])*NOTA[[#This Row],[DISC 2]])</f>
        <v/>
      </c>
      <c r="Z716" s="198" t="str">
        <f>IF(NOTA[[#This Row],[JUMLAH]]="","",NOTA[[#This Row],[DISC 1-]]+NOTA[[#This Row],[DISC 2-]])</f>
        <v/>
      </c>
      <c r="AA716" s="198" t="str">
        <f>IF(NOTA[[#This Row],[JUMLAH]]="","",NOTA[[#This Row],[JUMLAH]]-NOTA[[#This Row],[DISC]])</f>
        <v/>
      </c>
      <c r="AB716" s="198"/>
      <c r="AC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200" t="str">
        <f>IF(OR(NOTA[[#This Row],[QTY]]="",NOTA[[#This Row],[HARGA SATUAN]]="",),"",NOTA[[#This Row],[QTY]]*NOTA[[#This Row],[HARGA SATUAN]])</f>
        <v/>
      </c>
      <c r="AG716" s="192" t="str">
        <f ca="1">IF(NOTA[ID_H]="","",INDEX(NOTA[TANGGAL],MATCH(,INDIRECT(ADDRESS(ROW(NOTA[TANGGAL]),COLUMN(NOTA[TANGGAL]))&amp;":"&amp;ADDRESS(ROW(),COLUMN(NOTA[TANGGAL]))),-1)))</f>
        <v/>
      </c>
      <c r="AH716" s="187" t="str">
        <f ca="1">IF(NOTA[[#This Row],[NAMA BARANG]]="","",INDEX(NOTA[SUPPLIER],MATCH(,INDIRECT(ADDRESS(ROW(NOTA[ID]),COLUMN(NOTA[ID]))&amp;":"&amp;ADDRESS(ROW(),COLUMN(NOTA[ID]))),-1)))</f>
        <v/>
      </c>
      <c r="AI716" s="187" t="str">
        <f ca="1">IF(NOTA[[#This Row],[ID_H]]="","",IF(NOTA[[#This Row],[FAKTUR]]="",INDIRECT(ADDRESS(ROW()-1,COLUMN())),NOTA[[#This Row],[FAKTUR]]))</f>
        <v/>
      </c>
      <c r="AJ716" s="188" t="str">
        <f ca="1">IF(NOTA[[#This Row],[ID]]="","",COUNTIF(NOTA[ID_H],NOTA[[#This Row],[ID_H]]))</f>
        <v/>
      </c>
      <c r="AK716" s="188" t="str">
        <f ca="1">IF(NOTA[[#This Row],[TGL.NOTA]]="",IF(NOTA[[#This Row],[SUPPLIER_H]]="","",AK715),MONTH(NOTA[[#This Row],[TGL.NOTA]]))</f>
        <v/>
      </c>
      <c r="AL716" s="188" t="str">
        <f>LOWER(SUBSTITUTE(SUBSTITUTE(SUBSTITUTE(SUBSTITUTE(SUBSTITUTE(SUBSTITUTE(SUBSTITUTE(SUBSTITUTE(SUBSTITUTE(NOTA[NAMA BARANG]," ",),".",""),"-",""),"(",""),")",""),",",""),"/",""),"""",""),"+",""))</f>
        <v/>
      </c>
      <c r="AM7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188" t="str">
        <f>IF(NOTA[[#This Row],[CONCAT4]]="","",_xlfn.IFNA(MATCH(NOTA[[#This Row],[CONCAT4]],[2]!RAW[CONCAT_H],0),FALSE))</f>
        <v/>
      </c>
      <c r="AQ716" s="188" t="str">
        <f>IF(NOTA[[#This Row],[CONCAT1]]="","",MATCH(NOTA[[#This Row],[CONCAT1]],[3]!db[NB NOTA_C],0)+1)</f>
        <v/>
      </c>
    </row>
    <row r="717" spans="1:43" ht="20.100000000000001" customHeight="1" x14ac:dyDescent="0.25">
      <c r="A717" s="187">
        <f ca="1">IF(INDIRECT(ADDRESS(ROW()-1,COLUMN(NOTA[[#Headers],[ID]])))="ID",1,IF(NOTA[[#This Row],[FAKTUR]]="","",COUNT(INDIRECT(ADDRESS(ROW(NOTA[ID]),COLUMN(NOTA[ID]))&amp;":"&amp;ADDRESS(ROW()-1,COLUMN(NOTA[ID]))))+1))</f>
        <v>129</v>
      </c>
      <c r="B71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KEN_2605_274-3</v>
      </c>
      <c r="C717" s="188" t="e">
        <f ca="1">IF(NOTA[[#This Row],[ID_P]]="","",MATCH(NOTA[[#This Row],[ID_P]],[1]!B_MSK[N_ID],0))</f>
        <v>#REF!</v>
      </c>
      <c r="D717" s="188">
        <f ca="1">IF(NOTA[[#This Row],[NAMA BARANG]]="","",INDEX(NOTA[ID],MATCH(,INDIRECT(ADDRESS(ROW(NOTA[ID]),COLUMN(NOTA[ID]))&amp;":"&amp;ADDRESS(ROW(),COLUMN(NOTA[ID]))),-1)))</f>
        <v>129</v>
      </c>
      <c r="E717" s="189">
        <v>45072</v>
      </c>
      <c r="F717" s="190" t="s">
        <v>23</v>
      </c>
      <c r="G717" s="190" t="s">
        <v>24</v>
      </c>
      <c r="H717" s="191" t="s">
        <v>918</v>
      </c>
      <c r="I717" s="190" t="s">
        <v>921</v>
      </c>
      <c r="J717" s="192">
        <v>45070</v>
      </c>
      <c r="K717" s="190"/>
      <c r="L717" s="190" t="s">
        <v>951</v>
      </c>
      <c r="M717" s="193">
        <v>2</v>
      </c>
      <c r="N717" s="188"/>
      <c r="O717" s="190"/>
      <c r="P717" s="187"/>
      <c r="Q717" s="194">
        <v>1150000</v>
      </c>
      <c r="R717" s="195"/>
      <c r="S717" s="196">
        <v>0.17</v>
      </c>
      <c r="T717" s="197"/>
      <c r="U717" s="198"/>
      <c r="V717" s="199"/>
      <c r="W717" s="198">
        <f>IF(NOTA[[#This Row],[HARGA/ CTN]]="",NOTA[[#This Row],[JUMLAH_H]],NOTA[[#This Row],[HARGA/ CTN]]*IF(NOTA[[#This Row],[C]]="",0,NOTA[[#This Row],[C]]))</f>
        <v>2300000</v>
      </c>
      <c r="X717" s="198">
        <f>IF(NOTA[[#This Row],[JUMLAH]]="","",NOTA[[#This Row],[JUMLAH]]*NOTA[[#This Row],[DISC 1]])</f>
        <v>391000</v>
      </c>
      <c r="Y717" s="198">
        <f>IF(NOTA[[#This Row],[JUMLAH]]="","",(NOTA[[#This Row],[JUMLAH]]-NOTA[[#This Row],[DISC 1-]])*NOTA[[#This Row],[DISC 2]])</f>
        <v>0</v>
      </c>
      <c r="Z717" s="198">
        <f>IF(NOTA[[#This Row],[JUMLAH]]="","",NOTA[[#This Row],[DISC 1-]]+NOTA[[#This Row],[DISC 2-]])</f>
        <v>391000</v>
      </c>
      <c r="AA717" s="198">
        <f>IF(NOTA[[#This Row],[JUMLAH]]="","",NOTA[[#This Row],[JUMLAH]]-NOTA[[#This Row],[DISC]])</f>
        <v>1909000</v>
      </c>
      <c r="AB717" s="198"/>
      <c r="AC7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17" s="200" t="str">
        <f>IF(OR(NOTA[[#This Row],[QTY]]="",NOTA[[#This Row],[HARGA SATUAN]]="",),"",NOTA[[#This Row],[QTY]]*NOTA[[#This Row],[HARGA SATUAN]])</f>
        <v/>
      </c>
      <c r="AG717" s="192">
        <f ca="1">IF(NOTA[ID_H]="","",INDEX(NOTA[TANGGAL],MATCH(,INDIRECT(ADDRESS(ROW(NOTA[TANGGAL]),COLUMN(NOTA[TANGGAL]))&amp;":"&amp;ADDRESS(ROW(),COLUMN(NOTA[TANGGAL]))),-1)))</f>
        <v>45072</v>
      </c>
      <c r="AH717" s="187" t="str">
        <f ca="1">IF(NOTA[[#This Row],[NAMA BARANG]]="","",INDEX(NOTA[SUPPLIER],MATCH(,INDIRECT(ADDRESS(ROW(NOTA[ID]),COLUMN(NOTA[ID]))&amp;":"&amp;ADDRESS(ROW(),COLUMN(NOTA[ID]))),-1)))</f>
        <v>KENKO SINAR INDONESIA</v>
      </c>
      <c r="AI717" s="187" t="str">
        <f ca="1">IF(NOTA[[#This Row],[ID_H]]="","",IF(NOTA[[#This Row],[FAKTUR]]="",INDIRECT(ADDRESS(ROW()-1,COLUMN())),NOTA[[#This Row],[FAKTUR]]))</f>
        <v>ARTO MORO</v>
      </c>
      <c r="AJ717" s="188">
        <f ca="1">IF(NOTA[[#This Row],[ID]]="","",COUNTIF(NOTA[ID_H],NOTA[[#This Row],[ID_H]]))</f>
        <v>3</v>
      </c>
      <c r="AK717" s="188">
        <f>IF(NOTA[[#This Row],[TGL.NOTA]]="",IF(NOTA[[#This Row],[SUPPLIER_H]]="","",AK716),MONTH(NOTA[[#This Row],[TGL.NOTA]]))</f>
        <v>5</v>
      </c>
      <c r="AL717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17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MORO23052274SA 4178145070kenkolaminatingfilmlf1002234fc@100pcs</v>
      </c>
      <c r="AP717" s="188" t="e">
        <f>IF(NOTA[[#This Row],[CONCAT4]]="","",_xlfn.IFNA(MATCH(NOTA[[#This Row],[CONCAT4]],[2]!RAW[CONCAT_H],0),FALSE))</f>
        <v>#REF!</v>
      </c>
      <c r="AQ717" s="188">
        <f>IF(NOTA[[#This Row],[CONCAT1]]="","",MATCH(NOTA[[#This Row],[CONCAT1]],[3]!db[NB NOTA_C],0)+1)</f>
        <v>1321</v>
      </c>
    </row>
    <row r="718" spans="1:43" ht="20.100000000000001" customHeight="1" x14ac:dyDescent="0.25">
      <c r="A7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188" t="str">
        <f>IF(NOTA[[#This Row],[ID_P]]="","",MATCH(NOTA[[#This Row],[ID_P]],[1]!B_MSK[N_ID],0))</f>
        <v/>
      </c>
      <c r="D718" s="188">
        <f ca="1">IF(NOTA[[#This Row],[NAMA BARANG]]="","",INDEX(NOTA[ID],MATCH(,INDIRECT(ADDRESS(ROW(NOTA[ID]),COLUMN(NOTA[ID]))&amp;":"&amp;ADDRESS(ROW(),COLUMN(NOTA[ID]))),-1)))</f>
        <v>129</v>
      </c>
      <c r="E718" s="189"/>
      <c r="F718" s="190"/>
      <c r="G718" s="190"/>
      <c r="H718" s="191"/>
      <c r="I718" s="190"/>
      <c r="J718" s="192"/>
      <c r="K718" s="190"/>
      <c r="L718" s="190" t="s">
        <v>919</v>
      </c>
      <c r="M718" s="193">
        <v>1</v>
      </c>
      <c r="N718" s="188"/>
      <c r="O718" s="190"/>
      <c r="P718" s="187"/>
      <c r="Q718" s="194">
        <v>5616000</v>
      </c>
      <c r="R718" s="195"/>
      <c r="S718" s="196">
        <v>0.17</v>
      </c>
      <c r="T718" s="197"/>
      <c r="U718" s="198"/>
      <c r="V718" s="199"/>
      <c r="W718" s="198">
        <f>IF(NOTA[[#This Row],[HARGA/ CTN]]="",NOTA[[#This Row],[JUMLAH_H]],NOTA[[#This Row],[HARGA/ CTN]]*IF(NOTA[[#This Row],[C]]="",0,NOTA[[#This Row],[C]]))</f>
        <v>5616000</v>
      </c>
      <c r="X718" s="198">
        <f>IF(NOTA[[#This Row],[JUMLAH]]="","",NOTA[[#This Row],[JUMLAH]]*NOTA[[#This Row],[DISC 1]])</f>
        <v>954720.00000000012</v>
      </c>
      <c r="Y718" s="198">
        <f>IF(NOTA[[#This Row],[JUMLAH]]="","",(NOTA[[#This Row],[JUMLAH]]-NOTA[[#This Row],[DISC 1-]])*NOTA[[#This Row],[DISC 2]])</f>
        <v>0</v>
      </c>
      <c r="Z718" s="198">
        <f>IF(NOTA[[#This Row],[JUMLAH]]="","",NOTA[[#This Row],[DISC 1-]]+NOTA[[#This Row],[DISC 2-]])</f>
        <v>954720.00000000012</v>
      </c>
      <c r="AA718" s="198">
        <f>IF(NOTA[[#This Row],[JUMLAH]]="","",NOTA[[#This Row],[JUMLAH]]-NOTA[[#This Row],[DISC]])</f>
        <v>4661280</v>
      </c>
      <c r="AB718" s="198"/>
      <c r="AC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18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718" s="200" t="str">
        <f>IF(OR(NOTA[[#This Row],[QTY]]="",NOTA[[#This Row],[HARGA SATUAN]]="",),"",NOTA[[#This Row],[QTY]]*NOTA[[#This Row],[HARGA SATUAN]])</f>
        <v/>
      </c>
      <c r="AG718" s="192">
        <f ca="1">IF(NOTA[ID_H]="","",INDEX(NOTA[TANGGAL],MATCH(,INDIRECT(ADDRESS(ROW(NOTA[TANGGAL]),COLUMN(NOTA[TANGGAL]))&amp;":"&amp;ADDRESS(ROW(),COLUMN(NOTA[TANGGAL]))),-1)))</f>
        <v>45072</v>
      </c>
      <c r="AH718" s="187" t="str">
        <f ca="1">IF(NOTA[[#This Row],[NAMA BARANG]]="","",INDEX(NOTA[SUPPLIER],MATCH(,INDIRECT(ADDRESS(ROW(NOTA[ID]),COLUMN(NOTA[ID]))&amp;":"&amp;ADDRESS(ROW(),COLUMN(NOTA[ID]))),-1)))</f>
        <v>KENKO SINAR INDONESIA</v>
      </c>
      <c r="AI718" s="187" t="str">
        <f ca="1">IF(NOTA[[#This Row],[ID_H]]="","",IF(NOTA[[#This Row],[FAKTUR]]="",INDIRECT(ADDRESS(ROW()-1,COLUMN())),NOTA[[#This Row],[FAKTUR]]))</f>
        <v>ARTO MORO</v>
      </c>
      <c r="AJ718" s="188" t="str">
        <f ca="1">IF(NOTA[[#This Row],[ID]]="","",COUNTIF(NOTA[ID_H],NOTA[[#This Row],[ID_H]]))</f>
        <v/>
      </c>
      <c r="AK718" s="188">
        <f ca="1">IF(NOTA[[#This Row],[TGL.NOTA]]="",IF(NOTA[[#This Row],[SUPPLIER_H]]="","",AK717),MONTH(NOTA[[#This Row],[TGL.NOTA]]))</f>
        <v>5</v>
      </c>
      <c r="AL718" s="188" t="str">
        <f>LOWER(SUBSTITUTE(SUBSTITUTE(SUBSTITUTE(SUBSTITUTE(SUBSTITUTE(SUBSTITUTE(SUBSTITUTE(SUBSTITUTE(SUBSTITUTE(NOTA[NAMA BARANG]," ",),".",""),"-",""),"(",""),")",""),",",""),"/",""),"""",""),"+",""))</f>
        <v>kenkogelpenhitechh04mmblue</v>
      </c>
      <c r="AM7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kenkogelpenhitechh04mmblue56160000.17</v>
      </c>
      <c r="AN7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kenkogelpenhitechh04mmblue56160000.17</v>
      </c>
      <c r="AO7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188" t="str">
        <f>IF(NOTA[[#This Row],[CONCAT4]]="","",_xlfn.IFNA(MATCH(NOTA[[#This Row],[CONCAT4]],[2]!RAW[CONCAT_H],0),FALSE))</f>
        <v/>
      </c>
      <c r="AQ718" s="188">
        <f>IF(NOTA[[#This Row],[CONCAT1]]="","",MATCH(NOTA[[#This Row],[CONCAT1]],[3]!db[NB NOTA_C],0)+1)</f>
        <v>1261</v>
      </c>
    </row>
    <row r="719" spans="1:43" ht="20.100000000000001" customHeight="1" x14ac:dyDescent="0.25">
      <c r="A7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188" t="str">
        <f>IF(NOTA[[#This Row],[ID_P]]="","",MATCH(NOTA[[#This Row],[ID_P]],[1]!B_MSK[N_ID],0))</f>
        <v/>
      </c>
      <c r="D719" s="188">
        <f ca="1">IF(NOTA[[#This Row],[NAMA BARANG]]="","",INDEX(NOTA[ID],MATCH(,INDIRECT(ADDRESS(ROW(NOTA[ID]),COLUMN(NOTA[ID]))&amp;":"&amp;ADDRESS(ROW(),COLUMN(NOTA[ID]))),-1)))</f>
        <v>129</v>
      </c>
      <c r="E719" s="189"/>
      <c r="F719" s="190"/>
      <c r="G719" s="190"/>
      <c r="H719" s="191"/>
      <c r="I719" s="190" t="s">
        <v>920</v>
      </c>
      <c r="J719" s="192"/>
      <c r="K719" s="190"/>
      <c r="L719" s="190" t="s">
        <v>951</v>
      </c>
      <c r="M719" s="193">
        <v>1</v>
      </c>
      <c r="N719" s="188"/>
      <c r="O719" s="190"/>
      <c r="P719" s="187"/>
      <c r="Q719" s="194">
        <v>1150000</v>
      </c>
      <c r="R719" s="195"/>
      <c r="S719" s="196">
        <v>0.17</v>
      </c>
      <c r="T719" s="197"/>
      <c r="U719" s="198"/>
      <c r="V719" s="199"/>
      <c r="W719" s="198">
        <f>IF(NOTA[[#This Row],[HARGA/ CTN]]="",NOTA[[#This Row],[JUMLAH_H]],NOTA[[#This Row],[HARGA/ CTN]]*IF(NOTA[[#This Row],[C]]="",0,NOTA[[#This Row],[C]]))</f>
        <v>1150000</v>
      </c>
      <c r="X719" s="198">
        <f>IF(NOTA[[#This Row],[JUMLAH]]="","",NOTA[[#This Row],[JUMLAH]]*NOTA[[#This Row],[DISC 1]])</f>
        <v>195500</v>
      </c>
      <c r="Y719" s="198">
        <f>IF(NOTA[[#This Row],[JUMLAH]]="","",(NOTA[[#This Row],[JUMLAH]]-NOTA[[#This Row],[DISC 1-]])*NOTA[[#This Row],[DISC 2]])</f>
        <v>0</v>
      </c>
      <c r="Z719" s="198">
        <f>IF(NOTA[[#This Row],[JUMLAH]]="","",NOTA[[#This Row],[DISC 1-]]+NOTA[[#This Row],[DISC 2-]])</f>
        <v>195500</v>
      </c>
      <c r="AA719" s="198">
        <f>IF(NOTA[[#This Row],[JUMLAH]]="","",NOTA[[#This Row],[JUMLAH]]-NOTA[[#This Row],[DISC]])</f>
        <v>954500</v>
      </c>
      <c r="AB719" s="198"/>
      <c r="AC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1541220</v>
      </c>
      <c r="AD71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7524780</v>
      </c>
      <c r="AE719" s="187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F719" s="200" t="str">
        <f>IF(OR(NOTA[[#This Row],[QTY]]="",NOTA[[#This Row],[HARGA SATUAN]]="",),"",NOTA[[#This Row],[QTY]]*NOTA[[#This Row],[HARGA SATUAN]])</f>
        <v/>
      </c>
      <c r="AG719" s="192">
        <f ca="1">IF(NOTA[ID_H]="","",INDEX(NOTA[TANGGAL],MATCH(,INDIRECT(ADDRESS(ROW(NOTA[TANGGAL]),COLUMN(NOTA[TANGGAL]))&amp;":"&amp;ADDRESS(ROW(),COLUMN(NOTA[TANGGAL]))),-1)))</f>
        <v>45072</v>
      </c>
      <c r="AH719" s="187" t="str">
        <f ca="1">IF(NOTA[[#This Row],[NAMA BARANG]]="","",INDEX(NOTA[SUPPLIER],MATCH(,INDIRECT(ADDRESS(ROW(NOTA[ID]),COLUMN(NOTA[ID]))&amp;":"&amp;ADDRESS(ROW(),COLUMN(NOTA[ID]))),-1)))</f>
        <v>KENKO SINAR INDONESIA</v>
      </c>
      <c r="AI719" s="187" t="str">
        <f ca="1">IF(NOTA[[#This Row],[ID_H]]="","",IF(NOTA[[#This Row],[FAKTUR]]="",INDIRECT(ADDRESS(ROW()-1,COLUMN())),NOTA[[#This Row],[FAKTUR]]))</f>
        <v>ARTO MORO</v>
      </c>
      <c r="AJ719" s="188" t="str">
        <f ca="1">IF(NOTA[[#This Row],[ID]]="","",COUNTIF(NOTA[ID_H],NOTA[[#This Row],[ID_H]]))</f>
        <v/>
      </c>
      <c r="AK719" s="188">
        <f ca="1">IF(NOTA[[#This Row],[TGL.NOTA]]="",IF(NOTA[[#This Row],[SUPPLIER_H]]="","",AK718),MONTH(NOTA[[#This Row],[TGL.NOTA]]))</f>
        <v>5</v>
      </c>
      <c r="AL719" s="18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M7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N7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O7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188" t="str">
        <f>IF(NOTA[[#This Row],[CONCAT4]]="","",_xlfn.IFNA(MATCH(NOTA[[#This Row],[CONCAT4]],[2]!RAW[CONCAT_H],0),FALSE))</f>
        <v/>
      </c>
      <c r="AQ719" s="188">
        <f>IF(NOTA[[#This Row],[CONCAT1]]="","",MATCH(NOTA[[#This Row],[CONCAT1]],[3]!db[NB NOTA_C],0)+1)</f>
        <v>1321</v>
      </c>
    </row>
    <row r="720" spans="1:43" ht="20.100000000000001" customHeight="1" x14ac:dyDescent="0.25">
      <c r="A7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188" t="str">
        <f>IF(NOTA[[#This Row],[ID_P]]="","",MATCH(NOTA[[#This Row],[ID_P]],[1]!B_MSK[N_ID],0))</f>
        <v/>
      </c>
      <c r="D720" s="188" t="str">
        <f ca="1">IF(NOTA[[#This Row],[NAMA BARANG]]="","",INDEX(NOTA[ID],MATCH(,INDIRECT(ADDRESS(ROW(NOTA[ID]),COLUMN(NOTA[ID]))&amp;":"&amp;ADDRESS(ROW(),COLUMN(NOTA[ID]))),-1)))</f>
        <v/>
      </c>
      <c r="E720" s="189"/>
      <c r="F720" s="190"/>
      <c r="G720" s="190"/>
      <c r="H720" s="191"/>
      <c r="I720" s="190"/>
      <c r="J720" s="192"/>
      <c r="K720" s="190"/>
      <c r="L720" s="190"/>
      <c r="M720" s="193"/>
      <c r="N720" s="188"/>
      <c r="O720" s="190"/>
      <c r="P720" s="187"/>
      <c r="Q720" s="194"/>
      <c r="R720" s="195"/>
      <c r="S720" s="196"/>
      <c r="T720" s="197"/>
      <c r="U720" s="198"/>
      <c r="V720" s="199"/>
      <c r="W720" s="198" t="str">
        <f>IF(NOTA[[#This Row],[HARGA/ CTN]]="",NOTA[[#This Row],[JUMLAH_H]],NOTA[[#This Row],[HARGA/ CTN]]*IF(NOTA[[#This Row],[C]]="",0,NOTA[[#This Row],[C]]))</f>
        <v/>
      </c>
      <c r="X720" s="198" t="str">
        <f>IF(NOTA[[#This Row],[JUMLAH]]="","",NOTA[[#This Row],[JUMLAH]]*NOTA[[#This Row],[DISC 1]])</f>
        <v/>
      </c>
      <c r="Y720" s="198" t="str">
        <f>IF(NOTA[[#This Row],[JUMLAH]]="","",(NOTA[[#This Row],[JUMLAH]]-NOTA[[#This Row],[DISC 1-]])*NOTA[[#This Row],[DISC 2]])</f>
        <v/>
      </c>
      <c r="Z720" s="198" t="str">
        <f>IF(NOTA[[#This Row],[JUMLAH]]="","",NOTA[[#This Row],[DISC 1-]]+NOTA[[#This Row],[DISC 2-]])</f>
        <v/>
      </c>
      <c r="AA720" s="198" t="str">
        <f>IF(NOTA[[#This Row],[JUMLAH]]="","",NOTA[[#This Row],[JUMLAH]]-NOTA[[#This Row],[DISC]])</f>
        <v/>
      </c>
      <c r="AB720" s="198"/>
      <c r="AC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200" t="str">
        <f>IF(OR(NOTA[[#This Row],[QTY]]="",NOTA[[#This Row],[HARGA SATUAN]]="",),"",NOTA[[#This Row],[QTY]]*NOTA[[#This Row],[HARGA SATUAN]])</f>
        <v/>
      </c>
      <c r="AG720" s="192" t="str">
        <f ca="1">IF(NOTA[ID_H]="","",INDEX(NOTA[TANGGAL],MATCH(,INDIRECT(ADDRESS(ROW(NOTA[TANGGAL]),COLUMN(NOTA[TANGGAL]))&amp;":"&amp;ADDRESS(ROW(),COLUMN(NOTA[TANGGAL]))),-1)))</f>
        <v/>
      </c>
      <c r="AH720" s="187" t="str">
        <f ca="1">IF(NOTA[[#This Row],[NAMA BARANG]]="","",INDEX(NOTA[SUPPLIER],MATCH(,INDIRECT(ADDRESS(ROW(NOTA[ID]),COLUMN(NOTA[ID]))&amp;":"&amp;ADDRESS(ROW(),COLUMN(NOTA[ID]))),-1)))</f>
        <v/>
      </c>
      <c r="AI720" s="187" t="str">
        <f ca="1">IF(NOTA[[#This Row],[ID_H]]="","",IF(NOTA[[#This Row],[FAKTUR]]="",INDIRECT(ADDRESS(ROW()-1,COLUMN())),NOTA[[#This Row],[FAKTUR]]))</f>
        <v/>
      </c>
      <c r="AJ720" s="188" t="str">
        <f ca="1">IF(NOTA[[#This Row],[ID]]="","",COUNTIF(NOTA[ID_H],NOTA[[#This Row],[ID_H]]))</f>
        <v/>
      </c>
      <c r="AK720" s="188" t="str">
        <f ca="1">IF(NOTA[[#This Row],[TGL.NOTA]]="",IF(NOTA[[#This Row],[SUPPLIER_H]]="","",AK719),MONTH(NOTA[[#This Row],[TGL.NOTA]]))</f>
        <v/>
      </c>
      <c r="AL720" s="188" t="str">
        <f>LOWER(SUBSTITUTE(SUBSTITUTE(SUBSTITUTE(SUBSTITUTE(SUBSTITUTE(SUBSTITUTE(SUBSTITUTE(SUBSTITUTE(SUBSTITUTE(NOTA[NAMA BARANG]," ",),".",""),"-",""),"(",""),")",""),",",""),"/",""),"""",""),"+",""))</f>
        <v/>
      </c>
      <c r="AM7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188" t="str">
        <f>IF(NOTA[[#This Row],[CONCAT4]]="","",_xlfn.IFNA(MATCH(NOTA[[#This Row],[CONCAT4]],[2]!RAW[CONCAT_H],0),FALSE))</f>
        <v/>
      </c>
      <c r="AQ720" s="188" t="str">
        <f>IF(NOTA[[#This Row],[CONCAT1]]="","",MATCH(NOTA[[#This Row],[CONCAT1]],[3]!db[NB NOTA_C],0)+1)</f>
        <v/>
      </c>
    </row>
    <row r="721" spans="1:43" ht="20.100000000000001" customHeight="1" x14ac:dyDescent="0.25">
      <c r="A721" s="187">
        <f ca="1">IF(INDIRECT(ADDRESS(ROW()-1,COLUMN(NOTA[[#Headers],[ID]])))="ID",1,IF(NOTA[[#This Row],[FAKTUR]]="","",COUNT(INDIRECT(ADDRESS(ROW(NOTA[ID]),COLUMN(NOTA[ID]))&amp;":"&amp;ADDRESS(ROW()-1,COLUMN(NOTA[ID]))))+1))</f>
        <v>130</v>
      </c>
      <c r="B72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KEN_2605_135-3</v>
      </c>
      <c r="C721" s="188" t="e">
        <f ca="1">IF(NOTA[[#This Row],[ID_P]]="","",MATCH(NOTA[[#This Row],[ID_P]],[1]!B_MSK[N_ID],0))</f>
        <v>#REF!</v>
      </c>
      <c r="D721" s="188">
        <f ca="1">IF(NOTA[[#This Row],[NAMA BARANG]]="","",INDEX(NOTA[ID],MATCH(,INDIRECT(ADDRESS(ROW(NOTA[ID]),COLUMN(NOTA[ID]))&amp;":"&amp;ADDRESS(ROW(),COLUMN(NOTA[ID]))),-1)))</f>
        <v>130</v>
      </c>
      <c r="E721" s="189"/>
      <c r="F721" s="190" t="s">
        <v>23</v>
      </c>
      <c r="G721" s="190" t="s">
        <v>24</v>
      </c>
      <c r="H721" s="191" t="s">
        <v>925</v>
      </c>
      <c r="I721" s="190" t="s">
        <v>922</v>
      </c>
      <c r="J721" s="192">
        <v>45069</v>
      </c>
      <c r="K721" s="190"/>
      <c r="L721" s="190" t="s">
        <v>226</v>
      </c>
      <c r="M721" s="193">
        <v>5</v>
      </c>
      <c r="N721" s="188"/>
      <c r="O721" s="190"/>
      <c r="P721" s="187"/>
      <c r="Q721" s="194">
        <v>3888000</v>
      </c>
      <c r="R721" s="195"/>
      <c r="S721" s="196">
        <v>0.17</v>
      </c>
      <c r="T721" s="197"/>
      <c r="U721" s="198"/>
      <c r="V721" s="199"/>
      <c r="W721" s="198">
        <f>IF(NOTA[[#This Row],[HARGA/ CTN]]="",NOTA[[#This Row],[JUMLAH_H]],NOTA[[#This Row],[HARGA/ CTN]]*IF(NOTA[[#This Row],[C]]="",0,NOTA[[#This Row],[C]]))</f>
        <v>19440000</v>
      </c>
      <c r="X721" s="198">
        <f>IF(NOTA[[#This Row],[JUMLAH]]="","",NOTA[[#This Row],[JUMLAH]]*NOTA[[#This Row],[DISC 1]])</f>
        <v>3304800.0000000005</v>
      </c>
      <c r="Y721" s="198">
        <f>IF(NOTA[[#This Row],[JUMLAH]]="","",(NOTA[[#This Row],[JUMLAH]]-NOTA[[#This Row],[DISC 1-]])*NOTA[[#This Row],[DISC 2]])</f>
        <v>0</v>
      </c>
      <c r="Z721" s="198">
        <f>IF(NOTA[[#This Row],[JUMLAH]]="","",NOTA[[#This Row],[DISC 1-]]+NOTA[[#This Row],[DISC 2-]])</f>
        <v>3304800.0000000005</v>
      </c>
      <c r="AA721" s="198">
        <f>IF(NOTA[[#This Row],[JUMLAH]]="","",NOTA[[#This Row],[JUMLAH]]-NOTA[[#This Row],[DISC]])</f>
        <v>16135200</v>
      </c>
      <c r="AB721" s="198"/>
      <c r="AC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721" s="200" t="str">
        <f>IF(OR(NOTA[[#This Row],[QTY]]="",NOTA[[#This Row],[HARGA SATUAN]]="",),"",NOTA[[#This Row],[QTY]]*NOTA[[#This Row],[HARGA SATUAN]])</f>
        <v/>
      </c>
      <c r="AG721" s="192">
        <f ca="1">IF(NOTA[ID_H]="","",INDEX(NOTA[TANGGAL],MATCH(,INDIRECT(ADDRESS(ROW(NOTA[TANGGAL]),COLUMN(NOTA[TANGGAL]))&amp;":"&amp;ADDRESS(ROW(),COLUMN(NOTA[TANGGAL]))),-1)))</f>
        <v>45072</v>
      </c>
      <c r="AH721" s="187" t="str">
        <f ca="1">IF(NOTA[[#This Row],[NAMA BARANG]]="","",INDEX(NOTA[SUPPLIER],MATCH(,INDIRECT(ADDRESS(ROW(NOTA[ID]),COLUMN(NOTA[ID]))&amp;":"&amp;ADDRESS(ROW(),COLUMN(NOTA[ID]))),-1)))</f>
        <v>KENKO SINAR INDONESIA</v>
      </c>
      <c r="AI721" s="187" t="str">
        <f ca="1">IF(NOTA[[#This Row],[ID_H]]="","",IF(NOTA[[#This Row],[FAKTUR]]="",INDIRECT(ADDRESS(ROW()-1,COLUMN())),NOTA[[#This Row],[FAKTUR]]))</f>
        <v>ARTO MORO</v>
      </c>
      <c r="AJ721" s="188">
        <f ca="1">IF(NOTA[[#This Row],[ID]]="","",COUNTIF(NOTA[ID_H],NOTA[[#This Row],[ID_H]]))</f>
        <v>3</v>
      </c>
      <c r="AK721" s="188">
        <f>IF(NOTA[[#This Row],[TGL.NOTA]]="",IF(NOTA[[#This Row],[SUPPLIER_H]]="","",AK720),MONTH(NOTA[[#This Row],[TGL.NOTA]]))</f>
        <v>5</v>
      </c>
      <c r="AL721" s="18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7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7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721" s="18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MORO23052135SA 4176145069kenkocutterbladel15018mm</v>
      </c>
      <c r="AP721" s="188" t="e">
        <f>IF(NOTA[[#This Row],[CONCAT4]]="","",_xlfn.IFNA(MATCH(NOTA[[#This Row],[CONCAT4]],[2]!RAW[CONCAT_H],0),FALSE))</f>
        <v>#REF!</v>
      </c>
      <c r="AQ721" s="188">
        <f>IF(NOTA[[#This Row],[CONCAT1]]="","",MATCH(NOTA[[#This Row],[CONCAT1]],[3]!db[NB NOTA_C],0)+1)</f>
        <v>1236</v>
      </c>
    </row>
    <row r="722" spans="1:43" ht="20.100000000000001" customHeight="1" x14ac:dyDescent="0.25">
      <c r="A7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188" t="str">
        <f>IF(NOTA[[#This Row],[ID_P]]="","",MATCH(NOTA[[#This Row],[ID_P]],[1]!B_MSK[N_ID],0))</f>
        <v/>
      </c>
      <c r="D722" s="188">
        <f ca="1">IF(NOTA[[#This Row],[NAMA BARANG]]="","",INDEX(NOTA[ID],MATCH(,INDIRECT(ADDRESS(ROW(NOTA[ID]),COLUMN(NOTA[ID]))&amp;":"&amp;ADDRESS(ROW(),COLUMN(NOTA[ID]))),-1)))</f>
        <v>130</v>
      </c>
      <c r="E722" s="189"/>
      <c r="F722" s="190"/>
      <c r="G722" s="190"/>
      <c r="H722" s="191"/>
      <c r="I722" s="190"/>
      <c r="J722" s="192"/>
      <c r="K722" s="190"/>
      <c r="L722" s="190" t="s">
        <v>923</v>
      </c>
      <c r="M722" s="193">
        <v>2</v>
      </c>
      <c r="N722" s="188"/>
      <c r="O722" s="190"/>
      <c r="P722" s="187"/>
      <c r="Q722" s="194">
        <v>3571200</v>
      </c>
      <c r="R722" s="195"/>
      <c r="S722" s="196">
        <v>0.17</v>
      </c>
      <c r="T722" s="197"/>
      <c r="U722" s="198"/>
      <c r="V722" s="199"/>
      <c r="W722" s="198">
        <f>IF(NOTA[[#This Row],[HARGA/ CTN]]="",NOTA[[#This Row],[JUMLAH_H]],NOTA[[#This Row],[HARGA/ CTN]]*IF(NOTA[[#This Row],[C]]="",0,NOTA[[#This Row],[C]]))</f>
        <v>7142400</v>
      </c>
      <c r="X722" s="198">
        <f>IF(NOTA[[#This Row],[JUMLAH]]="","",NOTA[[#This Row],[JUMLAH]]*NOTA[[#This Row],[DISC 1]])</f>
        <v>1214208</v>
      </c>
      <c r="Y722" s="198">
        <f>IF(NOTA[[#This Row],[JUMLAH]]="","",(NOTA[[#This Row],[JUMLAH]]-NOTA[[#This Row],[DISC 1-]])*NOTA[[#This Row],[DISC 2]])</f>
        <v>0</v>
      </c>
      <c r="Z722" s="198">
        <f>IF(NOTA[[#This Row],[JUMLAH]]="","",NOTA[[#This Row],[DISC 1-]]+NOTA[[#This Row],[DISC 2-]])</f>
        <v>1214208</v>
      </c>
      <c r="AA722" s="198">
        <f>IF(NOTA[[#This Row],[JUMLAH]]="","",NOTA[[#This Row],[JUMLAH]]-NOTA[[#This Row],[DISC]])</f>
        <v>5928192</v>
      </c>
      <c r="AB722" s="198"/>
      <c r="AC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187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722" s="200" t="str">
        <f>IF(OR(NOTA[[#This Row],[QTY]]="",NOTA[[#This Row],[HARGA SATUAN]]="",),"",NOTA[[#This Row],[QTY]]*NOTA[[#This Row],[HARGA SATUAN]])</f>
        <v/>
      </c>
      <c r="AG722" s="192">
        <f ca="1">IF(NOTA[ID_H]="","",INDEX(NOTA[TANGGAL],MATCH(,INDIRECT(ADDRESS(ROW(NOTA[TANGGAL]),COLUMN(NOTA[TANGGAL]))&amp;":"&amp;ADDRESS(ROW(),COLUMN(NOTA[TANGGAL]))),-1)))</f>
        <v>45072</v>
      </c>
      <c r="AH722" s="187" t="str">
        <f ca="1">IF(NOTA[[#This Row],[NAMA BARANG]]="","",INDEX(NOTA[SUPPLIER],MATCH(,INDIRECT(ADDRESS(ROW(NOTA[ID]),COLUMN(NOTA[ID]))&amp;":"&amp;ADDRESS(ROW(),COLUMN(NOTA[ID]))),-1)))</f>
        <v>KENKO SINAR INDONESIA</v>
      </c>
      <c r="AI722" s="187" t="str">
        <f ca="1">IF(NOTA[[#This Row],[ID_H]]="","",IF(NOTA[[#This Row],[FAKTUR]]="",INDIRECT(ADDRESS(ROW()-1,COLUMN())),NOTA[[#This Row],[FAKTUR]]))</f>
        <v>ARTO MORO</v>
      </c>
      <c r="AJ722" s="188" t="str">
        <f ca="1">IF(NOTA[[#This Row],[ID]]="","",COUNTIF(NOTA[ID_H],NOTA[[#This Row],[ID_H]]))</f>
        <v/>
      </c>
      <c r="AK722" s="188">
        <f ca="1">IF(NOTA[[#This Row],[TGL.NOTA]]="",IF(NOTA[[#This Row],[SUPPLIER_H]]="","",AK721),MONTH(NOTA[[#This Row],[TGL.NOTA]]))</f>
        <v>5</v>
      </c>
      <c r="AL722" s="18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7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7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7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188" t="str">
        <f>IF(NOTA[[#This Row],[CONCAT4]]="","",_xlfn.IFNA(MATCH(NOTA[[#This Row],[CONCAT4]],[2]!RAW[CONCAT_H],0),FALSE))</f>
        <v/>
      </c>
      <c r="AQ722" s="188">
        <f>IF(NOTA[[#This Row],[CONCAT1]]="","",MATCH(NOTA[[#This Row],[CONCAT1]],[3]!db[NB NOTA_C],0)+1)</f>
        <v>1125</v>
      </c>
    </row>
    <row r="723" spans="1:43" ht="20.100000000000001" customHeight="1" x14ac:dyDescent="0.25">
      <c r="A7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188" t="str">
        <f>IF(NOTA[[#This Row],[ID_P]]="","",MATCH(NOTA[[#This Row],[ID_P]],[1]!B_MSK[N_ID],0))</f>
        <v/>
      </c>
      <c r="D723" s="188">
        <f ca="1">IF(NOTA[[#This Row],[NAMA BARANG]]="","",INDEX(NOTA[ID],MATCH(,INDIRECT(ADDRESS(ROW(NOTA[ID]),COLUMN(NOTA[ID]))&amp;":"&amp;ADDRESS(ROW(),COLUMN(NOTA[ID]))),-1)))</f>
        <v>130</v>
      </c>
      <c r="E723" s="189"/>
      <c r="F723" s="190"/>
      <c r="G723" s="190"/>
      <c r="H723" s="191"/>
      <c r="I723" s="190"/>
      <c r="J723" s="192"/>
      <c r="K723" s="190"/>
      <c r="L723" s="190" t="s">
        <v>924</v>
      </c>
      <c r="M723" s="193">
        <v>1</v>
      </c>
      <c r="N723" s="188"/>
      <c r="O723" s="190"/>
      <c r="P723" s="187"/>
      <c r="Q723" s="194">
        <v>3648000</v>
      </c>
      <c r="R723" s="195"/>
      <c r="S723" s="196">
        <v>0.17</v>
      </c>
      <c r="T723" s="197"/>
      <c r="U723" s="198"/>
      <c r="V723" s="199"/>
      <c r="W723" s="198">
        <f>IF(NOTA[[#This Row],[HARGA/ CTN]]="",NOTA[[#This Row],[JUMLAH_H]],NOTA[[#This Row],[HARGA/ CTN]]*IF(NOTA[[#This Row],[C]]="",0,NOTA[[#This Row],[C]]))</f>
        <v>3648000</v>
      </c>
      <c r="X723" s="198">
        <f>IF(NOTA[[#This Row],[JUMLAH]]="","",NOTA[[#This Row],[JUMLAH]]*NOTA[[#This Row],[DISC 1]])</f>
        <v>620160</v>
      </c>
      <c r="Y723" s="198">
        <f>IF(NOTA[[#This Row],[JUMLAH]]="","",(NOTA[[#This Row],[JUMLAH]]-NOTA[[#This Row],[DISC 1-]])*NOTA[[#This Row],[DISC 2]])</f>
        <v>0</v>
      </c>
      <c r="Z723" s="198">
        <f>IF(NOTA[[#This Row],[JUMLAH]]="","",NOTA[[#This Row],[DISC 1-]]+NOTA[[#This Row],[DISC 2-]])</f>
        <v>620160</v>
      </c>
      <c r="AA723" s="198">
        <f>IF(NOTA[[#This Row],[JUMLAH]]="","",NOTA[[#This Row],[JUMLAH]]-NOTA[[#This Row],[DISC]])</f>
        <v>3027840</v>
      </c>
      <c r="AB723" s="198"/>
      <c r="AC72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5139168</v>
      </c>
      <c r="AD72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25091232</v>
      </c>
      <c r="AE723" s="187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723" s="200" t="str">
        <f>IF(OR(NOTA[[#This Row],[QTY]]="",NOTA[[#This Row],[HARGA SATUAN]]="",),"",NOTA[[#This Row],[QTY]]*NOTA[[#This Row],[HARGA SATUAN]])</f>
        <v/>
      </c>
      <c r="AG723" s="192">
        <f ca="1">IF(NOTA[ID_H]="","",INDEX(NOTA[TANGGAL],MATCH(,INDIRECT(ADDRESS(ROW(NOTA[TANGGAL]),COLUMN(NOTA[TANGGAL]))&amp;":"&amp;ADDRESS(ROW(),COLUMN(NOTA[TANGGAL]))),-1)))</f>
        <v>45072</v>
      </c>
      <c r="AH723" s="187" t="str">
        <f ca="1">IF(NOTA[[#This Row],[NAMA BARANG]]="","",INDEX(NOTA[SUPPLIER],MATCH(,INDIRECT(ADDRESS(ROW(NOTA[ID]),COLUMN(NOTA[ID]))&amp;":"&amp;ADDRESS(ROW(),COLUMN(NOTA[ID]))),-1)))</f>
        <v>KENKO SINAR INDONESIA</v>
      </c>
      <c r="AI723" s="187" t="str">
        <f ca="1">IF(NOTA[[#This Row],[ID_H]]="","",IF(NOTA[[#This Row],[FAKTUR]]="",INDIRECT(ADDRESS(ROW()-1,COLUMN())),NOTA[[#This Row],[FAKTUR]]))</f>
        <v>ARTO MORO</v>
      </c>
      <c r="AJ723" s="188" t="str">
        <f ca="1">IF(NOTA[[#This Row],[ID]]="","",COUNTIF(NOTA[ID_H],NOTA[[#This Row],[ID_H]]))</f>
        <v/>
      </c>
      <c r="AK723" s="188">
        <f ca="1">IF(NOTA[[#This Row],[TGL.NOTA]]="",IF(NOTA[[#This Row],[SUPPLIER_H]]="","",AK722),MONTH(NOTA[[#This Row],[TGL.NOTA]]))</f>
        <v>5</v>
      </c>
      <c r="AL723" s="18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7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7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7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188" t="str">
        <f>IF(NOTA[[#This Row],[CONCAT4]]="","",_xlfn.IFNA(MATCH(NOTA[[#This Row],[CONCAT4]],[2]!RAW[CONCAT_H],0),FALSE))</f>
        <v/>
      </c>
      <c r="AQ723" s="188">
        <f>IF(NOTA[[#This Row],[CONCAT1]]="","",MATCH(NOTA[[#This Row],[CONCAT1]],[3]!db[NB NOTA_C],0)+1)</f>
        <v>1133</v>
      </c>
    </row>
    <row r="724" spans="1:43" ht="20.100000000000001" customHeight="1" x14ac:dyDescent="0.25">
      <c r="A72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188" t="str">
        <f>IF(NOTA[[#This Row],[ID_P]]="","",MATCH(NOTA[[#This Row],[ID_P]],[1]!B_MSK[N_ID],0))</f>
        <v/>
      </c>
      <c r="D724" s="188" t="str">
        <f ca="1">IF(NOTA[[#This Row],[NAMA BARANG]]="","",INDEX(NOTA[ID],MATCH(,INDIRECT(ADDRESS(ROW(NOTA[ID]),COLUMN(NOTA[ID]))&amp;":"&amp;ADDRESS(ROW(),COLUMN(NOTA[ID]))),-1)))</f>
        <v/>
      </c>
      <c r="E724" s="189"/>
      <c r="F724" s="190"/>
      <c r="G724" s="190"/>
      <c r="H724" s="191"/>
      <c r="I724" s="190"/>
      <c r="J724" s="192"/>
      <c r="K724" s="190"/>
      <c r="L724" s="190"/>
      <c r="M724" s="193"/>
      <c r="N724" s="188"/>
      <c r="O724" s="190"/>
      <c r="P724" s="187"/>
      <c r="Q724" s="194"/>
      <c r="R724" s="195"/>
      <c r="S724" s="196"/>
      <c r="T724" s="197"/>
      <c r="U724" s="198"/>
      <c r="V724" s="199"/>
      <c r="W724" s="198" t="str">
        <f>IF(NOTA[[#This Row],[HARGA/ CTN]]="",NOTA[[#This Row],[JUMLAH_H]],NOTA[[#This Row],[HARGA/ CTN]]*IF(NOTA[[#This Row],[C]]="",0,NOTA[[#This Row],[C]]))</f>
        <v/>
      </c>
      <c r="X724" s="198" t="str">
        <f>IF(NOTA[[#This Row],[JUMLAH]]="","",NOTA[[#This Row],[JUMLAH]]*NOTA[[#This Row],[DISC 1]])</f>
        <v/>
      </c>
      <c r="Y724" s="198" t="str">
        <f>IF(NOTA[[#This Row],[JUMLAH]]="","",(NOTA[[#This Row],[JUMLAH]]-NOTA[[#This Row],[DISC 1-]])*NOTA[[#This Row],[DISC 2]])</f>
        <v/>
      </c>
      <c r="Z724" s="198" t="str">
        <f>IF(NOTA[[#This Row],[JUMLAH]]="","",NOTA[[#This Row],[DISC 1-]]+NOTA[[#This Row],[DISC 2-]])</f>
        <v/>
      </c>
      <c r="AA724" s="198" t="str">
        <f>IF(NOTA[[#This Row],[JUMLAH]]="","",NOTA[[#This Row],[JUMLAH]]-NOTA[[#This Row],[DISC]])</f>
        <v/>
      </c>
      <c r="AB724" s="198"/>
      <c r="AC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200" t="str">
        <f>IF(OR(NOTA[[#This Row],[QTY]]="",NOTA[[#This Row],[HARGA SATUAN]]="",),"",NOTA[[#This Row],[QTY]]*NOTA[[#This Row],[HARGA SATUAN]])</f>
        <v/>
      </c>
      <c r="AG724" s="192" t="str">
        <f ca="1">IF(NOTA[ID_H]="","",INDEX(NOTA[TANGGAL],MATCH(,INDIRECT(ADDRESS(ROW(NOTA[TANGGAL]),COLUMN(NOTA[TANGGAL]))&amp;":"&amp;ADDRESS(ROW(),COLUMN(NOTA[TANGGAL]))),-1)))</f>
        <v/>
      </c>
      <c r="AH724" s="187" t="str">
        <f ca="1">IF(NOTA[[#This Row],[NAMA BARANG]]="","",INDEX(NOTA[SUPPLIER],MATCH(,INDIRECT(ADDRESS(ROW(NOTA[ID]),COLUMN(NOTA[ID]))&amp;":"&amp;ADDRESS(ROW(),COLUMN(NOTA[ID]))),-1)))</f>
        <v/>
      </c>
      <c r="AI724" s="187" t="str">
        <f ca="1">IF(NOTA[[#This Row],[ID_H]]="","",IF(NOTA[[#This Row],[FAKTUR]]="",INDIRECT(ADDRESS(ROW()-1,COLUMN())),NOTA[[#This Row],[FAKTUR]]))</f>
        <v/>
      </c>
      <c r="AJ724" s="188" t="str">
        <f ca="1">IF(NOTA[[#This Row],[ID]]="","",COUNTIF(NOTA[ID_H],NOTA[[#This Row],[ID_H]]))</f>
        <v/>
      </c>
      <c r="AK724" s="188" t="str">
        <f ca="1">IF(NOTA[[#This Row],[TGL.NOTA]]="",IF(NOTA[[#This Row],[SUPPLIER_H]]="","",AK723),MONTH(NOTA[[#This Row],[TGL.NOTA]]))</f>
        <v/>
      </c>
      <c r="AL724" s="188" t="str">
        <f>LOWER(SUBSTITUTE(SUBSTITUTE(SUBSTITUTE(SUBSTITUTE(SUBSTITUTE(SUBSTITUTE(SUBSTITUTE(SUBSTITUTE(SUBSTITUTE(NOTA[NAMA BARANG]," ",),".",""),"-",""),"(",""),")",""),",",""),"/",""),"""",""),"+",""))</f>
        <v/>
      </c>
      <c r="AM7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188" t="str">
        <f>IF(NOTA[[#This Row],[CONCAT4]]="","",_xlfn.IFNA(MATCH(NOTA[[#This Row],[CONCAT4]],[2]!RAW[CONCAT_H],0),FALSE))</f>
        <v/>
      </c>
      <c r="AQ724" s="188" t="str">
        <f>IF(NOTA[[#This Row],[CONCAT1]]="","",MATCH(NOTA[[#This Row],[CONCAT1]],[3]!db[NB NOTA_C],0)+1)</f>
        <v/>
      </c>
    </row>
    <row r="725" spans="1:43" ht="20.100000000000001" customHeight="1" x14ac:dyDescent="0.25">
      <c r="A725" s="187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DUT_2605_23H-9</v>
      </c>
      <c r="C725" s="188" t="e">
        <f ca="1">IF(NOTA[[#This Row],[ID_P]]="","",MATCH(NOTA[[#This Row],[ID_P]],[1]!B_MSK[N_ID],0))</f>
        <v>#REF!</v>
      </c>
      <c r="D725" s="188">
        <f ca="1">IF(NOTA[[#This Row],[NAMA BARANG]]="","",INDEX(NOTA[ID],MATCH(,INDIRECT(ADDRESS(ROW(NOTA[ID]),COLUMN(NOTA[ID]))&amp;":"&amp;ADDRESS(ROW(),COLUMN(NOTA[ID]))),-1)))</f>
        <v>131</v>
      </c>
      <c r="E725" s="189"/>
      <c r="F725" s="190" t="s">
        <v>249</v>
      </c>
      <c r="G725" s="190" t="s">
        <v>112</v>
      </c>
      <c r="H725" s="191" t="s">
        <v>926</v>
      </c>
      <c r="I725" s="190"/>
      <c r="J725" s="192">
        <v>45070</v>
      </c>
      <c r="K725" s="190"/>
      <c r="L725" s="190" t="s">
        <v>927</v>
      </c>
      <c r="M725" s="193">
        <v>2</v>
      </c>
      <c r="N725" s="188">
        <v>120</v>
      </c>
      <c r="O725" s="190" t="s">
        <v>160</v>
      </c>
      <c r="P725" s="187">
        <v>22500</v>
      </c>
      <c r="Q725" s="194"/>
      <c r="R725" s="195" t="s">
        <v>601</v>
      </c>
      <c r="S725" s="196">
        <v>0.03</v>
      </c>
      <c r="T725" s="197"/>
      <c r="U725" s="198"/>
      <c r="V725" s="199"/>
      <c r="W725" s="198">
        <f>IF(NOTA[[#This Row],[HARGA/ CTN]]="",NOTA[[#This Row],[JUMLAH_H]],NOTA[[#This Row],[HARGA/ CTN]]*IF(NOTA[[#This Row],[C]]="",0,NOTA[[#This Row],[C]]))</f>
        <v>2700000</v>
      </c>
      <c r="X725" s="198">
        <f>IF(NOTA[[#This Row],[JUMLAH]]="","",NOTA[[#This Row],[JUMLAH]]*NOTA[[#This Row],[DISC 1]])</f>
        <v>81000</v>
      </c>
      <c r="Y725" s="198">
        <f>IF(NOTA[[#This Row],[JUMLAH]]="","",(NOTA[[#This Row],[JUMLAH]]-NOTA[[#This Row],[DISC 1-]])*NOTA[[#This Row],[DISC 2]])</f>
        <v>0</v>
      </c>
      <c r="Z725" s="198">
        <f>IF(NOTA[[#This Row],[JUMLAH]]="","",NOTA[[#This Row],[DISC 1-]]+NOTA[[#This Row],[DISC 2-]])</f>
        <v>81000</v>
      </c>
      <c r="AA725" s="198">
        <f>IF(NOTA[[#This Row],[JUMLAH]]="","",NOTA[[#This Row],[JUMLAH]]-NOTA[[#This Row],[DISC]])</f>
        <v>2619000</v>
      </c>
      <c r="AB725" s="198"/>
      <c r="AC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25" s="200">
        <f>IF(OR(NOTA[[#This Row],[QTY]]="",NOTA[[#This Row],[HARGA SATUAN]]="",),"",NOTA[[#This Row],[QTY]]*NOTA[[#This Row],[HARGA SATUAN]])</f>
        <v>2700000</v>
      </c>
      <c r="AG725" s="192">
        <f ca="1">IF(NOTA[ID_H]="","",INDEX(NOTA[TANGGAL],MATCH(,INDIRECT(ADDRESS(ROW(NOTA[TANGGAL]),COLUMN(NOTA[TANGGAL]))&amp;":"&amp;ADDRESS(ROW(),COLUMN(NOTA[TANGGAL]))),-1)))</f>
        <v>45072</v>
      </c>
      <c r="AH725" s="187" t="str">
        <f ca="1">IF(NOTA[[#This Row],[NAMA BARANG]]="","",INDEX(NOTA[SUPPLIER],MATCH(,INDIRECT(ADDRESS(ROW(NOTA[ID]),COLUMN(NOTA[ID]))&amp;":"&amp;ADDRESS(ROW(),COLUMN(NOTA[ID]))),-1)))</f>
        <v>DUTA BUANA</v>
      </c>
      <c r="AI725" s="187" t="str">
        <f ca="1">IF(NOTA[[#This Row],[ID_H]]="","",IF(NOTA[[#This Row],[FAKTUR]]="",INDIRECT(ADDRESS(ROW()-1,COLUMN())),NOTA[[#This Row],[FAKTUR]]))</f>
        <v>UNTANA</v>
      </c>
      <c r="AJ725" s="188">
        <f ca="1">IF(NOTA[[#This Row],[ID]]="","",COUNTIF(NOTA[ID_H],NOTA[[#This Row],[ID_H]]))</f>
        <v>9</v>
      </c>
      <c r="AK725" s="188">
        <f>IF(NOTA[[#This Row],[TGL.NOTA]]="",IF(NOTA[[#This Row],[SUPPLIER_H]]="","",AK724),MONTH(NOTA[[#This Row],[TGL.NOTA]]))</f>
        <v>5</v>
      </c>
      <c r="AL725" s="188" t="str">
        <f>LOWER(SUBSTITUTE(SUBSTITUTE(SUBSTITUTE(SUBSTITUTE(SUBSTITUTE(SUBSTITUTE(SUBSTITUTE(SUBSTITUTE(SUBSTITUTE(NOTA[NAMA BARANG]," ",),".",""),"-",""),"(",""),")",""),",",""),"/",""),"""",""),"+",""))</f>
        <v>expandingfiletf080</v>
      </c>
      <c r="AM7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N7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O725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147/05-23H45070expandingfiletf080</v>
      </c>
      <c r="AP725" s="188" t="e">
        <f>IF(NOTA[[#This Row],[CONCAT4]]="","",_xlfn.IFNA(MATCH(NOTA[[#This Row],[CONCAT4]],[2]!RAW[CONCAT_H],0),FALSE))</f>
        <v>#REF!</v>
      </c>
      <c r="AQ725" s="188" t="e">
        <f>IF(NOTA[[#This Row],[CONCAT1]]="","",MATCH(NOTA[[#This Row],[CONCAT1]],[3]!db[NB NOTA_C],0)+1)</f>
        <v>#N/A</v>
      </c>
    </row>
    <row r="726" spans="1:43" ht="20.100000000000001" customHeight="1" x14ac:dyDescent="0.25">
      <c r="A7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188" t="str">
        <f>IF(NOTA[[#This Row],[ID_P]]="","",MATCH(NOTA[[#This Row],[ID_P]],[1]!B_MSK[N_ID],0))</f>
        <v/>
      </c>
      <c r="D726" s="188">
        <f ca="1">IF(NOTA[[#This Row],[NAMA BARANG]]="","",INDEX(NOTA[ID],MATCH(,INDIRECT(ADDRESS(ROW(NOTA[ID]),COLUMN(NOTA[ID]))&amp;":"&amp;ADDRESS(ROW(),COLUMN(NOTA[ID]))),-1)))</f>
        <v>131</v>
      </c>
      <c r="E726" s="189"/>
      <c r="F726" s="190"/>
      <c r="G726" s="190"/>
      <c r="H726" s="191"/>
      <c r="I726" s="190"/>
      <c r="J726" s="192"/>
      <c r="K726" s="190"/>
      <c r="L726" s="190" t="s">
        <v>928</v>
      </c>
      <c r="M726" s="193">
        <v>3</v>
      </c>
      <c r="N726" s="188">
        <v>180</v>
      </c>
      <c r="O726" s="190" t="s">
        <v>125</v>
      </c>
      <c r="P726" s="187">
        <v>21500</v>
      </c>
      <c r="Q726" s="194"/>
      <c r="R726" s="195" t="s">
        <v>379</v>
      </c>
      <c r="S726" s="196">
        <v>0.03</v>
      </c>
      <c r="T726" s="197"/>
      <c r="U726" s="198"/>
      <c r="V726" s="199"/>
      <c r="W726" s="198">
        <f>IF(NOTA[[#This Row],[HARGA/ CTN]]="",NOTA[[#This Row],[JUMLAH_H]],NOTA[[#This Row],[HARGA/ CTN]]*IF(NOTA[[#This Row],[C]]="",0,NOTA[[#This Row],[C]]))</f>
        <v>3870000</v>
      </c>
      <c r="X726" s="198">
        <f>IF(NOTA[[#This Row],[JUMLAH]]="","",NOTA[[#This Row],[JUMLAH]]*NOTA[[#This Row],[DISC 1]])</f>
        <v>116100</v>
      </c>
      <c r="Y726" s="198">
        <f>IF(NOTA[[#This Row],[JUMLAH]]="","",(NOTA[[#This Row],[JUMLAH]]-NOTA[[#This Row],[DISC 1-]])*NOTA[[#This Row],[DISC 2]])</f>
        <v>0</v>
      </c>
      <c r="Z726" s="198">
        <f>IF(NOTA[[#This Row],[JUMLAH]]="","",NOTA[[#This Row],[DISC 1-]]+NOTA[[#This Row],[DISC 2-]])</f>
        <v>116100</v>
      </c>
      <c r="AA726" s="198">
        <f>IF(NOTA[[#This Row],[JUMLAH]]="","",NOTA[[#This Row],[JUMLAH]]-NOTA[[#This Row],[DISC]])</f>
        <v>3753900</v>
      </c>
      <c r="AB726" s="198"/>
      <c r="AC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187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726" s="200">
        <f>IF(OR(NOTA[[#This Row],[QTY]]="",NOTA[[#This Row],[HARGA SATUAN]]="",),"",NOTA[[#This Row],[QTY]]*NOTA[[#This Row],[HARGA SATUAN]])</f>
        <v>3870000</v>
      </c>
      <c r="AG726" s="192">
        <f ca="1">IF(NOTA[ID_H]="","",INDEX(NOTA[TANGGAL],MATCH(,INDIRECT(ADDRESS(ROW(NOTA[TANGGAL]),COLUMN(NOTA[TANGGAL]))&amp;":"&amp;ADDRESS(ROW(),COLUMN(NOTA[TANGGAL]))),-1)))</f>
        <v>45072</v>
      </c>
      <c r="AH726" s="187" t="str">
        <f ca="1">IF(NOTA[[#This Row],[NAMA BARANG]]="","",INDEX(NOTA[SUPPLIER],MATCH(,INDIRECT(ADDRESS(ROW(NOTA[ID]),COLUMN(NOTA[ID]))&amp;":"&amp;ADDRESS(ROW(),COLUMN(NOTA[ID]))),-1)))</f>
        <v>DUTA BUANA</v>
      </c>
      <c r="AI726" s="187" t="str">
        <f ca="1">IF(NOTA[[#This Row],[ID_H]]="","",IF(NOTA[[#This Row],[FAKTUR]]="",INDIRECT(ADDRESS(ROW()-1,COLUMN())),NOTA[[#This Row],[FAKTUR]]))</f>
        <v>UNTANA</v>
      </c>
      <c r="AJ726" s="188" t="str">
        <f ca="1">IF(NOTA[[#This Row],[ID]]="","",COUNTIF(NOTA[ID_H],NOTA[[#This Row],[ID_H]]))</f>
        <v/>
      </c>
      <c r="AK726" s="188">
        <f ca="1">IF(NOTA[[#This Row],[TGL.NOTA]]="",IF(NOTA[[#This Row],[SUPPLIER_H]]="","",AK725),MONTH(NOTA[[#This Row],[TGL.NOTA]]))</f>
        <v>5</v>
      </c>
      <c r="AL726" s="18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7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7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7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188" t="str">
        <f>IF(NOTA[[#This Row],[CONCAT4]]="","",_xlfn.IFNA(MATCH(NOTA[[#This Row],[CONCAT4]],[2]!RAW[CONCAT_H],0),FALSE))</f>
        <v/>
      </c>
      <c r="AQ726" s="188" t="e">
        <f>IF(NOTA[[#This Row],[CONCAT1]]="","",MATCH(NOTA[[#This Row],[CONCAT1]],[3]!db[NB NOTA_C],0)+1)</f>
        <v>#N/A</v>
      </c>
    </row>
    <row r="727" spans="1:43" ht="20.100000000000001" customHeight="1" x14ac:dyDescent="0.25">
      <c r="A7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188" t="str">
        <f>IF(NOTA[[#This Row],[ID_P]]="","",MATCH(NOTA[[#This Row],[ID_P]],[1]!B_MSK[N_ID],0))</f>
        <v/>
      </c>
      <c r="D727" s="188">
        <f ca="1">IF(NOTA[[#This Row],[NAMA BARANG]]="","",INDEX(NOTA[ID],MATCH(,INDIRECT(ADDRESS(ROW(NOTA[ID]),COLUMN(NOTA[ID]))&amp;":"&amp;ADDRESS(ROW(),COLUMN(NOTA[ID]))),-1)))</f>
        <v>131</v>
      </c>
      <c r="E727" s="189"/>
      <c r="F727" s="190"/>
      <c r="G727" s="190"/>
      <c r="H727" s="191"/>
      <c r="I727" s="190"/>
      <c r="J727" s="192"/>
      <c r="K727" s="190"/>
      <c r="L727" s="190" t="s">
        <v>929</v>
      </c>
      <c r="M727" s="193">
        <v>5</v>
      </c>
      <c r="N727" s="188">
        <v>1200</v>
      </c>
      <c r="O727" s="190" t="s">
        <v>160</v>
      </c>
      <c r="P727" s="187">
        <v>5500</v>
      </c>
      <c r="Q727" s="194"/>
      <c r="R727" s="195" t="s">
        <v>574</v>
      </c>
      <c r="S727" s="196">
        <v>0.03</v>
      </c>
      <c r="T727" s="197"/>
      <c r="U727" s="198"/>
      <c r="V727" s="199"/>
      <c r="W727" s="198">
        <f>IF(NOTA[[#This Row],[HARGA/ CTN]]="",NOTA[[#This Row],[JUMLAH_H]],NOTA[[#This Row],[HARGA/ CTN]]*IF(NOTA[[#This Row],[C]]="",0,NOTA[[#This Row],[C]]))</f>
        <v>6600000</v>
      </c>
      <c r="X727" s="198">
        <f>IF(NOTA[[#This Row],[JUMLAH]]="","",NOTA[[#This Row],[JUMLAH]]*NOTA[[#This Row],[DISC 1]])</f>
        <v>198000</v>
      </c>
      <c r="Y727" s="198">
        <f>IF(NOTA[[#This Row],[JUMLAH]]="","",(NOTA[[#This Row],[JUMLAH]]-NOTA[[#This Row],[DISC 1-]])*NOTA[[#This Row],[DISC 2]])</f>
        <v>0</v>
      </c>
      <c r="Z727" s="198">
        <f>IF(NOTA[[#This Row],[JUMLAH]]="","",NOTA[[#This Row],[DISC 1-]]+NOTA[[#This Row],[DISC 2-]])</f>
        <v>198000</v>
      </c>
      <c r="AA727" s="198">
        <f>IF(NOTA[[#This Row],[JUMLAH]]="","",NOTA[[#This Row],[JUMLAH]]-NOTA[[#This Row],[DISC]])</f>
        <v>6402000</v>
      </c>
      <c r="AB727" s="198"/>
      <c r="AC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727" s="200">
        <f>IF(OR(NOTA[[#This Row],[QTY]]="",NOTA[[#This Row],[HARGA SATUAN]]="",),"",NOTA[[#This Row],[QTY]]*NOTA[[#This Row],[HARGA SATUAN]])</f>
        <v>6600000</v>
      </c>
      <c r="AG727" s="192">
        <f ca="1">IF(NOTA[ID_H]="","",INDEX(NOTA[TANGGAL],MATCH(,INDIRECT(ADDRESS(ROW(NOTA[TANGGAL]),COLUMN(NOTA[TANGGAL]))&amp;":"&amp;ADDRESS(ROW(),COLUMN(NOTA[TANGGAL]))),-1)))</f>
        <v>45072</v>
      </c>
      <c r="AH727" s="187" t="str">
        <f ca="1">IF(NOTA[[#This Row],[NAMA BARANG]]="","",INDEX(NOTA[SUPPLIER],MATCH(,INDIRECT(ADDRESS(ROW(NOTA[ID]),COLUMN(NOTA[ID]))&amp;":"&amp;ADDRESS(ROW(),COLUMN(NOTA[ID]))),-1)))</f>
        <v>DUTA BUANA</v>
      </c>
      <c r="AI727" s="187" t="str">
        <f ca="1">IF(NOTA[[#This Row],[ID_H]]="","",IF(NOTA[[#This Row],[FAKTUR]]="",INDIRECT(ADDRESS(ROW()-1,COLUMN())),NOTA[[#This Row],[FAKTUR]]))</f>
        <v>UNTANA</v>
      </c>
      <c r="AJ727" s="188" t="str">
        <f ca="1">IF(NOTA[[#This Row],[ID]]="","",COUNTIF(NOTA[ID_H],NOTA[[#This Row],[ID_H]]))</f>
        <v/>
      </c>
      <c r="AK727" s="188">
        <f ca="1">IF(NOTA[[#This Row],[TGL.NOTA]]="",IF(NOTA[[#This Row],[SUPPLIER_H]]="","",AK726),MONTH(NOTA[[#This Row],[TGL.NOTA]]))</f>
        <v>5</v>
      </c>
      <c r="AL727" s="188" t="str">
        <f>LOWER(SUBSTITUTE(SUBSTITUTE(SUBSTITUTE(SUBSTITUTE(SUBSTITUTE(SUBSTITUTE(SUBSTITUTE(SUBSTITUTE(SUBSTITUTE(NOTA[NAMA BARANG]," ",),".",""),"-",""),"(",""),")",""),",",""),"/",""),"""",""),"+",""))</f>
        <v>writinserttfwri001</v>
      </c>
      <c r="AM7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writinserttfwri00113200000.03</v>
      </c>
      <c r="AN7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writinserttfwri00113200000.03</v>
      </c>
      <c r="AO7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188" t="str">
        <f>IF(NOTA[[#This Row],[CONCAT4]]="","",_xlfn.IFNA(MATCH(NOTA[[#This Row],[CONCAT4]],[2]!RAW[CONCAT_H],0),FALSE))</f>
        <v/>
      </c>
      <c r="AQ727" s="188" t="e">
        <f>IF(NOTA[[#This Row],[CONCAT1]]="","",MATCH(NOTA[[#This Row],[CONCAT1]],[3]!db[NB NOTA_C],0)+1)</f>
        <v>#N/A</v>
      </c>
    </row>
    <row r="728" spans="1:43" ht="20.100000000000001" customHeight="1" x14ac:dyDescent="0.25">
      <c r="A7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188" t="str">
        <f>IF(NOTA[[#This Row],[ID_P]]="","",MATCH(NOTA[[#This Row],[ID_P]],[1]!B_MSK[N_ID],0))</f>
        <v/>
      </c>
      <c r="D728" s="188">
        <f ca="1">IF(NOTA[[#This Row],[NAMA BARANG]]="","",INDEX(NOTA[ID],MATCH(,INDIRECT(ADDRESS(ROW(NOTA[ID]),COLUMN(NOTA[ID]))&amp;":"&amp;ADDRESS(ROW(),COLUMN(NOTA[ID]))),-1)))</f>
        <v>131</v>
      </c>
      <c r="E728" s="189"/>
      <c r="F728" s="190"/>
      <c r="G728" s="190"/>
      <c r="H728" s="191"/>
      <c r="I728" s="190"/>
      <c r="J728" s="192"/>
      <c r="K728" s="190"/>
      <c r="L728" s="190" t="s">
        <v>930</v>
      </c>
      <c r="M728" s="193">
        <v>2</v>
      </c>
      <c r="N728" s="188">
        <v>600</v>
      </c>
      <c r="O728" s="190" t="s">
        <v>160</v>
      </c>
      <c r="P728" s="187">
        <v>7000</v>
      </c>
      <c r="Q728" s="194"/>
      <c r="R728" s="195" t="s">
        <v>364</v>
      </c>
      <c r="S728" s="196">
        <v>0.03</v>
      </c>
      <c r="T728" s="197"/>
      <c r="U728" s="198"/>
      <c r="V728" s="199"/>
      <c r="W728" s="198">
        <f>IF(NOTA[[#This Row],[HARGA/ CTN]]="",NOTA[[#This Row],[JUMLAH_H]],NOTA[[#This Row],[HARGA/ CTN]]*IF(NOTA[[#This Row],[C]]="",0,NOTA[[#This Row],[C]]))</f>
        <v>4200000</v>
      </c>
      <c r="X728" s="198">
        <f>IF(NOTA[[#This Row],[JUMLAH]]="","",NOTA[[#This Row],[JUMLAH]]*NOTA[[#This Row],[DISC 1]])</f>
        <v>126000</v>
      </c>
      <c r="Y728" s="198">
        <f>IF(NOTA[[#This Row],[JUMLAH]]="","",(NOTA[[#This Row],[JUMLAH]]-NOTA[[#This Row],[DISC 1-]])*NOTA[[#This Row],[DISC 2]])</f>
        <v>0</v>
      </c>
      <c r="Z728" s="198">
        <f>IF(NOTA[[#This Row],[JUMLAH]]="","",NOTA[[#This Row],[DISC 1-]]+NOTA[[#This Row],[DISC 2-]])</f>
        <v>126000</v>
      </c>
      <c r="AA728" s="198">
        <f>IF(NOTA[[#This Row],[JUMLAH]]="","",NOTA[[#This Row],[JUMLAH]]-NOTA[[#This Row],[DISC]])</f>
        <v>4074000</v>
      </c>
      <c r="AB728" s="198"/>
      <c r="AC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728" s="200">
        <f>IF(OR(NOTA[[#This Row],[QTY]]="",NOTA[[#This Row],[HARGA SATUAN]]="",),"",NOTA[[#This Row],[QTY]]*NOTA[[#This Row],[HARGA SATUAN]])</f>
        <v>4200000</v>
      </c>
      <c r="AG728" s="192">
        <f ca="1">IF(NOTA[ID_H]="","",INDEX(NOTA[TANGGAL],MATCH(,INDIRECT(ADDRESS(ROW(NOTA[TANGGAL]),COLUMN(NOTA[TANGGAL]))&amp;":"&amp;ADDRESS(ROW(),COLUMN(NOTA[TANGGAL]))),-1)))</f>
        <v>45072</v>
      </c>
      <c r="AH728" s="187" t="str">
        <f ca="1">IF(NOTA[[#This Row],[NAMA BARANG]]="","",INDEX(NOTA[SUPPLIER],MATCH(,INDIRECT(ADDRESS(ROW(NOTA[ID]),COLUMN(NOTA[ID]))&amp;":"&amp;ADDRESS(ROW(),COLUMN(NOTA[ID]))),-1)))</f>
        <v>DUTA BUANA</v>
      </c>
      <c r="AI728" s="187" t="str">
        <f ca="1">IF(NOTA[[#This Row],[ID_H]]="","",IF(NOTA[[#This Row],[FAKTUR]]="",INDIRECT(ADDRESS(ROW()-1,COLUMN())),NOTA[[#This Row],[FAKTUR]]))</f>
        <v>UNTANA</v>
      </c>
      <c r="AJ728" s="188" t="str">
        <f ca="1">IF(NOTA[[#This Row],[ID]]="","",COUNTIF(NOTA[ID_H],NOTA[[#This Row],[ID_H]]))</f>
        <v/>
      </c>
      <c r="AK728" s="188">
        <f ca="1">IF(NOTA[[#This Row],[TGL.NOTA]]="",IF(NOTA[[#This Row],[SUPPLIER_H]]="","",AK727),MONTH(NOTA[[#This Row],[TGL.NOTA]]))</f>
        <v>5</v>
      </c>
      <c r="AL728" s="18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M7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N7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O7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188" t="str">
        <f>IF(NOTA[[#This Row],[CONCAT4]]="","",_xlfn.IFNA(MATCH(NOTA[[#This Row],[CONCAT4]],[2]!RAW[CONCAT_H],0),FALSE))</f>
        <v/>
      </c>
      <c r="AQ728" s="188">
        <f>IF(NOTA[[#This Row],[CONCAT1]]="","",MATCH(NOTA[[#This Row],[CONCAT1]],[3]!db[NB NOTA_C],0)+1)</f>
        <v>2186</v>
      </c>
    </row>
    <row r="729" spans="1:43" ht="20.100000000000001" customHeight="1" x14ac:dyDescent="0.25">
      <c r="A7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188" t="str">
        <f>IF(NOTA[[#This Row],[ID_P]]="","",MATCH(NOTA[[#This Row],[ID_P]],[1]!B_MSK[N_ID],0))</f>
        <v/>
      </c>
      <c r="D729" s="188">
        <f ca="1">IF(NOTA[[#This Row],[NAMA BARANG]]="","",INDEX(NOTA[ID],MATCH(,INDIRECT(ADDRESS(ROW(NOTA[ID]),COLUMN(NOTA[ID]))&amp;":"&amp;ADDRESS(ROW(),COLUMN(NOTA[ID]))),-1)))</f>
        <v>131</v>
      </c>
      <c r="E729" s="189"/>
      <c r="F729" s="190"/>
      <c r="G729" s="190"/>
      <c r="H729" s="191"/>
      <c r="I729" s="190"/>
      <c r="J729" s="192"/>
      <c r="K729" s="190"/>
      <c r="L729" s="190" t="s">
        <v>254</v>
      </c>
      <c r="M729" s="193">
        <v>6</v>
      </c>
      <c r="N729" s="188">
        <v>432</v>
      </c>
      <c r="O729" s="190" t="s">
        <v>252</v>
      </c>
      <c r="P729" s="187">
        <v>19000</v>
      </c>
      <c r="Q729" s="194"/>
      <c r="R729" s="195" t="s">
        <v>253</v>
      </c>
      <c r="S729" s="196">
        <v>0.03</v>
      </c>
      <c r="T729" s="197"/>
      <c r="U729" s="198"/>
      <c r="V729" s="199"/>
      <c r="W729" s="198">
        <f>IF(NOTA[[#This Row],[HARGA/ CTN]]="",NOTA[[#This Row],[JUMLAH_H]],NOTA[[#This Row],[HARGA/ CTN]]*IF(NOTA[[#This Row],[C]]="",0,NOTA[[#This Row],[C]]))</f>
        <v>8208000</v>
      </c>
      <c r="X729" s="198">
        <f>IF(NOTA[[#This Row],[JUMLAH]]="","",NOTA[[#This Row],[JUMLAH]]*NOTA[[#This Row],[DISC 1]])</f>
        <v>246240</v>
      </c>
      <c r="Y729" s="198">
        <f>IF(NOTA[[#This Row],[JUMLAH]]="","",(NOTA[[#This Row],[JUMLAH]]-NOTA[[#This Row],[DISC 1-]])*NOTA[[#This Row],[DISC 2]])</f>
        <v>0</v>
      </c>
      <c r="Z729" s="198">
        <f>IF(NOTA[[#This Row],[JUMLAH]]="","",NOTA[[#This Row],[DISC 1-]]+NOTA[[#This Row],[DISC 2-]])</f>
        <v>246240</v>
      </c>
      <c r="AA729" s="198">
        <f>IF(NOTA[[#This Row],[JUMLAH]]="","",NOTA[[#This Row],[JUMLAH]]-NOTA[[#This Row],[DISC]])</f>
        <v>7961760</v>
      </c>
      <c r="AB729" s="198"/>
      <c r="AC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29" s="200">
        <f>IF(OR(NOTA[[#This Row],[QTY]]="",NOTA[[#This Row],[HARGA SATUAN]]="",),"",NOTA[[#This Row],[QTY]]*NOTA[[#This Row],[HARGA SATUAN]])</f>
        <v>8208000</v>
      </c>
      <c r="AG729" s="192">
        <f ca="1">IF(NOTA[ID_H]="","",INDEX(NOTA[TANGGAL],MATCH(,INDIRECT(ADDRESS(ROW(NOTA[TANGGAL]),COLUMN(NOTA[TANGGAL]))&amp;":"&amp;ADDRESS(ROW(),COLUMN(NOTA[TANGGAL]))),-1)))</f>
        <v>45072</v>
      </c>
      <c r="AH729" s="187" t="str">
        <f ca="1">IF(NOTA[[#This Row],[NAMA BARANG]]="","",INDEX(NOTA[SUPPLIER],MATCH(,INDIRECT(ADDRESS(ROW(NOTA[ID]),COLUMN(NOTA[ID]))&amp;":"&amp;ADDRESS(ROW(),COLUMN(NOTA[ID]))),-1)))</f>
        <v>DUTA BUANA</v>
      </c>
      <c r="AI729" s="187" t="str">
        <f ca="1">IF(NOTA[[#This Row],[ID_H]]="","",IF(NOTA[[#This Row],[FAKTUR]]="",INDIRECT(ADDRESS(ROW()-1,COLUMN())),NOTA[[#This Row],[FAKTUR]]))</f>
        <v>UNTANA</v>
      </c>
      <c r="AJ729" s="188" t="str">
        <f ca="1">IF(NOTA[[#This Row],[ID]]="","",COUNTIF(NOTA[ID_H],NOTA[[#This Row],[ID_H]]))</f>
        <v/>
      </c>
      <c r="AK729" s="188">
        <f ca="1">IF(NOTA[[#This Row],[TGL.NOTA]]="",IF(NOTA[[#This Row],[SUPPLIER_H]]="","",AK728),MONTH(NOTA[[#This Row],[TGL.NOTA]]))</f>
        <v>5</v>
      </c>
      <c r="AL729" s="18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M7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N7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acryliccolourtfac004n12x6mlneon13680000.03</v>
      </c>
      <c r="AO7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188" t="str">
        <f>IF(NOTA[[#This Row],[CONCAT4]]="","",_xlfn.IFNA(MATCH(NOTA[[#This Row],[CONCAT4]],[2]!RAW[CONCAT_H],0),FALSE))</f>
        <v/>
      </c>
      <c r="AQ729" s="188" t="e">
        <f>IF(NOTA[[#This Row],[CONCAT1]]="","",MATCH(NOTA[[#This Row],[CONCAT1]],[3]!db[NB NOTA_C],0)+1)</f>
        <v>#N/A</v>
      </c>
    </row>
    <row r="730" spans="1:43" ht="20.100000000000001" customHeight="1" x14ac:dyDescent="0.25">
      <c r="A73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188" t="str">
        <f>IF(NOTA[[#This Row],[ID_P]]="","",MATCH(NOTA[[#This Row],[ID_P]],[1]!B_MSK[N_ID],0))</f>
        <v/>
      </c>
      <c r="D730" s="188">
        <f ca="1">IF(NOTA[[#This Row],[NAMA BARANG]]="","",INDEX(NOTA[ID],MATCH(,INDIRECT(ADDRESS(ROW(NOTA[ID]),COLUMN(NOTA[ID]))&amp;":"&amp;ADDRESS(ROW(),COLUMN(NOTA[ID]))),-1)))</f>
        <v>131</v>
      </c>
      <c r="E730" s="189"/>
      <c r="F730" s="190"/>
      <c r="G730" s="190"/>
      <c r="H730" s="191"/>
      <c r="I730" s="190"/>
      <c r="J730" s="192"/>
      <c r="K730" s="190"/>
      <c r="L730" s="190" t="s">
        <v>251</v>
      </c>
      <c r="M730" s="193">
        <v>2</v>
      </c>
      <c r="N730" s="188">
        <v>144</v>
      </c>
      <c r="O730" s="190" t="s">
        <v>252</v>
      </c>
      <c r="P730" s="187">
        <v>17000</v>
      </c>
      <c r="Q730" s="194"/>
      <c r="R730" s="195" t="s">
        <v>253</v>
      </c>
      <c r="S730" s="196">
        <v>0.03</v>
      </c>
      <c r="T730" s="197"/>
      <c r="U730" s="198"/>
      <c r="V730" s="199"/>
      <c r="W730" s="198">
        <f>IF(NOTA[[#This Row],[HARGA/ CTN]]="",NOTA[[#This Row],[JUMLAH_H]],NOTA[[#This Row],[HARGA/ CTN]]*IF(NOTA[[#This Row],[C]]="",0,NOTA[[#This Row],[C]]))</f>
        <v>2448000</v>
      </c>
      <c r="X730" s="198">
        <f>IF(NOTA[[#This Row],[JUMLAH]]="","",NOTA[[#This Row],[JUMLAH]]*NOTA[[#This Row],[DISC 1]])</f>
        <v>73440</v>
      </c>
      <c r="Y730" s="198">
        <f>IF(NOTA[[#This Row],[JUMLAH]]="","",(NOTA[[#This Row],[JUMLAH]]-NOTA[[#This Row],[DISC 1-]])*NOTA[[#This Row],[DISC 2]])</f>
        <v>0</v>
      </c>
      <c r="Z730" s="198">
        <f>IF(NOTA[[#This Row],[JUMLAH]]="","",NOTA[[#This Row],[DISC 1-]]+NOTA[[#This Row],[DISC 2-]])</f>
        <v>73440</v>
      </c>
      <c r="AA730" s="198">
        <f>IF(NOTA[[#This Row],[JUMLAH]]="","",NOTA[[#This Row],[JUMLAH]]-NOTA[[#This Row],[DISC]])</f>
        <v>2374560</v>
      </c>
      <c r="AB730" s="198"/>
      <c r="AC7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187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730" s="200">
        <f>IF(OR(NOTA[[#This Row],[QTY]]="",NOTA[[#This Row],[HARGA SATUAN]]="",),"",NOTA[[#This Row],[QTY]]*NOTA[[#This Row],[HARGA SATUAN]])</f>
        <v>2448000</v>
      </c>
      <c r="AG730" s="192">
        <f ca="1">IF(NOTA[ID_H]="","",INDEX(NOTA[TANGGAL],MATCH(,INDIRECT(ADDRESS(ROW(NOTA[TANGGAL]),COLUMN(NOTA[TANGGAL]))&amp;":"&amp;ADDRESS(ROW(),COLUMN(NOTA[TANGGAL]))),-1)))</f>
        <v>45072</v>
      </c>
      <c r="AH730" s="187" t="str">
        <f ca="1">IF(NOTA[[#This Row],[NAMA BARANG]]="","",INDEX(NOTA[SUPPLIER],MATCH(,INDIRECT(ADDRESS(ROW(NOTA[ID]),COLUMN(NOTA[ID]))&amp;":"&amp;ADDRESS(ROW(),COLUMN(NOTA[ID]))),-1)))</f>
        <v>DUTA BUANA</v>
      </c>
      <c r="AI730" s="187" t="str">
        <f ca="1">IF(NOTA[[#This Row],[ID_H]]="","",IF(NOTA[[#This Row],[FAKTUR]]="",INDIRECT(ADDRESS(ROW()-1,COLUMN())),NOTA[[#This Row],[FAKTUR]]))</f>
        <v>UNTANA</v>
      </c>
      <c r="AJ730" s="188" t="str">
        <f ca="1">IF(NOTA[[#This Row],[ID]]="","",COUNTIF(NOTA[ID_H],NOTA[[#This Row],[ID_H]]))</f>
        <v/>
      </c>
      <c r="AK730" s="188">
        <f ca="1">IF(NOTA[[#This Row],[TGL.NOTA]]="",IF(NOTA[[#This Row],[SUPPLIER_H]]="","",AK729),MONTH(NOTA[[#This Row],[TGL.NOTA]]))</f>
        <v>5</v>
      </c>
      <c r="AL730" s="18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M7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N7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acryliccolourtfac005p12x6mlpastel12240000.03</v>
      </c>
      <c r="AO73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188" t="str">
        <f>IF(NOTA[[#This Row],[CONCAT4]]="","",_xlfn.IFNA(MATCH(NOTA[[#This Row],[CONCAT4]],[2]!RAW[CONCAT_H],0),FALSE))</f>
        <v/>
      </c>
      <c r="AQ730" s="188" t="e">
        <f>IF(NOTA[[#This Row],[CONCAT1]]="","",MATCH(NOTA[[#This Row],[CONCAT1]],[3]!db[NB NOTA_C],0)+1)</f>
        <v>#N/A</v>
      </c>
    </row>
    <row r="731" spans="1:43" ht="20.100000000000001" customHeight="1" x14ac:dyDescent="0.25">
      <c r="A7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188" t="str">
        <f>IF(NOTA[[#This Row],[ID_P]]="","",MATCH(NOTA[[#This Row],[ID_P]],[1]!B_MSK[N_ID],0))</f>
        <v/>
      </c>
      <c r="D731" s="188">
        <f ca="1">IF(NOTA[[#This Row],[NAMA BARANG]]="","",INDEX(NOTA[ID],MATCH(,INDIRECT(ADDRESS(ROW(NOTA[ID]),COLUMN(NOTA[ID]))&amp;":"&amp;ADDRESS(ROW(),COLUMN(NOTA[ID]))),-1)))</f>
        <v>131</v>
      </c>
      <c r="E731" s="189"/>
      <c r="F731" s="190"/>
      <c r="G731" s="190"/>
      <c r="H731" s="191"/>
      <c r="I731" s="190"/>
      <c r="J731" s="192"/>
      <c r="K731" s="190"/>
      <c r="L731" s="190" t="s">
        <v>255</v>
      </c>
      <c r="M731" s="193">
        <v>2</v>
      </c>
      <c r="N731" s="188">
        <v>144</v>
      </c>
      <c r="O731" s="190" t="s">
        <v>252</v>
      </c>
      <c r="P731" s="187">
        <v>19000</v>
      </c>
      <c r="Q731" s="194"/>
      <c r="R731" s="195" t="s">
        <v>253</v>
      </c>
      <c r="S731" s="196">
        <v>0.03</v>
      </c>
      <c r="T731" s="197"/>
      <c r="U731" s="198"/>
      <c r="V731" s="199"/>
      <c r="W731" s="198">
        <f>IF(NOTA[[#This Row],[HARGA/ CTN]]="",NOTA[[#This Row],[JUMLAH_H]],NOTA[[#This Row],[HARGA/ CTN]]*IF(NOTA[[#This Row],[C]]="",0,NOTA[[#This Row],[C]]))</f>
        <v>2736000</v>
      </c>
      <c r="X731" s="198">
        <f>IF(NOTA[[#This Row],[JUMLAH]]="","",NOTA[[#This Row],[JUMLAH]]*NOTA[[#This Row],[DISC 1]])</f>
        <v>82080</v>
      </c>
      <c r="Y731" s="198">
        <f>IF(NOTA[[#This Row],[JUMLAH]]="","",(NOTA[[#This Row],[JUMLAH]]-NOTA[[#This Row],[DISC 1-]])*NOTA[[#This Row],[DISC 2]])</f>
        <v>0</v>
      </c>
      <c r="Z731" s="198">
        <f>IF(NOTA[[#This Row],[JUMLAH]]="","",NOTA[[#This Row],[DISC 1-]]+NOTA[[#This Row],[DISC 2-]])</f>
        <v>82080</v>
      </c>
      <c r="AA731" s="198">
        <f>IF(NOTA[[#This Row],[JUMLAH]]="","",NOTA[[#This Row],[JUMLAH]]-NOTA[[#This Row],[DISC]])</f>
        <v>2653920</v>
      </c>
      <c r="AB731" s="198"/>
      <c r="AC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187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731" s="200">
        <f>IF(OR(NOTA[[#This Row],[QTY]]="",NOTA[[#This Row],[HARGA SATUAN]]="",),"",NOTA[[#This Row],[QTY]]*NOTA[[#This Row],[HARGA SATUAN]])</f>
        <v>2736000</v>
      </c>
      <c r="AG731" s="192">
        <f ca="1">IF(NOTA[ID_H]="","",INDEX(NOTA[TANGGAL],MATCH(,INDIRECT(ADDRESS(ROW(NOTA[TANGGAL]),COLUMN(NOTA[TANGGAL]))&amp;":"&amp;ADDRESS(ROW(),COLUMN(NOTA[TANGGAL]))),-1)))</f>
        <v>45072</v>
      </c>
      <c r="AH731" s="187" t="str">
        <f ca="1">IF(NOTA[[#This Row],[NAMA BARANG]]="","",INDEX(NOTA[SUPPLIER],MATCH(,INDIRECT(ADDRESS(ROW(NOTA[ID]),COLUMN(NOTA[ID]))&amp;":"&amp;ADDRESS(ROW(),COLUMN(NOTA[ID]))),-1)))</f>
        <v>DUTA BUANA</v>
      </c>
      <c r="AI731" s="187" t="str">
        <f ca="1">IF(NOTA[[#This Row],[ID_H]]="","",IF(NOTA[[#This Row],[FAKTUR]]="",INDIRECT(ADDRESS(ROW()-1,COLUMN())),NOTA[[#This Row],[FAKTUR]]))</f>
        <v>UNTANA</v>
      </c>
      <c r="AJ731" s="188" t="str">
        <f ca="1">IF(NOTA[[#This Row],[ID]]="","",COUNTIF(NOTA[ID_H],NOTA[[#This Row],[ID_H]]))</f>
        <v/>
      </c>
      <c r="AK731" s="188">
        <f ca="1">IF(NOTA[[#This Row],[TGL.NOTA]]="",IF(NOTA[[#This Row],[SUPPLIER_H]]="","",AK730),MONTH(NOTA[[#This Row],[TGL.NOTA]]))</f>
        <v>5</v>
      </c>
      <c r="AL731" s="18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M7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N7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acryliccolourtfac006m12x6mlmetalic13680000.03</v>
      </c>
      <c r="AO7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188" t="str">
        <f>IF(NOTA[[#This Row],[CONCAT4]]="","",_xlfn.IFNA(MATCH(NOTA[[#This Row],[CONCAT4]],[2]!RAW[CONCAT_H],0),FALSE))</f>
        <v/>
      </c>
      <c r="AQ731" s="188">
        <f>IF(NOTA[[#This Row],[CONCAT1]]="","",MATCH(NOTA[[#This Row],[CONCAT1]],[3]!db[NB NOTA_C],0)+1)</f>
        <v>29</v>
      </c>
    </row>
    <row r="732" spans="1:43" ht="20.100000000000001" customHeight="1" x14ac:dyDescent="0.25">
      <c r="A73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188" t="str">
        <f>IF(NOTA[[#This Row],[ID_P]]="","",MATCH(NOTA[[#This Row],[ID_P]],[1]!B_MSK[N_ID],0))</f>
        <v/>
      </c>
      <c r="D732" s="188">
        <f ca="1">IF(NOTA[[#This Row],[NAMA BARANG]]="","",INDEX(NOTA[ID],MATCH(,INDIRECT(ADDRESS(ROW(NOTA[ID]),COLUMN(NOTA[ID]))&amp;":"&amp;ADDRESS(ROW(),COLUMN(NOTA[ID]))),-1)))</f>
        <v>131</v>
      </c>
      <c r="E732" s="189"/>
      <c r="F732" s="190"/>
      <c r="G732" s="190"/>
      <c r="H732" s="191"/>
      <c r="I732" s="190"/>
      <c r="J732" s="192"/>
      <c r="K732" s="190"/>
      <c r="L732" s="190" t="s">
        <v>931</v>
      </c>
      <c r="M732" s="193"/>
      <c r="N732" s="188">
        <v>72</v>
      </c>
      <c r="O732" s="190" t="s">
        <v>125</v>
      </c>
      <c r="P732" s="187"/>
      <c r="Q732" s="194"/>
      <c r="R732" s="195"/>
      <c r="S732" s="196"/>
      <c r="T732" s="197"/>
      <c r="U732" s="198"/>
      <c r="V732" s="199" t="s">
        <v>181</v>
      </c>
      <c r="W732" s="198" t="str">
        <f>IF(NOTA[[#This Row],[HARGA/ CTN]]="",NOTA[[#This Row],[JUMLAH_H]],NOTA[[#This Row],[HARGA/ CTN]]*IF(NOTA[[#This Row],[C]]="",0,NOTA[[#This Row],[C]]))</f>
        <v/>
      </c>
      <c r="X732" s="198" t="str">
        <f>IF(NOTA[[#This Row],[JUMLAH]]="","",NOTA[[#This Row],[JUMLAH]]*NOTA[[#This Row],[DISC 1]])</f>
        <v/>
      </c>
      <c r="Y732" s="198" t="str">
        <f>IF(NOTA[[#This Row],[JUMLAH]]="","",(NOTA[[#This Row],[JUMLAH]]-NOTA[[#This Row],[DISC 1-]])*NOTA[[#This Row],[DISC 2]])</f>
        <v/>
      </c>
      <c r="Z732" s="198" t="str">
        <f>IF(NOTA[[#This Row],[JUMLAH]]="","",NOTA[[#This Row],[DISC 1-]]+NOTA[[#This Row],[DISC 2-]])</f>
        <v/>
      </c>
      <c r="AA732" s="198" t="str">
        <f>IF(NOTA[[#This Row],[JUMLAH]]="","",NOTA[[#This Row],[JUMLAH]]-NOTA[[#This Row],[DISC]])</f>
        <v/>
      </c>
      <c r="AB732" s="198"/>
      <c r="AC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32" s="200" t="str">
        <f>IF(OR(NOTA[[#This Row],[QTY]]="",NOTA[[#This Row],[HARGA SATUAN]]="",),"",NOTA[[#This Row],[QTY]]*NOTA[[#This Row],[HARGA SATUAN]])</f>
        <v/>
      </c>
      <c r="AG732" s="192">
        <f ca="1">IF(NOTA[ID_H]="","",INDEX(NOTA[TANGGAL],MATCH(,INDIRECT(ADDRESS(ROW(NOTA[TANGGAL]),COLUMN(NOTA[TANGGAL]))&amp;":"&amp;ADDRESS(ROW(),COLUMN(NOTA[TANGGAL]))),-1)))</f>
        <v>45072</v>
      </c>
      <c r="AH732" s="187" t="str">
        <f ca="1">IF(NOTA[[#This Row],[NAMA BARANG]]="","",INDEX(NOTA[SUPPLIER],MATCH(,INDIRECT(ADDRESS(ROW(NOTA[ID]),COLUMN(NOTA[ID]))&amp;":"&amp;ADDRESS(ROW(),COLUMN(NOTA[ID]))),-1)))</f>
        <v>DUTA BUANA</v>
      </c>
      <c r="AI732" s="187" t="str">
        <f ca="1">IF(NOTA[[#This Row],[ID_H]]="","",IF(NOTA[[#This Row],[FAKTUR]]="",INDIRECT(ADDRESS(ROW()-1,COLUMN())),NOTA[[#This Row],[FAKTUR]]))</f>
        <v>UNTANA</v>
      </c>
      <c r="AJ732" s="188" t="str">
        <f ca="1">IF(NOTA[[#This Row],[ID]]="","",COUNTIF(NOTA[ID_H],NOTA[[#This Row],[ID_H]]))</f>
        <v/>
      </c>
      <c r="AK732" s="188">
        <f ca="1">IF(NOTA[[#This Row],[TGL.NOTA]]="",IF(NOTA[[#This Row],[SUPPLIER_H]]="","",AK731),MONTH(NOTA[[#This Row],[TGL.NOTA]]))</f>
        <v>5</v>
      </c>
      <c r="AL732" s="188" t="str">
        <f>LOWER(SUBSTITUTE(SUBSTITUTE(SUBSTITUTE(SUBSTITUTE(SUBSTITUTE(SUBSTITUTE(SUBSTITUTE(SUBSTITUTE(SUBSTITUTE(NOTA[NAMA BARANG]," ",),".",""),"-",""),"(",""),")",""),",",""),"/",""),"""",""),"+",""))</f>
        <v>ballpenpromosihm2200ubonus</v>
      </c>
      <c r="AM7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ballpenpromosihm2200ubonus0</v>
      </c>
      <c r="AN7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ballpenpromosihm2200ubonus0</v>
      </c>
      <c r="AO73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188" t="str">
        <f>IF(NOTA[[#This Row],[CONCAT4]]="","",_xlfn.IFNA(MATCH(NOTA[[#This Row],[CONCAT4]],[2]!RAW[CONCAT_H],0),FALSE))</f>
        <v/>
      </c>
      <c r="AQ732" s="188" t="e">
        <f>IF(NOTA[[#This Row],[CONCAT1]]="","",MATCH(NOTA[[#This Row],[CONCAT1]],[3]!db[NB NOTA_C],0)+1)</f>
        <v>#N/A</v>
      </c>
    </row>
    <row r="733" spans="1:43" ht="20.100000000000001" customHeight="1" x14ac:dyDescent="0.25">
      <c r="A7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188" t="str">
        <f>IF(NOTA[[#This Row],[ID_P]]="","",MATCH(NOTA[[#This Row],[ID_P]],[1]!B_MSK[N_ID],0))</f>
        <v/>
      </c>
      <c r="D733" s="188">
        <f ca="1">IF(NOTA[[#This Row],[NAMA BARANG]]="","",INDEX(NOTA[ID],MATCH(,INDIRECT(ADDRESS(ROW(NOTA[ID]),COLUMN(NOTA[ID]))&amp;":"&amp;ADDRESS(ROW(),COLUMN(NOTA[ID]))),-1)))</f>
        <v>131</v>
      </c>
      <c r="E733" s="189"/>
      <c r="F733" s="190"/>
      <c r="G733" s="190"/>
      <c r="H733" s="191"/>
      <c r="I733" s="190"/>
      <c r="J733" s="192"/>
      <c r="K733" s="190"/>
      <c r="L733" s="190" t="s">
        <v>932</v>
      </c>
      <c r="M733" s="193">
        <v>3</v>
      </c>
      <c r="N733" s="188">
        <v>216</v>
      </c>
      <c r="O733" s="190" t="s">
        <v>252</v>
      </c>
      <c r="P733" s="187">
        <v>23500</v>
      </c>
      <c r="Q733" s="194"/>
      <c r="R733" s="195" t="s">
        <v>253</v>
      </c>
      <c r="S733" s="196">
        <v>0.03</v>
      </c>
      <c r="T733" s="197"/>
      <c r="U733" s="198"/>
      <c r="V733" s="199"/>
      <c r="W733" s="198">
        <f>IF(NOTA[[#This Row],[HARGA/ CTN]]="",NOTA[[#This Row],[JUMLAH_H]],NOTA[[#This Row],[HARGA/ CTN]]*IF(NOTA[[#This Row],[C]]="",0,NOTA[[#This Row],[C]]))</f>
        <v>5076000</v>
      </c>
      <c r="X733" s="198">
        <f>IF(NOTA[[#This Row],[JUMLAH]]="","",NOTA[[#This Row],[JUMLAH]]*NOTA[[#This Row],[DISC 1]])</f>
        <v>152280</v>
      </c>
      <c r="Y733" s="198">
        <f>IF(NOTA[[#This Row],[JUMLAH]]="","",(NOTA[[#This Row],[JUMLAH]]-NOTA[[#This Row],[DISC 1-]])*NOTA[[#This Row],[DISC 2]])</f>
        <v>0</v>
      </c>
      <c r="Z733" s="198">
        <f>IF(NOTA[[#This Row],[JUMLAH]]="","",NOTA[[#This Row],[DISC 1-]]+NOTA[[#This Row],[DISC 2-]])</f>
        <v>152280</v>
      </c>
      <c r="AA733" s="198">
        <f>IF(NOTA[[#This Row],[JUMLAH]]="","",NOTA[[#This Row],[JUMLAH]]-NOTA[[#This Row],[DISC]])</f>
        <v>4923720</v>
      </c>
      <c r="AB733" s="198"/>
      <c r="AC7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1075140</v>
      </c>
      <c r="AD7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34762860</v>
      </c>
      <c r="AE733" s="187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F733" s="200">
        <f>IF(OR(NOTA[[#This Row],[QTY]]="",NOTA[[#This Row],[HARGA SATUAN]]="",),"",NOTA[[#This Row],[QTY]]*NOTA[[#This Row],[HARGA SATUAN]])</f>
        <v>5076000</v>
      </c>
      <c r="AG733" s="192">
        <f ca="1">IF(NOTA[ID_H]="","",INDEX(NOTA[TANGGAL],MATCH(,INDIRECT(ADDRESS(ROW(NOTA[TANGGAL]),COLUMN(NOTA[TANGGAL]))&amp;":"&amp;ADDRESS(ROW(),COLUMN(NOTA[TANGGAL]))),-1)))</f>
        <v>45072</v>
      </c>
      <c r="AH733" s="187" t="str">
        <f ca="1">IF(NOTA[[#This Row],[NAMA BARANG]]="","",INDEX(NOTA[SUPPLIER],MATCH(,INDIRECT(ADDRESS(ROW(NOTA[ID]),COLUMN(NOTA[ID]))&amp;":"&amp;ADDRESS(ROW(),COLUMN(NOTA[ID]))),-1)))</f>
        <v>DUTA BUANA</v>
      </c>
      <c r="AI733" s="187" t="str">
        <f ca="1">IF(NOTA[[#This Row],[ID_H]]="","",IF(NOTA[[#This Row],[FAKTUR]]="",INDIRECT(ADDRESS(ROW()-1,COLUMN())),NOTA[[#This Row],[FAKTUR]]))</f>
        <v>UNTANA</v>
      </c>
      <c r="AJ733" s="188" t="str">
        <f ca="1">IF(NOTA[[#This Row],[ID]]="","",COUNTIF(NOTA[ID_H],NOTA[[#This Row],[ID_H]]))</f>
        <v/>
      </c>
      <c r="AK733" s="188">
        <f ca="1">IF(NOTA[[#This Row],[TGL.NOTA]]="",IF(NOTA[[#This Row],[SUPPLIER_H]]="","",AK732),MONTH(NOTA[[#This Row],[TGL.NOTA]]))</f>
        <v>5</v>
      </c>
      <c r="AL733" s="188" t="str">
        <f>LOWER(SUBSTITUTE(SUBSTITUTE(SUBSTITUTE(SUBSTITUTE(SUBSTITUTE(SUBSTITUTE(SUBSTITUTE(SUBSTITUTE(SUBSTITUTE(NOTA[NAMA BARANG]," ",),".",""),"-",""),"(",""),")",""),",",""),"/",""),"""",""),"+",""))</f>
        <v>acryliccolourtfac003</v>
      </c>
      <c r="AM7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acryliccolourtfac00316920000.03</v>
      </c>
      <c r="AN7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acryliccolourtfac00316920000.03</v>
      </c>
      <c r="AO7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188" t="str">
        <f>IF(NOTA[[#This Row],[CONCAT4]]="","",_xlfn.IFNA(MATCH(NOTA[[#This Row],[CONCAT4]],[2]!RAW[CONCAT_H],0),FALSE))</f>
        <v/>
      </c>
      <c r="AQ733" s="188" t="e">
        <f>IF(NOTA[[#This Row],[CONCAT1]]="","",MATCH(NOTA[[#This Row],[CONCAT1]],[3]!db[NB NOTA_C],0)+1)</f>
        <v>#N/A</v>
      </c>
    </row>
    <row r="734" spans="1:43" ht="20.100000000000001" customHeight="1" x14ac:dyDescent="0.25">
      <c r="A7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188" t="str">
        <f>IF(NOTA[[#This Row],[ID_P]]="","",MATCH(NOTA[[#This Row],[ID_P]],[1]!B_MSK[N_ID],0))</f>
        <v/>
      </c>
      <c r="D734" s="188" t="str">
        <f ca="1">IF(NOTA[[#This Row],[NAMA BARANG]]="","",INDEX(NOTA[ID],MATCH(,INDIRECT(ADDRESS(ROW(NOTA[ID]),COLUMN(NOTA[ID]))&amp;":"&amp;ADDRESS(ROW(),COLUMN(NOTA[ID]))),-1)))</f>
        <v/>
      </c>
      <c r="E734" s="189"/>
      <c r="F734" s="190"/>
      <c r="G734" s="190"/>
      <c r="H734" s="191"/>
      <c r="I734" s="190"/>
      <c r="J734" s="192"/>
      <c r="K734" s="190"/>
      <c r="L734" s="190"/>
      <c r="M734" s="193"/>
      <c r="N734" s="188"/>
      <c r="O734" s="190"/>
      <c r="P734" s="187"/>
      <c r="Q734" s="194"/>
      <c r="R734" s="195"/>
      <c r="S734" s="196"/>
      <c r="T734" s="197"/>
      <c r="U734" s="198"/>
      <c r="V734" s="199"/>
      <c r="W734" s="198" t="str">
        <f>IF(NOTA[[#This Row],[HARGA/ CTN]]="",NOTA[[#This Row],[JUMLAH_H]],NOTA[[#This Row],[HARGA/ CTN]]*IF(NOTA[[#This Row],[C]]="",0,NOTA[[#This Row],[C]]))</f>
        <v/>
      </c>
      <c r="X734" s="198" t="str">
        <f>IF(NOTA[[#This Row],[JUMLAH]]="","",NOTA[[#This Row],[JUMLAH]]*NOTA[[#This Row],[DISC 1]])</f>
        <v/>
      </c>
      <c r="Y734" s="198" t="str">
        <f>IF(NOTA[[#This Row],[JUMLAH]]="","",(NOTA[[#This Row],[JUMLAH]]-NOTA[[#This Row],[DISC 1-]])*NOTA[[#This Row],[DISC 2]])</f>
        <v/>
      </c>
      <c r="Z734" s="198" t="str">
        <f>IF(NOTA[[#This Row],[JUMLAH]]="","",NOTA[[#This Row],[DISC 1-]]+NOTA[[#This Row],[DISC 2-]])</f>
        <v/>
      </c>
      <c r="AA734" s="198" t="str">
        <f>IF(NOTA[[#This Row],[JUMLAH]]="","",NOTA[[#This Row],[JUMLAH]]-NOTA[[#This Row],[DISC]])</f>
        <v/>
      </c>
      <c r="AB734" s="198"/>
      <c r="AC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200" t="str">
        <f>IF(OR(NOTA[[#This Row],[QTY]]="",NOTA[[#This Row],[HARGA SATUAN]]="",),"",NOTA[[#This Row],[QTY]]*NOTA[[#This Row],[HARGA SATUAN]])</f>
        <v/>
      </c>
      <c r="AG734" s="192" t="str">
        <f ca="1">IF(NOTA[ID_H]="","",INDEX(NOTA[TANGGAL],MATCH(,INDIRECT(ADDRESS(ROW(NOTA[TANGGAL]),COLUMN(NOTA[TANGGAL]))&amp;":"&amp;ADDRESS(ROW(),COLUMN(NOTA[TANGGAL]))),-1)))</f>
        <v/>
      </c>
      <c r="AH734" s="187" t="str">
        <f ca="1">IF(NOTA[[#This Row],[NAMA BARANG]]="","",INDEX(NOTA[SUPPLIER],MATCH(,INDIRECT(ADDRESS(ROW(NOTA[ID]),COLUMN(NOTA[ID]))&amp;":"&amp;ADDRESS(ROW(),COLUMN(NOTA[ID]))),-1)))</f>
        <v/>
      </c>
      <c r="AI734" s="187" t="str">
        <f ca="1">IF(NOTA[[#This Row],[ID_H]]="","",IF(NOTA[[#This Row],[FAKTUR]]="",INDIRECT(ADDRESS(ROW()-1,COLUMN())),NOTA[[#This Row],[FAKTUR]]))</f>
        <v/>
      </c>
      <c r="AJ734" s="188" t="str">
        <f ca="1">IF(NOTA[[#This Row],[ID]]="","",COUNTIF(NOTA[ID_H],NOTA[[#This Row],[ID_H]]))</f>
        <v/>
      </c>
      <c r="AK734" s="188" t="str">
        <f ca="1">IF(NOTA[[#This Row],[TGL.NOTA]]="",IF(NOTA[[#This Row],[SUPPLIER_H]]="","",AK733),MONTH(NOTA[[#This Row],[TGL.NOTA]]))</f>
        <v/>
      </c>
      <c r="AL734" s="188" t="str">
        <f>LOWER(SUBSTITUTE(SUBSTITUTE(SUBSTITUTE(SUBSTITUTE(SUBSTITUTE(SUBSTITUTE(SUBSTITUTE(SUBSTITUTE(SUBSTITUTE(NOTA[NAMA BARANG]," ",),".",""),"-",""),"(",""),")",""),",",""),"/",""),"""",""),"+",""))</f>
        <v/>
      </c>
      <c r="AM7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188" t="str">
        <f>IF(NOTA[[#This Row],[CONCAT4]]="","",_xlfn.IFNA(MATCH(NOTA[[#This Row],[CONCAT4]],[2]!RAW[CONCAT_H],0),FALSE))</f>
        <v/>
      </c>
      <c r="AQ734" s="188" t="str">
        <f>IF(NOTA[[#This Row],[CONCAT1]]="","",MATCH(NOTA[[#This Row],[CONCAT1]],[3]!db[NB NOTA_C],0)+1)</f>
        <v/>
      </c>
    </row>
    <row r="735" spans="1:43" ht="20.100000000000001" customHeight="1" x14ac:dyDescent="0.25">
      <c r="A735" s="187">
        <f ca="1">IF(INDIRECT(ADDRESS(ROW()-1,COLUMN(NOTA[[#Headers],[ID]])))="ID",1,IF(NOTA[[#This Row],[FAKTUR]]="","",COUNT(INDIRECT(ADDRESS(ROW(NOTA[ID]),COLUMN(NOTA[ID]))&amp;":"&amp;ADDRESS(ROW()-1,COLUMN(NOTA[ID]))))+1))</f>
        <v>132</v>
      </c>
      <c r="B73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DUT_2605_23H-8</v>
      </c>
      <c r="C735" s="188" t="e">
        <f ca="1">IF(NOTA[[#This Row],[ID_P]]="","",MATCH(NOTA[[#This Row],[ID_P]],[1]!B_MSK[N_ID],0))</f>
        <v>#REF!</v>
      </c>
      <c r="D735" s="188">
        <f ca="1">IF(NOTA[[#This Row],[NAMA BARANG]]="","",INDEX(NOTA[ID],MATCH(,INDIRECT(ADDRESS(ROW(NOTA[ID]),COLUMN(NOTA[ID]))&amp;":"&amp;ADDRESS(ROW(),COLUMN(NOTA[ID]))),-1)))</f>
        <v>132</v>
      </c>
      <c r="E735" s="189"/>
      <c r="F735" s="190" t="s">
        <v>249</v>
      </c>
      <c r="G735" s="190" t="s">
        <v>112</v>
      </c>
      <c r="H735" s="191" t="s">
        <v>933</v>
      </c>
      <c r="I735" s="190"/>
      <c r="J735" s="192">
        <v>45070</v>
      </c>
      <c r="K735" s="190"/>
      <c r="L735" s="190" t="s">
        <v>934</v>
      </c>
      <c r="M735" s="193">
        <v>5</v>
      </c>
      <c r="N735" s="188">
        <v>100</v>
      </c>
      <c r="O735" s="190" t="s">
        <v>183</v>
      </c>
      <c r="P735" s="187">
        <v>77220</v>
      </c>
      <c r="Q735" s="194"/>
      <c r="R735" s="195" t="s">
        <v>184</v>
      </c>
      <c r="S735" s="196">
        <v>0.03</v>
      </c>
      <c r="T735" s="197"/>
      <c r="U735" s="198"/>
      <c r="V735" s="199"/>
      <c r="W735" s="198">
        <f>IF(NOTA[[#This Row],[HARGA/ CTN]]="",NOTA[[#This Row],[JUMLAH_H]],NOTA[[#This Row],[HARGA/ CTN]]*IF(NOTA[[#This Row],[C]]="",0,NOTA[[#This Row],[C]]))</f>
        <v>7722000</v>
      </c>
      <c r="X735" s="198">
        <f>IF(NOTA[[#This Row],[JUMLAH]]="","",NOTA[[#This Row],[JUMLAH]]*NOTA[[#This Row],[DISC 1]])</f>
        <v>231660</v>
      </c>
      <c r="Y735" s="198">
        <f>IF(NOTA[[#This Row],[JUMLAH]]="","",(NOTA[[#This Row],[JUMLAH]]-NOTA[[#This Row],[DISC 1-]])*NOTA[[#This Row],[DISC 2]])</f>
        <v>0</v>
      </c>
      <c r="Z735" s="198">
        <f>IF(NOTA[[#This Row],[JUMLAH]]="","",NOTA[[#This Row],[DISC 1-]]+NOTA[[#This Row],[DISC 2-]])</f>
        <v>231660</v>
      </c>
      <c r="AA735" s="198">
        <f>IF(NOTA[[#This Row],[JUMLAH]]="","",NOTA[[#This Row],[JUMLAH]]-NOTA[[#This Row],[DISC]])</f>
        <v>7490340</v>
      </c>
      <c r="AB735" s="198"/>
      <c r="AC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35" s="200">
        <f>IF(OR(NOTA[[#This Row],[QTY]]="",NOTA[[#This Row],[HARGA SATUAN]]="",),"",NOTA[[#This Row],[QTY]]*NOTA[[#This Row],[HARGA SATUAN]])</f>
        <v>7722000</v>
      </c>
      <c r="AG735" s="192">
        <f ca="1">IF(NOTA[ID_H]="","",INDEX(NOTA[TANGGAL],MATCH(,INDIRECT(ADDRESS(ROW(NOTA[TANGGAL]),COLUMN(NOTA[TANGGAL]))&amp;":"&amp;ADDRESS(ROW(),COLUMN(NOTA[TANGGAL]))),-1)))</f>
        <v>45072</v>
      </c>
      <c r="AH735" s="187" t="str">
        <f ca="1">IF(NOTA[[#This Row],[NAMA BARANG]]="","",INDEX(NOTA[SUPPLIER],MATCH(,INDIRECT(ADDRESS(ROW(NOTA[ID]),COLUMN(NOTA[ID]))&amp;":"&amp;ADDRESS(ROW(),COLUMN(NOTA[ID]))),-1)))</f>
        <v>DUTA BUANA</v>
      </c>
      <c r="AI735" s="187" t="str">
        <f ca="1">IF(NOTA[[#This Row],[ID_H]]="","",IF(NOTA[[#This Row],[FAKTUR]]="",INDIRECT(ADDRESS(ROW()-1,COLUMN())),NOTA[[#This Row],[FAKTUR]]))</f>
        <v>UNTANA</v>
      </c>
      <c r="AJ735" s="188">
        <f ca="1">IF(NOTA[[#This Row],[ID]]="","",COUNTIF(NOTA[ID_H],NOTA[[#This Row],[ID_H]]))</f>
        <v>8</v>
      </c>
      <c r="AK735" s="188">
        <f>IF(NOTA[[#This Row],[TGL.NOTA]]="",IF(NOTA[[#This Row],[SUPPLIER_H]]="","",AK734),MONTH(NOTA[[#This Row],[TGL.NOTA]]))</f>
        <v>5</v>
      </c>
      <c r="AL735" s="188" t="str">
        <f>LOWER(SUBSTITUTE(SUBSTITUTE(SUBSTITUTE(SUBSTITUTE(SUBSTITUTE(SUBSTITUTE(SUBSTITUTE(SUBSTITUTE(SUBSTITUTE(NOTA[NAMA BARANG]," ",),".",""),"-",""),"(",""),")",""),",",""),"/",""),"""",""),"+",""))</f>
        <v>penciltf188serutan2bbiru</v>
      </c>
      <c r="AM7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penciltf188serutan2bbiru15444000.03</v>
      </c>
      <c r="AN7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penciltf188serutan2bbiru15444000.03</v>
      </c>
      <c r="AO735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148/ 05-23H45070penciltf188serutan2bbiru</v>
      </c>
      <c r="AP735" s="188" t="e">
        <f>IF(NOTA[[#This Row],[CONCAT4]]="","",_xlfn.IFNA(MATCH(NOTA[[#This Row],[CONCAT4]],[2]!RAW[CONCAT_H],0),FALSE))</f>
        <v>#REF!</v>
      </c>
      <c r="AQ735" s="188" t="e">
        <f>IF(NOTA[[#This Row],[CONCAT1]]="","",MATCH(NOTA[[#This Row],[CONCAT1]],[3]!db[NB NOTA_C],0)+1)</f>
        <v>#N/A</v>
      </c>
    </row>
    <row r="736" spans="1:43" ht="20.100000000000001" customHeight="1" x14ac:dyDescent="0.25">
      <c r="A7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188" t="str">
        <f>IF(NOTA[[#This Row],[ID_P]]="","",MATCH(NOTA[[#This Row],[ID_P]],[1]!B_MSK[N_ID],0))</f>
        <v/>
      </c>
      <c r="D736" s="188">
        <f ca="1">IF(NOTA[[#This Row],[NAMA BARANG]]="","",INDEX(NOTA[ID],MATCH(,INDIRECT(ADDRESS(ROW(NOTA[ID]),COLUMN(NOTA[ID]))&amp;":"&amp;ADDRESS(ROW(),COLUMN(NOTA[ID]))),-1)))</f>
        <v>132</v>
      </c>
      <c r="E736" s="189"/>
      <c r="F736" s="190"/>
      <c r="G736" s="190"/>
      <c r="H736" s="191"/>
      <c r="I736" s="190"/>
      <c r="J736" s="192"/>
      <c r="K736" s="190"/>
      <c r="L736" s="190" t="s">
        <v>935</v>
      </c>
      <c r="M736" s="193">
        <v>5</v>
      </c>
      <c r="N736" s="188">
        <v>100</v>
      </c>
      <c r="O736" s="190" t="s">
        <v>183</v>
      </c>
      <c r="P736" s="187">
        <v>77220</v>
      </c>
      <c r="Q736" s="194"/>
      <c r="R736" s="195" t="s">
        <v>184</v>
      </c>
      <c r="S736" s="196">
        <v>0.03</v>
      </c>
      <c r="T736" s="197"/>
      <c r="U736" s="198"/>
      <c r="V736" s="199"/>
      <c r="W736" s="198">
        <f>IF(NOTA[[#This Row],[HARGA/ CTN]]="",NOTA[[#This Row],[JUMLAH_H]],NOTA[[#This Row],[HARGA/ CTN]]*IF(NOTA[[#This Row],[C]]="",0,NOTA[[#This Row],[C]]))</f>
        <v>7722000</v>
      </c>
      <c r="X736" s="198">
        <f>IF(NOTA[[#This Row],[JUMLAH]]="","",NOTA[[#This Row],[JUMLAH]]*NOTA[[#This Row],[DISC 1]])</f>
        <v>231660</v>
      </c>
      <c r="Y736" s="198">
        <f>IF(NOTA[[#This Row],[JUMLAH]]="","",(NOTA[[#This Row],[JUMLAH]]-NOTA[[#This Row],[DISC 1-]])*NOTA[[#This Row],[DISC 2]])</f>
        <v>0</v>
      </c>
      <c r="Z736" s="198">
        <f>IF(NOTA[[#This Row],[JUMLAH]]="","",NOTA[[#This Row],[DISC 1-]]+NOTA[[#This Row],[DISC 2-]])</f>
        <v>231660</v>
      </c>
      <c r="AA736" s="198">
        <f>IF(NOTA[[#This Row],[JUMLAH]]="","",NOTA[[#This Row],[JUMLAH]]-NOTA[[#This Row],[DISC]])</f>
        <v>7490340</v>
      </c>
      <c r="AB736" s="198"/>
      <c r="AC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187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F736" s="200">
        <f>IF(OR(NOTA[[#This Row],[QTY]]="",NOTA[[#This Row],[HARGA SATUAN]]="",),"",NOTA[[#This Row],[QTY]]*NOTA[[#This Row],[HARGA SATUAN]])</f>
        <v>7722000</v>
      </c>
      <c r="AG736" s="192">
        <f ca="1">IF(NOTA[ID_H]="","",INDEX(NOTA[TANGGAL],MATCH(,INDIRECT(ADDRESS(ROW(NOTA[TANGGAL]),COLUMN(NOTA[TANGGAL]))&amp;":"&amp;ADDRESS(ROW(),COLUMN(NOTA[TANGGAL]))),-1)))</f>
        <v>45072</v>
      </c>
      <c r="AH736" s="187" t="str">
        <f ca="1">IF(NOTA[[#This Row],[NAMA BARANG]]="","",INDEX(NOTA[SUPPLIER],MATCH(,INDIRECT(ADDRESS(ROW(NOTA[ID]),COLUMN(NOTA[ID]))&amp;":"&amp;ADDRESS(ROW(),COLUMN(NOTA[ID]))),-1)))</f>
        <v>DUTA BUANA</v>
      </c>
      <c r="AI736" s="187" t="str">
        <f ca="1">IF(NOTA[[#This Row],[ID_H]]="","",IF(NOTA[[#This Row],[FAKTUR]]="",INDIRECT(ADDRESS(ROW()-1,COLUMN())),NOTA[[#This Row],[FAKTUR]]))</f>
        <v>UNTANA</v>
      </c>
      <c r="AJ736" s="188" t="str">
        <f ca="1">IF(NOTA[[#This Row],[ID]]="","",COUNTIF(NOTA[ID_H],NOTA[[#This Row],[ID_H]]))</f>
        <v/>
      </c>
      <c r="AK736" s="188">
        <f ca="1">IF(NOTA[[#This Row],[TGL.NOTA]]="",IF(NOTA[[#This Row],[SUPPLIER_H]]="","",AK735),MONTH(NOTA[[#This Row],[TGL.NOTA]]))</f>
        <v>5</v>
      </c>
      <c r="AL736" s="188" t="str">
        <f>LOWER(SUBSTITUTE(SUBSTITUTE(SUBSTITUTE(SUBSTITUTE(SUBSTITUTE(SUBSTITUTE(SUBSTITUTE(SUBSTITUTE(SUBSTITUTE(NOTA[NAMA BARANG]," ",),".",""),"-",""),"(",""),")",""),",",""),"/",""),"""",""),"+",""))</f>
        <v>penciltf288serutan</v>
      </c>
      <c r="AM7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penciltf288serutan15444000.03</v>
      </c>
      <c r="AN7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penciltf288serutan15444000.03</v>
      </c>
      <c r="AO7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188" t="str">
        <f>IF(NOTA[[#This Row],[CONCAT4]]="","",_xlfn.IFNA(MATCH(NOTA[[#This Row],[CONCAT4]],[2]!RAW[CONCAT_H],0),FALSE))</f>
        <v/>
      </c>
      <c r="AQ736" s="188" t="e">
        <f>IF(NOTA[[#This Row],[CONCAT1]]="","",MATCH(NOTA[[#This Row],[CONCAT1]],[3]!db[NB NOTA_C],0)+1)</f>
        <v>#N/A</v>
      </c>
    </row>
    <row r="737" spans="1:43" ht="20.100000000000001" customHeight="1" x14ac:dyDescent="0.25">
      <c r="A73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188" t="str">
        <f>IF(NOTA[[#This Row],[ID_P]]="","",MATCH(NOTA[[#This Row],[ID_P]],[1]!B_MSK[N_ID],0))</f>
        <v/>
      </c>
      <c r="D737" s="188">
        <f ca="1">IF(NOTA[[#This Row],[NAMA BARANG]]="","",INDEX(NOTA[ID],MATCH(,INDIRECT(ADDRESS(ROW(NOTA[ID]),COLUMN(NOTA[ID]))&amp;":"&amp;ADDRESS(ROW(),COLUMN(NOTA[ID]))),-1)))</f>
        <v>132</v>
      </c>
      <c r="E737" s="189"/>
      <c r="F737" s="190"/>
      <c r="G737" s="190"/>
      <c r="H737" s="191"/>
      <c r="I737" s="190"/>
      <c r="J737" s="192"/>
      <c r="K737" s="190"/>
      <c r="L737" s="190" t="s">
        <v>936</v>
      </c>
      <c r="M737" s="193">
        <v>5</v>
      </c>
      <c r="N737" s="188">
        <v>100</v>
      </c>
      <c r="O737" s="190" t="s">
        <v>183</v>
      </c>
      <c r="P737" s="187">
        <v>78975</v>
      </c>
      <c r="Q737" s="194"/>
      <c r="R737" s="195" t="s">
        <v>184</v>
      </c>
      <c r="S737" s="196">
        <v>0.03</v>
      </c>
      <c r="T737" s="197"/>
      <c r="U737" s="198"/>
      <c r="V737" s="199"/>
      <c r="W737" s="198">
        <f>IF(NOTA[[#This Row],[HARGA/ CTN]]="",NOTA[[#This Row],[JUMLAH_H]],NOTA[[#This Row],[HARGA/ CTN]]*IF(NOTA[[#This Row],[C]]="",0,NOTA[[#This Row],[C]]))</f>
        <v>7897500</v>
      </c>
      <c r="X737" s="198">
        <f>IF(NOTA[[#This Row],[JUMLAH]]="","",NOTA[[#This Row],[JUMLAH]]*NOTA[[#This Row],[DISC 1]])</f>
        <v>236925</v>
      </c>
      <c r="Y737" s="198">
        <f>IF(NOTA[[#This Row],[JUMLAH]]="","",(NOTA[[#This Row],[JUMLAH]]-NOTA[[#This Row],[DISC 1-]])*NOTA[[#This Row],[DISC 2]])</f>
        <v>0</v>
      </c>
      <c r="Z737" s="198">
        <f>IF(NOTA[[#This Row],[JUMLAH]]="","",NOTA[[#This Row],[DISC 1-]]+NOTA[[#This Row],[DISC 2-]])</f>
        <v>236925</v>
      </c>
      <c r="AA737" s="198">
        <f>IF(NOTA[[#This Row],[JUMLAH]]="","",NOTA[[#This Row],[JUMLAH]]-NOTA[[#This Row],[DISC]])</f>
        <v>7660575</v>
      </c>
      <c r="AB737" s="198"/>
      <c r="AC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37" s="200">
        <f>IF(OR(NOTA[[#This Row],[QTY]]="",NOTA[[#This Row],[HARGA SATUAN]]="",),"",NOTA[[#This Row],[QTY]]*NOTA[[#This Row],[HARGA SATUAN]])</f>
        <v>7897500</v>
      </c>
      <c r="AG737" s="192">
        <f ca="1">IF(NOTA[ID_H]="","",INDEX(NOTA[TANGGAL],MATCH(,INDIRECT(ADDRESS(ROW(NOTA[TANGGAL]),COLUMN(NOTA[TANGGAL]))&amp;":"&amp;ADDRESS(ROW(),COLUMN(NOTA[TANGGAL]))),-1)))</f>
        <v>45072</v>
      </c>
      <c r="AH737" s="187" t="str">
        <f ca="1">IF(NOTA[[#This Row],[NAMA BARANG]]="","",INDEX(NOTA[SUPPLIER],MATCH(,INDIRECT(ADDRESS(ROW(NOTA[ID]),COLUMN(NOTA[ID]))&amp;":"&amp;ADDRESS(ROW(),COLUMN(NOTA[ID]))),-1)))</f>
        <v>DUTA BUANA</v>
      </c>
      <c r="AI737" s="187" t="str">
        <f ca="1">IF(NOTA[[#This Row],[ID_H]]="","",IF(NOTA[[#This Row],[FAKTUR]]="",INDIRECT(ADDRESS(ROW()-1,COLUMN())),NOTA[[#This Row],[FAKTUR]]))</f>
        <v>UNTANA</v>
      </c>
      <c r="AJ737" s="188" t="str">
        <f ca="1">IF(NOTA[[#This Row],[ID]]="","",COUNTIF(NOTA[ID_H],NOTA[[#This Row],[ID_H]]))</f>
        <v/>
      </c>
      <c r="AK737" s="188">
        <f ca="1">IF(NOTA[[#This Row],[TGL.NOTA]]="",IF(NOTA[[#This Row],[SUPPLIER_H]]="","",AK736),MONTH(NOTA[[#This Row],[TGL.NOTA]]))</f>
        <v>5</v>
      </c>
      <c r="AL737" s="188" t="str">
        <f>LOWER(SUBSTITUTE(SUBSTITUTE(SUBSTITUTE(SUBSTITUTE(SUBSTITUTE(SUBSTITUTE(SUBSTITUTE(SUBSTITUTE(SUBSTITUTE(NOTA[NAMA BARANG]," ",),".",""),"-",""),"(",""),")",""),",",""),"/",""),"""",""),"+",""))</f>
        <v>penciltf588serutan</v>
      </c>
      <c r="AM7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penciltf588serutan15795000.03</v>
      </c>
      <c r="AN7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penciltf588serutan15795000.03</v>
      </c>
      <c r="AO73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188" t="str">
        <f>IF(NOTA[[#This Row],[CONCAT4]]="","",_xlfn.IFNA(MATCH(NOTA[[#This Row],[CONCAT4]],[2]!RAW[CONCAT_H],0),FALSE))</f>
        <v/>
      </c>
      <c r="AQ737" s="188">
        <f>IF(NOTA[[#This Row],[CONCAT1]]="","",MATCH(NOTA[[#This Row],[CONCAT1]],[3]!db[NB NOTA_C],0)+1)</f>
        <v>1934</v>
      </c>
    </row>
    <row r="738" spans="1:43" ht="20.100000000000001" customHeight="1" x14ac:dyDescent="0.25">
      <c r="A7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188" t="str">
        <f>IF(NOTA[[#This Row],[ID_P]]="","",MATCH(NOTA[[#This Row],[ID_P]],[1]!B_MSK[N_ID],0))</f>
        <v/>
      </c>
      <c r="D738" s="188">
        <f ca="1">IF(NOTA[[#This Row],[NAMA BARANG]]="","",INDEX(NOTA[ID],MATCH(,INDIRECT(ADDRESS(ROW(NOTA[ID]),COLUMN(NOTA[ID]))&amp;":"&amp;ADDRESS(ROW(),COLUMN(NOTA[ID]))),-1)))</f>
        <v>132</v>
      </c>
      <c r="E738" s="189"/>
      <c r="F738" s="190"/>
      <c r="G738" s="190"/>
      <c r="H738" s="191"/>
      <c r="I738" s="190"/>
      <c r="J738" s="192"/>
      <c r="K738" s="190"/>
      <c r="L738" s="190" t="s">
        <v>937</v>
      </c>
      <c r="M738" s="193">
        <v>5</v>
      </c>
      <c r="N738" s="188">
        <v>100</v>
      </c>
      <c r="O738" s="190" t="s">
        <v>183</v>
      </c>
      <c r="P738" s="187">
        <v>78975</v>
      </c>
      <c r="Q738" s="194"/>
      <c r="R738" s="195" t="s">
        <v>184</v>
      </c>
      <c r="S738" s="196">
        <v>0.03</v>
      </c>
      <c r="T738" s="197"/>
      <c r="U738" s="198"/>
      <c r="V738" s="199"/>
      <c r="W738" s="198">
        <f>IF(NOTA[[#This Row],[HARGA/ CTN]]="",NOTA[[#This Row],[JUMLAH_H]],NOTA[[#This Row],[HARGA/ CTN]]*IF(NOTA[[#This Row],[C]]="",0,NOTA[[#This Row],[C]]))</f>
        <v>7897500</v>
      </c>
      <c r="X738" s="198">
        <f>IF(NOTA[[#This Row],[JUMLAH]]="","",NOTA[[#This Row],[JUMLAH]]*NOTA[[#This Row],[DISC 1]])</f>
        <v>236925</v>
      </c>
      <c r="Y738" s="198">
        <f>IF(NOTA[[#This Row],[JUMLAH]]="","",(NOTA[[#This Row],[JUMLAH]]-NOTA[[#This Row],[DISC 1-]])*NOTA[[#This Row],[DISC 2]])</f>
        <v>0</v>
      </c>
      <c r="Z738" s="198">
        <f>IF(NOTA[[#This Row],[JUMLAH]]="","",NOTA[[#This Row],[DISC 1-]]+NOTA[[#This Row],[DISC 2-]])</f>
        <v>236925</v>
      </c>
      <c r="AA738" s="198">
        <f>IF(NOTA[[#This Row],[JUMLAH]]="","",NOTA[[#This Row],[JUMLAH]]-NOTA[[#This Row],[DISC]])</f>
        <v>7660575</v>
      </c>
      <c r="AB738" s="198"/>
      <c r="AC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38" s="200">
        <f>IF(OR(NOTA[[#This Row],[QTY]]="",NOTA[[#This Row],[HARGA SATUAN]]="",),"",NOTA[[#This Row],[QTY]]*NOTA[[#This Row],[HARGA SATUAN]])</f>
        <v>7897500</v>
      </c>
      <c r="AG738" s="192">
        <f ca="1">IF(NOTA[ID_H]="","",INDEX(NOTA[TANGGAL],MATCH(,INDIRECT(ADDRESS(ROW(NOTA[TANGGAL]),COLUMN(NOTA[TANGGAL]))&amp;":"&amp;ADDRESS(ROW(),COLUMN(NOTA[TANGGAL]))),-1)))</f>
        <v>45072</v>
      </c>
      <c r="AH738" s="187" t="str">
        <f ca="1">IF(NOTA[[#This Row],[NAMA BARANG]]="","",INDEX(NOTA[SUPPLIER],MATCH(,INDIRECT(ADDRESS(ROW(NOTA[ID]),COLUMN(NOTA[ID]))&amp;":"&amp;ADDRESS(ROW(),COLUMN(NOTA[ID]))),-1)))</f>
        <v>DUTA BUANA</v>
      </c>
      <c r="AI738" s="187" t="str">
        <f ca="1">IF(NOTA[[#This Row],[ID_H]]="","",IF(NOTA[[#This Row],[FAKTUR]]="",INDIRECT(ADDRESS(ROW()-1,COLUMN())),NOTA[[#This Row],[FAKTUR]]))</f>
        <v>UNTANA</v>
      </c>
      <c r="AJ738" s="188" t="str">
        <f ca="1">IF(NOTA[[#This Row],[ID]]="","",COUNTIF(NOTA[ID_H],NOTA[[#This Row],[ID_H]]))</f>
        <v/>
      </c>
      <c r="AK738" s="188">
        <f ca="1">IF(NOTA[[#This Row],[TGL.NOTA]]="",IF(NOTA[[#This Row],[SUPPLIER_H]]="","",AK737),MONTH(NOTA[[#This Row],[TGL.NOTA]]))</f>
        <v>5</v>
      </c>
      <c r="AL738" s="188" t="str">
        <f>LOWER(SUBSTITUTE(SUBSTITUTE(SUBSTITUTE(SUBSTITUTE(SUBSTITUTE(SUBSTITUTE(SUBSTITUTE(SUBSTITUTE(SUBSTITUTE(NOTA[NAMA BARANG]," ",),".",""),"-",""),"(",""),")",""),",",""),"/",""),"""",""),"+",""))</f>
        <v>penciltf688serutan</v>
      </c>
      <c r="AM7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penciltf688serutan15795000.03</v>
      </c>
      <c r="AN7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penciltf688serutan15795000.03</v>
      </c>
      <c r="AO7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188" t="str">
        <f>IF(NOTA[[#This Row],[CONCAT4]]="","",_xlfn.IFNA(MATCH(NOTA[[#This Row],[CONCAT4]],[2]!RAW[CONCAT_H],0),FALSE))</f>
        <v/>
      </c>
      <c r="AQ738" s="188">
        <f>IF(NOTA[[#This Row],[CONCAT1]]="","",MATCH(NOTA[[#This Row],[CONCAT1]],[3]!db[NB NOTA_C],0)+1)</f>
        <v>1935</v>
      </c>
    </row>
    <row r="739" spans="1:43" ht="20.100000000000001" customHeight="1" x14ac:dyDescent="0.25">
      <c r="A7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188" t="str">
        <f>IF(NOTA[[#This Row],[ID_P]]="","",MATCH(NOTA[[#This Row],[ID_P]],[1]!B_MSK[N_ID],0))</f>
        <v/>
      </c>
      <c r="D739" s="188">
        <f ca="1">IF(NOTA[[#This Row],[NAMA BARANG]]="","",INDEX(NOTA[ID],MATCH(,INDIRECT(ADDRESS(ROW(NOTA[ID]),COLUMN(NOTA[ID]))&amp;":"&amp;ADDRESS(ROW(),COLUMN(NOTA[ID]))),-1)))</f>
        <v>132</v>
      </c>
      <c r="E739" s="189"/>
      <c r="F739" s="190"/>
      <c r="G739" s="190"/>
      <c r="H739" s="191"/>
      <c r="I739" s="190"/>
      <c r="J739" s="192"/>
      <c r="K739" s="190"/>
      <c r="L739" s="190" t="s">
        <v>938</v>
      </c>
      <c r="M739" s="193">
        <v>5</v>
      </c>
      <c r="N739" s="188">
        <v>100</v>
      </c>
      <c r="O739" s="190" t="s">
        <v>183</v>
      </c>
      <c r="P739" s="187">
        <v>78975</v>
      </c>
      <c r="Q739" s="194"/>
      <c r="R739" s="195" t="s">
        <v>184</v>
      </c>
      <c r="S739" s="196">
        <v>0.03</v>
      </c>
      <c r="T739" s="197"/>
      <c r="U739" s="198"/>
      <c r="V739" s="199"/>
      <c r="W739" s="198">
        <f>IF(NOTA[[#This Row],[HARGA/ CTN]]="",NOTA[[#This Row],[JUMLAH_H]],NOTA[[#This Row],[HARGA/ CTN]]*IF(NOTA[[#This Row],[C]]="",0,NOTA[[#This Row],[C]]))</f>
        <v>7897500</v>
      </c>
      <c r="X739" s="198">
        <f>IF(NOTA[[#This Row],[JUMLAH]]="","",NOTA[[#This Row],[JUMLAH]]*NOTA[[#This Row],[DISC 1]])</f>
        <v>236925</v>
      </c>
      <c r="Y739" s="198">
        <f>IF(NOTA[[#This Row],[JUMLAH]]="","",(NOTA[[#This Row],[JUMLAH]]-NOTA[[#This Row],[DISC 1-]])*NOTA[[#This Row],[DISC 2]])</f>
        <v>0</v>
      </c>
      <c r="Z739" s="198">
        <f>IF(NOTA[[#This Row],[JUMLAH]]="","",NOTA[[#This Row],[DISC 1-]]+NOTA[[#This Row],[DISC 2-]])</f>
        <v>236925</v>
      </c>
      <c r="AA739" s="198">
        <f>IF(NOTA[[#This Row],[JUMLAH]]="","",NOTA[[#This Row],[JUMLAH]]-NOTA[[#This Row],[DISC]])</f>
        <v>7660575</v>
      </c>
      <c r="AB739" s="198"/>
      <c r="AC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187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F739" s="200">
        <f>IF(OR(NOTA[[#This Row],[QTY]]="",NOTA[[#This Row],[HARGA SATUAN]]="",),"",NOTA[[#This Row],[QTY]]*NOTA[[#This Row],[HARGA SATUAN]])</f>
        <v>7897500</v>
      </c>
      <c r="AG739" s="192">
        <f ca="1">IF(NOTA[ID_H]="","",INDEX(NOTA[TANGGAL],MATCH(,INDIRECT(ADDRESS(ROW(NOTA[TANGGAL]),COLUMN(NOTA[TANGGAL]))&amp;":"&amp;ADDRESS(ROW(),COLUMN(NOTA[TANGGAL]))),-1)))</f>
        <v>45072</v>
      </c>
      <c r="AH739" s="187" t="str">
        <f ca="1">IF(NOTA[[#This Row],[NAMA BARANG]]="","",INDEX(NOTA[SUPPLIER],MATCH(,INDIRECT(ADDRESS(ROW(NOTA[ID]),COLUMN(NOTA[ID]))&amp;":"&amp;ADDRESS(ROW(),COLUMN(NOTA[ID]))),-1)))</f>
        <v>DUTA BUANA</v>
      </c>
      <c r="AI739" s="187" t="str">
        <f ca="1">IF(NOTA[[#This Row],[ID_H]]="","",IF(NOTA[[#This Row],[FAKTUR]]="",INDIRECT(ADDRESS(ROW()-1,COLUMN())),NOTA[[#This Row],[FAKTUR]]))</f>
        <v>UNTANA</v>
      </c>
      <c r="AJ739" s="188" t="str">
        <f ca="1">IF(NOTA[[#This Row],[ID]]="","",COUNTIF(NOTA[ID_H],NOTA[[#This Row],[ID_H]]))</f>
        <v/>
      </c>
      <c r="AK739" s="188">
        <f ca="1">IF(NOTA[[#This Row],[TGL.NOTA]]="",IF(NOTA[[#This Row],[SUPPLIER_H]]="","",AK738),MONTH(NOTA[[#This Row],[TGL.NOTA]]))</f>
        <v>5</v>
      </c>
      <c r="AL739" s="188" t="str">
        <f>LOWER(SUBSTITUTE(SUBSTITUTE(SUBSTITUTE(SUBSTITUTE(SUBSTITUTE(SUBSTITUTE(SUBSTITUTE(SUBSTITUTE(SUBSTITUTE(NOTA[NAMA BARANG]," ",),".",""),"-",""),"(",""),")",""),",",""),"/",""),"""",""),"+",""))</f>
        <v>penciltf788serutan</v>
      </c>
      <c r="AM7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penciltf788serutan15795000.03</v>
      </c>
      <c r="AN7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penciltf788serutan15795000.03</v>
      </c>
      <c r="AO7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188" t="str">
        <f>IF(NOTA[[#This Row],[CONCAT4]]="","",_xlfn.IFNA(MATCH(NOTA[[#This Row],[CONCAT4]],[2]!RAW[CONCAT_H],0),FALSE))</f>
        <v/>
      </c>
      <c r="AQ739" s="188" t="e">
        <f>IF(NOTA[[#This Row],[CONCAT1]]="","",MATCH(NOTA[[#This Row],[CONCAT1]],[3]!db[NB NOTA_C],0)+1)</f>
        <v>#N/A</v>
      </c>
    </row>
    <row r="740" spans="1:43" ht="20.100000000000001" customHeight="1" x14ac:dyDescent="0.25">
      <c r="A7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188" t="str">
        <f>IF(NOTA[[#This Row],[ID_P]]="","",MATCH(NOTA[[#This Row],[ID_P]],[1]!B_MSK[N_ID],0))</f>
        <v/>
      </c>
      <c r="D740" s="188">
        <f ca="1">IF(NOTA[[#This Row],[NAMA BARANG]]="","",INDEX(NOTA[ID],MATCH(,INDIRECT(ADDRESS(ROW(NOTA[ID]),COLUMN(NOTA[ID]))&amp;":"&amp;ADDRESS(ROW(),COLUMN(NOTA[ID]))),-1)))</f>
        <v>132</v>
      </c>
      <c r="E740" s="189"/>
      <c r="F740" s="190"/>
      <c r="G740" s="190"/>
      <c r="H740" s="191"/>
      <c r="I740" s="190"/>
      <c r="J740" s="192"/>
      <c r="K740" s="190"/>
      <c r="L740" s="190" t="s">
        <v>939</v>
      </c>
      <c r="M740" s="193">
        <v>1</v>
      </c>
      <c r="N740" s="188">
        <v>120</v>
      </c>
      <c r="O740" s="190" t="s">
        <v>252</v>
      </c>
      <c r="P740" s="187">
        <v>20000</v>
      </c>
      <c r="Q740" s="194"/>
      <c r="R740" s="195" t="s">
        <v>908</v>
      </c>
      <c r="S740" s="196">
        <v>0.03</v>
      </c>
      <c r="T740" s="197"/>
      <c r="U740" s="198"/>
      <c r="V740" s="199"/>
      <c r="W740" s="198">
        <f>IF(NOTA[[#This Row],[HARGA/ CTN]]="",NOTA[[#This Row],[JUMLAH_H]],NOTA[[#This Row],[HARGA/ CTN]]*IF(NOTA[[#This Row],[C]]="",0,NOTA[[#This Row],[C]]))</f>
        <v>2400000</v>
      </c>
      <c r="X740" s="198">
        <f>IF(NOTA[[#This Row],[JUMLAH]]="","",NOTA[[#This Row],[JUMLAH]]*NOTA[[#This Row],[DISC 1]])</f>
        <v>72000</v>
      </c>
      <c r="Y740" s="198">
        <f>IF(NOTA[[#This Row],[JUMLAH]]="","",(NOTA[[#This Row],[JUMLAH]]-NOTA[[#This Row],[DISC 1-]])*NOTA[[#This Row],[DISC 2]])</f>
        <v>0</v>
      </c>
      <c r="Z740" s="198">
        <f>IF(NOTA[[#This Row],[JUMLAH]]="","",NOTA[[#This Row],[DISC 1-]]+NOTA[[#This Row],[DISC 2-]])</f>
        <v>72000</v>
      </c>
      <c r="AA740" s="198">
        <f>IF(NOTA[[#This Row],[JUMLAH]]="","",NOTA[[#This Row],[JUMLAH]]-NOTA[[#This Row],[DISC]])</f>
        <v>2328000</v>
      </c>
      <c r="AB740" s="198"/>
      <c r="AC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40" s="200">
        <f>IF(OR(NOTA[[#This Row],[QTY]]="",NOTA[[#This Row],[HARGA SATUAN]]="",),"",NOTA[[#This Row],[QTY]]*NOTA[[#This Row],[HARGA SATUAN]])</f>
        <v>2400000</v>
      </c>
      <c r="AG740" s="192">
        <f ca="1">IF(NOTA[ID_H]="","",INDEX(NOTA[TANGGAL],MATCH(,INDIRECT(ADDRESS(ROW(NOTA[TANGGAL]),COLUMN(NOTA[TANGGAL]))&amp;":"&amp;ADDRESS(ROW(),COLUMN(NOTA[TANGGAL]))),-1)))</f>
        <v>45072</v>
      </c>
      <c r="AH740" s="187" t="str">
        <f ca="1">IF(NOTA[[#This Row],[NAMA BARANG]]="","",INDEX(NOTA[SUPPLIER],MATCH(,INDIRECT(ADDRESS(ROW(NOTA[ID]),COLUMN(NOTA[ID]))&amp;":"&amp;ADDRESS(ROW(),COLUMN(NOTA[ID]))),-1)))</f>
        <v>DUTA BUANA</v>
      </c>
      <c r="AI740" s="187" t="str">
        <f ca="1">IF(NOTA[[#This Row],[ID_H]]="","",IF(NOTA[[#This Row],[FAKTUR]]="",INDIRECT(ADDRESS(ROW()-1,COLUMN())),NOTA[[#This Row],[FAKTUR]]))</f>
        <v>UNTANA</v>
      </c>
      <c r="AJ740" s="188" t="str">
        <f ca="1">IF(NOTA[[#This Row],[ID]]="","",COUNTIF(NOTA[ID_H],NOTA[[#This Row],[ID_H]]))</f>
        <v/>
      </c>
      <c r="AK740" s="188">
        <f ca="1">IF(NOTA[[#This Row],[TGL.NOTA]]="",IF(NOTA[[#This Row],[SUPPLIER_H]]="","",AK739),MONTH(NOTA[[#This Row],[TGL.NOTA]]))</f>
        <v>5</v>
      </c>
      <c r="AL740" s="188" t="str">
        <f>LOWER(SUBSTITUTE(SUBSTITUTE(SUBSTITUTE(SUBSTITUTE(SUBSTITUTE(SUBSTITUTE(SUBSTITUTE(SUBSTITUTE(SUBSTITUTE(NOTA[NAMA BARANG]," ",),".",""),"-",""),"(",""),")",""),",",""),"/",""),"""",""),"+",""))</f>
        <v>penciltf19424pastel24wpj</v>
      </c>
      <c r="AM7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penciltf19424pastel24wpj24000000.03</v>
      </c>
      <c r="AN7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penciltf19424pastel24wpj24000000.03</v>
      </c>
      <c r="AO7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188" t="str">
        <f>IF(NOTA[[#This Row],[CONCAT4]]="","",_xlfn.IFNA(MATCH(NOTA[[#This Row],[CONCAT4]],[2]!RAW[CONCAT_H],0),FALSE))</f>
        <v/>
      </c>
      <c r="AQ740" s="188" t="e">
        <f>IF(NOTA[[#This Row],[CONCAT1]]="","",MATCH(NOTA[[#This Row],[CONCAT1]],[3]!db[NB NOTA_C],0)+1)</f>
        <v>#N/A</v>
      </c>
    </row>
    <row r="741" spans="1:43" ht="20.100000000000001" customHeight="1" x14ac:dyDescent="0.25">
      <c r="A74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188" t="str">
        <f>IF(NOTA[[#This Row],[ID_P]]="","",MATCH(NOTA[[#This Row],[ID_P]],[1]!B_MSK[N_ID],0))</f>
        <v/>
      </c>
      <c r="D741" s="188">
        <f ca="1">IF(NOTA[[#This Row],[NAMA BARANG]]="","",INDEX(NOTA[ID],MATCH(,INDIRECT(ADDRESS(ROW(NOTA[ID]),COLUMN(NOTA[ID]))&amp;":"&amp;ADDRESS(ROW(),COLUMN(NOTA[ID]))),-1)))</f>
        <v>132</v>
      </c>
      <c r="E741" s="189"/>
      <c r="F741" s="190"/>
      <c r="G741" s="190"/>
      <c r="H741" s="191"/>
      <c r="I741" s="190"/>
      <c r="J741" s="192"/>
      <c r="K741" s="190"/>
      <c r="L741" s="190" t="s">
        <v>940</v>
      </c>
      <c r="M741" s="193">
        <v>1</v>
      </c>
      <c r="N741" s="188">
        <v>240</v>
      </c>
      <c r="O741" s="190" t="s">
        <v>252</v>
      </c>
      <c r="P741" s="187">
        <v>10000</v>
      </c>
      <c r="Q741" s="194"/>
      <c r="R741" s="195" t="s">
        <v>941</v>
      </c>
      <c r="S741" s="196">
        <v>0.03</v>
      </c>
      <c r="T741" s="197"/>
      <c r="U741" s="198"/>
      <c r="V741" s="199"/>
      <c r="W741" s="198">
        <f>IF(NOTA[[#This Row],[HARGA/ CTN]]="",NOTA[[#This Row],[JUMLAH_H]],NOTA[[#This Row],[HARGA/ CTN]]*IF(NOTA[[#This Row],[C]]="",0,NOTA[[#This Row],[C]]))</f>
        <v>2400000</v>
      </c>
      <c r="X741" s="198">
        <f>IF(NOTA[[#This Row],[JUMLAH]]="","",NOTA[[#This Row],[JUMLAH]]*NOTA[[#This Row],[DISC 1]])</f>
        <v>72000</v>
      </c>
      <c r="Y741" s="198">
        <f>IF(NOTA[[#This Row],[JUMLAH]]="","",(NOTA[[#This Row],[JUMLAH]]-NOTA[[#This Row],[DISC 1-]])*NOTA[[#This Row],[DISC 2]])</f>
        <v>0</v>
      </c>
      <c r="Z741" s="198">
        <f>IF(NOTA[[#This Row],[JUMLAH]]="","",NOTA[[#This Row],[DISC 1-]]+NOTA[[#This Row],[DISC 2-]])</f>
        <v>72000</v>
      </c>
      <c r="AA741" s="198">
        <f>IF(NOTA[[#This Row],[JUMLAH]]="","",NOTA[[#This Row],[JUMLAH]]-NOTA[[#This Row],[DISC]])</f>
        <v>2328000</v>
      </c>
      <c r="AB741" s="198"/>
      <c r="AC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41" s="200">
        <f>IF(OR(NOTA[[#This Row],[QTY]]="",NOTA[[#This Row],[HARGA SATUAN]]="",),"",NOTA[[#This Row],[QTY]]*NOTA[[#This Row],[HARGA SATUAN]])</f>
        <v>2400000</v>
      </c>
      <c r="AG741" s="192">
        <f ca="1">IF(NOTA[ID_H]="","",INDEX(NOTA[TANGGAL],MATCH(,INDIRECT(ADDRESS(ROW(NOTA[TANGGAL]),COLUMN(NOTA[TANGGAL]))&amp;":"&amp;ADDRESS(ROW(),COLUMN(NOTA[TANGGAL]))),-1)))</f>
        <v>45072</v>
      </c>
      <c r="AH741" s="187" t="str">
        <f ca="1">IF(NOTA[[#This Row],[NAMA BARANG]]="","",INDEX(NOTA[SUPPLIER],MATCH(,INDIRECT(ADDRESS(ROW(NOTA[ID]),COLUMN(NOTA[ID]))&amp;":"&amp;ADDRESS(ROW(),COLUMN(NOTA[ID]))),-1)))</f>
        <v>DUTA BUANA</v>
      </c>
      <c r="AI741" s="187" t="str">
        <f ca="1">IF(NOTA[[#This Row],[ID_H]]="","",IF(NOTA[[#This Row],[FAKTUR]]="",INDIRECT(ADDRESS(ROW()-1,COLUMN())),NOTA[[#This Row],[FAKTUR]]))</f>
        <v>UNTANA</v>
      </c>
      <c r="AJ741" s="188" t="str">
        <f ca="1">IF(NOTA[[#This Row],[ID]]="","",COUNTIF(NOTA[ID_H],NOTA[[#This Row],[ID_H]]))</f>
        <v/>
      </c>
      <c r="AK741" s="188">
        <f ca="1">IF(NOTA[[#This Row],[TGL.NOTA]]="",IF(NOTA[[#This Row],[SUPPLIER_H]]="","",AK740),MONTH(NOTA[[#This Row],[TGL.NOTA]]))</f>
        <v>5</v>
      </c>
      <c r="AL741" s="188" t="str">
        <f>LOWER(SUBSTITUTE(SUBSTITUTE(SUBSTITUTE(SUBSTITUTE(SUBSTITUTE(SUBSTITUTE(SUBSTITUTE(SUBSTITUTE(SUBSTITUTE(NOTA[NAMA BARANG]," ",),".",""),"-",""),"(",""),")",""),",",""),"/",""),"""",""),"+",""))</f>
        <v>penciltf19512pastel12wpj</v>
      </c>
      <c r="AM7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penciltf19512pastel12wpj24000000.03</v>
      </c>
      <c r="AN7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penciltf19512pastel12wpj24000000.03</v>
      </c>
      <c r="AO74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188" t="str">
        <f>IF(NOTA[[#This Row],[CONCAT4]]="","",_xlfn.IFNA(MATCH(NOTA[[#This Row],[CONCAT4]],[2]!RAW[CONCAT_H],0),FALSE))</f>
        <v/>
      </c>
      <c r="AQ741" s="188" t="e">
        <f>IF(NOTA[[#This Row],[CONCAT1]]="","",MATCH(NOTA[[#This Row],[CONCAT1]],[3]!db[NB NOTA_C],0)+1)</f>
        <v>#N/A</v>
      </c>
    </row>
    <row r="742" spans="1:43" ht="20.100000000000001" customHeight="1" x14ac:dyDescent="0.25">
      <c r="A7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188" t="str">
        <f>IF(NOTA[[#This Row],[ID_P]]="","",MATCH(NOTA[[#This Row],[ID_P]],[1]!B_MSK[N_ID],0))</f>
        <v/>
      </c>
      <c r="D742" s="188">
        <f ca="1">IF(NOTA[[#This Row],[NAMA BARANG]]="","",INDEX(NOTA[ID],MATCH(,INDIRECT(ADDRESS(ROW(NOTA[ID]),COLUMN(NOTA[ID]))&amp;":"&amp;ADDRESS(ROW(),COLUMN(NOTA[ID]))),-1)))</f>
        <v>132</v>
      </c>
      <c r="E742" s="189"/>
      <c r="F742" s="190"/>
      <c r="G742" s="190"/>
      <c r="H742" s="191"/>
      <c r="I742" s="190"/>
      <c r="J742" s="192"/>
      <c r="K742" s="190"/>
      <c r="L742" s="190" t="s">
        <v>942</v>
      </c>
      <c r="M742" s="193">
        <v>5</v>
      </c>
      <c r="N742" s="188">
        <v>540</v>
      </c>
      <c r="O742" s="190" t="s">
        <v>160</v>
      </c>
      <c r="P742" s="187">
        <v>12500</v>
      </c>
      <c r="Q742" s="194"/>
      <c r="R742" s="195" t="s">
        <v>744</v>
      </c>
      <c r="S742" s="196">
        <v>0.03</v>
      </c>
      <c r="T742" s="197"/>
      <c r="U742" s="198"/>
      <c r="V742" s="199"/>
      <c r="W742" s="198">
        <f>IF(NOTA[[#This Row],[HARGA/ CTN]]="",NOTA[[#This Row],[JUMLAH_H]],NOTA[[#This Row],[HARGA/ CTN]]*IF(NOTA[[#This Row],[C]]="",0,NOTA[[#This Row],[C]]))</f>
        <v>6750000</v>
      </c>
      <c r="X742" s="198">
        <f>IF(NOTA[[#This Row],[JUMLAH]]="","",NOTA[[#This Row],[JUMLAH]]*NOTA[[#This Row],[DISC 1]])</f>
        <v>202500</v>
      </c>
      <c r="Y742" s="198">
        <f>IF(NOTA[[#This Row],[JUMLAH]]="","",(NOTA[[#This Row],[JUMLAH]]-NOTA[[#This Row],[DISC 1-]])*NOTA[[#This Row],[DISC 2]])</f>
        <v>0</v>
      </c>
      <c r="Z742" s="198">
        <f>IF(NOTA[[#This Row],[JUMLAH]]="","",NOTA[[#This Row],[DISC 1-]]+NOTA[[#This Row],[DISC 2-]])</f>
        <v>202500</v>
      </c>
      <c r="AA742" s="198">
        <f>IF(NOTA[[#This Row],[JUMLAH]]="","",NOTA[[#This Row],[JUMLAH]]-NOTA[[#This Row],[DISC]])</f>
        <v>6547500</v>
      </c>
      <c r="AB742" s="198"/>
      <c r="AC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1520595</v>
      </c>
      <c r="AD74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49165905</v>
      </c>
      <c r="AE742" s="187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42" s="200">
        <f>IF(OR(NOTA[[#This Row],[QTY]]="",NOTA[[#This Row],[HARGA SATUAN]]="",),"",NOTA[[#This Row],[QTY]]*NOTA[[#This Row],[HARGA SATUAN]])</f>
        <v>6750000</v>
      </c>
      <c r="AG742" s="192">
        <f ca="1">IF(NOTA[ID_H]="","",INDEX(NOTA[TANGGAL],MATCH(,INDIRECT(ADDRESS(ROW(NOTA[TANGGAL]),COLUMN(NOTA[TANGGAL]))&amp;":"&amp;ADDRESS(ROW(),COLUMN(NOTA[TANGGAL]))),-1)))</f>
        <v>45072</v>
      </c>
      <c r="AH742" s="187" t="str">
        <f ca="1">IF(NOTA[[#This Row],[NAMA BARANG]]="","",INDEX(NOTA[SUPPLIER],MATCH(,INDIRECT(ADDRESS(ROW(NOTA[ID]),COLUMN(NOTA[ID]))&amp;":"&amp;ADDRESS(ROW(),COLUMN(NOTA[ID]))),-1)))</f>
        <v>DUTA BUANA</v>
      </c>
      <c r="AI742" s="187" t="str">
        <f ca="1">IF(NOTA[[#This Row],[ID_H]]="","",IF(NOTA[[#This Row],[FAKTUR]]="",INDIRECT(ADDRESS(ROW()-1,COLUMN())),NOTA[[#This Row],[FAKTUR]]))</f>
        <v>UNTANA</v>
      </c>
      <c r="AJ742" s="188" t="str">
        <f ca="1">IF(NOTA[[#This Row],[ID]]="","",COUNTIF(NOTA[ID_H],NOTA[[#This Row],[ID_H]]))</f>
        <v/>
      </c>
      <c r="AK742" s="188">
        <f ca="1">IF(NOTA[[#This Row],[TGL.NOTA]]="",IF(NOTA[[#This Row],[SUPPLIER_H]]="","",AK741),MONTH(NOTA[[#This Row],[TGL.NOTA]]))</f>
        <v>5</v>
      </c>
      <c r="AL742" s="188" t="str">
        <f>LOWER(SUBSTITUTE(SUBSTITUTE(SUBSTITUTE(SUBSTITUTE(SUBSTITUTE(SUBSTITUTE(SUBSTITUTE(SUBSTITUTE(SUBSTITUTE(NOTA[NAMA BARANG]," ",),".",""),"-",""),"(",""),")",""),",",""),"/",""),"""",""),"+",""))</f>
        <v>sticknotetf5n0243</v>
      </c>
      <c r="AM7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sticknotetf5n024313500000.03</v>
      </c>
      <c r="AN7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sticknotetf5n024313500000.03</v>
      </c>
      <c r="AO7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188" t="str">
        <f>IF(NOTA[[#This Row],[CONCAT4]]="","",_xlfn.IFNA(MATCH(NOTA[[#This Row],[CONCAT4]],[2]!RAW[CONCAT_H],0),FALSE))</f>
        <v/>
      </c>
      <c r="AQ742" s="188" t="e">
        <f>IF(NOTA[[#This Row],[CONCAT1]]="","",MATCH(NOTA[[#This Row],[CONCAT1]],[3]!db[NB NOTA_C],0)+1)</f>
        <v>#N/A</v>
      </c>
    </row>
    <row r="743" spans="1:43" ht="20.100000000000001" customHeight="1" x14ac:dyDescent="0.25">
      <c r="A7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188" t="str">
        <f>IF(NOTA[[#This Row],[ID_P]]="","",MATCH(NOTA[[#This Row],[ID_P]],[1]!B_MSK[N_ID],0))</f>
        <v/>
      </c>
      <c r="D743" s="188" t="str">
        <f ca="1">IF(NOTA[[#This Row],[NAMA BARANG]]="","",INDEX(NOTA[ID],MATCH(,INDIRECT(ADDRESS(ROW(NOTA[ID]),COLUMN(NOTA[ID]))&amp;":"&amp;ADDRESS(ROW(),COLUMN(NOTA[ID]))),-1)))</f>
        <v/>
      </c>
      <c r="E743" s="189"/>
      <c r="F743" s="190"/>
      <c r="G743" s="190"/>
      <c r="H743" s="191"/>
      <c r="I743" s="190"/>
      <c r="J743" s="192"/>
      <c r="K743" s="190"/>
      <c r="L743" s="190"/>
      <c r="M743" s="193"/>
      <c r="N743" s="188"/>
      <c r="O743" s="190"/>
      <c r="P743" s="187"/>
      <c r="Q743" s="194"/>
      <c r="R743" s="195"/>
      <c r="S743" s="196"/>
      <c r="T743" s="197"/>
      <c r="U743" s="198"/>
      <c r="V743" s="199"/>
      <c r="W743" s="198" t="str">
        <f>IF(NOTA[[#This Row],[HARGA/ CTN]]="",NOTA[[#This Row],[JUMLAH_H]],NOTA[[#This Row],[HARGA/ CTN]]*IF(NOTA[[#This Row],[C]]="",0,NOTA[[#This Row],[C]]))</f>
        <v/>
      </c>
      <c r="X743" s="198" t="str">
        <f>IF(NOTA[[#This Row],[JUMLAH]]="","",NOTA[[#This Row],[JUMLAH]]*NOTA[[#This Row],[DISC 1]])</f>
        <v/>
      </c>
      <c r="Y743" s="198" t="str">
        <f>IF(NOTA[[#This Row],[JUMLAH]]="","",(NOTA[[#This Row],[JUMLAH]]-NOTA[[#This Row],[DISC 1-]])*NOTA[[#This Row],[DISC 2]])</f>
        <v/>
      </c>
      <c r="Z743" s="198" t="str">
        <f>IF(NOTA[[#This Row],[JUMLAH]]="","",NOTA[[#This Row],[DISC 1-]]+NOTA[[#This Row],[DISC 2-]])</f>
        <v/>
      </c>
      <c r="AA743" s="198" t="str">
        <f>IF(NOTA[[#This Row],[JUMLAH]]="","",NOTA[[#This Row],[JUMLAH]]-NOTA[[#This Row],[DISC]])</f>
        <v/>
      </c>
      <c r="AB743" s="198"/>
      <c r="AC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200" t="str">
        <f>IF(OR(NOTA[[#This Row],[QTY]]="",NOTA[[#This Row],[HARGA SATUAN]]="",),"",NOTA[[#This Row],[QTY]]*NOTA[[#This Row],[HARGA SATUAN]])</f>
        <v/>
      </c>
      <c r="AG743" s="192" t="str">
        <f ca="1">IF(NOTA[ID_H]="","",INDEX(NOTA[TANGGAL],MATCH(,INDIRECT(ADDRESS(ROW(NOTA[TANGGAL]),COLUMN(NOTA[TANGGAL]))&amp;":"&amp;ADDRESS(ROW(),COLUMN(NOTA[TANGGAL]))),-1)))</f>
        <v/>
      </c>
      <c r="AH743" s="187" t="str">
        <f ca="1">IF(NOTA[[#This Row],[NAMA BARANG]]="","",INDEX(NOTA[SUPPLIER],MATCH(,INDIRECT(ADDRESS(ROW(NOTA[ID]),COLUMN(NOTA[ID]))&amp;":"&amp;ADDRESS(ROW(),COLUMN(NOTA[ID]))),-1)))</f>
        <v/>
      </c>
      <c r="AI743" s="187" t="str">
        <f ca="1">IF(NOTA[[#This Row],[ID_H]]="","",IF(NOTA[[#This Row],[FAKTUR]]="",INDIRECT(ADDRESS(ROW()-1,COLUMN())),NOTA[[#This Row],[FAKTUR]]))</f>
        <v/>
      </c>
      <c r="AJ743" s="188" t="str">
        <f ca="1">IF(NOTA[[#This Row],[ID]]="","",COUNTIF(NOTA[ID_H],NOTA[[#This Row],[ID_H]]))</f>
        <v/>
      </c>
      <c r="AK743" s="188" t="str">
        <f ca="1">IF(NOTA[[#This Row],[TGL.NOTA]]="",IF(NOTA[[#This Row],[SUPPLIER_H]]="","",AK742),MONTH(NOTA[[#This Row],[TGL.NOTA]]))</f>
        <v/>
      </c>
      <c r="AL743" s="188" t="str">
        <f>LOWER(SUBSTITUTE(SUBSTITUTE(SUBSTITUTE(SUBSTITUTE(SUBSTITUTE(SUBSTITUTE(SUBSTITUTE(SUBSTITUTE(SUBSTITUTE(NOTA[NAMA BARANG]," ",),".",""),"-",""),"(",""),")",""),",",""),"/",""),"""",""),"+",""))</f>
        <v/>
      </c>
      <c r="AM7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188" t="str">
        <f>IF(NOTA[[#This Row],[CONCAT4]]="","",_xlfn.IFNA(MATCH(NOTA[[#This Row],[CONCAT4]],[2]!RAW[CONCAT_H],0),FALSE))</f>
        <v/>
      </c>
      <c r="AQ743" s="188" t="str">
        <f>IF(NOTA[[#This Row],[CONCAT1]]="","",MATCH(NOTA[[#This Row],[CONCAT1]],[3]!db[NB NOTA_C],0)+1)</f>
        <v/>
      </c>
    </row>
    <row r="744" spans="1:43" ht="20.100000000000001" customHeight="1" x14ac:dyDescent="0.25">
      <c r="A744" s="18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4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SBS_2605_5B1-1</v>
      </c>
      <c r="C744" s="188" t="e">
        <f ca="1">IF(NOTA[[#This Row],[ID_P]]="","",MATCH(NOTA[[#This Row],[ID_P]],[1]!B_MSK[N_ID],0))</f>
        <v>#REF!</v>
      </c>
      <c r="D744" s="188">
        <f ca="1">IF(NOTA[[#This Row],[NAMA BARANG]]="","",INDEX(NOTA[ID],MATCH(,INDIRECT(ADDRESS(ROW(NOTA[ID]),COLUMN(NOTA[ID]))&amp;":"&amp;ADDRESS(ROW(),COLUMN(NOTA[ID]))),-1)))</f>
        <v>133</v>
      </c>
      <c r="E744" s="189"/>
      <c r="F744" s="190" t="s">
        <v>111</v>
      </c>
      <c r="G744" s="190" t="s">
        <v>112</v>
      </c>
      <c r="H744" s="191" t="s">
        <v>943</v>
      </c>
      <c r="I744" s="190"/>
      <c r="J744" s="192">
        <v>45064</v>
      </c>
      <c r="K744" s="190"/>
      <c r="L744" s="190" t="s">
        <v>465</v>
      </c>
      <c r="M744" s="193">
        <v>3</v>
      </c>
      <c r="N744" s="188">
        <v>360</v>
      </c>
      <c r="O744" s="190" t="s">
        <v>160</v>
      </c>
      <c r="P744" s="187">
        <v>15250</v>
      </c>
      <c r="Q744" s="194"/>
      <c r="R744" s="195" t="s">
        <v>428</v>
      </c>
      <c r="S744" s="196"/>
      <c r="T744" s="197"/>
      <c r="U744" s="198"/>
      <c r="V744" s="199"/>
      <c r="W744" s="198">
        <f>IF(NOTA[[#This Row],[HARGA/ CTN]]="",NOTA[[#This Row],[JUMLAH_H]],NOTA[[#This Row],[HARGA/ CTN]]*IF(NOTA[[#This Row],[C]]="",0,NOTA[[#This Row],[C]]))</f>
        <v>5490000</v>
      </c>
      <c r="X744" s="198">
        <f>IF(NOTA[[#This Row],[JUMLAH]]="","",NOTA[[#This Row],[JUMLAH]]*NOTA[[#This Row],[DISC 1]])</f>
        <v>0</v>
      </c>
      <c r="Y744" s="198">
        <f>IF(NOTA[[#This Row],[JUMLAH]]="","",(NOTA[[#This Row],[JUMLAH]]-NOTA[[#This Row],[DISC 1-]])*NOTA[[#This Row],[DISC 2]])</f>
        <v>0</v>
      </c>
      <c r="Z744" s="198">
        <f>IF(NOTA[[#This Row],[JUMLAH]]="","",NOTA[[#This Row],[DISC 1-]]+NOTA[[#This Row],[DISC 2-]])</f>
        <v>0</v>
      </c>
      <c r="AA744" s="198">
        <f>IF(NOTA[[#This Row],[JUMLAH]]="","",NOTA[[#This Row],[JUMLAH]]-NOTA[[#This Row],[DISC]])</f>
        <v>5490000</v>
      </c>
      <c r="AB744" s="198"/>
      <c r="AC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5490000</v>
      </c>
      <c r="AE744" s="187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744" s="200">
        <f>IF(OR(NOTA[[#This Row],[QTY]]="",NOTA[[#This Row],[HARGA SATUAN]]="",),"",NOTA[[#This Row],[QTY]]*NOTA[[#This Row],[HARGA SATUAN]])</f>
        <v>5490000</v>
      </c>
      <c r="AG744" s="192">
        <f ca="1">IF(NOTA[ID_H]="","",INDEX(NOTA[TANGGAL],MATCH(,INDIRECT(ADDRESS(ROW(NOTA[TANGGAL]),COLUMN(NOTA[TANGGAL]))&amp;":"&amp;ADDRESS(ROW(),COLUMN(NOTA[TANGGAL]))),-1)))</f>
        <v>45072</v>
      </c>
      <c r="AH744" s="187" t="str">
        <f ca="1">IF(NOTA[[#This Row],[NAMA BARANG]]="","",INDEX(NOTA[SUPPLIER],MATCH(,INDIRECT(ADDRESS(ROW(NOTA[ID]),COLUMN(NOTA[ID]))&amp;":"&amp;ADDRESS(ROW(),COLUMN(NOTA[ID]))),-1)))</f>
        <v>SBS</v>
      </c>
      <c r="AI744" s="187" t="str">
        <f ca="1">IF(NOTA[[#This Row],[ID_H]]="","",IF(NOTA[[#This Row],[FAKTUR]]="",INDIRECT(ADDRESS(ROW()-1,COLUMN())),NOTA[[#This Row],[FAKTUR]]))</f>
        <v>UNTANA</v>
      </c>
      <c r="AJ744" s="188">
        <f ca="1">IF(NOTA[[#This Row],[ID]]="","",COUNTIF(NOTA[ID_H],NOTA[[#This Row],[ID_H]]))</f>
        <v>1</v>
      </c>
      <c r="AK744" s="188">
        <f>IF(NOTA[[#This Row],[TGL.NOTA]]="",IF(NOTA[[#This Row],[SUPPLIER_H]]="","",AK743),MONTH(NOTA[[#This Row],[TGL.NOTA]]))</f>
        <v>5</v>
      </c>
      <c r="AL744" s="188" t="str">
        <f>LOWER(SUBSTITUTE(SUBSTITUTE(SUBSTITUTE(SUBSTITUTE(SUBSTITUTE(SUBSTITUTE(SUBSTITUTE(SUBSTITUTE(SUBSTITUTE(NOTA[NAMA BARANG]," ",),".",""),"-",""),"(",""),")",""),",",""),"/",""),"""",""),"+",""))</f>
        <v>pcmgp6508410x21setsr</v>
      </c>
      <c r="AM7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pcmgp6508410x21setsr1830000</v>
      </c>
      <c r="AN7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pcmgp6508410x21setsr1830000</v>
      </c>
      <c r="AO744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SBSUNTANAVE0425B145064pcmgp6508410x21setsr</v>
      </c>
      <c r="AP744" s="188" t="e">
        <f>IF(NOTA[[#This Row],[CONCAT4]]="","",_xlfn.IFNA(MATCH(NOTA[[#This Row],[CONCAT4]],[2]!RAW[CONCAT_H],0),FALSE))</f>
        <v>#REF!</v>
      </c>
      <c r="AQ744" s="188" t="e">
        <f>IF(NOTA[[#This Row],[CONCAT1]]="","",MATCH(NOTA[[#This Row],[CONCAT1]],[3]!db[NB NOTA_C],0)+1)</f>
        <v>#N/A</v>
      </c>
    </row>
    <row r="745" spans="1:43" ht="20.100000000000001" customHeight="1" x14ac:dyDescent="0.25">
      <c r="A7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188" t="str">
        <f>IF(NOTA[[#This Row],[ID_P]]="","",MATCH(NOTA[[#This Row],[ID_P]],[1]!B_MSK[N_ID],0))</f>
        <v/>
      </c>
      <c r="D745" s="188" t="str">
        <f ca="1">IF(NOTA[[#This Row],[NAMA BARANG]]="","",INDEX(NOTA[ID],MATCH(,INDIRECT(ADDRESS(ROW(NOTA[ID]),COLUMN(NOTA[ID]))&amp;":"&amp;ADDRESS(ROW(),COLUMN(NOTA[ID]))),-1)))</f>
        <v/>
      </c>
      <c r="E745" s="189"/>
      <c r="F745" s="190"/>
      <c r="G745" s="190"/>
      <c r="H745" s="191"/>
      <c r="I745" s="190"/>
      <c r="J745" s="192"/>
      <c r="K745" s="190"/>
      <c r="L745" s="190"/>
      <c r="M745" s="193"/>
      <c r="N745" s="188"/>
      <c r="O745" s="190"/>
      <c r="P745" s="187"/>
      <c r="Q745" s="194"/>
      <c r="R745" s="195"/>
      <c r="S745" s="196"/>
      <c r="T745" s="197"/>
      <c r="U745" s="198"/>
      <c r="V745" s="199"/>
      <c r="W745" s="198" t="str">
        <f>IF(NOTA[[#This Row],[HARGA/ CTN]]="",NOTA[[#This Row],[JUMLAH_H]],NOTA[[#This Row],[HARGA/ CTN]]*IF(NOTA[[#This Row],[C]]="",0,NOTA[[#This Row],[C]]))</f>
        <v/>
      </c>
      <c r="X745" s="198" t="str">
        <f>IF(NOTA[[#This Row],[JUMLAH]]="","",NOTA[[#This Row],[JUMLAH]]*NOTA[[#This Row],[DISC 1]])</f>
        <v/>
      </c>
      <c r="Y745" s="198" t="str">
        <f>IF(NOTA[[#This Row],[JUMLAH]]="","",(NOTA[[#This Row],[JUMLAH]]-NOTA[[#This Row],[DISC 1-]])*NOTA[[#This Row],[DISC 2]])</f>
        <v/>
      </c>
      <c r="Z745" s="198" t="str">
        <f>IF(NOTA[[#This Row],[JUMLAH]]="","",NOTA[[#This Row],[DISC 1-]]+NOTA[[#This Row],[DISC 2-]])</f>
        <v/>
      </c>
      <c r="AA745" s="198" t="str">
        <f>IF(NOTA[[#This Row],[JUMLAH]]="","",NOTA[[#This Row],[JUMLAH]]-NOTA[[#This Row],[DISC]])</f>
        <v/>
      </c>
      <c r="AB745" s="198"/>
      <c r="AC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200" t="str">
        <f>IF(OR(NOTA[[#This Row],[QTY]]="",NOTA[[#This Row],[HARGA SATUAN]]="",),"",NOTA[[#This Row],[QTY]]*NOTA[[#This Row],[HARGA SATUAN]])</f>
        <v/>
      </c>
      <c r="AG745" s="192" t="str">
        <f ca="1">IF(NOTA[ID_H]="","",INDEX(NOTA[TANGGAL],MATCH(,INDIRECT(ADDRESS(ROW(NOTA[TANGGAL]),COLUMN(NOTA[TANGGAL]))&amp;":"&amp;ADDRESS(ROW(),COLUMN(NOTA[TANGGAL]))),-1)))</f>
        <v/>
      </c>
      <c r="AH745" s="187" t="str">
        <f ca="1">IF(NOTA[[#This Row],[NAMA BARANG]]="","",INDEX(NOTA[SUPPLIER],MATCH(,INDIRECT(ADDRESS(ROW(NOTA[ID]),COLUMN(NOTA[ID]))&amp;":"&amp;ADDRESS(ROW(),COLUMN(NOTA[ID]))),-1)))</f>
        <v/>
      </c>
      <c r="AI745" s="187" t="str">
        <f ca="1">IF(NOTA[[#This Row],[ID_H]]="","",IF(NOTA[[#This Row],[FAKTUR]]="",INDIRECT(ADDRESS(ROW()-1,COLUMN())),NOTA[[#This Row],[FAKTUR]]))</f>
        <v/>
      </c>
      <c r="AJ745" s="188" t="str">
        <f ca="1">IF(NOTA[[#This Row],[ID]]="","",COUNTIF(NOTA[ID_H],NOTA[[#This Row],[ID_H]]))</f>
        <v/>
      </c>
      <c r="AK745" s="188" t="str">
        <f ca="1">IF(NOTA[[#This Row],[TGL.NOTA]]="",IF(NOTA[[#This Row],[SUPPLIER_H]]="","",AK744),MONTH(NOTA[[#This Row],[TGL.NOTA]]))</f>
        <v/>
      </c>
      <c r="AL745" s="188" t="str">
        <f>LOWER(SUBSTITUTE(SUBSTITUTE(SUBSTITUTE(SUBSTITUTE(SUBSTITUTE(SUBSTITUTE(SUBSTITUTE(SUBSTITUTE(SUBSTITUTE(NOTA[NAMA BARANG]," ",),".",""),"-",""),"(",""),")",""),",",""),"/",""),"""",""),"+",""))</f>
        <v/>
      </c>
      <c r="AM7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188" t="str">
        <f>IF(NOTA[[#This Row],[CONCAT4]]="","",_xlfn.IFNA(MATCH(NOTA[[#This Row],[CONCAT4]],[2]!RAW[CONCAT_H],0),FALSE))</f>
        <v/>
      </c>
      <c r="AQ745" s="188" t="str">
        <f>IF(NOTA[[#This Row],[CONCAT1]]="","",MATCH(NOTA[[#This Row],[CONCAT1]],[3]!db[NB NOTA_C],0)+1)</f>
        <v/>
      </c>
    </row>
    <row r="746" spans="1:43" ht="20.100000000000001" customHeight="1" x14ac:dyDescent="0.25">
      <c r="A746" s="18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4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SBS_2605_3B1-6</v>
      </c>
      <c r="C746" s="188" t="e">
        <f ca="1">IF(NOTA[[#This Row],[ID_P]]="","",MATCH(NOTA[[#This Row],[ID_P]],[1]!B_MSK[N_ID],0))</f>
        <v>#REF!</v>
      </c>
      <c r="D746" s="188">
        <f ca="1">IF(NOTA[[#This Row],[NAMA BARANG]]="","",INDEX(NOTA[ID],MATCH(,INDIRECT(ADDRESS(ROW(NOTA[ID]),COLUMN(NOTA[ID]))&amp;":"&amp;ADDRESS(ROW(),COLUMN(NOTA[ID]))),-1)))</f>
        <v>134</v>
      </c>
      <c r="E746" s="189"/>
      <c r="F746" s="190" t="s">
        <v>111</v>
      </c>
      <c r="G746" s="190" t="s">
        <v>112</v>
      </c>
      <c r="H746" s="191" t="s">
        <v>944</v>
      </c>
      <c r="I746" s="190"/>
      <c r="J746" s="192">
        <v>45064</v>
      </c>
      <c r="K746" s="190"/>
      <c r="L746" s="190" t="s">
        <v>945</v>
      </c>
      <c r="M746" s="193">
        <v>1</v>
      </c>
      <c r="N746" s="188">
        <v>16</v>
      </c>
      <c r="O746" s="190" t="s">
        <v>262</v>
      </c>
      <c r="P746" s="187">
        <v>120000</v>
      </c>
      <c r="Q746" s="194"/>
      <c r="R746" s="195" t="s">
        <v>946</v>
      </c>
      <c r="S746" s="196"/>
      <c r="T746" s="197"/>
      <c r="U746" s="198"/>
      <c r="V746" s="199"/>
      <c r="W746" s="198">
        <f>IF(NOTA[[#This Row],[HARGA/ CTN]]="",NOTA[[#This Row],[JUMLAH_H]],NOTA[[#This Row],[HARGA/ CTN]]*IF(NOTA[[#This Row],[C]]="",0,NOTA[[#This Row],[C]]))</f>
        <v>1920000</v>
      </c>
      <c r="X746" s="198">
        <f>IF(NOTA[[#This Row],[JUMLAH]]="","",NOTA[[#This Row],[JUMLAH]]*NOTA[[#This Row],[DISC 1]])</f>
        <v>0</v>
      </c>
      <c r="Y746" s="198">
        <f>IF(NOTA[[#This Row],[JUMLAH]]="","",(NOTA[[#This Row],[JUMLAH]]-NOTA[[#This Row],[DISC 1-]])*NOTA[[#This Row],[DISC 2]])</f>
        <v>0</v>
      </c>
      <c r="Z746" s="198">
        <f>IF(NOTA[[#This Row],[JUMLAH]]="","",NOTA[[#This Row],[DISC 1-]]+NOTA[[#This Row],[DISC 2-]])</f>
        <v>0</v>
      </c>
      <c r="AA746" s="198">
        <f>IF(NOTA[[#This Row],[JUMLAH]]="","",NOTA[[#This Row],[JUMLAH]]-NOTA[[#This Row],[DISC]])</f>
        <v>1920000</v>
      </c>
      <c r="AB746" s="198"/>
      <c r="AC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46" s="200">
        <f>IF(OR(NOTA[[#This Row],[QTY]]="",NOTA[[#This Row],[HARGA SATUAN]]="",),"",NOTA[[#This Row],[QTY]]*NOTA[[#This Row],[HARGA SATUAN]])</f>
        <v>1920000</v>
      </c>
      <c r="AG746" s="192">
        <f ca="1">IF(NOTA[ID_H]="","",INDEX(NOTA[TANGGAL],MATCH(,INDIRECT(ADDRESS(ROW(NOTA[TANGGAL]),COLUMN(NOTA[TANGGAL]))&amp;":"&amp;ADDRESS(ROW(),COLUMN(NOTA[TANGGAL]))),-1)))</f>
        <v>45072</v>
      </c>
      <c r="AH746" s="187" t="str">
        <f ca="1">IF(NOTA[[#This Row],[NAMA BARANG]]="","",INDEX(NOTA[SUPPLIER],MATCH(,INDIRECT(ADDRESS(ROW(NOTA[ID]),COLUMN(NOTA[ID]))&amp;":"&amp;ADDRESS(ROW(),COLUMN(NOTA[ID]))),-1)))</f>
        <v>SBS</v>
      </c>
      <c r="AI746" s="187" t="str">
        <f ca="1">IF(NOTA[[#This Row],[ID_H]]="","",IF(NOTA[[#This Row],[FAKTUR]]="",INDIRECT(ADDRESS(ROW()-1,COLUMN())),NOTA[[#This Row],[FAKTUR]]))</f>
        <v>UNTANA</v>
      </c>
      <c r="AJ746" s="188">
        <f ca="1">IF(NOTA[[#This Row],[ID]]="","",COUNTIF(NOTA[ID_H],NOTA[[#This Row],[ID_H]]))</f>
        <v>6</v>
      </c>
      <c r="AK746" s="188">
        <f>IF(NOTA[[#This Row],[TGL.NOTA]]="",IF(NOTA[[#This Row],[SUPPLIER_H]]="","",AK745),MONTH(NOTA[[#This Row],[TGL.NOTA]]))</f>
        <v>5</v>
      </c>
      <c r="AL746" s="188" t="str">
        <f>LOWER(SUBSTITUTE(SUBSTITUTE(SUBSTITUTE(SUBSTITUTE(SUBSTITUTE(SUBSTITUTE(SUBSTITUTE(SUBSTITUTE(SUBSTITUTE(NOTA[NAMA BARANG]," ",),".",""),"-",""),"(",""),")",""),",",""),"/",""),"""",""),"+",""))</f>
        <v>penggarissetbzj2014020cmppkanimal</v>
      </c>
      <c r="AM7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penggarissetbzj2014020cmppkanimal1920000</v>
      </c>
      <c r="AN7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penggarissetbzj2014020cmppkanimal1920000</v>
      </c>
      <c r="AO746" s="188" t="str">
        <f>IF(NOTA[[#This Row],[SUPPLIER]]="","",NOTA[[#This Row],[SUPPLIER]]&amp;NOTA[[#This Row],[FAKTUR]]&amp;NOTA[[#This Row],[NO.NOTA]]&amp;NOTA[[#This Row],[NO.SJ]]&amp;NOTA[[#This Row],[TGL.NOTA]]&amp;NOTA[[#This Row],[CONCAT1]])</f>
        <v>SBSUNTANAVE0573B145064penggarissetbzj2014020cmppkanimal</v>
      </c>
      <c r="AP746" s="188" t="e">
        <f>IF(NOTA[[#This Row],[CONCAT4]]="","",_xlfn.IFNA(MATCH(NOTA[[#This Row],[CONCAT4]],[2]!RAW[CONCAT_H],0),FALSE))</f>
        <v>#REF!</v>
      </c>
      <c r="AQ746" s="188" t="e">
        <f>IF(NOTA[[#This Row],[CONCAT1]]="","",MATCH(NOTA[[#This Row],[CONCAT1]],[3]!db[NB NOTA_C],0)+1)</f>
        <v>#N/A</v>
      </c>
    </row>
    <row r="747" spans="1:43" ht="20.100000000000001" customHeight="1" x14ac:dyDescent="0.25">
      <c r="A7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188" t="str">
        <f>IF(NOTA[[#This Row],[ID_P]]="","",MATCH(NOTA[[#This Row],[ID_P]],[1]!B_MSK[N_ID],0))</f>
        <v/>
      </c>
      <c r="D747" s="188">
        <f ca="1">IF(NOTA[[#This Row],[NAMA BARANG]]="","",INDEX(NOTA[ID],MATCH(,INDIRECT(ADDRESS(ROW(NOTA[ID]),COLUMN(NOTA[ID]))&amp;":"&amp;ADDRESS(ROW(),COLUMN(NOTA[ID]))),-1)))</f>
        <v>134</v>
      </c>
      <c r="E747" s="189"/>
      <c r="F747" s="190"/>
      <c r="G747" s="190"/>
      <c r="H747" s="191"/>
      <c r="I747" s="190"/>
      <c r="J747" s="192"/>
      <c r="K747" s="190"/>
      <c r="L747" s="190" t="s">
        <v>947</v>
      </c>
      <c r="M747" s="193">
        <v>2</v>
      </c>
      <c r="N747" s="188">
        <v>32</v>
      </c>
      <c r="O747" s="190" t="s">
        <v>262</v>
      </c>
      <c r="P747" s="187">
        <v>120000</v>
      </c>
      <c r="Q747" s="194"/>
      <c r="R747" s="195" t="s">
        <v>946</v>
      </c>
      <c r="S747" s="196"/>
      <c r="T747" s="197"/>
      <c r="U747" s="198"/>
      <c r="V747" s="199"/>
      <c r="W747" s="198">
        <f>IF(NOTA[[#This Row],[HARGA/ CTN]]="",NOTA[[#This Row],[JUMLAH_H]],NOTA[[#This Row],[HARGA/ CTN]]*IF(NOTA[[#This Row],[C]]="",0,NOTA[[#This Row],[C]]))</f>
        <v>3840000</v>
      </c>
      <c r="X747" s="198">
        <f>IF(NOTA[[#This Row],[JUMLAH]]="","",NOTA[[#This Row],[JUMLAH]]*NOTA[[#This Row],[DISC 1]])</f>
        <v>0</v>
      </c>
      <c r="Y747" s="198">
        <f>IF(NOTA[[#This Row],[JUMLAH]]="","",(NOTA[[#This Row],[JUMLAH]]-NOTA[[#This Row],[DISC 1-]])*NOTA[[#This Row],[DISC 2]])</f>
        <v>0</v>
      </c>
      <c r="Z747" s="198">
        <f>IF(NOTA[[#This Row],[JUMLAH]]="","",NOTA[[#This Row],[DISC 1-]]+NOTA[[#This Row],[DISC 2-]])</f>
        <v>0</v>
      </c>
      <c r="AA747" s="198">
        <f>IF(NOTA[[#This Row],[JUMLAH]]="","",NOTA[[#This Row],[JUMLAH]]-NOTA[[#This Row],[DISC]])</f>
        <v>3840000</v>
      </c>
      <c r="AB747" s="198"/>
      <c r="AC7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47" s="200">
        <f>IF(OR(NOTA[[#This Row],[QTY]]="",NOTA[[#This Row],[HARGA SATUAN]]="",),"",NOTA[[#This Row],[QTY]]*NOTA[[#This Row],[HARGA SATUAN]])</f>
        <v>3840000</v>
      </c>
      <c r="AG747" s="192">
        <f ca="1">IF(NOTA[ID_H]="","",INDEX(NOTA[TANGGAL],MATCH(,INDIRECT(ADDRESS(ROW(NOTA[TANGGAL]),COLUMN(NOTA[TANGGAL]))&amp;":"&amp;ADDRESS(ROW(),COLUMN(NOTA[TANGGAL]))),-1)))</f>
        <v>45072</v>
      </c>
      <c r="AH747" s="187" t="str">
        <f ca="1">IF(NOTA[[#This Row],[NAMA BARANG]]="","",INDEX(NOTA[SUPPLIER],MATCH(,INDIRECT(ADDRESS(ROW(NOTA[ID]),COLUMN(NOTA[ID]))&amp;":"&amp;ADDRESS(ROW(),COLUMN(NOTA[ID]))),-1)))</f>
        <v>SBS</v>
      </c>
      <c r="AI747" s="187" t="str">
        <f ca="1">IF(NOTA[[#This Row],[ID_H]]="","",IF(NOTA[[#This Row],[FAKTUR]]="",INDIRECT(ADDRESS(ROW()-1,COLUMN())),NOTA[[#This Row],[FAKTUR]]))</f>
        <v>UNTANA</v>
      </c>
      <c r="AJ747" s="188" t="str">
        <f ca="1">IF(NOTA[[#This Row],[ID]]="","",COUNTIF(NOTA[ID_H],NOTA[[#This Row],[ID_H]]))</f>
        <v/>
      </c>
      <c r="AK747" s="188">
        <f ca="1">IF(NOTA[[#This Row],[TGL.NOTA]]="",IF(NOTA[[#This Row],[SUPPLIER_H]]="","",AK746),MONTH(NOTA[[#This Row],[TGL.NOTA]]))</f>
        <v>5</v>
      </c>
      <c r="AL747" s="188" t="str">
        <f>LOWER(SUBSTITUTE(SUBSTITUTE(SUBSTITUTE(SUBSTITUTE(SUBSTITUTE(SUBSTITUTE(SUBSTITUTE(SUBSTITUTE(SUBSTITUTE(NOTA[NAMA BARANG]," ",),".",""),"-",""),"(",""),")",""),",",""),"/",""),"""",""),"+",""))</f>
        <v>penggarissetbzj2014320cmppkgirl</v>
      </c>
      <c r="AM7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penggarissetbzj2014320cmppkgirl1920000</v>
      </c>
      <c r="AN7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penggarissetbzj2014320cmppkgirl1920000</v>
      </c>
      <c r="AO7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188" t="str">
        <f>IF(NOTA[[#This Row],[CONCAT4]]="","",_xlfn.IFNA(MATCH(NOTA[[#This Row],[CONCAT4]],[2]!RAW[CONCAT_H],0),FALSE))</f>
        <v/>
      </c>
      <c r="AQ747" s="188" t="e">
        <f>IF(NOTA[[#This Row],[CONCAT1]]="","",MATCH(NOTA[[#This Row],[CONCAT1]],[3]!db[NB NOTA_C],0)+1)</f>
        <v>#N/A</v>
      </c>
    </row>
    <row r="748" spans="1:43" ht="20.100000000000001" customHeight="1" x14ac:dyDescent="0.25">
      <c r="A7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188" t="str">
        <f>IF(NOTA[[#This Row],[ID_P]]="","",MATCH(NOTA[[#This Row],[ID_P]],[1]!B_MSK[N_ID],0))</f>
        <v/>
      </c>
      <c r="D748" s="188">
        <f ca="1">IF(NOTA[[#This Row],[NAMA BARANG]]="","",INDEX(NOTA[ID],MATCH(,INDIRECT(ADDRESS(ROW(NOTA[ID]),COLUMN(NOTA[ID]))&amp;":"&amp;ADDRESS(ROW(),COLUMN(NOTA[ID]))),-1)))</f>
        <v>134</v>
      </c>
      <c r="E748" s="189"/>
      <c r="F748" s="190"/>
      <c r="G748" s="190"/>
      <c r="H748" s="191"/>
      <c r="I748" s="190"/>
      <c r="J748" s="192"/>
      <c r="K748" s="190"/>
      <c r="L748" s="190" t="s">
        <v>948</v>
      </c>
      <c r="M748" s="193">
        <v>1</v>
      </c>
      <c r="N748" s="188">
        <v>16</v>
      </c>
      <c r="O748" s="190" t="s">
        <v>262</v>
      </c>
      <c r="P748" s="187">
        <v>120000</v>
      </c>
      <c r="Q748" s="194"/>
      <c r="R748" s="195" t="s">
        <v>946</v>
      </c>
      <c r="S748" s="196"/>
      <c r="T748" s="197"/>
      <c r="U748" s="198"/>
      <c r="V748" s="199"/>
      <c r="W748" s="198">
        <f>IF(NOTA[[#This Row],[HARGA/ CTN]]="",NOTA[[#This Row],[JUMLAH_H]],NOTA[[#This Row],[HARGA/ CTN]]*IF(NOTA[[#This Row],[C]]="",0,NOTA[[#This Row],[C]]))</f>
        <v>1920000</v>
      </c>
      <c r="X748" s="198">
        <f>IF(NOTA[[#This Row],[JUMLAH]]="","",NOTA[[#This Row],[JUMLAH]]*NOTA[[#This Row],[DISC 1]])</f>
        <v>0</v>
      </c>
      <c r="Y748" s="198">
        <f>IF(NOTA[[#This Row],[JUMLAH]]="","",(NOTA[[#This Row],[JUMLAH]]-NOTA[[#This Row],[DISC 1-]])*NOTA[[#This Row],[DISC 2]])</f>
        <v>0</v>
      </c>
      <c r="Z748" s="198">
        <f>IF(NOTA[[#This Row],[JUMLAH]]="","",NOTA[[#This Row],[DISC 1-]]+NOTA[[#This Row],[DISC 2-]])</f>
        <v>0</v>
      </c>
      <c r="AA748" s="198">
        <f>IF(NOTA[[#This Row],[JUMLAH]]="","",NOTA[[#This Row],[JUMLAH]]-NOTA[[#This Row],[DISC]])</f>
        <v>1920000</v>
      </c>
      <c r="AB748" s="198"/>
      <c r="AC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48" s="200">
        <f>IF(OR(NOTA[[#This Row],[QTY]]="",NOTA[[#This Row],[HARGA SATUAN]]="",),"",NOTA[[#This Row],[QTY]]*NOTA[[#This Row],[HARGA SATUAN]])</f>
        <v>1920000</v>
      </c>
      <c r="AG748" s="192">
        <f ca="1">IF(NOTA[ID_H]="","",INDEX(NOTA[TANGGAL],MATCH(,INDIRECT(ADDRESS(ROW(NOTA[TANGGAL]),COLUMN(NOTA[TANGGAL]))&amp;":"&amp;ADDRESS(ROW(),COLUMN(NOTA[TANGGAL]))),-1)))</f>
        <v>45072</v>
      </c>
      <c r="AH748" s="187" t="str">
        <f ca="1">IF(NOTA[[#This Row],[NAMA BARANG]]="","",INDEX(NOTA[SUPPLIER],MATCH(,INDIRECT(ADDRESS(ROW(NOTA[ID]),COLUMN(NOTA[ID]))&amp;":"&amp;ADDRESS(ROW(),COLUMN(NOTA[ID]))),-1)))</f>
        <v>SBS</v>
      </c>
      <c r="AI748" s="187" t="str">
        <f ca="1">IF(NOTA[[#This Row],[ID_H]]="","",IF(NOTA[[#This Row],[FAKTUR]]="",INDIRECT(ADDRESS(ROW()-1,COLUMN())),NOTA[[#This Row],[FAKTUR]]))</f>
        <v>UNTANA</v>
      </c>
      <c r="AJ748" s="188" t="str">
        <f ca="1">IF(NOTA[[#This Row],[ID]]="","",COUNTIF(NOTA[ID_H],NOTA[[#This Row],[ID_H]]))</f>
        <v/>
      </c>
      <c r="AK748" s="188">
        <f ca="1">IF(NOTA[[#This Row],[TGL.NOTA]]="",IF(NOTA[[#This Row],[SUPPLIER_H]]="","",AK747),MONTH(NOTA[[#This Row],[TGL.NOTA]]))</f>
        <v>5</v>
      </c>
      <c r="AL748" s="188" t="str">
        <f>LOWER(SUBSTITUTE(SUBSTITUTE(SUBSTITUTE(SUBSTITUTE(SUBSTITUTE(SUBSTITUTE(SUBSTITUTE(SUBSTITUTE(SUBSTITUTE(NOTA[NAMA BARANG]," ",),".",""),"-",""),"(",""),")",""),",",""),"/",""),"""",""),"+",""))</f>
        <v>penggarissetbzj205320cmppklucu</v>
      </c>
      <c r="AM7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penggarissetbzj205320cmppklucu1920000</v>
      </c>
      <c r="AN7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penggarissetbzj205320cmppklucu1920000</v>
      </c>
      <c r="AO7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188" t="str">
        <f>IF(NOTA[[#This Row],[CONCAT4]]="","",_xlfn.IFNA(MATCH(NOTA[[#This Row],[CONCAT4]],[2]!RAW[CONCAT_H],0),FALSE))</f>
        <v/>
      </c>
      <c r="AQ748" s="188" t="e">
        <f>IF(NOTA[[#This Row],[CONCAT1]]="","",MATCH(NOTA[[#This Row],[CONCAT1]],[3]!db[NB NOTA_C],0)+1)</f>
        <v>#N/A</v>
      </c>
    </row>
    <row r="749" spans="1:43" ht="20.100000000000001" customHeight="1" x14ac:dyDescent="0.25">
      <c r="A7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188" t="str">
        <f>IF(NOTA[[#This Row],[ID_P]]="","",MATCH(NOTA[[#This Row],[ID_P]],[1]!B_MSK[N_ID],0))</f>
        <v/>
      </c>
      <c r="D749" s="188">
        <f ca="1">IF(NOTA[[#This Row],[NAMA BARANG]]="","",INDEX(NOTA[ID],MATCH(,INDIRECT(ADDRESS(ROW(NOTA[ID]),COLUMN(NOTA[ID]))&amp;":"&amp;ADDRESS(ROW(),COLUMN(NOTA[ID]))),-1)))</f>
        <v>134</v>
      </c>
      <c r="E749" s="189"/>
      <c r="F749" s="190"/>
      <c r="G749" s="190"/>
      <c r="H749" s="191"/>
      <c r="I749" s="190"/>
      <c r="J749" s="192"/>
      <c r="K749" s="190"/>
      <c r="L749" s="190" t="s">
        <v>949</v>
      </c>
      <c r="M749" s="193">
        <v>1</v>
      </c>
      <c r="N749" s="188">
        <v>16</v>
      </c>
      <c r="O749" s="190" t="s">
        <v>262</v>
      </c>
      <c r="P749" s="187">
        <v>120000</v>
      </c>
      <c r="Q749" s="194"/>
      <c r="R749" s="195" t="s">
        <v>946</v>
      </c>
      <c r="S749" s="196"/>
      <c r="T749" s="197"/>
      <c r="U749" s="198"/>
      <c r="V749" s="199"/>
      <c r="W749" s="198">
        <f>IF(NOTA[[#This Row],[HARGA/ CTN]]="",NOTA[[#This Row],[JUMLAH_H]],NOTA[[#This Row],[HARGA/ CTN]]*IF(NOTA[[#This Row],[C]]="",0,NOTA[[#This Row],[C]]))</f>
        <v>1920000</v>
      </c>
      <c r="X749" s="198">
        <f>IF(NOTA[[#This Row],[JUMLAH]]="","",NOTA[[#This Row],[JUMLAH]]*NOTA[[#This Row],[DISC 1]])</f>
        <v>0</v>
      </c>
      <c r="Y749" s="198">
        <f>IF(NOTA[[#This Row],[JUMLAH]]="","",(NOTA[[#This Row],[JUMLAH]]-NOTA[[#This Row],[DISC 1-]])*NOTA[[#This Row],[DISC 2]])</f>
        <v>0</v>
      </c>
      <c r="Z749" s="198">
        <f>IF(NOTA[[#This Row],[JUMLAH]]="","",NOTA[[#This Row],[DISC 1-]]+NOTA[[#This Row],[DISC 2-]])</f>
        <v>0</v>
      </c>
      <c r="AA749" s="198">
        <f>IF(NOTA[[#This Row],[JUMLAH]]="","",NOTA[[#This Row],[JUMLAH]]-NOTA[[#This Row],[DISC]])</f>
        <v>1920000</v>
      </c>
      <c r="AB749" s="198"/>
      <c r="AC7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49" s="200">
        <f>IF(OR(NOTA[[#This Row],[QTY]]="",NOTA[[#This Row],[HARGA SATUAN]]="",),"",NOTA[[#This Row],[QTY]]*NOTA[[#This Row],[HARGA SATUAN]])</f>
        <v>1920000</v>
      </c>
      <c r="AG749" s="192">
        <f ca="1">IF(NOTA[ID_H]="","",INDEX(NOTA[TANGGAL],MATCH(,INDIRECT(ADDRESS(ROW(NOTA[TANGGAL]),COLUMN(NOTA[TANGGAL]))&amp;":"&amp;ADDRESS(ROW(),COLUMN(NOTA[TANGGAL]))),-1)))</f>
        <v>45072</v>
      </c>
      <c r="AH749" s="187" t="str">
        <f ca="1">IF(NOTA[[#This Row],[NAMA BARANG]]="","",INDEX(NOTA[SUPPLIER],MATCH(,INDIRECT(ADDRESS(ROW(NOTA[ID]),COLUMN(NOTA[ID]))&amp;":"&amp;ADDRESS(ROW(),COLUMN(NOTA[ID]))),-1)))</f>
        <v>SBS</v>
      </c>
      <c r="AI749" s="187" t="str">
        <f ca="1">IF(NOTA[[#This Row],[ID_H]]="","",IF(NOTA[[#This Row],[FAKTUR]]="",INDIRECT(ADDRESS(ROW()-1,COLUMN())),NOTA[[#This Row],[FAKTUR]]))</f>
        <v>UNTANA</v>
      </c>
      <c r="AJ749" s="188" t="str">
        <f ca="1">IF(NOTA[[#This Row],[ID]]="","",COUNTIF(NOTA[ID_H],NOTA[[#This Row],[ID_H]]))</f>
        <v/>
      </c>
      <c r="AK749" s="188">
        <f ca="1">IF(NOTA[[#This Row],[TGL.NOTA]]="",IF(NOTA[[#This Row],[SUPPLIER_H]]="","",AK748),MONTH(NOTA[[#This Row],[TGL.NOTA]]))</f>
        <v>5</v>
      </c>
      <c r="AL749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7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penggarissetbzj2107eifel1920000</v>
      </c>
      <c r="AN7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penggarissetbzj2107eifel1920000</v>
      </c>
      <c r="AO7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188" t="str">
        <f>IF(NOTA[[#This Row],[CONCAT4]]="","",_xlfn.IFNA(MATCH(NOTA[[#This Row],[CONCAT4]],[2]!RAW[CONCAT_H],0),FALSE))</f>
        <v/>
      </c>
      <c r="AQ749" s="188" t="e">
        <f>IF(NOTA[[#This Row],[CONCAT1]]="","",MATCH(NOTA[[#This Row],[CONCAT1]],[3]!db[NB NOTA_C],0)+1)</f>
        <v>#N/A</v>
      </c>
    </row>
    <row r="750" spans="1:43" ht="20.100000000000001" customHeight="1" x14ac:dyDescent="0.25">
      <c r="A7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188" t="str">
        <f>IF(NOTA[[#This Row],[ID_P]]="","",MATCH(NOTA[[#This Row],[ID_P]],[1]!B_MSK[N_ID],0))</f>
        <v/>
      </c>
      <c r="D750" s="188">
        <f ca="1">IF(NOTA[[#This Row],[NAMA BARANG]]="","",INDEX(NOTA[ID],MATCH(,INDIRECT(ADDRESS(ROW(NOTA[ID]),COLUMN(NOTA[ID]))&amp;":"&amp;ADDRESS(ROW(),COLUMN(NOTA[ID]))),-1)))</f>
        <v>134</v>
      </c>
      <c r="E750" s="189"/>
      <c r="F750" s="190"/>
      <c r="G750" s="190"/>
      <c r="H750" s="191"/>
      <c r="I750" s="190"/>
      <c r="J750" s="192"/>
      <c r="K750" s="190"/>
      <c r="L750" s="190" t="s">
        <v>949</v>
      </c>
      <c r="M750" s="193"/>
      <c r="N750" s="188">
        <v>11</v>
      </c>
      <c r="O750" s="190" t="s">
        <v>262</v>
      </c>
      <c r="P750" s="187">
        <v>120000</v>
      </c>
      <c r="Q750" s="194"/>
      <c r="R750" s="195" t="s">
        <v>946</v>
      </c>
      <c r="S750" s="196"/>
      <c r="T750" s="197"/>
      <c r="U750" s="198"/>
      <c r="V750" s="199"/>
      <c r="W750" s="198">
        <f>IF(NOTA[[#This Row],[HARGA/ CTN]]="",NOTA[[#This Row],[JUMLAH_H]],NOTA[[#This Row],[HARGA/ CTN]]*IF(NOTA[[#This Row],[C]]="",0,NOTA[[#This Row],[C]]))</f>
        <v>1320000</v>
      </c>
      <c r="X750" s="198">
        <f>IF(NOTA[[#This Row],[JUMLAH]]="","",NOTA[[#This Row],[JUMLAH]]*NOTA[[#This Row],[DISC 1]])</f>
        <v>0</v>
      </c>
      <c r="Y750" s="198">
        <f>IF(NOTA[[#This Row],[JUMLAH]]="","",(NOTA[[#This Row],[JUMLAH]]-NOTA[[#This Row],[DISC 1-]])*NOTA[[#This Row],[DISC 2]])</f>
        <v>0</v>
      </c>
      <c r="Z750" s="198">
        <f>IF(NOTA[[#This Row],[JUMLAH]]="","",NOTA[[#This Row],[DISC 1-]]+NOTA[[#This Row],[DISC 2-]])</f>
        <v>0</v>
      </c>
      <c r="AA750" s="198">
        <f>IF(NOTA[[#This Row],[JUMLAH]]="","",NOTA[[#This Row],[JUMLAH]]-NOTA[[#This Row],[DISC]])</f>
        <v>1320000</v>
      </c>
      <c r="AB750" s="198"/>
      <c r="AC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187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750" s="200">
        <f>IF(OR(NOTA[[#This Row],[QTY]]="",NOTA[[#This Row],[HARGA SATUAN]]="",),"",NOTA[[#This Row],[QTY]]*NOTA[[#This Row],[HARGA SATUAN]])</f>
        <v>1320000</v>
      </c>
      <c r="AG750" s="192">
        <f ca="1">IF(NOTA[ID_H]="","",INDEX(NOTA[TANGGAL],MATCH(,INDIRECT(ADDRESS(ROW(NOTA[TANGGAL]),COLUMN(NOTA[TANGGAL]))&amp;":"&amp;ADDRESS(ROW(),COLUMN(NOTA[TANGGAL]))),-1)))</f>
        <v>45072</v>
      </c>
      <c r="AH750" s="187" t="str">
        <f ca="1">IF(NOTA[[#This Row],[NAMA BARANG]]="","",INDEX(NOTA[SUPPLIER],MATCH(,INDIRECT(ADDRESS(ROW(NOTA[ID]),COLUMN(NOTA[ID]))&amp;":"&amp;ADDRESS(ROW(),COLUMN(NOTA[ID]))),-1)))</f>
        <v>SBS</v>
      </c>
      <c r="AI750" s="187" t="str">
        <f ca="1">IF(NOTA[[#This Row],[ID_H]]="","",IF(NOTA[[#This Row],[FAKTUR]]="",INDIRECT(ADDRESS(ROW()-1,COLUMN())),NOTA[[#This Row],[FAKTUR]]))</f>
        <v>UNTANA</v>
      </c>
      <c r="AJ750" s="188" t="str">
        <f ca="1">IF(NOTA[[#This Row],[ID]]="","",COUNTIF(NOTA[ID_H],NOTA[[#This Row],[ID_H]]))</f>
        <v/>
      </c>
      <c r="AK750" s="188">
        <f ca="1">IF(NOTA[[#This Row],[TGL.NOTA]]="",IF(NOTA[[#This Row],[SUPPLIER_H]]="","",AK749),MONTH(NOTA[[#This Row],[TGL.NOTA]]))</f>
        <v>5</v>
      </c>
      <c r="AL750" s="188" t="str">
        <f>LOWER(SUBSTITUTE(SUBSTITUTE(SUBSTITUTE(SUBSTITUTE(SUBSTITUTE(SUBSTITUTE(SUBSTITUTE(SUBSTITUTE(SUBSTITUTE(NOTA[NAMA BARANG]," ",),".",""),"-",""),"(",""),")",""),",",""),"/",""),"""",""),"+",""))</f>
        <v>penggarissetbzj2107eifel</v>
      </c>
      <c r="AM7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penggarissetbzj2107eifel1320000</v>
      </c>
      <c r="AN7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penggarissetbzj2107eifel120000</v>
      </c>
      <c r="AO7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188" t="str">
        <f>IF(NOTA[[#This Row],[CONCAT4]]="","",_xlfn.IFNA(MATCH(NOTA[[#This Row],[CONCAT4]],[2]!RAW[CONCAT_H],0),FALSE))</f>
        <v/>
      </c>
      <c r="AQ750" s="188" t="e">
        <f>IF(NOTA[[#This Row],[CONCAT1]]="","",MATCH(NOTA[[#This Row],[CONCAT1]],[3]!db[NB NOTA_C],0)+1)</f>
        <v>#N/A</v>
      </c>
    </row>
    <row r="751" spans="1:43" ht="20.100000000000001" customHeight="1" x14ac:dyDescent="0.25">
      <c r="A7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188" t="str">
        <f>IF(NOTA[[#This Row],[ID_P]]="","",MATCH(NOTA[[#This Row],[ID_P]],[1]!B_MSK[N_ID],0))</f>
        <v/>
      </c>
      <c r="D751" s="188">
        <f ca="1">IF(NOTA[[#This Row],[NAMA BARANG]]="","",INDEX(NOTA[ID],MATCH(,INDIRECT(ADDRESS(ROW(NOTA[ID]),COLUMN(NOTA[ID]))&amp;":"&amp;ADDRESS(ROW(),COLUMN(NOTA[ID]))),-1)))</f>
        <v>134</v>
      </c>
      <c r="E751" s="189"/>
      <c r="F751" s="190"/>
      <c r="G751" s="190"/>
      <c r="H751" s="191"/>
      <c r="I751" s="190"/>
      <c r="J751" s="192"/>
      <c r="K751" s="190"/>
      <c r="L751" s="190" t="s">
        <v>950</v>
      </c>
      <c r="M751" s="193">
        <v>2</v>
      </c>
      <c r="N751" s="188">
        <v>32</v>
      </c>
      <c r="O751" s="190" t="s">
        <v>262</v>
      </c>
      <c r="P751" s="187">
        <v>120000</v>
      </c>
      <c r="Q751" s="194"/>
      <c r="R751" s="195" t="s">
        <v>946</v>
      </c>
      <c r="S751" s="196"/>
      <c r="T751" s="197"/>
      <c r="U751" s="198"/>
      <c r="V751" s="199"/>
      <c r="W751" s="198">
        <f>IF(NOTA[[#This Row],[HARGA/ CTN]]="",NOTA[[#This Row],[JUMLAH_H]],NOTA[[#This Row],[HARGA/ CTN]]*IF(NOTA[[#This Row],[C]]="",0,NOTA[[#This Row],[C]]))</f>
        <v>3840000</v>
      </c>
      <c r="X751" s="198">
        <f>IF(NOTA[[#This Row],[JUMLAH]]="","",NOTA[[#This Row],[JUMLAH]]*NOTA[[#This Row],[DISC 1]])</f>
        <v>0</v>
      </c>
      <c r="Y751" s="198">
        <f>IF(NOTA[[#This Row],[JUMLAH]]="","",(NOTA[[#This Row],[JUMLAH]]-NOTA[[#This Row],[DISC 1-]])*NOTA[[#This Row],[DISC 2]])</f>
        <v>0</v>
      </c>
      <c r="Z751" s="198">
        <f>IF(NOTA[[#This Row],[JUMLAH]]="","",NOTA[[#This Row],[DISC 1-]]+NOTA[[#This Row],[DISC 2-]])</f>
        <v>0</v>
      </c>
      <c r="AA751" s="198">
        <f>IF(NOTA[[#This Row],[JUMLAH]]="","",NOTA[[#This Row],[JUMLAH]]-NOTA[[#This Row],[DISC]])</f>
        <v>3840000</v>
      </c>
      <c r="AB751" s="198"/>
      <c r="AC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5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E751" s="187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751" s="200">
        <f>IF(OR(NOTA[[#This Row],[QTY]]="",NOTA[[#This Row],[HARGA SATUAN]]="",),"",NOTA[[#This Row],[QTY]]*NOTA[[#This Row],[HARGA SATUAN]])</f>
        <v>3840000</v>
      </c>
      <c r="AG751" s="192">
        <f ca="1">IF(NOTA[ID_H]="","",INDEX(NOTA[TANGGAL],MATCH(,INDIRECT(ADDRESS(ROW(NOTA[TANGGAL]),COLUMN(NOTA[TANGGAL]))&amp;":"&amp;ADDRESS(ROW(),COLUMN(NOTA[TANGGAL]))),-1)))</f>
        <v>45072</v>
      </c>
      <c r="AH751" s="187" t="str">
        <f ca="1">IF(NOTA[[#This Row],[NAMA BARANG]]="","",INDEX(NOTA[SUPPLIER],MATCH(,INDIRECT(ADDRESS(ROW(NOTA[ID]),COLUMN(NOTA[ID]))&amp;":"&amp;ADDRESS(ROW(),COLUMN(NOTA[ID]))),-1)))</f>
        <v>SBS</v>
      </c>
      <c r="AI751" s="187" t="str">
        <f ca="1">IF(NOTA[[#This Row],[ID_H]]="","",IF(NOTA[[#This Row],[FAKTUR]]="",INDIRECT(ADDRESS(ROW()-1,COLUMN())),NOTA[[#This Row],[FAKTUR]]))</f>
        <v>UNTANA</v>
      </c>
      <c r="AJ751" s="188" t="str">
        <f ca="1">IF(NOTA[[#This Row],[ID]]="","",COUNTIF(NOTA[ID_H],NOTA[[#This Row],[ID_H]]))</f>
        <v/>
      </c>
      <c r="AK751" s="188">
        <f ca="1">IF(NOTA[[#This Row],[TGL.NOTA]]="",IF(NOTA[[#This Row],[SUPPLIER_H]]="","",AK750),MONTH(NOTA[[#This Row],[TGL.NOTA]]))</f>
        <v>5</v>
      </c>
      <c r="AL751" s="188" t="str">
        <f>LOWER(SUBSTITUTE(SUBSTITUTE(SUBSTITUTE(SUBSTITUTE(SUBSTITUTE(SUBSTITUTE(SUBSTITUTE(SUBSTITUTE(SUBSTITUTE(NOTA[NAMA BARANG]," ",),".",""),"-",""),"(",""),")",""),",",""),"/",""),"""",""),"+",""))</f>
        <v>penggarissetbzj210820cmppkanimal</v>
      </c>
      <c r="AM7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penggarissetbzj210820cmppkanimal1920000</v>
      </c>
      <c r="AN7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penggarissetbzj210820cmppkanimal1920000</v>
      </c>
      <c r="AO7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188" t="str">
        <f>IF(NOTA[[#This Row],[CONCAT4]]="","",_xlfn.IFNA(MATCH(NOTA[[#This Row],[CONCAT4]],[2]!RAW[CONCAT_H],0),FALSE))</f>
        <v/>
      </c>
      <c r="AQ751" s="188" t="e">
        <f>IF(NOTA[[#This Row],[CONCAT1]]="","",MATCH(NOTA[[#This Row],[CONCAT1]],[3]!db[NB NOTA_C],0)+1)</f>
        <v>#N/A</v>
      </c>
    </row>
    <row r="752" spans="1:43" ht="20.100000000000001" customHeight="1" x14ac:dyDescent="0.25">
      <c r="A7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188" t="str">
        <f>IF(NOTA[[#This Row],[ID_P]]="","",MATCH(NOTA[[#This Row],[ID_P]],[1]!B_MSK[N_ID],0))</f>
        <v/>
      </c>
      <c r="D752" s="188" t="str">
        <f ca="1">IF(NOTA[[#This Row],[NAMA BARANG]]="","",INDEX(NOTA[ID],MATCH(,INDIRECT(ADDRESS(ROW(NOTA[ID]),COLUMN(NOTA[ID]))&amp;":"&amp;ADDRESS(ROW(),COLUMN(NOTA[ID]))),-1)))</f>
        <v/>
      </c>
      <c r="E752" s="189"/>
      <c r="F752" s="190"/>
      <c r="G752" s="190"/>
      <c r="H752" s="191"/>
      <c r="I752" s="190"/>
      <c r="J752" s="192"/>
      <c r="K752" s="190"/>
      <c r="L752" s="190"/>
      <c r="M752" s="193"/>
      <c r="N752" s="188"/>
      <c r="O752" s="190"/>
      <c r="P752" s="187"/>
      <c r="Q752" s="194"/>
      <c r="R752" s="195"/>
      <c r="S752" s="196"/>
      <c r="T752" s="197"/>
      <c r="U752" s="198"/>
      <c r="V752" s="199"/>
      <c r="W752" s="198" t="str">
        <f>IF(NOTA[[#This Row],[HARGA/ CTN]]="",NOTA[[#This Row],[JUMLAH_H]],NOTA[[#This Row],[HARGA/ CTN]]*IF(NOTA[[#This Row],[C]]="",0,NOTA[[#This Row],[C]]))</f>
        <v/>
      </c>
      <c r="X752" s="198" t="str">
        <f>IF(NOTA[[#This Row],[JUMLAH]]="","",NOTA[[#This Row],[JUMLAH]]*NOTA[[#This Row],[DISC 1]])</f>
        <v/>
      </c>
      <c r="Y752" s="198" t="str">
        <f>IF(NOTA[[#This Row],[JUMLAH]]="","",(NOTA[[#This Row],[JUMLAH]]-NOTA[[#This Row],[DISC 1-]])*NOTA[[#This Row],[DISC 2]])</f>
        <v/>
      </c>
      <c r="Z752" s="198" t="str">
        <f>IF(NOTA[[#This Row],[JUMLAH]]="","",NOTA[[#This Row],[DISC 1-]]+NOTA[[#This Row],[DISC 2-]])</f>
        <v/>
      </c>
      <c r="AA752" s="198" t="str">
        <f>IF(NOTA[[#This Row],[JUMLAH]]="","",NOTA[[#This Row],[JUMLAH]]-NOTA[[#This Row],[DISC]])</f>
        <v/>
      </c>
      <c r="AB752" s="198"/>
      <c r="AC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200" t="str">
        <f>IF(OR(NOTA[[#This Row],[QTY]]="",NOTA[[#This Row],[HARGA SATUAN]]="",),"",NOTA[[#This Row],[QTY]]*NOTA[[#This Row],[HARGA SATUAN]])</f>
        <v/>
      </c>
      <c r="AG752" s="192" t="str">
        <f ca="1">IF(NOTA[ID_H]="","",INDEX(NOTA[TANGGAL],MATCH(,INDIRECT(ADDRESS(ROW(NOTA[TANGGAL]),COLUMN(NOTA[TANGGAL]))&amp;":"&amp;ADDRESS(ROW(),COLUMN(NOTA[TANGGAL]))),-1)))</f>
        <v/>
      </c>
      <c r="AH752" s="187" t="str">
        <f ca="1">IF(NOTA[[#This Row],[NAMA BARANG]]="","",INDEX(NOTA[SUPPLIER],MATCH(,INDIRECT(ADDRESS(ROW(NOTA[ID]),COLUMN(NOTA[ID]))&amp;":"&amp;ADDRESS(ROW(),COLUMN(NOTA[ID]))),-1)))</f>
        <v/>
      </c>
      <c r="AI752" s="187" t="str">
        <f ca="1">IF(NOTA[[#This Row],[ID_H]]="","",IF(NOTA[[#This Row],[FAKTUR]]="",INDIRECT(ADDRESS(ROW()-1,COLUMN())),NOTA[[#This Row],[FAKTUR]]))</f>
        <v/>
      </c>
      <c r="AJ752" s="188" t="str">
        <f ca="1">IF(NOTA[[#This Row],[ID]]="","",COUNTIF(NOTA[ID_H],NOTA[[#This Row],[ID_H]]))</f>
        <v/>
      </c>
      <c r="AK752" s="188" t="str">
        <f ca="1">IF(NOTA[[#This Row],[TGL.NOTA]]="",IF(NOTA[[#This Row],[SUPPLIER_H]]="","",AK751),MONTH(NOTA[[#This Row],[TGL.NOTA]]))</f>
        <v/>
      </c>
      <c r="AL752" s="188" t="str">
        <f>LOWER(SUBSTITUTE(SUBSTITUTE(SUBSTITUTE(SUBSTITUTE(SUBSTITUTE(SUBSTITUTE(SUBSTITUTE(SUBSTITUTE(SUBSTITUTE(NOTA[NAMA BARANG]," ",),".",""),"-",""),"(",""),")",""),",",""),"/",""),"""",""),"+",""))</f>
        <v/>
      </c>
      <c r="AM7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188" t="str">
        <f>IF(NOTA[[#This Row],[CONCAT4]]="","",_xlfn.IFNA(MATCH(NOTA[[#This Row],[CONCAT4]],[2]!RAW[CONCAT_H],0),FALSE))</f>
        <v/>
      </c>
      <c r="AQ752" s="188" t="str">
        <f>IF(NOTA[[#This Row],[CONCAT1]]="","",MATCH(NOTA[[#This Row],[CONCAT1]],[3]!db[NB NOTA_C],0)+1)</f>
        <v/>
      </c>
    </row>
    <row r="753" spans="1:43" ht="20.100000000000001" customHeight="1" x14ac:dyDescent="0.25">
      <c r="A753" s="187">
        <f ca="1">IF(INDIRECT(ADDRESS(ROW()-1,COLUMN(NOTA[[#Headers],[ID]])))="ID",1,IF(NOTA[[#This Row],[FAKTUR]]="","",COUNT(INDIRECT(ADDRESS(ROW(NOTA[ID]),COLUMN(NOTA[ID]))&amp;":"&amp;ADDRESS(ROW()-1,COLUMN(NOTA[ID]))))+1))</f>
        <v>135</v>
      </c>
      <c r="B75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DBS_2705_223-15</v>
      </c>
      <c r="C753" s="188" t="e">
        <f ca="1">IF(NOTA[[#This Row],[ID_P]]="","",MATCH(NOTA[[#This Row],[ID_P]],[1]!B_MSK[N_ID],0))</f>
        <v>#REF!</v>
      </c>
      <c r="D753" s="188">
        <f ca="1">IF(NOTA[[#This Row],[NAMA BARANG]]="","",INDEX(NOTA[ID],MATCH(,INDIRECT(ADDRESS(ROW(NOTA[ID]),COLUMN(NOTA[ID]))&amp;":"&amp;ADDRESS(ROW(),COLUMN(NOTA[ID]))),-1)))</f>
        <v>135</v>
      </c>
      <c r="E753" s="189">
        <v>45073</v>
      </c>
      <c r="F753" s="190" t="s">
        <v>168</v>
      </c>
      <c r="G753" s="190" t="s">
        <v>112</v>
      </c>
      <c r="H753" s="191" t="s">
        <v>952</v>
      </c>
      <c r="I753" s="190"/>
      <c r="J753" s="192">
        <v>45069</v>
      </c>
      <c r="K753" s="190"/>
      <c r="L753" s="190" t="s">
        <v>953</v>
      </c>
      <c r="M753" s="193">
        <v>1</v>
      </c>
      <c r="N753" s="188">
        <v>144</v>
      </c>
      <c r="O753" s="190" t="s">
        <v>125</v>
      </c>
      <c r="P753" s="187">
        <v>18250</v>
      </c>
      <c r="Q753" s="194"/>
      <c r="R753" s="195" t="s">
        <v>171</v>
      </c>
      <c r="S753" s="196"/>
      <c r="T753" s="197"/>
      <c r="U753" s="198"/>
      <c r="V753" s="199"/>
      <c r="W753" s="198">
        <f>IF(NOTA[[#This Row],[HARGA/ CTN]]="",NOTA[[#This Row],[JUMLAH_H]],NOTA[[#This Row],[HARGA/ CTN]]*IF(NOTA[[#This Row],[C]]="",0,NOTA[[#This Row],[C]]))</f>
        <v>2628000</v>
      </c>
      <c r="X753" s="198">
        <f>IF(NOTA[[#This Row],[JUMLAH]]="","",NOTA[[#This Row],[JUMLAH]]*NOTA[[#This Row],[DISC 1]])</f>
        <v>0</v>
      </c>
      <c r="Y753" s="198">
        <f>IF(NOTA[[#This Row],[JUMLAH]]="","",(NOTA[[#This Row],[JUMLAH]]-NOTA[[#This Row],[DISC 1-]])*NOTA[[#This Row],[DISC 2]])</f>
        <v>0</v>
      </c>
      <c r="Z753" s="198">
        <f>IF(NOTA[[#This Row],[JUMLAH]]="","",NOTA[[#This Row],[DISC 1-]]+NOTA[[#This Row],[DISC 2-]])</f>
        <v>0</v>
      </c>
      <c r="AA753" s="198">
        <f>IF(NOTA[[#This Row],[JUMLAH]]="","",NOTA[[#This Row],[JUMLAH]]-NOTA[[#This Row],[DISC]])</f>
        <v>2628000</v>
      </c>
      <c r="AB753" s="198"/>
      <c r="AC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53" s="200">
        <f>IF(OR(NOTA[[#This Row],[QTY]]="",NOTA[[#This Row],[HARGA SATUAN]]="",),"",NOTA[[#This Row],[QTY]]*NOTA[[#This Row],[HARGA SATUAN]])</f>
        <v>2628000</v>
      </c>
      <c r="AG753" s="192">
        <f ca="1">IF(NOTA[ID_H]="","",INDEX(NOTA[TANGGAL],MATCH(,INDIRECT(ADDRESS(ROW(NOTA[TANGGAL]),COLUMN(NOTA[TANGGAL]))&amp;":"&amp;ADDRESS(ROW(),COLUMN(NOTA[TANGGAL]))),-1)))</f>
        <v>45073</v>
      </c>
      <c r="AH753" s="187" t="str">
        <f ca="1">IF(NOTA[[#This Row],[NAMA BARANG]]="","",INDEX(NOTA[SUPPLIER],MATCH(,INDIRECT(ADDRESS(ROW(NOTA[ID]),COLUMN(NOTA[ID]))&amp;":"&amp;ADDRESS(ROW(),COLUMN(NOTA[ID]))),-1)))</f>
        <v>DB STATIONERY</v>
      </c>
      <c r="AI753" s="187" t="str">
        <f ca="1">IF(NOTA[[#This Row],[ID_H]]="","",IF(NOTA[[#This Row],[FAKTUR]]="",INDIRECT(ADDRESS(ROW()-1,COLUMN())),NOTA[[#This Row],[FAKTUR]]))</f>
        <v>UNTANA</v>
      </c>
      <c r="AJ753" s="188">
        <f ca="1">IF(NOTA[[#This Row],[ID]]="","",COUNTIF(NOTA[ID_H],NOTA[[#This Row],[ID_H]]))</f>
        <v>15</v>
      </c>
      <c r="AK753" s="188">
        <f>IF(NOTA[[#This Row],[TGL.NOTA]]="",IF(NOTA[[#This Row],[SUPPLIER_H]]="","",AK752),MONTH(NOTA[[#This Row],[TGL.NOTA]]))</f>
        <v>5</v>
      </c>
      <c r="AL753" s="188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7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7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753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STATIONERYUNTANAJUE432/2345069geltizofancytg31762e</v>
      </c>
      <c r="AP753" s="188" t="e">
        <f>IF(NOTA[[#This Row],[CONCAT4]]="","",_xlfn.IFNA(MATCH(NOTA[[#This Row],[CONCAT4]],[2]!RAW[CONCAT_H],0),FALSE))</f>
        <v>#REF!</v>
      </c>
      <c r="AQ753" s="188">
        <f>IF(NOTA[[#This Row],[CONCAT1]]="","",MATCH(NOTA[[#This Row],[CONCAT1]],[3]!db[NB NOTA_C],0)+1)</f>
        <v>890</v>
      </c>
    </row>
    <row r="754" spans="1:43" ht="20.100000000000001" customHeight="1" x14ac:dyDescent="0.25">
      <c r="A7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188" t="str">
        <f>IF(NOTA[[#This Row],[ID_P]]="","",MATCH(NOTA[[#This Row],[ID_P]],[1]!B_MSK[N_ID],0))</f>
        <v/>
      </c>
      <c r="D754" s="188">
        <f ca="1">IF(NOTA[[#This Row],[NAMA BARANG]]="","",INDEX(NOTA[ID],MATCH(,INDIRECT(ADDRESS(ROW(NOTA[ID]),COLUMN(NOTA[ID]))&amp;":"&amp;ADDRESS(ROW(),COLUMN(NOTA[ID]))),-1)))</f>
        <v>135</v>
      </c>
      <c r="E754" s="189"/>
      <c r="F754" s="190"/>
      <c r="G754" s="190"/>
      <c r="H754" s="191"/>
      <c r="I754" s="190"/>
      <c r="J754" s="192"/>
      <c r="K754" s="190"/>
      <c r="L754" s="190" t="s">
        <v>954</v>
      </c>
      <c r="M754" s="193">
        <v>1</v>
      </c>
      <c r="N754" s="188">
        <v>144</v>
      </c>
      <c r="O754" s="190" t="s">
        <v>125</v>
      </c>
      <c r="P754" s="187">
        <v>18250</v>
      </c>
      <c r="Q754" s="194"/>
      <c r="R754" s="195" t="s">
        <v>171</v>
      </c>
      <c r="S754" s="196"/>
      <c r="T754" s="197"/>
      <c r="U754" s="198"/>
      <c r="V754" s="199"/>
      <c r="W754" s="198">
        <f>IF(NOTA[[#This Row],[HARGA/ CTN]]="",NOTA[[#This Row],[JUMLAH_H]],NOTA[[#This Row],[HARGA/ CTN]]*IF(NOTA[[#This Row],[C]]="",0,NOTA[[#This Row],[C]]))</f>
        <v>2628000</v>
      </c>
      <c r="X754" s="198">
        <f>IF(NOTA[[#This Row],[JUMLAH]]="","",NOTA[[#This Row],[JUMLAH]]*NOTA[[#This Row],[DISC 1]])</f>
        <v>0</v>
      </c>
      <c r="Y754" s="198">
        <f>IF(NOTA[[#This Row],[JUMLAH]]="","",(NOTA[[#This Row],[JUMLAH]]-NOTA[[#This Row],[DISC 1-]])*NOTA[[#This Row],[DISC 2]])</f>
        <v>0</v>
      </c>
      <c r="Z754" s="198">
        <f>IF(NOTA[[#This Row],[JUMLAH]]="","",NOTA[[#This Row],[DISC 1-]]+NOTA[[#This Row],[DISC 2-]])</f>
        <v>0</v>
      </c>
      <c r="AA754" s="198">
        <f>IF(NOTA[[#This Row],[JUMLAH]]="","",NOTA[[#This Row],[JUMLAH]]-NOTA[[#This Row],[DISC]])</f>
        <v>2628000</v>
      </c>
      <c r="AB754" s="198"/>
      <c r="AC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54" s="200">
        <f>IF(OR(NOTA[[#This Row],[QTY]]="",NOTA[[#This Row],[HARGA SATUAN]]="",),"",NOTA[[#This Row],[QTY]]*NOTA[[#This Row],[HARGA SATUAN]])</f>
        <v>2628000</v>
      </c>
      <c r="AG754" s="192">
        <f ca="1">IF(NOTA[ID_H]="","",INDEX(NOTA[TANGGAL],MATCH(,INDIRECT(ADDRESS(ROW(NOTA[TANGGAL]),COLUMN(NOTA[TANGGAL]))&amp;":"&amp;ADDRESS(ROW(),COLUMN(NOTA[TANGGAL]))),-1)))</f>
        <v>45073</v>
      </c>
      <c r="AH754" s="187" t="str">
        <f ca="1">IF(NOTA[[#This Row],[NAMA BARANG]]="","",INDEX(NOTA[SUPPLIER],MATCH(,INDIRECT(ADDRESS(ROW(NOTA[ID]),COLUMN(NOTA[ID]))&amp;":"&amp;ADDRESS(ROW(),COLUMN(NOTA[ID]))),-1)))</f>
        <v>DB STATIONERY</v>
      </c>
      <c r="AI754" s="187" t="str">
        <f ca="1">IF(NOTA[[#This Row],[ID_H]]="","",IF(NOTA[[#This Row],[FAKTUR]]="",INDIRECT(ADDRESS(ROW()-1,COLUMN())),NOTA[[#This Row],[FAKTUR]]))</f>
        <v>UNTANA</v>
      </c>
      <c r="AJ754" s="188" t="str">
        <f ca="1">IF(NOTA[[#This Row],[ID]]="","",COUNTIF(NOTA[ID_H],NOTA[[#This Row],[ID_H]]))</f>
        <v/>
      </c>
      <c r="AK754" s="188">
        <f ca="1">IF(NOTA[[#This Row],[TGL.NOTA]]="",IF(NOTA[[#This Row],[SUPPLIER_H]]="","",AK753),MONTH(NOTA[[#This Row],[TGL.NOTA]]))</f>
        <v>5</v>
      </c>
      <c r="AL754" s="18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7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7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7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188" t="str">
        <f>IF(NOTA[[#This Row],[CONCAT4]]="","",_xlfn.IFNA(MATCH(NOTA[[#This Row],[CONCAT4]],[2]!RAW[CONCAT_H],0),FALSE))</f>
        <v/>
      </c>
      <c r="AQ754" s="188">
        <f>IF(NOTA[[#This Row],[CONCAT1]]="","",MATCH(NOTA[[#This Row],[CONCAT1]],[3]!db[NB NOTA_C],0)+1)</f>
        <v>892</v>
      </c>
    </row>
    <row r="755" spans="1:43" ht="20.100000000000001" customHeight="1" x14ac:dyDescent="0.25">
      <c r="A75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188" t="str">
        <f>IF(NOTA[[#This Row],[ID_P]]="","",MATCH(NOTA[[#This Row],[ID_P]],[1]!B_MSK[N_ID],0))</f>
        <v/>
      </c>
      <c r="D755" s="188">
        <f ca="1">IF(NOTA[[#This Row],[NAMA BARANG]]="","",INDEX(NOTA[ID],MATCH(,INDIRECT(ADDRESS(ROW(NOTA[ID]),COLUMN(NOTA[ID]))&amp;":"&amp;ADDRESS(ROW(),COLUMN(NOTA[ID]))),-1)))</f>
        <v>135</v>
      </c>
      <c r="E755" s="189"/>
      <c r="F755" s="190"/>
      <c r="G755" s="190"/>
      <c r="H755" s="191"/>
      <c r="I755" s="190"/>
      <c r="J755" s="192"/>
      <c r="K755" s="190"/>
      <c r="L755" s="190" t="s">
        <v>955</v>
      </c>
      <c r="M755" s="193">
        <v>1</v>
      </c>
      <c r="N755" s="188">
        <v>144</v>
      </c>
      <c r="O755" s="190" t="s">
        <v>125</v>
      </c>
      <c r="P755" s="187">
        <v>18250</v>
      </c>
      <c r="Q755" s="194"/>
      <c r="R755" s="195" t="s">
        <v>171</v>
      </c>
      <c r="S755" s="196"/>
      <c r="T755" s="197"/>
      <c r="U755" s="198"/>
      <c r="V755" s="199"/>
      <c r="W755" s="198">
        <f>IF(NOTA[[#This Row],[HARGA/ CTN]]="",NOTA[[#This Row],[JUMLAH_H]],NOTA[[#This Row],[HARGA/ CTN]]*IF(NOTA[[#This Row],[C]]="",0,NOTA[[#This Row],[C]]))</f>
        <v>2628000</v>
      </c>
      <c r="X755" s="198">
        <f>IF(NOTA[[#This Row],[JUMLAH]]="","",NOTA[[#This Row],[JUMLAH]]*NOTA[[#This Row],[DISC 1]])</f>
        <v>0</v>
      </c>
      <c r="Y755" s="198">
        <f>IF(NOTA[[#This Row],[JUMLAH]]="","",(NOTA[[#This Row],[JUMLAH]]-NOTA[[#This Row],[DISC 1-]])*NOTA[[#This Row],[DISC 2]])</f>
        <v>0</v>
      </c>
      <c r="Z755" s="198">
        <f>IF(NOTA[[#This Row],[JUMLAH]]="","",NOTA[[#This Row],[DISC 1-]]+NOTA[[#This Row],[DISC 2-]])</f>
        <v>0</v>
      </c>
      <c r="AA755" s="198">
        <f>IF(NOTA[[#This Row],[JUMLAH]]="","",NOTA[[#This Row],[JUMLAH]]-NOTA[[#This Row],[DISC]])</f>
        <v>2628000</v>
      </c>
      <c r="AB755" s="198"/>
      <c r="AC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55" s="200">
        <f>IF(OR(NOTA[[#This Row],[QTY]]="",NOTA[[#This Row],[HARGA SATUAN]]="",),"",NOTA[[#This Row],[QTY]]*NOTA[[#This Row],[HARGA SATUAN]])</f>
        <v>2628000</v>
      </c>
      <c r="AG755" s="192">
        <f ca="1">IF(NOTA[ID_H]="","",INDEX(NOTA[TANGGAL],MATCH(,INDIRECT(ADDRESS(ROW(NOTA[TANGGAL]),COLUMN(NOTA[TANGGAL]))&amp;":"&amp;ADDRESS(ROW(),COLUMN(NOTA[TANGGAL]))),-1)))</f>
        <v>45073</v>
      </c>
      <c r="AH755" s="187" t="str">
        <f ca="1">IF(NOTA[[#This Row],[NAMA BARANG]]="","",INDEX(NOTA[SUPPLIER],MATCH(,INDIRECT(ADDRESS(ROW(NOTA[ID]),COLUMN(NOTA[ID]))&amp;":"&amp;ADDRESS(ROW(),COLUMN(NOTA[ID]))),-1)))</f>
        <v>DB STATIONERY</v>
      </c>
      <c r="AI755" s="187" t="str">
        <f ca="1">IF(NOTA[[#This Row],[ID_H]]="","",IF(NOTA[[#This Row],[FAKTUR]]="",INDIRECT(ADDRESS(ROW()-1,COLUMN())),NOTA[[#This Row],[FAKTUR]]))</f>
        <v>UNTANA</v>
      </c>
      <c r="AJ755" s="188" t="str">
        <f ca="1">IF(NOTA[[#This Row],[ID]]="","",COUNTIF(NOTA[ID_H],NOTA[[#This Row],[ID_H]]))</f>
        <v/>
      </c>
      <c r="AK755" s="188">
        <f ca="1">IF(NOTA[[#This Row],[TGL.NOTA]]="",IF(NOTA[[#This Row],[SUPPLIER_H]]="","",AK754),MONTH(NOTA[[#This Row],[TGL.NOTA]]))</f>
        <v>5</v>
      </c>
      <c r="AL755" s="18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7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7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75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188" t="str">
        <f>IF(NOTA[[#This Row],[CONCAT4]]="","",_xlfn.IFNA(MATCH(NOTA[[#This Row],[CONCAT4]],[2]!RAW[CONCAT_H],0),FALSE))</f>
        <v/>
      </c>
      <c r="AQ755" s="188">
        <f>IF(NOTA[[#This Row],[CONCAT1]]="","",MATCH(NOTA[[#This Row],[CONCAT1]],[3]!db[NB NOTA_C],0)+1)</f>
        <v>886</v>
      </c>
    </row>
    <row r="756" spans="1:43" ht="20.100000000000001" customHeight="1" x14ac:dyDescent="0.25">
      <c r="A7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188" t="str">
        <f>IF(NOTA[[#This Row],[ID_P]]="","",MATCH(NOTA[[#This Row],[ID_P]],[1]!B_MSK[N_ID],0))</f>
        <v/>
      </c>
      <c r="D756" s="188">
        <f ca="1">IF(NOTA[[#This Row],[NAMA BARANG]]="","",INDEX(NOTA[ID],MATCH(,INDIRECT(ADDRESS(ROW(NOTA[ID]),COLUMN(NOTA[ID]))&amp;":"&amp;ADDRESS(ROW(),COLUMN(NOTA[ID]))),-1)))</f>
        <v>135</v>
      </c>
      <c r="E756" s="189"/>
      <c r="F756" s="190"/>
      <c r="G756" s="190"/>
      <c r="H756" s="191"/>
      <c r="I756" s="190"/>
      <c r="J756" s="192"/>
      <c r="K756" s="190"/>
      <c r="L756" s="190" t="s">
        <v>956</v>
      </c>
      <c r="M756" s="193">
        <v>1</v>
      </c>
      <c r="N756" s="188">
        <v>144</v>
      </c>
      <c r="O756" s="190" t="s">
        <v>125</v>
      </c>
      <c r="P756" s="187">
        <v>18250</v>
      </c>
      <c r="Q756" s="194"/>
      <c r="R756" s="195" t="s">
        <v>171</v>
      </c>
      <c r="S756" s="196"/>
      <c r="T756" s="197"/>
      <c r="U756" s="198"/>
      <c r="V756" s="199"/>
      <c r="W756" s="198">
        <f>IF(NOTA[[#This Row],[HARGA/ CTN]]="",NOTA[[#This Row],[JUMLAH_H]],NOTA[[#This Row],[HARGA/ CTN]]*IF(NOTA[[#This Row],[C]]="",0,NOTA[[#This Row],[C]]))</f>
        <v>2628000</v>
      </c>
      <c r="X756" s="198">
        <f>IF(NOTA[[#This Row],[JUMLAH]]="","",NOTA[[#This Row],[JUMLAH]]*NOTA[[#This Row],[DISC 1]])</f>
        <v>0</v>
      </c>
      <c r="Y756" s="198">
        <f>IF(NOTA[[#This Row],[JUMLAH]]="","",(NOTA[[#This Row],[JUMLAH]]-NOTA[[#This Row],[DISC 1-]])*NOTA[[#This Row],[DISC 2]])</f>
        <v>0</v>
      </c>
      <c r="Z756" s="198">
        <f>IF(NOTA[[#This Row],[JUMLAH]]="","",NOTA[[#This Row],[DISC 1-]]+NOTA[[#This Row],[DISC 2-]])</f>
        <v>0</v>
      </c>
      <c r="AA756" s="198">
        <f>IF(NOTA[[#This Row],[JUMLAH]]="","",NOTA[[#This Row],[JUMLAH]]-NOTA[[#This Row],[DISC]])</f>
        <v>2628000</v>
      </c>
      <c r="AB756" s="198"/>
      <c r="AC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56" s="200">
        <f>IF(OR(NOTA[[#This Row],[QTY]]="",NOTA[[#This Row],[HARGA SATUAN]]="",),"",NOTA[[#This Row],[QTY]]*NOTA[[#This Row],[HARGA SATUAN]])</f>
        <v>2628000</v>
      </c>
      <c r="AG756" s="192">
        <f ca="1">IF(NOTA[ID_H]="","",INDEX(NOTA[TANGGAL],MATCH(,INDIRECT(ADDRESS(ROW(NOTA[TANGGAL]),COLUMN(NOTA[TANGGAL]))&amp;":"&amp;ADDRESS(ROW(),COLUMN(NOTA[TANGGAL]))),-1)))</f>
        <v>45073</v>
      </c>
      <c r="AH756" s="187" t="str">
        <f ca="1">IF(NOTA[[#This Row],[NAMA BARANG]]="","",INDEX(NOTA[SUPPLIER],MATCH(,INDIRECT(ADDRESS(ROW(NOTA[ID]),COLUMN(NOTA[ID]))&amp;":"&amp;ADDRESS(ROW(),COLUMN(NOTA[ID]))),-1)))</f>
        <v>DB STATIONERY</v>
      </c>
      <c r="AI756" s="187" t="str">
        <f ca="1">IF(NOTA[[#This Row],[ID_H]]="","",IF(NOTA[[#This Row],[FAKTUR]]="",INDIRECT(ADDRESS(ROW()-1,COLUMN())),NOTA[[#This Row],[FAKTUR]]))</f>
        <v>UNTANA</v>
      </c>
      <c r="AJ756" s="188" t="str">
        <f ca="1">IF(NOTA[[#This Row],[ID]]="","",COUNTIF(NOTA[ID_H],NOTA[[#This Row],[ID_H]]))</f>
        <v/>
      </c>
      <c r="AK756" s="188">
        <f ca="1">IF(NOTA[[#This Row],[TGL.NOTA]]="",IF(NOTA[[#This Row],[SUPPLIER_H]]="","",AK755),MONTH(NOTA[[#This Row],[TGL.NOTA]]))</f>
        <v>5</v>
      </c>
      <c r="AL756" s="18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7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7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7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188" t="str">
        <f>IF(NOTA[[#This Row],[CONCAT4]]="","",_xlfn.IFNA(MATCH(NOTA[[#This Row],[CONCAT4]],[2]!RAW[CONCAT_H],0),FALSE))</f>
        <v/>
      </c>
      <c r="AQ756" s="188">
        <f>IF(NOTA[[#This Row],[CONCAT1]]="","",MATCH(NOTA[[#This Row],[CONCAT1]],[3]!db[NB NOTA_C],0)+1)</f>
        <v>878</v>
      </c>
    </row>
    <row r="757" spans="1:43" ht="20.100000000000001" customHeight="1" x14ac:dyDescent="0.25">
      <c r="A7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188" t="str">
        <f>IF(NOTA[[#This Row],[ID_P]]="","",MATCH(NOTA[[#This Row],[ID_P]],[1]!B_MSK[N_ID],0))</f>
        <v/>
      </c>
      <c r="D757" s="188">
        <f ca="1">IF(NOTA[[#This Row],[NAMA BARANG]]="","",INDEX(NOTA[ID],MATCH(,INDIRECT(ADDRESS(ROW(NOTA[ID]),COLUMN(NOTA[ID]))&amp;":"&amp;ADDRESS(ROW(),COLUMN(NOTA[ID]))),-1)))</f>
        <v>135</v>
      </c>
      <c r="E757" s="189"/>
      <c r="F757" s="190"/>
      <c r="G757" s="190"/>
      <c r="H757" s="191"/>
      <c r="I757" s="190"/>
      <c r="J757" s="192"/>
      <c r="K757" s="190"/>
      <c r="L757" s="190" t="s">
        <v>212</v>
      </c>
      <c r="M757" s="193">
        <v>1</v>
      </c>
      <c r="N757" s="188">
        <v>144</v>
      </c>
      <c r="O757" s="190" t="s">
        <v>125</v>
      </c>
      <c r="P757" s="187">
        <v>18250</v>
      </c>
      <c r="Q757" s="194"/>
      <c r="R757" s="195" t="s">
        <v>171</v>
      </c>
      <c r="S757" s="196"/>
      <c r="T757" s="197"/>
      <c r="U757" s="198"/>
      <c r="V757" s="199"/>
      <c r="W757" s="198">
        <f>IF(NOTA[[#This Row],[HARGA/ CTN]]="",NOTA[[#This Row],[JUMLAH_H]],NOTA[[#This Row],[HARGA/ CTN]]*IF(NOTA[[#This Row],[C]]="",0,NOTA[[#This Row],[C]]))</f>
        <v>2628000</v>
      </c>
      <c r="X757" s="198">
        <f>IF(NOTA[[#This Row],[JUMLAH]]="","",NOTA[[#This Row],[JUMLAH]]*NOTA[[#This Row],[DISC 1]])</f>
        <v>0</v>
      </c>
      <c r="Y757" s="198">
        <f>IF(NOTA[[#This Row],[JUMLAH]]="","",(NOTA[[#This Row],[JUMLAH]]-NOTA[[#This Row],[DISC 1-]])*NOTA[[#This Row],[DISC 2]])</f>
        <v>0</v>
      </c>
      <c r="Z757" s="198">
        <f>IF(NOTA[[#This Row],[JUMLAH]]="","",NOTA[[#This Row],[DISC 1-]]+NOTA[[#This Row],[DISC 2-]])</f>
        <v>0</v>
      </c>
      <c r="AA757" s="198">
        <f>IF(NOTA[[#This Row],[JUMLAH]]="","",NOTA[[#This Row],[JUMLAH]]-NOTA[[#This Row],[DISC]])</f>
        <v>2628000</v>
      </c>
      <c r="AB757" s="198"/>
      <c r="AC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57" s="200">
        <f>IF(OR(NOTA[[#This Row],[QTY]]="",NOTA[[#This Row],[HARGA SATUAN]]="",),"",NOTA[[#This Row],[QTY]]*NOTA[[#This Row],[HARGA SATUAN]])</f>
        <v>2628000</v>
      </c>
      <c r="AG757" s="192">
        <f ca="1">IF(NOTA[ID_H]="","",INDEX(NOTA[TANGGAL],MATCH(,INDIRECT(ADDRESS(ROW(NOTA[TANGGAL]),COLUMN(NOTA[TANGGAL]))&amp;":"&amp;ADDRESS(ROW(),COLUMN(NOTA[TANGGAL]))),-1)))</f>
        <v>45073</v>
      </c>
      <c r="AH757" s="187" t="str">
        <f ca="1">IF(NOTA[[#This Row],[NAMA BARANG]]="","",INDEX(NOTA[SUPPLIER],MATCH(,INDIRECT(ADDRESS(ROW(NOTA[ID]),COLUMN(NOTA[ID]))&amp;":"&amp;ADDRESS(ROW(),COLUMN(NOTA[ID]))),-1)))</f>
        <v>DB STATIONERY</v>
      </c>
      <c r="AI757" s="187" t="str">
        <f ca="1">IF(NOTA[[#This Row],[ID_H]]="","",IF(NOTA[[#This Row],[FAKTUR]]="",INDIRECT(ADDRESS(ROW()-1,COLUMN())),NOTA[[#This Row],[FAKTUR]]))</f>
        <v>UNTANA</v>
      </c>
      <c r="AJ757" s="188" t="str">
        <f ca="1">IF(NOTA[[#This Row],[ID]]="","",COUNTIF(NOTA[ID_H],NOTA[[#This Row],[ID_H]]))</f>
        <v/>
      </c>
      <c r="AK757" s="188">
        <f ca="1">IF(NOTA[[#This Row],[TGL.NOTA]]="",IF(NOTA[[#This Row],[SUPPLIER_H]]="","",AK756),MONTH(NOTA[[#This Row],[TGL.NOTA]]))</f>
        <v>5</v>
      </c>
      <c r="AL757" s="18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7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7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7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188" t="str">
        <f>IF(NOTA[[#This Row],[CONCAT4]]="","",_xlfn.IFNA(MATCH(NOTA[[#This Row],[CONCAT4]],[2]!RAW[CONCAT_H],0),FALSE))</f>
        <v/>
      </c>
      <c r="AQ757" s="188">
        <f>IF(NOTA[[#This Row],[CONCAT1]]="","",MATCH(NOTA[[#This Row],[CONCAT1]],[3]!db[NB NOTA_C],0)+1)</f>
        <v>858</v>
      </c>
    </row>
    <row r="758" spans="1:43" ht="20.100000000000001" customHeight="1" x14ac:dyDescent="0.25">
      <c r="A7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188" t="str">
        <f>IF(NOTA[[#This Row],[ID_P]]="","",MATCH(NOTA[[#This Row],[ID_P]],[1]!B_MSK[N_ID],0))</f>
        <v/>
      </c>
      <c r="D758" s="188">
        <f ca="1">IF(NOTA[[#This Row],[NAMA BARANG]]="","",INDEX(NOTA[ID],MATCH(,INDIRECT(ADDRESS(ROW(NOTA[ID]),COLUMN(NOTA[ID]))&amp;":"&amp;ADDRESS(ROW(),COLUMN(NOTA[ID]))),-1)))</f>
        <v>135</v>
      </c>
      <c r="E758" s="189"/>
      <c r="F758" s="190"/>
      <c r="G758" s="190"/>
      <c r="H758" s="191"/>
      <c r="I758" s="190"/>
      <c r="J758" s="192"/>
      <c r="K758" s="190"/>
      <c r="L758" s="190" t="s">
        <v>205</v>
      </c>
      <c r="M758" s="193">
        <v>1</v>
      </c>
      <c r="N758" s="188">
        <v>144</v>
      </c>
      <c r="O758" s="190" t="s">
        <v>125</v>
      </c>
      <c r="P758" s="187">
        <v>18250</v>
      </c>
      <c r="Q758" s="194"/>
      <c r="R758" s="195" t="s">
        <v>171</v>
      </c>
      <c r="S758" s="196"/>
      <c r="T758" s="197"/>
      <c r="U758" s="198"/>
      <c r="V758" s="199"/>
      <c r="W758" s="198">
        <f>IF(NOTA[[#This Row],[HARGA/ CTN]]="",NOTA[[#This Row],[JUMLAH_H]],NOTA[[#This Row],[HARGA/ CTN]]*IF(NOTA[[#This Row],[C]]="",0,NOTA[[#This Row],[C]]))</f>
        <v>2628000</v>
      </c>
      <c r="X758" s="198">
        <f>IF(NOTA[[#This Row],[JUMLAH]]="","",NOTA[[#This Row],[JUMLAH]]*NOTA[[#This Row],[DISC 1]])</f>
        <v>0</v>
      </c>
      <c r="Y758" s="198">
        <f>IF(NOTA[[#This Row],[JUMLAH]]="","",(NOTA[[#This Row],[JUMLAH]]-NOTA[[#This Row],[DISC 1-]])*NOTA[[#This Row],[DISC 2]])</f>
        <v>0</v>
      </c>
      <c r="Z758" s="198">
        <f>IF(NOTA[[#This Row],[JUMLAH]]="","",NOTA[[#This Row],[DISC 1-]]+NOTA[[#This Row],[DISC 2-]])</f>
        <v>0</v>
      </c>
      <c r="AA758" s="198">
        <f>IF(NOTA[[#This Row],[JUMLAH]]="","",NOTA[[#This Row],[JUMLAH]]-NOTA[[#This Row],[DISC]])</f>
        <v>2628000</v>
      </c>
      <c r="AB758" s="198"/>
      <c r="AC7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58" s="200">
        <f>IF(OR(NOTA[[#This Row],[QTY]]="",NOTA[[#This Row],[HARGA SATUAN]]="",),"",NOTA[[#This Row],[QTY]]*NOTA[[#This Row],[HARGA SATUAN]])</f>
        <v>2628000</v>
      </c>
      <c r="AG758" s="192">
        <f ca="1">IF(NOTA[ID_H]="","",INDEX(NOTA[TANGGAL],MATCH(,INDIRECT(ADDRESS(ROW(NOTA[TANGGAL]),COLUMN(NOTA[TANGGAL]))&amp;":"&amp;ADDRESS(ROW(),COLUMN(NOTA[TANGGAL]))),-1)))</f>
        <v>45073</v>
      </c>
      <c r="AH758" s="187" t="str">
        <f ca="1">IF(NOTA[[#This Row],[NAMA BARANG]]="","",INDEX(NOTA[SUPPLIER],MATCH(,INDIRECT(ADDRESS(ROW(NOTA[ID]),COLUMN(NOTA[ID]))&amp;":"&amp;ADDRESS(ROW(),COLUMN(NOTA[ID]))),-1)))</f>
        <v>DB STATIONERY</v>
      </c>
      <c r="AI758" s="187" t="str">
        <f ca="1">IF(NOTA[[#This Row],[ID_H]]="","",IF(NOTA[[#This Row],[FAKTUR]]="",INDIRECT(ADDRESS(ROW()-1,COLUMN())),NOTA[[#This Row],[FAKTUR]]))</f>
        <v>UNTANA</v>
      </c>
      <c r="AJ758" s="188" t="str">
        <f ca="1">IF(NOTA[[#This Row],[ID]]="","",COUNTIF(NOTA[ID_H],NOTA[[#This Row],[ID_H]]))</f>
        <v/>
      </c>
      <c r="AK758" s="188">
        <f ca="1">IF(NOTA[[#This Row],[TGL.NOTA]]="",IF(NOTA[[#This Row],[SUPPLIER_H]]="","",AK757),MONTH(NOTA[[#This Row],[TGL.NOTA]]))</f>
        <v>5</v>
      </c>
      <c r="AL758" s="188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7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7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7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188" t="str">
        <f>IF(NOTA[[#This Row],[CONCAT4]]="","",_xlfn.IFNA(MATCH(NOTA[[#This Row],[CONCAT4]],[2]!RAW[CONCAT_H],0),FALSE))</f>
        <v/>
      </c>
      <c r="AQ758" s="188">
        <f>IF(NOTA[[#This Row],[CONCAT1]]="","",MATCH(NOTA[[#This Row],[CONCAT1]],[3]!db[NB NOTA_C],0)+1)</f>
        <v>881</v>
      </c>
    </row>
    <row r="759" spans="1:43" ht="20.100000000000001" customHeight="1" x14ac:dyDescent="0.25">
      <c r="A7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188" t="str">
        <f>IF(NOTA[[#This Row],[ID_P]]="","",MATCH(NOTA[[#This Row],[ID_P]],[1]!B_MSK[N_ID],0))</f>
        <v/>
      </c>
      <c r="D759" s="188">
        <f ca="1">IF(NOTA[[#This Row],[NAMA BARANG]]="","",INDEX(NOTA[ID],MATCH(,INDIRECT(ADDRESS(ROW(NOTA[ID]),COLUMN(NOTA[ID]))&amp;":"&amp;ADDRESS(ROW(),COLUMN(NOTA[ID]))),-1)))</f>
        <v>135</v>
      </c>
      <c r="E759" s="189"/>
      <c r="F759" s="190"/>
      <c r="G759" s="190"/>
      <c r="H759" s="191"/>
      <c r="I759" s="190"/>
      <c r="J759" s="192"/>
      <c r="K759" s="190"/>
      <c r="L759" s="190" t="s">
        <v>209</v>
      </c>
      <c r="M759" s="193">
        <v>1</v>
      </c>
      <c r="N759" s="188">
        <v>144</v>
      </c>
      <c r="O759" s="190" t="s">
        <v>125</v>
      </c>
      <c r="P759" s="187">
        <v>18250</v>
      </c>
      <c r="Q759" s="194"/>
      <c r="R759" s="195" t="s">
        <v>171</v>
      </c>
      <c r="S759" s="196"/>
      <c r="T759" s="197"/>
      <c r="U759" s="198"/>
      <c r="V759" s="199"/>
      <c r="W759" s="198">
        <f>IF(NOTA[[#This Row],[HARGA/ CTN]]="",NOTA[[#This Row],[JUMLAH_H]],NOTA[[#This Row],[HARGA/ CTN]]*IF(NOTA[[#This Row],[C]]="",0,NOTA[[#This Row],[C]]))</f>
        <v>2628000</v>
      </c>
      <c r="X759" s="198">
        <f>IF(NOTA[[#This Row],[JUMLAH]]="","",NOTA[[#This Row],[JUMLAH]]*NOTA[[#This Row],[DISC 1]])</f>
        <v>0</v>
      </c>
      <c r="Y759" s="198">
        <f>IF(NOTA[[#This Row],[JUMLAH]]="","",(NOTA[[#This Row],[JUMLAH]]-NOTA[[#This Row],[DISC 1-]])*NOTA[[#This Row],[DISC 2]])</f>
        <v>0</v>
      </c>
      <c r="Z759" s="198">
        <f>IF(NOTA[[#This Row],[JUMLAH]]="","",NOTA[[#This Row],[DISC 1-]]+NOTA[[#This Row],[DISC 2-]])</f>
        <v>0</v>
      </c>
      <c r="AA759" s="198">
        <f>IF(NOTA[[#This Row],[JUMLAH]]="","",NOTA[[#This Row],[JUMLAH]]-NOTA[[#This Row],[DISC]])</f>
        <v>2628000</v>
      </c>
      <c r="AB759" s="198"/>
      <c r="AC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59" s="200">
        <f>IF(OR(NOTA[[#This Row],[QTY]]="",NOTA[[#This Row],[HARGA SATUAN]]="",),"",NOTA[[#This Row],[QTY]]*NOTA[[#This Row],[HARGA SATUAN]])</f>
        <v>2628000</v>
      </c>
      <c r="AG759" s="192">
        <f ca="1">IF(NOTA[ID_H]="","",INDEX(NOTA[TANGGAL],MATCH(,INDIRECT(ADDRESS(ROW(NOTA[TANGGAL]),COLUMN(NOTA[TANGGAL]))&amp;":"&amp;ADDRESS(ROW(),COLUMN(NOTA[TANGGAL]))),-1)))</f>
        <v>45073</v>
      </c>
      <c r="AH759" s="187" t="str">
        <f ca="1">IF(NOTA[[#This Row],[NAMA BARANG]]="","",INDEX(NOTA[SUPPLIER],MATCH(,INDIRECT(ADDRESS(ROW(NOTA[ID]),COLUMN(NOTA[ID]))&amp;":"&amp;ADDRESS(ROW(),COLUMN(NOTA[ID]))),-1)))</f>
        <v>DB STATIONERY</v>
      </c>
      <c r="AI759" s="187" t="str">
        <f ca="1">IF(NOTA[[#This Row],[ID_H]]="","",IF(NOTA[[#This Row],[FAKTUR]]="",INDIRECT(ADDRESS(ROW()-1,COLUMN())),NOTA[[#This Row],[FAKTUR]]))</f>
        <v>UNTANA</v>
      </c>
      <c r="AJ759" s="188" t="str">
        <f ca="1">IF(NOTA[[#This Row],[ID]]="","",COUNTIF(NOTA[ID_H],NOTA[[#This Row],[ID_H]]))</f>
        <v/>
      </c>
      <c r="AK759" s="188">
        <f ca="1">IF(NOTA[[#This Row],[TGL.NOTA]]="",IF(NOTA[[#This Row],[SUPPLIER_H]]="","",AK758),MONTH(NOTA[[#This Row],[TGL.NOTA]]))</f>
        <v>5</v>
      </c>
      <c r="AL759" s="18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7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7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7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188" t="str">
        <f>IF(NOTA[[#This Row],[CONCAT4]]="","",_xlfn.IFNA(MATCH(NOTA[[#This Row],[CONCAT4]],[2]!RAW[CONCAT_H],0),FALSE))</f>
        <v/>
      </c>
      <c r="AQ759" s="188">
        <f>IF(NOTA[[#This Row],[CONCAT1]]="","",MATCH(NOTA[[#This Row],[CONCAT1]],[3]!db[NB NOTA_C],0)+1)</f>
        <v>899</v>
      </c>
    </row>
    <row r="760" spans="1:43" ht="20.100000000000001" customHeight="1" x14ac:dyDescent="0.25">
      <c r="A7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188" t="str">
        <f>IF(NOTA[[#This Row],[ID_P]]="","",MATCH(NOTA[[#This Row],[ID_P]],[1]!B_MSK[N_ID],0))</f>
        <v/>
      </c>
      <c r="D760" s="188">
        <f ca="1">IF(NOTA[[#This Row],[NAMA BARANG]]="","",INDEX(NOTA[ID],MATCH(,INDIRECT(ADDRESS(ROW(NOTA[ID]),COLUMN(NOTA[ID]))&amp;":"&amp;ADDRESS(ROW(),COLUMN(NOTA[ID]))),-1)))</f>
        <v>135</v>
      </c>
      <c r="E760" s="189"/>
      <c r="F760" s="190"/>
      <c r="G760" s="190"/>
      <c r="H760" s="191"/>
      <c r="I760" s="190"/>
      <c r="J760" s="192"/>
      <c r="K760" s="190"/>
      <c r="L760" s="190" t="s">
        <v>211</v>
      </c>
      <c r="M760" s="193">
        <v>1</v>
      </c>
      <c r="N760" s="188">
        <v>144</v>
      </c>
      <c r="O760" s="190" t="s">
        <v>125</v>
      </c>
      <c r="P760" s="187">
        <v>18250</v>
      </c>
      <c r="Q760" s="194"/>
      <c r="R760" s="195" t="s">
        <v>171</v>
      </c>
      <c r="S760" s="196"/>
      <c r="T760" s="197"/>
      <c r="U760" s="198"/>
      <c r="V760" s="199"/>
      <c r="W760" s="198">
        <f>IF(NOTA[[#This Row],[HARGA/ CTN]]="",NOTA[[#This Row],[JUMLAH_H]],NOTA[[#This Row],[HARGA/ CTN]]*IF(NOTA[[#This Row],[C]]="",0,NOTA[[#This Row],[C]]))</f>
        <v>2628000</v>
      </c>
      <c r="X760" s="198">
        <f>IF(NOTA[[#This Row],[JUMLAH]]="","",NOTA[[#This Row],[JUMLAH]]*NOTA[[#This Row],[DISC 1]])</f>
        <v>0</v>
      </c>
      <c r="Y760" s="198">
        <f>IF(NOTA[[#This Row],[JUMLAH]]="","",(NOTA[[#This Row],[JUMLAH]]-NOTA[[#This Row],[DISC 1-]])*NOTA[[#This Row],[DISC 2]])</f>
        <v>0</v>
      </c>
      <c r="Z760" s="198">
        <f>IF(NOTA[[#This Row],[JUMLAH]]="","",NOTA[[#This Row],[DISC 1-]]+NOTA[[#This Row],[DISC 2-]])</f>
        <v>0</v>
      </c>
      <c r="AA760" s="198">
        <f>IF(NOTA[[#This Row],[JUMLAH]]="","",NOTA[[#This Row],[JUMLAH]]-NOTA[[#This Row],[DISC]])</f>
        <v>2628000</v>
      </c>
      <c r="AB760" s="198"/>
      <c r="AC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60" s="200">
        <f>IF(OR(NOTA[[#This Row],[QTY]]="",NOTA[[#This Row],[HARGA SATUAN]]="",),"",NOTA[[#This Row],[QTY]]*NOTA[[#This Row],[HARGA SATUAN]])</f>
        <v>2628000</v>
      </c>
      <c r="AG760" s="192">
        <f ca="1">IF(NOTA[ID_H]="","",INDEX(NOTA[TANGGAL],MATCH(,INDIRECT(ADDRESS(ROW(NOTA[TANGGAL]),COLUMN(NOTA[TANGGAL]))&amp;":"&amp;ADDRESS(ROW(),COLUMN(NOTA[TANGGAL]))),-1)))</f>
        <v>45073</v>
      </c>
      <c r="AH760" s="187" t="str">
        <f ca="1">IF(NOTA[[#This Row],[NAMA BARANG]]="","",INDEX(NOTA[SUPPLIER],MATCH(,INDIRECT(ADDRESS(ROW(NOTA[ID]),COLUMN(NOTA[ID]))&amp;":"&amp;ADDRESS(ROW(),COLUMN(NOTA[ID]))),-1)))</f>
        <v>DB STATIONERY</v>
      </c>
      <c r="AI760" s="187" t="str">
        <f ca="1">IF(NOTA[[#This Row],[ID_H]]="","",IF(NOTA[[#This Row],[FAKTUR]]="",INDIRECT(ADDRESS(ROW()-1,COLUMN())),NOTA[[#This Row],[FAKTUR]]))</f>
        <v>UNTANA</v>
      </c>
      <c r="AJ760" s="188" t="str">
        <f ca="1">IF(NOTA[[#This Row],[ID]]="","",COUNTIF(NOTA[ID_H],NOTA[[#This Row],[ID_H]]))</f>
        <v/>
      </c>
      <c r="AK760" s="188">
        <f ca="1">IF(NOTA[[#This Row],[TGL.NOTA]]="",IF(NOTA[[#This Row],[SUPPLIER_H]]="","",AK759),MONTH(NOTA[[#This Row],[TGL.NOTA]]))</f>
        <v>5</v>
      </c>
      <c r="AL760" s="188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7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7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7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188" t="str">
        <f>IF(NOTA[[#This Row],[CONCAT4]]="","",_xlfn.IFNA(MATCH(NOTA[[#This Row],[CONCAT4]],[2]!RAW[CONCAT_H],0),FALSE))</f>
        <v/>
      </c>
      <c r="AQ760" s="188">
        <f>IF(NOTA[[#This Row],[CONCAT1]]="","",MATCH(NOTA[[#This Row],[CONCAT1]],[3]!db[NB NOTA_C],0)+1)</f>
        <v>874</v>
      </c>
    </row>
    <row r="761" spans="1:43" ht="20.100000000000001" customHeight="1" x14ac:dyDescent="0.25">
      <c r="A76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188" t="str">
        <f>IF(NOTA[[#This Row],[ID_P]]="","",MATCH(NOTA[[#This Row],[ID_P]],[1]!B_MSK[N_ID],0))</f>
        <v/>
      </c>
      <c r="D761" s="188">
        <f ca="1">IF(NOTA[[#This Row],[NAMA BARANG]]="","",INDEX(NOTA[ID],MATCH(,INDIRECT(ADDRESS(ROW(NOTA[ID]),COLUMN(NOTA[ID]))&amp;":"&amp;ADDRESS(ROW(),COLUMN(NOTA[ID]))),-1)))</f>
        <v>135</v>
      </c>
      <c r="E761" s="189"/>
      <c r="F761" s="190"/>
      <c r="G761" s="190"/>
      <c r="H761" s="191"/>
      <c r="I761" s="190"/>
      <c r="J761" s="192"/>
      <c r="K761" s="190"/>
      <c r="L761" s="190" t="s">
        <v>210</v>
      </c>
      <c r="M761" s="193">
        <v>1</v>
      </c>
      <c r="N761" s="188">
        <v>144</v>
      </c>
      <c r="O761" s="190" t="s">
        <v>125</v>
      </c>
      <c r="P761" s="187">
        <v>18250</v>
      </c>
      <c r="Q761" s="194"/>
      <c r="R761" s="195" t="s">
        <v>171</v>
      </c>
      <c r="S761" s="196"/>
      <c r="T761" s="197"/>
      <c r="U761" s="198"/>
      <c r="V761" s="199"/>
      <c r="W761" s="198">
        <f>IF(NOTA[[#This Row],[HARGA/ CTN]]="",NOTA[[#This Row],[JUMLAH_H]],NOTA[[#This Row],[HARGA/ CTN]]*IF(NOTA[[#This Row],[C]]="",0,NOTA[[#This Row],[C]]))</f>
        <v>2628000</v>
      </c>
      <c r="X761" s="198">
        <f>IF(NOTA[[#This Row],[JUMLAH]]="","",NOTA[[#This Row],[JUMLAH]]*NOTA[[#This Row],[DISC 1]])</f>
        <v>0</v>
      </c>
      <c r="Y761" s="198">
        <f>IF(NOTA[[#This Row],[JUMLAH]]="","",(NOTA[[#This Row],[JUMLAH]]-NOTA[[#This Row],[DISC 1-]])*NOTA[[#This Row],[DISC 2]])</f>
        <v>0</v>
      </c>
      <c r="Z761" s="198">
        <f>IF(NOTA[[#This Row],[JUMLAH]]="","",NOTA[[#This Row],[DISC 1-]]+NOTA[[#This Row],[DISC 2-]])</f>
        <v>0</v>
      </c>
      <c r="AA761" s="198">
        <f>IF(NOTA[[#This Row],[JUMLAH]]="","",NOTA[[#This Row],[JUMLAH]]-NOTA[[#This Row],[DISC]])</f>
        <v>2628000</v>
      </c>
      <c r="AB761" s="198"/>
      <c r="AC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61" s="200">
        <f>IF(OR(NOTA[[#This Row],[QTY]]="",NOTA[[#This Row],[HARGA SATUAN]]="",),"",NOTA[[#This Row],[QTY]]*NOTA[[#This Row],[HARGA SATUAN]])</f>
        <v>2628000</v>
      </c>
      <c r="AG761" s="192">
        <f ca="1">IF(NOTA[ID_H]="","",INDEX(NOTA[TANGGAL],MATCH(,INDIRECT(ADDRESS(ROW(NOTA[TANGGAL]),COLUMN(NOTA[TANGGAL]))&amp;":"&amp;ADDRESS(ROW(),COLUMN(NOTA[TANGGAL]))),-1)))</f>
        <v>45073</v>
      </c>
      <c r="AH761" s="187" t="str">
        <f ca="1">IF(NOTA[[#This Row],[NAMA BARANG]]="","",INDEX(NOTA[SUPPLIER],MATCH(,INDIRECT(ADDRESS(ROW(NOTA[ID]),COLUMN(NOTA[ID]))&amp;":"&amp;ADDRESS(ROW(),COLUMN(NOTA[ID]))),-1)))</f>
        <v>DB STATIONERY</v>
      </c>
      <c r="AI761" s="187" t="str">
        <f ca="1">IF(NOTA[[#This Row],[ID_H]]="","",IF(NOTA[[#This Row],[FAKTUR]]="",INDIRECT(ADDRESS(ROW()-1,COLUMN())),NOTA[[#This Row],[FAKTUR]]))</f>
        <v>UNTANA</v>
      </c>
      <c r="AJ761" s="188" t="str">
        <f ca="1">IF(NOTA[[#This Row],[ID]]="","",COUNTIF(NOTA[ID_H],NOTA[[#This Row],[ID_H]]))</f>
        <v/>
      </c>
      <c r="AK761" s="188">
        <f ca="1">IF(NOTA[[#This Row],[TGL.NOTA]]="",IF(NOTA[[#This Row],[SUPPLIER_H]]="","",AK760),MONTH(NOTA[[#This Row],[TGL.NOTA]]))</f>
        <v>5</v>
      </c>
      <c r="AL761" s="188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7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7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76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188" t="str">
        <f>IF(NOTA[[#This Row],[CONCAT4]]="","",_xlfn.IFNA(MATCH(NOTA[[#This Row],[CONCAT4]],[2]!RAW[CONCAT_H],0),FALSE))</f>
        <v/>
      </c>
      <c r="AQ761" s="188">
        <f>IF(NOTA[[#This Row],[CONCAT1]]="","",MATCH(NOTA[[#This Row],[CONCAT1]],[3]!db[NB NOTA_C],0)+1)</f>
        <v>906</v>
      </c>
    </row>
    <row r="762" spans="1:43" ht="20.100000000000001" customHeight="1" x14ac:dyDescent="0.25">
      <c r="A7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188" t="str">
        <f>IF(NOTA[[#This Row],[ID_P]]="","",MATCH(NOTA[[#This Row],[ID_P]],[1]!B_MSK[N_ID],0))</f>
        <v/>
      </c>
      <c r="D762" s="188">
        <f ca="1">IF(NOTA[[#This Row],[NAMA BARANG]]="","",INDEX(NOTA[ID],MATCH(,INDIRECT(ADDRESS(ROW(NOTA[ID]),COLUMN(NOTA[ID]))&amp;":"&amp;ADDRESS(ROW(),COLUMN(NOTA[ID]))),-1)))</f>
        <v>135</v>
      </c>
      <c r="E762" s="189"/>
      <c r="F762" s="190"/>
      <c r="G762" s="190"/>
      <c r="H762" s="191"/>
      <c r="I762" s="190"/>
      <c r="J762" s="192"/>
      <c r="K762" s="190"/>
      <c r="L762" s="190" t="s">
        <v>207</v>
      </c>
      <c r="M762" s="193">
        <v>1</v>
      </c>
      <c r="N762" s="188">
        <v>144</v>
      </c>
      <c r="O762" s="190" t="s">
        <v>125</v>
      </c>
      <c r="P762" s="187">
        <v>18250</v>
      </c>
      <c r="Q762" s="194"/>
      <c r="R762" s="195" t="s">
        <v>171</v>
      </c>
      <c r="S762" s="196"/>
      <c r="T762" s="197"/>
      <c r="U762" s="198"/>
      <c r="V762" s="199"/>
      <c r="W762" s="198">
        <f>IF(NOTA[[#This Row],[HARGA/ CTN]]="",NOTA[[#This Row],[JUMLAH_H]],NOTA[[#This Row],[HARGA/ CTN]]*IF(NOTA[[#This Row],[C]]="",0,NOTA[[#This Row],[C]]))</f>
        <v>2628000</v>
      </c>
      <c r="X762" s="198">
        <f>IF(NOTA[[#This Row],[JUMLAH]]="","",NOTA[[#This Row],[JUMLAH]]*NOTA[[#This Row],[DISC 1]])</f>
        <v>0</v>
      </c>
      <c r="Y762" s="198">
        <f>IF(NOTA[[#This Row],[JUMLAH]]="","",(NOTA[[#This Row],[JUMLAH]]-NOTA[[#This Row],[DISC 1-]])*NOTA[[#This Row],[DISC 2]])</f>
        <v>0</v>
      </c>
      <c r="Z762" s="198">
        <f>IF(NOTA[[#This Row],[JUMLAH]]="","",NOTA[[#This Row],[DISC 1-]]+NOTA[[#This Row],[DISC 2-]])</f>
        <v>0</v>
      </c>
      <c r="AA762" s="198">
        <f>IF(NOTA[[#This Row],[JUMLAH]]="","",NOTA[[#This Row],[JUMLAH]]-NOTA[[#This Row],[DISC]])</f>
        <v>2628000</v>
      </c>
      <c r="AB762" s="198"/>
      <c r="AC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62" s="200">
        <f>IF(OR(NOTA[[#This Row],[QTY]]="",NOTA[[#This Row],[HARGA SATUAN]]="",),"",NOTA[[#This Row],[QTY]]*NOTA[[#This Row],[HARGA SATUAN]])</f>
        <v>2628000</v>
      </c>
      <c r="AG762" s="192">
        <f ca="1">IF(NOTA[ID_H]="","",INDEX(NOTA[TANGGAL],MATCH(,INDIRECT(ADDRESS(ROW(NOTA[TANGGAL]),COLUMN(NOTA[TANGGAL]))&amp;":"&amp;ADDRESS(ROW(),COLUMN(NOTA[TANGGAL]))),-1)))</f>
        <v>45073</v>
      </c>
      <c r="AH762" s="187" t="str">
        <f ca="1">IF(NOTA[[#This Row],[NAMA BARANG]]="","",INDEX(NOTA[SUPPLIER],MATCH(,INDIRECT(ADDRESS(ROW(NOTA[ID]),COLUMN(NOTA[ID]))&amp;":"&amp;ADDRESS(ROW(),COLUMN(NOTA[ID]))),-1)))</f>
        <v>DB STATIONERY</v>
      </c>
      <c r="AI762" s="187" t="str">
        <f ca="1">IF(NOTA[[#This Row],[ID_H]]="","",IF(NOTA[[#This Row],[FAKTUR]]="",INDIRECT(ADDRESS(ROW()-1,COLUMN())),NOTA[[#This Row],[FAKTUR]]))</f>
        <v>UNTANA</v>
      </c>
      <c r="AJ762" s="188" t="str">
        <f ca="1">IF(NOTA[[#This Row],[ID]]="","",COUNTIF(NOTA[ID_H],NOTA[[#This Row],[ID_H]]))</f>
        <v/>
      </c>
      <c r="AK762" s="188">
        <f ca="1">IF(NOTA[[#This Row],[TGL.NOTA]]="",IF(NOTA[[#This Row],[SUPPLIER_H]]="","",AK761),MONTH(NOTA[[#This Row],[TGL.NOTA]]))</f>
        <v>5</v>
      </c>
      <c r="AL762" s="18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7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7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7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188" t="str">
        <f>IF(NOTA[[#This Row],[CONCAT4]]="","",_xlfn.IFNA(MATCH(NOTA[[#This Row],[CONCAT4]],[2]!RAW[CONCAT_H],0),FALSE))</f>
        <v/>
      </c>
      <c r="AQ762" s="188">
        <f>IF(NOTA[[#This Row],[CONCAT1]]="","",MATCH(NOTA[[#This Row],[CONCAT1]],[3]!db[NB NOTA_C],0)+1)</f>
        <v>896</v>
      </c>
    </row>
    <row r="763" spans="1:43" ht="20.100000000000001" customHeight="1" x14ac:dyDescent="0.25">
      <c r="A76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188" t="str">
        <f>IF(NOTA[[#This Row],[ID_P]]="","",MATCH(NOTA[[#This Row],[ID_P]],[1]!B_MSK[N_ID],0))</f>
        <v/>
      </c>
      <c r="D763" s="188">
        <f ca="1">IF(NOTA[[#This Row],[NAMA BARANG]]="","",INDEX(NOTA[ID],MATCH(,INDIRECT(ADDRESS(ROW(NOTA[ID]),COLUMN(NOTA[ID]))&amp;":"&amp;ADDRESS(ROW(),COLUMN(NOTA[ID]))),-1)))</f>
        <v>135</v>
      </c>
      <c r="E763" s="189"/>
      <c r="F763" s="190"/>
      <c r="G763" s="190"/>
      <c r="H763" s="191"/>
      <c r="I763" s="190"/>
      <c r="J763" s="192"/>
      <c r="K763" s="190"/>
      <c r="L763" s="190" t="s">
        <v>208</v>
      </c>
      <c r="M763" s="193">
        <v>1</v>
      </c>
      <c r="N763" s="188">
        <v>144</v>
      </c>
      <c r="O763" s="190" t="s">
        <v>125</v>
      </c>
      <c r="P763" s="187">
        <v>18250</v>
      </c>
      <c r="Q763" s="194"/>
      <c r="R763" s="195" t="s">
        <v>171</v>
      </c>
      <c r="S763" s="196"/>
      <c r="T763" s="197"/>
      <c r="U763" s="198"/>
      <c r="V763" s="199"/>
      <c r="W763" s="198">
        <f>IF(NOTA[[#This Row],[HARGA/ CTN]]="",NOTA[[#This Row],[JUMLAH_H]],NOTA[[#This Row],[HARGA/ CTN]]*IF(NOTA[[#This Row],[C]]="",0,NOTA[[#This Row],[C]]))</f>
        <v>2628000</v>
      </c>
      <c r="X763" s="198">
        <f>IF(NOTA[[#This Row],[JUMLAH]]="","",NOTA[[#This Row],[JUMLAH]]*NOTA[[#This Row],[DISC 1]])</f>
        <v>0</v>
      </c>
      <c r="Y763" s="198">
        <f>IF(NOTA[[#This Row],[JUMLAH]]="","",(NOTA[[#This Row],[JUMLAH]]-NOTA[[#This Row],[DISC 1-]])*NOTA[[#This Row],[DISC 2]])</f>
        <v>0</v>
      </c>
      <c r="Z763" s="198">
        <f>IF(NOTA[[#This Row],[JUMLAH]]="","",NOTA[[#This Row],[DISC 1-]]+NOTA[[#This Row],[DISC 2-]])</f>
        <v>0</v>
      </c>
      <c r="AA763" s="198">
        <f>IF(NOTA[[#This Row],[JUMLAH]]="","",NOTA[[#This Row],[JUMLAH]]-NOTA[[#This Row],[DISC]])</f>
        <v>2628000</v>
      </c>
      <c r="AB763" s="198"/>
      <c r="AC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63" s="200">
        <f>IF(OR(NOTA[[#This Row],[QTY]]="",NOTA[[#This Row],[HARGA SATUAN]]="",),"",NOTA[[#This Row],[QTY]]*NOTA[[#This Row],[HARGA SATUAN]])</f>
        <v>2628000</v>
      </c>
      <c r="AG763" s="192">
        <f ca="1">IF(NOTA[ID_H]="","",INDEX(NOTA[TANGGAL],MATCH(,INDIRECT(ADDRESS(ROW(NOTA[TANGGAL]),COLUMN(NOTA[TANGGAL]))&amp;":"&amp;ADDRESS(ROW(),COLUMN(NOTA[TANGGAL]))),-1)))</f>
        <v>45073</v>
      </c>
      <c r="AH763" s="187" t="str">
        <f ca="1">IF(NOTA[[#This Row],[NAMA BARANG]]="","",INDEX(NOTA[SUPPLIER],MATCH(,INDIRECT(ADDRESS(ROW(NOTA[ID]),COLUMN(NOTA[ID]))&amp;":"&amp;ADDRESS(ROW(),COLUMN(NOTA[ID]))),-1)))</f>
        <v>DB STATIONERY</v>
      </c>
      <c r="AI763" s="187" t="str">
        <f ca="1">IF(NOTA[[#This Row],[ID_H]]="","",IF(NOTA[[#This Row],[FAKTUR]]="",INDIRECT(ADDRESS(ROW()-1,COLUMN())),NOTA[[#This Row],[FAKTUR]]))</f>
        <v>UNTANA</v>
      </c>
      <c r="AJ763" s="188" t="str">
        <f ca="1">IF(NOTA[[#This Row],[ID]]="","",COUNTIF(NOTA[ID_H],NOTA[[#This Row],[ID_H]]))</f>
        <v/>
      </c>
      <c r="AK763" s="188">
        <f ca="1">IF(NOTA[[#This Row],[TGL.NOTA]]="",IF(NOTA[[#This Row],[SUPPLIER_H]]="","",AK762),MONTH(NOTA[[#This Row],[TGL.NOTA]]))</f>
        <v>5</v>
      </c>
      <c r="AL763" s="18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7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N7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O76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188" t="str">
        <f>IF(NOTA[[#This Row],[CONCAT4]]="","",_xlfn.IFNA(MATCH(NOTA[[#This Row],[CONCAT4]],[2]!RAW[CONCAT_H],0),FALSE))</f>
        <v/>
      </c>
      <c r="AQ763" s="188">
        <f>IF(NOTA[[#This Row],[CONCAT1]]="","",MATCH(NOTA[[#This Row],[CONCAT1]],[3]!db[NB NOTA_C],0)+1)</f>
        <v>865</v>
      </c>
    </row>
    <row r="764" spans="1:43" ht="20.100000000000001" customHeight="1" x14ac:dyDescent="0.25">
      <c r="A7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188" t="str">
        <f>IF(NOTA[[#This Row],[ID_P]]="","",MATCH(NOTA[[#This Row],[ID_P]],[1]!B_MSK[N_ID],0))</f>
        <v/>
      </c>
      <c r="D764" s="188">
        <f ca="1">IF(NOTA[[#This Row],[NAMA BARANG]]="","",INDEX(NOTA[ID],MATCH(,INDIRECT(ADDRESS(ROW(NOTA[ID]),COLUMN(NOTA[ID]))&amp;":"&amp;ADDRESS(ROW(),COLUMN(NOTA[ID]))),-1)))</f>
        <v>135</v>
      </c>
      <c r="E764" s="189"/>
      <c r="F764" s="190"/>
      <c r="G764" s="190"/>
      <c r="H764" s="191"/>
      <c r="I764" s="190"/>
      <c r="J764" s="192"/>
      <c r="K764" s="190"/>
      <c r="L764" s="190" t="s">
        <v>213</v>
      </c>
      <c r="M764" s="193">
        <v>1</v>
      </c>
      <c r="N764" s="188">
        <v>144</v>
      </c>
      <c r="O764" s="190" t="s">
        <v>125</v>
      </c>
      <c r="P764" s="187">
        <v>18250</v>
      </c>
      <c r="Q764" s="194"/>
      <c r="R764" s="195" t="s">
        <v>171</v>
      </c>
      <c r="S764" s="196"/>
      <c r="T764" s="197"/>
      <c r="U764" s="198"/>
      <c r="V764" s="199"/>
      <c r="W764" s="198">
        <f>IF(NOTA[[#This Row],[HARGA/ CTN]]="",NOTA[[#This Row],[JUMLAH_H]],NOTA[[#This Row],[HARGA/ CTN]]*IF(NOTA[[#This Row],[C]]="",0,NOTA[[#This Row],[C]]))</f>
        <v>2628000</v>
      </c>
      <c r="X764" s="198">
        <f>IF(NOTA[[#This Row],[JUMLAH]]="","",NOTA[[#This Row],[JUMLAH]]*NOTA[[#This Row],[DISC 1]])</f>
        <v>0</v>
      </c>
      <c r="Y764" s="198">
        <f>IF(NOTA[[#This Row],[JUMLAH]]="","",(NOTA[[#This Row],[JUMLAH]]-NOTA[[#This Row],[DISC 1-]])*NOTA[[#This Row],[DISC 2]])</f>
        <v>0</v>
      </c>
      <c r="Z764" s="198">
        <f>IF(NOTA[[#This Row],[JUMLAH]]="","",NOTA[[#This Row],[DISC 1-]]+NOTA[[#This Row],[DISC 2-]])</f>
        <v>0</v>
      </c>
      <c r="AA764" s="198">
        <f>IF(NOTA[[#This Row],[JUMLAH]]="","",NOTA[[#This Row],[JUMLAH]]-NOTA[[#This Row],[DISC]])</f>
        <v>2628000</v>
      </c>
      <c r="AB764" s="198"/>
      <c r="AC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64" s="200">
        <f>IF(OR(NOTA[[#This Row],[QTY]]="",NOTA[[#This Row],[HARGA SATUAN]]="",),"",NOTA[[#This Row],[QTY]]*NOTA[[#This Row],[HARGA SATUAN]])</f>
        <v>2628000</v>
      </c>
      <c r="AG764" s="192">
        <f ca="1">IF(NOTA[ID_H]="","",INDEX(NOTA[TANGGAL],MATCH(,INDIRECT(ADDRESS(ROW(NOTA[TANGGAL]),COLUMN(NOTA[TANGGAL]))&amp;":"&amp;ADDRESS(ROW(),COLUMN(NOTA[TANGGAL]))),-1)))</f>
        <v>45073</v>
      </c>
      <c r="AH764" s="187" t="str">
        <f ca="1">IF(NOTA[[#This Row],[NAMA BARANG]]="","",INDEX(NOTA[SUPPLIER],MATCH(,INDIRECT(ADDRESS(ROW(NOTA[ID]),COLUMN(NOTA[ID]))&amp;":"&amp;ADDRESS(ROW(),COLUMN(NOTA[ID]))),-1)))</f>
        <v>DB STATIONERY</v>
      </c>
      <c r="AI764" s="187" t="str">
        <f ca="1">IF(NOTA[[#This Row],[ID_H]]="","",IF(NOTA[[#This Row],[FAKTUR]]="",INDIRECT(ADDRESS(ROW()-1,COLUMN())),NOTA[[#This Row],[FAKTUR]]))</f>
        <v>UNTANA</v>
      </c>
      <c r="AJ764" s="188" t="str">
        <f ca="1">IF(NOTA[[#This Row],[ID]]="","",COUNTIF(NOTA[ID_H],NOTA[[#This Row],[ID_H]]))</f>
        <v/>
      </c>
      <c r="AK764" s="188">
        <f ca="1">IF(NOTA[[#This Row],[TGL.NOTA]]="",IF(NOTA[[#This Row],[SUPPLIER_H]]="","",AK763),MONTH(NOTA[[#This Row],[TGL.NOTA]]))</f>
        <v>5</v>
      </c>
      <c r="AL764" s="188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7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7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7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188" t="str">
        <f>IF(NOTA[[#This Row],[CONCAT4]]="","",_xlfn.IFNA(MATCH(NOTA[[#This Row],[CONCAT4]],[2]!RAW[CONCAT_H],0),FALSE))</f>
        <v/>
      </c>
      <c r="AQ764" s="188">
        <f>IF(NOTA[[#This Row],[CONCAT1]]="","",MATCH(NOTA[[#This Row],[CONCAT1]],[3]!db[NB NOTA_C],0)+1)</f>
        <v>854</v>
      </c>
    </row>
    <row r="765" spans="1:43" ht="20.100000000000001" customHeight="1" x14ac:dyDescent="0.25">
      <c r="A7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188" t="str">
        <f>IF(NOTA[[#This Row],[ID_P]]="","",MATCH(NOTA[[#This Row],[ID_P]],[1]!B_MSK[N_ID],0))</f>
        <v/>
      </c>
      <c r="D765" s="188">
        <f ca="1">IF(NOTA[[#This Row],[NAMA BARANG]]="","",INDEX(NOTA[ID],MATCH(,INDIRECT(ADDRESS(ROW(NOTA[ID]),COLUMN(NOTA[ID]))&amp;":"&amp;ADDRESS(ROW(),COLUMN(NOTA[ID]))),-1)))</f>
        <v>135</v>
      </c>
      <c r="E765" s="189"/>
      <c r="F765" s="190"/>
      <c r="G765" s="190"/>
      <c r="H765" s="191"/>
      <c r="I765" s="190"/>
      <c r="J765" s="192"/>
      <c r="K765" s="190"/>
      <c r="L765" s="190" t="s">
        <v>204</v>
      </c>
      <c r="M765" s="193">
        <v>1</v>
      </c>
      <c r="N765" s="188">
        <v>144</v>
      </c>
      <c r="O765" s="190" t="s">
        <v>125</v>
      </c>
      <c r="P765" s="187">
        <v>18250</v>
      </c>
      <c r="Q765" s="194"/>
      <c r="R765" s="195" t="s">
        <v>171</v>
      </c>
      <c r="S765" s="196"/>
      <c r="T765" s="197"/>
      <c r="U765" s="198"/>
      <c r="V765" s="199"/>
      <c r="W765" s="198">
        <f>IF(NOTA[[#This Row],[HARGA/ CTN]]="",NOTA[[#This Row],[JUMLAH_H]],NOTA[[#This Row],[HARGA/ CTN]]*IF(NOTA[[#This Row],[C]]="",0,NOTA[[#This Row],[C]]))</f>
        <v>2628000</v>
      </c>
      <c r="X765" s="198">
        <f>IF(NOTA[[#This Row],[JUMLAH]]="","",NOTA[[#This Row],[JUMLAH]]*NOTA[[#This Row],[DISC 1]])</f>
        <v>0</v>
      </c>
      <c r="Y765" s="198">
        <f>IF(NOTA[[#This Row],[JUMLAH]]="","",(NOTA[[#This Row],[JUMLAH]]-NOTA[[#This Row],[DISC 1-]])*NOTA[[#This Row],[DISC 2]])</f>
        <v>0</v>
      </c>
      <c r="Z765" s="198">
        <f>IF(NOTA[[#This Row],[JUMLAH]]="","",NOTA[[#This Row],[DISC 1-]]+NOTA[[#This Row],[DISC 2-]])</f>
        <v>0</v>
      </c>
      <c r="AA765" s="198">
        <f>IF(NOTA[[#This Row],[JUMLAH]]="","",NOTA[[#This Row],[JUMLAH]]-NOTA[[#This Row],[DISC]])</f>
        <v>2628000</v>
      </c>
      <c r="AB765" s="198"/>
      <c r="AC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65" s="200">
        <f>IF(OR(NOTA[[#This Row],[QTY]]="",NOTA[[#This Row],[HARGA SATUAN]]="",),"",NOTA[[#This Row],[QTY]]*NOTA[[#This Row],[HARGA SATUAN]])</f>
        <v>2628000</v>
      </c>
      <c r="AG765" s="192">
        <f ca="1">IF(NOTA[ID_H]="","",INDEX(NOTA[TANGGAL],MATCH(,INDIRECT(ADDRESS(ROW(NOTA[TANGGAL]),COLUMN(NOTA[TANGGAL]))&amp;":"&amp;ADDRESS(ROW(),COLUMN(NOTA[TANGGAL]))),-1)))</f>
        <v>45073</v>
      </c>
      <c r="AH765" s="187" t="str">
        <f ca="1">IF(NOTA[[#This Row],[NAMA BARANG]]="","",INDEX(NOTA[SUPPLIER],MATCH(,INDIRECT(ADDRESS(ROW(NOTA[ID]),COLUMN(NOTA[ID]))&amp;":"&amp;ADDRESS(ROW(),COLUMN(NOTA[ID]))),-1)))</f>
        <v>DB STATIONERY</v>
      </c>
      <c r="AI765" s="187" t="str">
        <f ca="1">IF(NOTA[[#This Row],[ID_H]]="","",IF(NOTA[[#This Row],[FAKTUR]]="",INDIRECT(ADDRESS(ROW()-1,COLUMN())),NOTA[[#This Row],[FAKTUR]]))</f>
        <v>UNTANA</v>
      </c>
      <c r="AJ765" s="188" t="str">
        <f ca="1">IF(NOTA[[#This Row],[ID]]="","",COUNTIF(NOTA[ID_H],NOTA[[#This Row],[ID_H]]))</f>
        <v/>
      </c>
      <c r="AK765" s="188">
        <f ca="1">IF(NOTA[[#This Row],[TGL.NOTA]]="",IF(NOTA[[#This Row],[SUPPLIER_H]]="","",AK764),MONTH(NOTA[[#This Row],[TGL.NOTA]]))</f>
        <v>5</v>
      </c>
      <c r="AL765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7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N7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O7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188" t="str">
        <f>IF(NOTA[[#This Row],[CONCAT4]]="","",_xlfn.IFNA(MATCH(NOTA[[#This Row],[CONCAT4]],[2]!RAW[CONCAT_H],0),FALSE))</f>
        <v/>
      </c>
      <c r="AQ765" s="188">
        <f>IF(NOTA[[#This Row],[CONCAT1]]="","",MATCH(NOTA[[#This Row],[CONCAT1]],[3]!db[NB NOTA_C],0)+1)</f>
        <v>902</v>
      </c>
    </row>
    <row r="766" spans="1:43" ht="20.100000000000001" customHeight="1" x14ac:dyDescent="0.25">
      <c r="A76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188" t="str">
        <f>IF(NOTA[[#This Row],[ID_P]]="","",MATCH(NOTA[[#This Row],[ID_P]],[1]!B_MSK[N_ID],0))</f>
        <v/>
      </c>
      <c r="D766" s="188">
        <f ca="1">IF(NOTA[[#This Row],[NAMA BARANG]]="","",INDEX(NOTA[ID],MATCH(,INDIRECT(ADDRESS(ROW(NOTA[ID]),COLUMN(NOTA[ID]))&amp;":"&amp;ADDRESS(ROW(),COLUMN(NOTA[ID]))),-1)))</f>
        <v>135</v>
      </c>
      <c r="E766" s="189"/>
      <c r="F766" s="190"/>
      <c r="G766" s="190"/>
      <c r="H766" s="191"/>
      <c r="I766" s="190"/>
      <c r="J766" s="192"/>
      <c r="K766" s="190"/>
      <c r="L766" s="190" t="s">
        <v>957</v>
      </c>
      <c r="M766" s="193">
        <v>2</v>
      </c>
      <c r="N766" s="188">
        <v>288</v>
      </c>
      <c r="O766" s="190" t="s">
        <v>125</v>
      </c>
      <c r="P766" s="187">
        <v>18250</v>
      </c>
      <c r="Q766" s="194"/>
      <c r="R766" s="195" t="s">
        <v>171</v>
      </c>
      <c r="S766" s="196"/>
      <c r="T766" s="197"/>
      <c r="U766" s="198"/>
      <c r="V766" s="199"/>
      <c r="W766" s="198">
        <f>IF(NOTA[[#This Row],[HARGA/ CTN]]="",NOTA[[#This Row],[JUMLAH_H]],NOTA[[#This Row],[HARGA/ CTN]]*IF(NOTA[[#This Row],[C]]="",0,NOTA[[#This Row],[C]]))</f>
        <v>5256000</v>
      </c>
      <c r="X766" s="198">
        <f>IF(NOTA[[#This Row],[JUMLAH]]="","",NOTA[[#This Row],[JUMLAH]]*NOTA[[#This Row],[DISC 1]])</f>
        <v>0</v>
      </c>
      <c r="Y766" s="198">
        <f>IF(NOTA[[#This Row],[JUMLAH]]="","",(NOTA[[#This Row],[JUMLAH]]-NOTA[[#This Row],[DISC 1-]])*NOTA[[#This Row],[DISC 2]])</f>
        <v>0</v>
      </c>
      <c r="Z766" s="198">
        <f>IF(NOTA[[#This Row],[JUMLAH]]="","",NOTA[[#This Row],[DISC 1-]]+NOTA[[#This Row],[DISC 2-]])</f>
        <v>0</v>
      </c>
      <c r="AA766" s="198">
        <f>IF(NOTA[[#This Row],[JUMLAH]]="","",NOTA[[#This Row],[JUMLAH]]-NOTA[[#This Row],[DISC]])</f>
        <v>5256000</v>
      </c>
      <c r="AB766" s="198"/>
      <c r="AC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187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766" s="200">
        <f>IF(OR(NOTA[[#This Row],[QTY]]="",NOTA[[#This Row],[HARGA SATUAN]]="",),"",NOTA[[#This Row],[QTY]]*NOTA[[#This Row],[HARGA SATUAN]])</f>
        <v>5256000</v>
      </c>
      <c r="AG766" s="192">
        <f ca="1">IF(NOTA[ID_H]="","",INDEX(NOTA[TANGGAL],MATCH(,INDIRECT(ADDRESS(ROW(NOTA[TANGGAL]),COLUMN(NOTA[TANGGAL]))&amp;":"&amp;ADDRESS(ROW(),COLUMN(NOTA[TANGGAL]))),-1)))</f>
        <v>45073</v>
      </c>
      <c r="AH766" s="187" t="str">
        <f ca="1">IF(NOTA[[#This Row],[NAMA BARANG]]="","",INDEX(NOTA[SUPPLIER],MATCH(,INDIRECT(ADDRESS(ROW(NOTA[ID]),COLUMN(NOTA[ID]))&amp;":"&amp;ADDRESS(ROW(),COLUMN(NOTA[ID]))),-1)))</f>
        <v>DB STATIONERY</v>
      </c>
      <c r="AI766" s="187" t="str">
        <f ca="1">IF(NOTA[[#This Row],[ID_H]]="","",IF(NOTA[[#This Row],[FAKTUR]]="",INDIRECT(ADDRESS(ROW()-1,COLUMN())),NOTA[[#This Row],[FAKTUR]]))</f>
        <v>UNTANA</v>
      </c>
      <c r="AJ766" s="188" t="str">
        <f ca="1">IF(NOTA[[#This Row],[ID]]="","",COUNTIF(NOTA[ID_H],NOTA[[#This Row],[ID_H]]))</f>
        <v/>
      </c>
      <c r="AK766" s="188">
        <f ca="1">IF(NOTA[[#This Row],[TGL.NOTA]]="",IF(NOTA[[#This Row],[SUPPLIER_H]]="","",AK765),MONTH(NOTA[[#This Row],[TGL.NOTA]]))</f>
        <v>5</v>
      </c>
      <c r="AL766" s="188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7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7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76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188" t="str">
        <f>IF(NOTA[[#This Row],[CONCAT4]]="","",_xlfn.IFNA(MATCH(NOTA[[#This Row],[CONCAT4]],[2]!RAW[CONCAT_H],0),FALSE))</f>
        <v/>
      </c>
      <c r="AQ766" s="188">
        <f>IF(NOTA[[#This Row],[CONCAT1]]="","",MATCH(NOTA[[#This Row],[CONCAT1]],[3]!db[NB NOTA_C],0)+1)</f>
        <v>871</v>
      </c>
    </row>
    <row r="767" spans="1:43" ht="20.100000000000001" customHeight="1" x14ac:dyDescent="0.25">
      <c r="A7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188" t="str">
        <f>IF(NOTA[[#This Row],[ID_P]]="","",MATCH(NOTA[[#This Row],[ID_P]],[1]!B_MSK[N_ID],0))</f>
        <v/>
      </c>
      <c r="D767" s="188">
        <f ca="1">IF(NOTA[[#This Row],[NAMA BARANG]]="","",INDEX(NOTA[ID],MATCH(,INDIRECT(ADDRESS(ROW(NOTA[ID]),COLUMN(NOTA[ID]))&amp;":"&amp;ADDRESS(ROW(),COLUMN(NOTA[ID]))),-1)))</f>
        <v>135</v>
      </c>
      <c r="E767" s="189"/>
      <c r="F767" s="190"/>
      <c r="G767" s="190"/>
      <c r="H767" s="191"/>
      <c r="I767" s="190"/>
      <c r="J767" s="192"/>
      <c r="K767" s="190"/>
      <c r="L767" s="190" t="s">
        <v>204</v>
      </c>
      <c r="M767" s="193">
        <v>1</v>
      </c>
      <c r="N767" s="188">
        <v>144</v>
      </c>
      <c r="O767" s="190" t="s">
        <v>125</v>
      </c>
      <c r="P767" s="187"/>
      <c r="Q767" s="194"/>
      <c r="R767" s="195" t="s">
        <v>171</v>
      </c>
      <c r="S767" s="196"/>
      <c r="T767" s="197"/>
      <c r="U767" s="198"/>
      <c r="V767" s="199" t="s">
        <v>181</v>
      </c>
      <c r="W767" s="198" t="str">
        <f>IF(NOTA[[#This Row],[HARGA/ CTN]]="",NOTA[[#This Row],[JUMLAH_H]],NOTA[[#This Row],[HARGA/ CTN]]*IF(NOTA[[#This Row],[C]]="",0,NOTA[[#This Row],[C]]))</f>
        <v/>
      </c>
      <c r="X767" s="198" t="str">
        <f>IF(NOTA[[#This Row],[JUMLAH]]="","",NOTA[[#This Row],[JUMLAH]]*NOTA[[#This Row],[DISC 1]])</f>
        <v/>
      </c>
      <c r="Y767" s="198" t="str">
        <f>IF(NOTA[[#This Row],[JUMLAH]]="","",(NOTA[[#This Row],[JUMLAH]]-NOTA[[#This Row],[DISC 1-]])*NOTA[[#This Row],[DISC 2]])</f>
        <v/>
      </c>
      <c r="Z767" s="198" t="str">
        <f>IF(NOTA[[#This Row],[JUMLAH]]="","",NOTA[[#This Row],[DISC 1-]]+NOTA[[#This Row],[DISC 2-]])</f>
        <v/>
      </c>
      <c r="AA767" s="198" t="str">
        <f>IF(NOTA[[#This Row],[JUMLAH]]="","",NOTA[[#This Row],[JUMLAH]]-NOTA[[#This Row],[DISC]])</f>
        <v/>
      </c>
      <c r="AB767" s="198"/>
      <c r="AC76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67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E767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67" s="200" t="str">
        <f>IF(OR(NOTA[[#This Row],[QTY]]="",NOTA[[#This Row],[HARGA SATUAN]]="",),"",NOTA[[#This Row],[QTY]]*NOTA[[#This Row],[HARGA SATUAN]])</f>
        <v/>
      </c>
      <c r="AG767" s="192">
        <f ca="1">IF(NOTA[ID_H]="","",INDEX(NOTA[TANGGAL],MATCH(,INDIRECT(ADDRESS(ROW(NOTA[TANGGAL]),COLUMN(NOTA[TANGGAL]))&amp;":"&amp;ADDRESS(ROW(),COLUMN(NOTA[TANGGAL]))),-1)))</f>
        <v>45073</v>
      </c>
      <c r="AH767" s="187" t="str">
        <f ca="1">IF(NOTA[[#This Row],[NAMA BARANG]]="","",INDEX(NOTA[SUPPLIER],MATCH(,INDIRECT(ADDRESS(ROW(NOTA[ID]),COLUMN(NOTA[ID]))&amp;":"&amp;ADDRESS(ROW(),COLUMN(NOTA[ID]))),-1)))</f>
        <v>DB STATIONERY</v>
      </c>
      <c r="AI767" s="187" t="str">
        <f ca="1">IF(NOTA[[#This Row],[ID_H]]="","",IF(NOTA[[#This Row],[FAKTUR]]="",INDIRECT(ADDRESS(ROW()-1,COLUMN())),NOTA[[#This Row],[FAKTUR]]))</f>
        <v>UNTANA</v>
      </c>
      <c r="AJ767" s="188" t="str">
        <f ca="1">IF(NOTA[[#This Row],[ID]]="","",COUNTIF(NOTA[ID_H],NOTA[[#This Row],[ID_H]]))</f>
        <v/>
      </c>
      <c r="AK767" s="188">
        <f ca="1">IF(NOTA[[#This Row],[TGL.NOTA]]="",IF(NOTA[[#This Row],[SUPPLIER_H]]="","",AK766),MONTH(NOTA[[#This Row],[TGL.NOTA]]))</f>
        <v>5</v>
      </c>
      <c r="AL767" s="188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M7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geltizofancytg31830e0</v>
      </c>
      <c r="AN7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geltizofancytg31830e0</v>
      </c>
      <c r="AO7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188" t="str">
        <f>IF(NOTA[[#This Row],[CONCAT4]]="","",_xlfn.IFNA(MATCH(NOTA[[#This Row],[CONCAT4]],[2]!RAW[CONCAT_H],0),FALSE))</f>
        <v/>
      </c>
      <c r="AQ767" s="188">
        <f>IF(NOTA[[#This Row],[CONCAT1]]="","",MATCH(NOTA[[#This Row],[CONCAT1]],[3]!db[NB NOTA_C],0)+1)</f>
        <v>902</v>
      </c>
    </row>
    <row r="768" spans="1:43" ht="20.100000000000001" customHeight="1" x14ac:dyDescent="0.25">
      <c r="A76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188" t="str">
        <f>IF(NOTA[[#This Row],[ID_P]]="","",MATCH(NOTA[[#This Row],[ID_P]],[1]!B_MSK[N_ID],0))</f>
        <v/>
      </c>
      <c r="D768" s="188" t="str">
        <f ca="1">IF(NOTA[[#This Row],[NAMA BARANG]]="","",INDEX(NOTA[ID],MATCH(,INDIRECT(ADDRESS(ROW(NOTA[ID]),COLUMN(NOTA[ID]))&amp;":"&amp;ADDRESS(ROW(),COLUMN(NOTA[ID]))),-1)))</f>
        <v/>
      </c>
      <c r="E768" s="189"/>
      <c r="F768" s="190"/>
      <c r="G768" s="190"/>
      <c r="H768" s="191"/>
      <c r="I768" s="190"/>
      <c r="J768" s="192"/>
      <c r="K768" s="190"/>
      <c r="L768" s="190"/>
      <c r="M768" s="193"/>
      <c r="N768" s="188"/>
      <c r="O768" s="190"/>
      <c r="P768" s="187"/>
      <c r="Q768" s="194"/>
      <c r="R768" s="195"/>
      <c r="S768" s="196"/>
      <c r="T768" s="197"/>
      <c r="U768" s="198"/>
      <c r="V768" s="199"/>
      <c r="W768" s="198" t="str">
        <f>IF(NOTA[[#This Row],[HARGA/ CTN]]="",NOTA[[#This Row],[JUMLAH_H]],NOTA[[#This Row],[HARGA/ CTN]]*IF(NOTA[[#This Row],[C]]="",0,NOTA[[#This Row],[C]]))</f>
        <v/>
      </c>
      <c r="X768" s="198" t="str">
        <f>IF(NOTA[[#This Row],[JUMLAH]]="","",NOTA[[#This Row],[JUMLAH]]*NOTA[[#This Row],[DISC 1]])</f>
        <v/>
      </c>
      <c r="Y768" s="198" t="str">
        <f>IF(NOTA[[#This Row],[JUMLAH]]="","",(NOTA[[#This Row],[JUMLAH]]-NOTA[[#This Row],[DISC 1-]])*NOTA[[#This Row],[DISC 2]])</f>
        <v/>
      </c>
      <c r="Z768" s="198" t="str">
        <f>IF(NOTA[[#This Row],[JUMLAH]]="","",NOTA[[#This Row],[DISC 1-]]+NOTA[[#This Row],[DISC 2-]])</f>
        <v/>
      </c>
      <c r="AA768" s="198" t="str">
        <f>IF(NOTA[[#This Row],[JUMLAH]]="","",NOTA[[#This Row],[JUMLAH]]-NOTA[[#This Row],[DISC]])</f>
        <v/>
      </c>
      <c r="AB768" s="198"/>
      <c r="AC7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200" t="str">
        <f>IF(OR(NOTA[[#This Row],[QTY]]="",NOTA[[#This Row],[HARGA SATUAN]]="",),"",NOTA[[#This Row],[QTY]]*NOTA[[#This Row],[HARGA SATUAN]])</f>
        <v/>
      </c>
      <c r="AG768" s="192" t="str">
        <f ca="1">IF(NOTA[ID_H]="","",INDEX(NOTA[TANGGAL],MATCH(,INDIRECT(ADDRESS(ROW(NOTA[TANGGAL]),COLUMN(NOTA[TANGGAL]))&amp;":"&amp;ADDRESS(ROW(),COLUMN(NOTA[TANGGAL]))),-1)))</f>
        <v/>
      </c>
      <c r="AH768" s="187" t="str">
        <f ca="1">IF(NOTA[[#This Row],[NAMA BARANG]]="","",INDEX(NOTA[SUPPLIER],MATCH(,INDIRECT(ADDRESS(ROW(NOTA[ID]),COLUMN(NOTA[ID]))&amp;":"&amp;ADDRESS(ROW(),COLUMN(NOTA[ID]))),-1)))</f>
        <v/>
      </c>
      <c r="AI768" s="187" t="str">
        <f ca="1">IF(NOTA[[#This Row],[ID_H]]="","",IF(NOTA[[#This Row],[FAKTUR]]="",INDIRECT(ADDRESS(ROW()-1,COLUMN())),NOTA[[#This Row],[FAKTUR]]))</f>
        <v/>
      </c>
      <c r="AJ768" s="188" t="str">
        <f ca="1">IF(NOTA[[#This Row],[ID]]="","",COUNTIF(NOTA[ID_H],NOTA[[#This Row],[ID_H]]))</f>
        <v/>
      </c>
      <c r="AK768" s="188" t="str">
        <f ca="1">IF(NOTA[[#This Row],[TGL.NOTA]]="",IF(NOTA[[#This Row],[SUPPLIER_H]]="","",AK767),MONTH(NOTA[[#This Row],[TGL.NOTA]]))</f>
        <v/>
      </c>
      <c r="AL768" s="188" t="str">
        <f>LOWER(SUBSTITUTE(SUBSTITUTE(SUBSTITUTE(SUBSTITUTE(SUBSTITUTE(SUBSTITUTE(SUBSTITUTE(SUBSTITUTE(SUBSTITUTE(NOTA[NAMA BARANG]," ",),".",""),"-",""),"(",""),")",""),",",""),"/",""),"""",""),"+",""))</f>
        <v/>
      </c>
      <c r="AM7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188" t="str">
        <f>IF(NOTA[[#This Row],[CONCAT4]]="","",_xlfn.IFNA(MATCH(NOTA[[#This Row],[CONCAT4]],[2]!RAW[CONCAT_H],0),FALSE))</f>
        <v/>
      </c>
      <c r="AQ768" s="188" t="str">
        <f>IF(NOTA[[#This Row],[CONCAT1]]="","",MATCH(NOTA[[#This Row],[CONCAT1]],[3]!db[NB NOTA_C],0)+1)</f>
        <v/>
      </c>
    </row>
    <row r="769" spans="1:43" ht="20.100000000000001" customHeight="1" x14ac:dyDescent="0.25">
      <c r="A769" s="187">
        <f ca="1">IF(INDIRECT(ADDRESS(ROW()-1,COLUMN(NOTA[[#Headers],[ID]])))="ID",1,IF(NOTA[[#This Row],[FAKTUR]]="","",COUNT(INDIRECT(ADDRESS(ROW(NOTA[ID]),COLUMN(NOTA[ID]))&amp;":"&amp;ADDRESS(ROW()-1,COLUMN(NOTA[ID]))))+1))</f>
        <v>136</v>
      </c>
      <c r="B769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DBS_2705_123-14</v>
      </c>
      <c r="C769" s="188" t="e">
        <f ca="1">IF(NOTA[[#This Row],[ID_P]]="","",MATCH(NOTA[[#This Row],[ID_P]],[1]!B_MSK[N_ID],0))</f>
        <v>#REF!</v>
      </c>
      <c r="D769" s="188">
        <f ca="1">IF(NOTA[[#This Row],[NAMA BARANG]]="","",INDEX(NOTA[ID],MATCH(,INDIRECT(ADDRESS(ROW(NOTA[ID]),COLUMN(NOTA[ID]))&amp;":"&amp;ADDRESS(ROW(),COLUMN(NOTA[ID]))),-1)))</f>
        <v>136</v>
      </c>
      <c r="E769" s="189"/>
      <c r="F769" s="190" t="s">
        <v>168</v>
      </c>
      <c r="G769" s="190" t="s">
        <v>112</v>
      </c>
      <c r="H769" s="191" t="s">
        <v>958</v>
      </c>
      <c r="I769" s="190"/>
      <c r="J769" s="192">
        <v>45069</v>
      </c>
      <c r="K769" s="190"/>
      <c r="L769" s="190" t="s">
        <v>190</v>
      </c>
      <c r="M769" s="193">
        <v>2</v>
      </c>
      <c r="N769" s="188">
        <v>240</v>
      </c>
      <c r="O769" s="190" t="s">
        <v>125</v>
      </c>
      <c r="P769" s="187">
        <v>18250</v>
      </c>
      <c r="Q769" s="194"/>
      <c r="R769" s="195" t="s">
        <v>173</v>
      </c>
      <c r="S769" s="196"/>
      <c r="T769" s="197"/>
      <c r="U769" s="198"/>
      <c r="V769" s="199"/>
      <c r="W769" s="198">
        <f>IF(NOTA[[#This Row],[HARGA/ CTN]]="",NOTA[[#This Row],[JUMLAH_H]],NOTA[[#This Row],[HARGA/ CTN]]*IF(NOTA[[#This Row],[C]]="",0,NOTA[[#This Row],[C]]))</f>
        <v>4380000</v>
      </c>
      <c r="X769" s="198">
        <f>IF(NOTA[[#This Row],[JUMLAH]]="","",NOTA[[#This Row],[JUMLAH]]*NOTA[[#This Row],[DISC 1]])</f>
        <v>0</v>
      </c>
      <c r="Y769" s="198">
        <f>IF(NOTA[[#This Row],[JUMLAH]]="","",(NOTA[[#This Row],[JUMLAH]]-NOTA[[#This Row],[DISC 1-]])*NOTA[[#This Row],[DISC 2]])</f>
        <v>0</v>
      </c>
      <c r="Z769" s="198">
        <f>IF(NOTA[[#This Row],[JUMLAH]]="","",NOTA[[#This Row],[DISC 1-]]+NOTA[[#This Row],[DISC 2-]])</f>
        <v>0</v>
      </c>
      <c r="AA769" s="198">
        <f>IF(NOTA[[#This Row],[JUMLAH]]="","",NOTA[[#This Row],[JUMLAH]]-NOTA[[#This Row],[DISC]])</f>
        <v>4380000</v>
      </c>
      <c r="AB769" s="198"/>
      <c r="AC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69" s="200">
        <f>IF(OR(NOTA[[#This Row],[QTY]]="",NOTA[[#This Row],[HARGA SATUAN]]="",),"",NOTA[[#This Row],[QTY]]*NOTA[[#This Row],[HARGA SATUAN]])</f>
        <v>4380000</v>
      </c>
      <c r="AG769" s="192">
        <f ca="1">IF(NOTA[ID_H]="","",INDEX(NOTA[TANGGAL],MATCH(,INDIRECT(ADDRESS(ROW(NOTA[TANGGAL]),COLUMN(NOTA[TANGGAL]))&amp;":"&amp;ADDRESS(ROW(),COLUMN(NOTA[TANGGAL]))),-1)))</f>
        <v>45073</v>
      </c>
      <c r="AH769" s="187" t="str">
        <f ca="1">IF(NOTA[[#This Row],[NAMA BARANG]]="","",INDEX(NOTA[SUPPLIER],MATCH(,INDIRECT(ADDRESS(ROW(NOTA[ID]),COLUMN(NOTA[ID]))&amp;":"&amp;ADDRESS(ROW(),COLUMN(NOTA[ID]))),-1)))</f>
        <v>DB STATIONERY</v>
      </c>
      <c r="AI769" s="187" t="str">
        <f ca="1">IF(NOTA[[#This Row],[ID_H]]="","",IF(NOTA[[#This Row],[FAKTUR]]="",INDIRECT(ADDRESS(ROW()-1,COLUMN())),NOTA[[#This Row],[FAKTUR]]))</f>
        <v>UNTANA</v>
      </c>
      <c r="AJ769" s="188">
        <f ca="1">IF(NOTA[[#This Row],[ID]]="","",COUNTIF(NOTA[ID_H],NOTA[[#This Row],[ID_H]]))</f>
        <v>14</v>
      </c>
      <c r="AK769" s="188">
        <f>IF(NOTA[[#This Row],[TGL.NOTA]]="",IF(NOTA[[#This Row],[SUPPLIER_H]]="","",AK768),MONTH(NOTA[[#This Row],[TGL.NOTA]]))</f>
        <v>5</v>
      </c>
      <c r="AL769" s="188" t="str">
        <f>LOWER(SUBSTITUTE(SUBSTITUTE(SUBSTITUTE(SUBSTITUTE(SUBSTITUTE(SUBSTITUTE(SUBSTITUTE(SUBSTITUTE(SUBSTITUTE(NOTA[NAMA BARANG]," ",),".",""),"-",""),"(",""),")",""),",",""),"/",""),"""",""),"+",""))</f>
        <v>gelzhixinrefillg5001</v>
      </c>
      <c r="AM7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gelzhixinrefillg50012190000</v>
      </c>
      <c r="AN7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gelzhixinrefillg50012190000</v>
      </c>
      <c r="AO769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STATIONERYUNTANAJUE531/2345069gelzhixinrefillg5001</v>
      </c>
      <c r="AP769" s="188" t="e">
        <f>IF(NOTA[[#This Row],[CONCAT4]]="","",_xlfn.IFNA(MATCH(NOTA[[#This Row],[CONCAT4]],[2]!RAW[CONCAT_H],0),FALSE))</f>
        <v>#REF!</v>
      </c>
      <c r="AQ769" s="188">
        <f>IF(NOTA[[#This Row],[CONCAT1]]="","",MATCH(NOTA[[#This Row],[CONCAT1]],[3]!db[NB NOTA_C],0)+1)</f>
        <v>990</v>
      </c>
    </row>
    <row r="770" spans="1:43" ht="20.100000000000001" customHeight="1" x14ac:dyDescent="0.25">
      <c r="A7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188" t="str">
        <f>IF(NOTA[[#This Row],[ID_P]]="","",MATCH(NOTA[[#This Row],[ID_P]],[1]!B_MSK[N_ID],0))</f>
        <v/>
      </c>
      <c r="D770" s="188">
        <f ca="1">IF(NOTA[[#This Row],[NAMA BARANG]]="","",INDEX(NOTA[ID],MATCH(,INDIRECT(ADDRESS(ROW(NOTA[ID]),COLUMN(NOTA[ID]))&amp;":"&amp;ADDRESS(ROW(),COLUMN(NOTA[ID]))),-1)))</f>
        <v>136</v>
      </c>
      <c r="E770" s="189"/>
      <c r="F770" s="190"/>
      <c r="G770" s="190"/>
      <c r="H770" s="191"/>
      <c r="I770" s="190"/>
      <c r="J770" s="192"/>
      <c r="K770" s="190"/>
      <c r="L770" s="190" t="s">
        <v>191</v>
      </c>
      <c r="M770" s="193">
        <v>2</v>
      </c>
      <c r="N770" s="188">
        <v>240</v>
      </c>
      <c r="O770" s="190" t="s">
        <v>125</v>
      </c>
      <c r="P770" s="187">
        <v>18250</v>
      </c>
      <c r="Q770" s="194"/>
      <c r="R770" s="195" t="s">
        <v>173</v>
      </c>
      <c r="S770" s="196"/>
      <c r="T770" s="197"/>
      <c r="U770" s="198"/>
      <c r="V770" s="199"/>
      <c r="W770" s="198">
        <f>IF(NOTA[[#This Row],[HARGA/ CTN]]="",NOTA[[#This Row],[JUMLAH_H]],NOTA[[#This Row],[HARGA/ CTN]]*IF(NOTA[[#This Row],[C]]="",0,NOTA[[#This Row],[C]]))</f>
        <v>4380000</v>
      </c>
      <c r="X770" s="198">
        <f>IF(NOTA[[#This Row],[JUMLAH]]="","",NOTA[[#This Row],[JUMLAH]]*NOTA[[#This Row],[DISC 1]])</f>
        <v>0</v>
      </c>
      <c r="Y770" s="198">
        <f>IF(NOTA[[#This Row],[JUMLAH]]="","",(NOTA[[#This Row],[JUMLAH]]-NOTA[[#This Row],[DISC 1-]])*NOTA[[#This Row],[DISC 2]])</f>
        <v>0</v>
      </c>
      <c r="Z770" s="198">
        <f>IF(NOTA[[#This Row],[JUMLAH]]="","",NOTA[[#This Row],[DISC 1-]]+NOTA[[#This Row],[DISC 2-]])</f>
        <v>0</v>
      </c>
      <c r="AA770" s="198">
        <f>IF(NOTA[[#This Row],[JUMLAH]]="","",NOTA[[#This Row],[JUMLAH]]-NOTA[[#This Row],[DISC]])</f>
        <v>4380000</v>
      </c>
      <c r="AB770" s="198"/>
      <c r="AC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0" s="200">
        <f>IF(OR(NOTA[[#This Row],[QTY]]="",NOTA[[#This Row],[HARGA SATUAN]]="",),"",NOTA[[#This Row],[QTY]]*NOTA[[#This Row],[HARGA SATUAN]])</f>
        <v>4380000</v>
      </c>
      <c r="AG770" s="192">
        <f ca="1">IF(NOTA[ID_H]="","",INDEX(NOTA[TANGGAL],MATCH(,INDIRECT(ADDRESS(ROW(NOTA[TANGGAL]),COLUMN(NOTA[TANGGAL]))&amp;":"&amp;ADDRESS(ROW(),COLUMN(NOTA[TANGGAL]))),-1)))</f>
        <v>45073</v>
      </c>
      <c r="AH770" s="187" t="str">
        <f ca="1">IF(NOTA[[#This Row],[NAMA BARANG]]="","",INDEX(NOTA[SUPPLIER],MATCH(,INDIRECT(ADDRESS(ROW(NOTA[ID]),COLUMN(NOTA[ID]))&amp;":"&amp;ADDRESS(ROW(),COLUMN(NOTA[ID]))),-1)))</f>
        <v>DB STATIONERY</v>
      </c>
      <c r="AI770" s="187" t="str">
        <f ca="1">IF(NOTA[[#This Row],[ID_H]]="","",IF(NOTA[[#This Row],[FAKTUR]]="",INDIRECT(ADDRESS(ROW()-1,COLUMN())),NOTA[[#This Row],[FAKTUR]]))</f>
        <v>UNTANA</v>
      </c>
      <c r="AJ770" s="188" t="str">
        <f ca="1">IF(NOTA[[#This Row],[ID]]="","",COUNTIF(NOTA[ID_H],NOTA[[#This Row],[ID_H]]))</f>
        <v/>
      </c>
      <c r="AK770" s="188">
        <f ca="1">IF(NOTA[[#This Row],[TGL.NOTA]]="",IF(NOTA[[#This Row],[SUPPLIER_H]]="","",AK769),MONTH(NOTA[[#This Row],[TGL.NOTA]]))</f>
        <v>5</v>
      </c>
      <c r="AL770" s="188" t="str">
        <f>LOWER(SUBSTITUTE(SUBSTITUTE(SUBSTITUTE(SUBSTITUTE(SUBSTITUTE(SUBSTITUTE(SUBSTITUTE(SUBSTITUTE(SUBSTITUTE(NOTA[NAMA BARANG]," ",),".",""),"-",""),"(",""),")",""),",",""),"/",""),"""",""),"+",""))</f>
        <v>gelzhixinrefillg5002</v>
      </c>
      <c r="AM7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gelzhixinrefillg50022190000</v>
      </c>
      <c r="AN7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gelzhixinrefillg50022190000</v>
      </c>
      <c r="AO7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188" t="str">
        <f>IF(NOTA[[#This Row],[CONCAT4]]="","",_xlfn.IFNA(MATCH(NOTA[[#This Row],[CONCAT4]],[2]!RAW[CONCAT_H],0),FALSE))</f>
        <v/>
      </c>
      <c r="AQ770" s="188">
        <f>IF(NOTA[[#This Row],[CONCAT1]]="","",MATCH(NOTA[[#This Row],[CONCAT1]],[3]!db[NB NOTA_C],0)+1)</f>
        <v>991</v>
      </c>
    </row>
    <row r="771" spans="1:43" ht="20.100000000000001" customHeight="1" x14ac:dyDescent="0.25">
      <c r="A7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188" t="str">
        <f>IF(NOTA[[#This Row],[ID_P]]="","",MATCH(NOTA[[#This Row],[ID_P]],[1]!B_MSK[N_ID],0))</f>
        <v/>
      </c>
      <c r="D771" s="188">
        <f ca="1">IF(NOTA[[#This Row],[NAMA BARANG]]="","",INDEX(NOTA[ID],MATCH(,INDIRECT(ADDRESS(ROW(NOTA[ID]),COLUMN(NOTA[ID]))&amp;":"&amp;ADDRESS(ROW(),COLUMN(NOTA[ID]))),-1)))</f>
        <v>136</v>
      </c>
      <c r="E771" s="189"/>
      <c r="F771" s="190"/>
      <c r="G771" s="190"/>
      <c r="H771" s="191"/>
      <c r="I771" s="190"/>
      <c r="J771" s="192"/>
      <c r="K771" s="190"/>
      <c r="L771" s="190" t="s">
        <v>959</v>
      </c>
      <c r="M771" s="193">
        <v>2</v>
      </c>
      <c r="N771" s="188">
        <v>240</v>
      </c>
      <c r="O771" s="190" t="s">
        <v>125</v>
      </c>
      <c r="P771" s="187">
        <v>18250</v>
      </c>
      <c r="Q771" s="194"/>
      <c r="R771" s="195" t="s">
        <v>173</v>
      </c>
      <c r="S771" s="196"/>
      <c r="T771" s="197"/>
      <c r="U771" s="198"/>
      <c r="V771" s="199"/>
      <c r="W771" s="198">
        <f>IF(NOTA[[#This Row],[HARGA/ CTN]]="",NOTA[[#This Row],[JUMLAH_H]],NOTA[[#This Row],[HARGA/ CTN]]*IF(NOTA[[#This Row],[C]]="",0,NOTA[[#This Row],[C]]))</f>
        <v>4380000</v>
      </c>
      <c r="X771" s="198">
        <f>IF(NOTA[[#This Row],[JUMLAH]]="","",NOTA[[#This Row],[JUMLAH]]*NOTA[[#This Row],[DISC 1]])</f>
        <v>0</v>
      </c>
      <c r="Y771" s="198">
        <f>IF(NOTA[[#This Row],[JUMLAH]]="","",(NOTA[[#This Row],[JUMLAH]]-NOTA[[#This Row],[DISC 1-]])*NOTA[[#This Row],[DISC 2]])</f>
        <v>0</v>
      </c>
      <c r="Z771" s="198">
        <f>IF(NOTA[[#This Row],[JUMLAH]]="","",NOTA[[#This Row],[DISC 1-]]+NOTA[[#This Row],[DISC 2-]])</f>
        <v>0</v>
      </c>
      <c r="AA771" s="198">
        <f>IF(NOTA[[#This Row],[JUMLAH]]="","",NOTA[[#This Row],[JUMLAH]]-NOTA[[#This Row],[DISC]])</f>
        <v>4380000</v>
      </c>
      <c r="AB771" s="198"/>
      <c r="AC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1" s="200">
        <f>IF(OR(NOTA[[#This Row],[QTY]]="",NOTA[[#This Row],[HARGA SATUAN]]="",),"",NOTA[[#This Row],[QTY]]*NOTA[[#This Row],[HARGA SATUAN]])</f>
        <v>4380000</v>
      </c>
      <c r="AG771" s="192">
        <f ca="1">IF(NOTA[ID_H]="","",INDEX(NOTA[TANGGAL],MATCH(,INDIRECT(ADDRESS(ROW(NOTA[TANGGAL]),COLUMN(NOTA[TANGGAL]))&amp;":"&amp;ADDRESS(ROW(),COLUMN(NOTA[TANGGAL]))),-1)))</f>
        <v>45073</v>
      </c>
      <c r="AH771" s="187" t="str">
        <f ca="1">IF(NOTA[[#This Row],[NAMA BARANG]]="","",INDEX(NOTA[SUPPLIER],MATCH(,INDIRECT(ADDRESS(ROW(NOTA[ID]),COLUMN(NOTA[ID]))&amp;":"&amp;ADDRESS(ROW(),COLUMN(NOTA[ID]))),-1)))</f>
        <v>DB STATIONERY</v>
      </c>
      <c r="AI771" s="187" t="str">
        <f ca="1">IF(NOTA[[#This Row],[ID_H]]="","",IF(NOTA[[#This Row],[FAKTUR]]="",INDIRECT(ADDRESS(ROW()-1,COLUMN())),NOTA[[#This Row],[FAKTUR]]))</f>
        <v>UNTANA</v>
      </c>
      <c r="AJ771" s="188" t="str">
        <f ca="1">IF(NOTA[[#This Row],[ID]]="","",COUNTIF(NOTA[ID_H],NOTA[[#This Row],[ID_H]]))</f>
        <v/>
      </c>
      <c r="AK771" s="188">
        <f ca="1">IF(NOTA[[#This Row],[TGL.NOTA]]="",IF(NOTA[[#This Row],[SUPPLIER_H]]="","",AK770),MONTH(NOTA[[#This Row],[TGL.NOTA]]))</f>
        <v>5</v>
      </c>
      <c r="AL771" s="188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M7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N7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O7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188" t="str">
        <f>IF(NOTA[[#This Row],[CONCAT4]]="","",_xlfn.IFNA(MATCH(NOTA[[#This Row],[CONCAT4]],[2]!RAW[CONCAT_H],0),FALSE))</f>
        <v/>
      </c>
      <c r="AQ771" s="188" t="e">
        <f>IF(NOTA[[#This Row],[CONCAT1]]="","",MATCH(NOTA[[#This Row],[CONCAT1]],[3]!db[NB NOTA_C],0)+1)</f>
        <v>#N/A</v>
      </c>
    </row>
    <row r="772" spans="1:43" ht="20.100000000000001" customHeight="1" x14ac:dyDescent="0.25">
      <c r="A77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188" t="str">
        <f>IF(NOTA[[#This Row],[ID_P]]="","",MATCH(NOTA[[#This Row],[ID_P]],[1]!B_MSK[N_ID],0))</f>
        <v/>
      </c>
      <c r="D772" s="188">
        <f ca="1">IF(NOTA[[#This Row],[NAMA BARANG]]="","",INDEX(NOTA[ID],MATCH(,INDIRECT(ADDRESS(ROW(NOTA[ID]),COLUMN(NOTA[ID]))&amp;":"&amp;ADDRESS(ROW(),COLUMN(NOTA[ID]))),-1)))</f>
        <v>136</v>
      </c>
      <c r="E772" s="189"/>
      <c r="F772" s="190"/>
      <c r="G772" s="190"/>
      <c r="H772" s="191"/>
      <c r="I772" s="190"/>
      <c r="J772" s="192"/>
      <c r="K772" s="190"/>
      <c r="L772" s="190" t="s">
        <v>960</v>
      </c>
      <c r="M772" s="193">
        <v>2</v>
      </c>
      <c r="N772" s="188">
        <v>240</v>
      </c>
      <c r="O772" s="190" t="s">
        <v>125</v>
      </c>
      <c r="P772" s="187">
        <v>18250</v>
      </c>
      <c r="Q772" s="194"/>
      <c r="R772" s="195" t="s">
        <v>173</v>
      </c>
      <c r="S772" s="196"/>
      <c r="T772" s="197"/>
      <c r="U772" s="198"/>
      <c r="V772" s="199"/>
      <c r="W772" s="198">
        <f>IF(NOTA[[#This Row],[HARGA/ CTN]]="",NOTA[[#This Row],[JUMLAH_H]],NOTA[[#This Row],[HARGA/ CTN]]*IF(NOTA[[#This Row],[C]]="",0,NOTA[[#This Row],[C]]))</f>
        <v>4380000</v>
      </c>
      <c r="X772" s="198">
        <f>IF(NOTA[[#This Row],[JUMLAH]]="","",NOTA[[#This Row],[JUMLAH]]*NOTA[[#This Row],[DISC 1]])</f>
        <v>0</v>
      </c>
      <c r="Y772" s="198">
        <f>IF(NOTA[[#This Row],[JUMLAH]]="","",(NOTA[[#This Row],[JUMLAH]]-NOTA[[#This Row],[DISC 1-]])*NOTA[[#This Row],[DISC 2]])</f>
        <v>0</v>
      </c>
      <c r="Z772" s="198">
        <f>IF(NOTA[[#This Row],[JUMLAH]]="","",NOTA[[#This Row],[DISC 1-]]+NOTA[[#This Row],[DISC 2-]])</f>
        <v>0</v>
      </c>
      <c r="AA772" s="198">
        <f>IF(NOTA[[#This Row],[JUMLAH]]="","",NOTA[[#This Row],[JUMLAH]]-NOTA[[#This Row],[DISC]])</f>
        <v>4380000</v>
      </c>
      <c r="AB772" s="198"/>
      <c r="AC7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2" s="200">
        <f>IF(OR(NOTA[[#This Row],[QTY]]="",NOTA[[#This Row],[HARGA SATUAN]]="",),"",NOTA[[#This Row],[QTY]]*NOTA[[#This Row],[HARGA SATUAN]])</f>
        <v>4380000</v>
      </c>
      <c r="AG772" s="192">
        <f ca="1">IF(NOTA[ID_H]="","",INDEX(NOTA[TANGGAL],MATCH(,INDIRECT(ADDRESS(ROW(NOTA[TANGGAL]),COLUMN(NOTA[TANGGAL]))&amp;":"&amp;ADDRESS(ROW(),COLUMN(NOTA[TANGGAL]))),-1)))</f>
        <v>45073</v>
      </c>
      <c r="AH772" s="187" t="str">
        <f ca="1">IF(NOTA[[#This Row],[NAMA BARANG]]="","",INDEX(NOTA[SUPPLIER],MATCH(,INDIRECT(ADDRESS(ROW(NOTA[ID]),COLUMN(NOTA[ID]))&amp;":"&amp;ADDRESS(ROW(),COLUMN(NOTA[ID]))),-1)))</f>
        <v>DB STATIONERY</v>
      </c>
      <c r="AI772" s="187" t="str">
        <f ca="1">IF(NOTA[[#This Row],[ID_H]]="","",IF(NOTA[[#This Row],[FAKTUR]]="",INDIRECT(ADDRESS(ROW()-1,COLUMN())),NOTA[[#This Row],[FAKTUR]]))</f>
        <v>UNTANA</v>
      </c>
      <c r="AJ772" s="188" t="str">
        <f ca="1">IF(NOTA[[#This Row],[ID]]="","",COUNTIF(NOTA[ID_H],NOTA[[#This Row],[ID_H]]))</f>
        <v/>
      </c>
      <c r="AK772" s="188">
        <f ca="1">IF(NOTA[[#This Row],[TGL.NOTA]]="",IF(NOTA[[#This Row],[SUPPLIER_H]]="","",AK771),MONTH(NOTA[[#This Row],[TGL.NOTA]]))</f>
        <v>5</v>
      </c>
      <c r="AL772" s="188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M7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N7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O77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188" t="str">
        <f>IF(NOTA[[#This Row],[CONCAT4]]="","",_xlfn.IFNA(MATCH(NOTA[[#This Row],[CONCAT4]],[2]!RAW[CONCAT_H],0),FALSE))</f>
        <v/>
      </c>
      <c r="AQ772" s="188" t="e">
        <f>IF(NOTA[[#This Row],[CONCAT1]]="","",MATCH(NOTA[[#This Row],[CONCAT1]],[3]!db[NB NOTA_C],0)+1)</f>
        <v>#N/A</v>
      </c>
    </row>
    <row r="773" spans="1:43" ht="20.100000000000001" customHeight="1" x14ac:dyDescent="0.25">
      <c r="A7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188" t="str">
        <f>IF(NOTA[[#This Row],[ID_P]]="","",MATCH(NOTA[[#This Row],[ID_P]],[1]!B_MSK[N_ID],0))</f>
        <v/>
      </c>
      <c r="D773" s="188">
        <f ca="1">IF(NOTA[[#This Row],[NAMA BARANG]]="","",INDEX(NOTA[ID],MATCH(,INDIRECT(ADDRESS(ROW(NOTA[ID]),COLUMN(NOTA[ID]))&amp;":"&amp;ADDRESS(ROW(),COLUMN(NOTA[ID]))),-1)))</f>
        <v>136</v>
      </c>
      <c r="E773" s="189"/>
      <c r="F773" s="190"/>
      <c r="G773" s="190"/>
      <c r="H773" s="191"/>
      <c r="I773" s="190"/>
      <c r="J773" s="192"/>
      <c r="K773" s="190"/>
      <c r="L773" s="190" t="s">
        <v>192</v>
      </c>
      <c r="M773" s="193">
        <v>2</v>
      </c>
      <c r="N773" s="188">
        <v>240</v>
      </c>
      <c r="O773" s="190" t="s">
        <v>125</v>
      </c>
      <c r="P773" s="187">
        <v>18250</v>
      </c>
      <c r="Q773" s="194"/>
      <c r="R773" s="195" t="s">
        <v>173</v>
      </c>
      <c r="S773" s="196"/>
      <c r="T773" s="197"/>
      <c r="U773" s="198"/>
      <c r="V773" s="199"/>
      <c r="W773" s="198">
        <f>IF(NOTA[[#This Row],[HARGA/ CTN]]="",NOTA[[#This Row],[JUMLAH_H]],NOTA[[#This Row],[HARGA/ CTN]]*IF(NOTA[[#This Row],[C]]="",0,NOTA[[#This Row],[C]]))</f>
        <v>4380000</v>
      </c>
      <c r="X773" s="198">
        <f>IF(NOTA[[#This Row],[JUMLAH]]="","",NOTA[[#This Row],[JUMLAH]]*NOTA[[#This Row],[DISC 1]])</f>
        <v>0</v>
      </c>
      <c r="Y773" s="198">
        <f>IF(NOTA[[#This Row],[JUMLAH]]="","",(NOTA[[#This Row],[JUMLAH]]-NOTA[[#This Row],[DISC 1-]])*NOTA[[#This Row],[DISC 2]])</f>
        <v>0</v>
      </c>
      <c r="Z773" s="198">
        <f>IF(NOTA[[#This Row],[JUMLAH]]="","",NOTA[[#This Row],[DISC 1-]]+NOTA[[#This Row],[DISC 2-]])</f>
        <v>0</v>
      </c>
      <c r="AA773" s="198">
        <f>IF(NOTA[[#This Row],[JUMLAH]]="","",NOTA[[#This Row],[JUMLAH]]-NOTA[[#This Row],[DISC]])</f>
        <v>4380000</v>
      </c>
      <c r="AB773" s="198"/>
      <c r="AC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3" s="200">
        <f>IF(OR(NOTA[[#This Row],[QTY]]="",NOTA[[#This Row],[HARGA SATUAN]]="",),"",NOTA[[#This Row],[QTY]]*NOTA[[#This Row],[HARGA SATUAN]])</f>
        <v>4380000</v>
      </c>
      <c r="AG773" s="192">
        <f ca="1">IF(NOTA[ID_H]="","",INDEX(NOTA[TANGGAL],MATCH(,INDIRECT(ADDRESS(ROW(NOTA[TANGGAL]),COLUMN(NOTA[TANGGAL]))&amp;":"&amp;ADDRESS(ROW(),COLUMN(NOTA[TANGGAL]))),-1)))</f>
        <v>45073</v>
      </c>
      <c r="AH773" s="187" t="str">
        <f ca="1">IF(NOTA[[#This Row],[NAMA BARANG]]="","",INDEX(NOTA[SUPPLIER],MATCH(,INDIRECT(ADDRESS(ROW(NOTA[ID]),COLUMN(NOTA[ID]))&amp;":"&amp;ADDRESS(ROW(),COLUMN(NOTA[ID]))),-1)))</f>
        <v>DB STATIONERY</v>
      </c>
      <c r="AI773" s="187" t="str">
        <f ca="1">IF(NOTA[[#This Row],[ID_H]]="","",IF(NOTA[[#This Row],[FAKTUR]]="",INDIRECT(ADDRESS(ROW()-1,COLUMN())),NOTA[[#This Row],[FAKTUR]]))</f>
        <v>UNTANA</v>
      </c>
      <c r="AJ773" s="188" t="str">
        <f ca="1">IF(NOTA[[#This Row],[ID]]="","",COUNTIF(NOTA[ID_H],NOTA[[#This Row],[ID_H]]))</f>
        <v/>
      </c>
      <c r="AK773" s="188">
        <f ca="1">IF(NOTA[[#This Row],[TGL.NOTA]]="",IF(NOTA[[#This Row],[SUPPLIER_H]]="","",AK772),MONTH(NOTA[[#This Row],[TGL.NOTA]]))</f>
        <v>5</v>
      </c>
      <c r="AL773" s="188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M7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N7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O7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188" t="str">
        <f>IF(NOTA[[#This Row],[CONCAT4]]="","",_xlfn.IFNA(MATCH(NOTA[[#This Row],[CONCAT4]],[2]!RAW[CONCAT_H],0),FALSE))</f>
        <v/>
      </c>
      <c r="AQ773" s="188">
        <f>IF(NOTA[[#This Row],[CONCAT1]]="","",MATCH(NOTA[[#This Row],[CONCAT1]],[3]!db[NB NOTA_C],0)+1)</f>
        <v>993</v>
      </c>
    </row>
    <row r="774" spans="1:43" ht="20.100000000000001" customHeight="1" x14ac:dyDescent="0.25">
      <c r="A7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188" t="str">
        <f>IF(NOTA[[#This Row],[ID_P]]="","",MATCH(NOTA[[#This Row],[ID_P]],[1]!B_MSK[N_ID],0))</f>
        <v/>
      </c>
      <c r="D774" s="188">
        <f ca="1">IF(NOTA[[#This Row],[NAMA BARANG]]="","",INDEX(NOTA[ID],MATCH(,INDIRECT(ADDRESS(ROW(NOTA[ID]),COLUMN(NOTA[ID]))&amp;":"&amp;ADDRESS(ROW(),COLUMN(NOTA[ID]))),-1)))</f>
        <v>136</v>
      </c>
      <c r="E774" s="189"/>
      <c r="F774" s="190"/>
      <c r="G774" s="190"/>
      <c r="H774" s="191"/>
      <c r="I774" s="190"/>
      <c r="J774" s="192"/>
      <c r="K774" s="190"/>
      <c r="L774" s="190" t="s">
        <v>193</v>
      </c>
      <c r="M774" s="193">
        <v>2</v>
      </c>
      <c r="N774" s="188">
        <v>240</v>
      </c>
      <c r="O774" s="190" t="s">
        <v>125</v>
      </c>
      <c r="P774" s="187">
        <v>18250</v>
      </c>
      <c r="Q774" s="194"/>
      <c r="R774" s="195" t="s">
        <v>173</v>
      </c>
      <c r="S774" s="196"/>
      <c r="T774" s="197"/>
      <c r="U774" s="198"/>
      <c r="V774" s="199"/>
      <c r="W774" s="198">
        <f>IF(NOTA[[#This Row],[HARGA/ CTN]]="",NOTA[[#This Row],[JUMLAH_H]],NOTA[[#This Row],[HARGA/ CTN]]*IF(NOTA[[#This Row],[C]]="",0,NOTA[[#This Row],[C]]))</f>
        <v>4380000</v>
      </c>
      <c r="X774" s="198">
        <f>IF(NOTA[[#This Row],[JUMLAH]]="","",NOTA[[#This Row],[JUMLAH]]*NOTA[[#This Row],[DISC 1]])</f>
        <v>0</v>
      </c>
      <c r="Y774" s="198">
        <f>IF(NOTA[[#This Row],[JUMLAH]]="","",(NOTA[[#This Row],[JUMLAH]]-NOTA[[#This Row],[DISC 1-]])*NOTA[[#This Row],[DISC 2]])</f>
        <v>0</v>
      </c>
      <c r="Z774" s="198">
        <f>IF(NOTA[[#This Row],[JUMLAH]]="","",NOTA[[#This Row],[DISC 1-]]+NOTA[[#This Row],[DISC 2-]])</f>
        <v>0</v>
      </c>
      <c r="AA774" s="198">
        <f>IF(NOTA[[#This Row],[JUMLAH]]="","",NOTA[[#This Row],[JUMLAH]]-NOTA[[#This Row],[DISC]])</f>
        <v>4380000</v>
      </c>
      <c r="AB774" s="198"/>
      <c r="AC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4" s="200">
        <f>IF(OR(NOTA[[#This Row],[QTY]]="",NOTA[[#This Row],[HARGA SATUAN]]="",),"",NOTA[[#This Row],[QTY]]*NOTA[[#This Row],[HARGA SATUAN]])</f>
        <v>4380000</v>
      </c>
      <c r="AG774" s="192">
        <f ca="1">IF(NOTA[ID_H]="","",INDEX(NOTA[TANGGAL],MATCH(,INDIRECT(ADDRESS(ROW(NOTA[TANGGAL]),COLUMN(NOTA[TANGGAL]))&amp;":"&amp;ADDRESS(ROW(),COLUMN(NOTA[TANGGAL]))),-1)))</f>
        <v>45073</v>
      </c>
      <c r="AH774" s="187" t="str">
        <f ca="1">IF(NOTA[[#This Row],[NAMA BARANG]]="","",INDEX(NOTA[SUPPLIER],MATCH(,INDIRECT(ADDRESS(ROW(NOTA[ID]),COLUMN(NOTA[ID]))&amp;":"&amp;ADDRESS(ROW(),COLUMN(NOTA[ID]))),-1)))</f>
        <v>DB STATIONERY</v>
      </c>
      <c r="AI774" s="187" t="str">
        <f ca="1">IF(NOTA[[#This Row],[ID_H]]="","",IF(NOTA[[#This Row],[FAKTUR]]="",INDIRECT(ADDRESS(ROW()-1,COLUMN())),NOTA[[#This Row],[FAKTUR]]))</f>
        <v>UNTANA</v>
      </c>
      <c r="AJ774" s="188" t="str">
        <f ca="1">IF(NOTA[[#This Row],[ID]]="","",COUNTIF(NOTA[ID_H],NOTA[[#This Row],[ID_H]]))</f>
        <v/>
      </c>
      <c r="AK774" s="188">
        <f ca="1">IF(NOTA[[#This Row],[TGL.NOTA]]="",IF(NOTA[[#This Row],[SUPPLIER_H]]="","",AK773),MONTH(NOTA[[#This Row],[TGL.NOTA]]))</f>
        <v>5</v>
      </c>
      <c r="AL774" s="188" t="str">
        <f>LOWER(SUBSTITUTE(SUBSTITUTE(SUBSTITUTE(SUBSTITUTE(SUBSTITUTE(SUBSTITUTE(SUBSTITUTE(SUBSTITUTE(SUBSTITUTE(NOTA[NAMA BARANG]," ",),".",""),"-",""),"(",""),")",""),",",""),"/",""),"""",""),"+",""))</f>
        <v>gelzhixinrefillg5016</v>
      </c>
      <c r="AM7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gelzhixinrefillg50162190000</v>
      </c>
      <c r="AN7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gelzhixinrefillg50162190000</v>
      </c>
      <c r="AO7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188" t="str">
        <f>IF(NOTA[[#This Row],[CONCAT4]]="","",_xlfn.IFNA(MATCH(NOTA[[#This Row],[CONCAT4]],[2]!RAW[CONCAT_H],0),FALSE))</f>
        <v/>
      </c>
      <c r="AQ774" s="188" t="e">
        <f>IF(NOTA[[#This Row],[CONCAT1]]="","",MATCH(NOTA[[#This Row],[CONCAT1]],[3]!db[NB NOTA_C],0)+1)</f>
        <v>#N/A</v>
      </c>
    </row>
    <row r="775" spans="1:43" ht="20.100000000000001" customHeight="1" x14ac:dyDescent="0.25">
      <c r="A77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188" t="str">
        <f>IF(NOTA[[#This Row],[ID_P]]="","",MATCH(NOTA[[#This Row],[ID_P]],[1]!B_MSK[N_ID],0))</f>
        <v/>
      </c>
      <c r="D775" s="188">
        <f ca="1">IF(NOTA[[#This Row],[NAMA BARANG]]="","",INDEX(NOTA[ID],MATCH(,INDIRECT(ADDRESS(ROW(NOTA[ID]),COLUMN(NOTA[ID]))&amp;":"&amp;ADDRESS(ROW(),COLUMN(NOTA[ID]))),-1)))</f>
        <v>136</v>
      </c>
      <c r="E775" s="189"/>
      <c r="F775" s="190"/>
      <c r="G775" s="190"/>
      <c r="H775" s="191"/>
      <c r="I775" s="190"/>
      <c r="J775" s="192"/>
      <c r="K775" s="190"/>
      <c r="L775" s="190" t="s">
        <v>194</v>
      </c>
      <c r="M775" s="193">
        <v>2</v>
      </c>
      <c r="N775" s="188">
        <v>240</v>
      </c>
      <c r="O775" s="190" t="s">
        <v>125</v>
      </c>
      <c r="P775" s="187">
        <v>18250</v>
      </c>
      <c r="Q775" s="194"/>
      <c r="R775" s="195" t="s">
        <v>173</v>
      </c>
      <c r="S775" s="196"/>
      <c r="T775" s="197"/>
      <c r="U775" s="198"/>
      <c r="V775" s="199"/>
      <c r="W775" s="198">
        <f>IF(NOTA[[#This Row],[HARGA/ CTN]]="",NOTA[[#This Row],[JUMLAH_H]],NOTA[[#This Row],[HARGA/ CTN]]*IF(NOTA[[#This Row],[C]]="",0,NOTA[[#This Row],[C]]))</f>
        <v>4380000</v>
      </c>
      <c r="X775" s="198">
        <f>IF(NOTA[[#This Row],[JUMLAH]]="","",NOTA[[#This Row],[JUMLAH]]*NOTA[[#This Row],[DISC 1]])</f>
        <v>0</v>
      </c>
      <c r="Y775" s="198">
        <f>IF(NOTA[[#This Row],[JUMLAH]]="","",(NOTA[[#This Row],[JUMLAH]]-NOTA[[#This Row],[DISC 1-]])*NOTA[[#This Row],[DISC 2]])</f>
        <v>0</v>
      </c>
      <c r="Z775" s="198">
        <f>IF(NOTA[[#This Row],[JUMLAH]]="","",NOTA[[#This Row],[DISC 1-]]+NOTA[[#This Row],[DISC 2-]])</f>
        <v>0</v>
      </c>
      <c r="AA775" s="198">
        <f>IF(NOTA[[#This Row],[JUMLAH]]="","",NOTA[[#This Row],[JUMLAH]]-NOTA[[#This Row],[DISC]])</f>
        <v>4380000</v>
      </c>
      <c r="AB775" s="198"/>
      <c r="AC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5" s="200">
        <f>IF(OR(NOTA[[#This Row],[QTY]]="",NOTA[[#This Row],[HARGA SATUAN]]="",),"",NOTA[[#This Row],[QTY]]*NOTA[[#This Row],[HARGA SATUAN]])</f>
        <v>4380000</v>
      </c>
      <c r="AG775" s="192">
        <f ca="1">IF(NOTA[ID_H]="","",INDEX(NOTA[TANGGAL],MATCH(,INDIRECT(ADDRESS(ROW(NOTA[TANGGAL]),COLUMN(NOTA[TANGGAL]))&amp;":"&amp;ADDRESS(ROW(),COLUMN(NOTA[TANGGAL]))),-1)))</f>
        <v>45073</v>
      </c>
      <c r="AH775" s="187" t="str">
        <f ca="1">IF(NOTA[[#This Row],[NAMA BARANG]]="","",INDEX(NOTA[SUPPLIER],MATCH(,INDIRECT(ADDRESS(ROW(NOTA[ID]),COLUMN(NOTA[ID]))&amp;":"&amp;ADDRESS(ROW(),COLUMN(NOTA[ID]))),-1)))</f>
        <v>DB STATIONERY</v>
      </c>
      <c r="AI775" s="187" t="str">
        <f ca="1">IF(NOTA[[#This Row],[ID_H]]="","",IF(NOTA[[#This Row],[FAKTUR]]="",INDIRECT(ADDRESS(ROW()-1,COLUMN())),NOTA[[#This Row],[FAKTUR]]))</f>
        <v>UNTANA</v>
      </c>
      <c r="AJ775" s="188" t="str">
        <f ca="1">IF(NOTA[[#This Row],[ID]]="","",COUNTIF(NOTA[ID_H],NOTA[[#This Row],[ID_H]]))</f>
        <v/>
      </c>
      <c r="AK775" s="188">
        <f ca="1">IF(NOTA[[#This Row],[TGL.NOTA]]="",IF(NOTA[[#This Row],[SUPPLIER_H]]="","",AK774),MONTH(NOTA[[#This Row],[TGL.NOTA]]))</f>
        <v>5</v>
      </c>
      <c r="AL775" s="188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M7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N7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O77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188" t="str">
        <f>IF(NOTA[[#This Row],[CONCAT4]]="","",_xlfn.IFNA(MATCH(NOTA[[#This Row],[CONCAT4]],[2]!RAW[CONCAT_H],0),FALSE))</f>
        <v/>
      </c>
      <c r="AQ775" s="188" t="e">
        <f>IF(NOTA[[#This Row],[CONCAT1]]="","",MATCH(NOTA[[#This Row],[CONCAT1]],[3]!db[NB NOTA_C],0)+1)</f>
        <v>#N/A</v>
      </c>
    </row>
    <row r="776" spans="1:43" ht="20.100000000000001" customHeight="1" x14ac:dyDescent="0.25">
      <c r="A7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188" t="str">
        <f>IF(NOTA[[#This Row],[ID_P]]="","",MATCH(NOTA[[#This Row],[ID_P]],[1]!B_MSK[N_ID],0))</f>
        <v/>
      </c>
      <c r="D776" s="188">
        <f ca="1">IF(NOTA[[#This Row],[NAMA BARANG]]="","",INDEX(NOTA[ID],MATCH(,INDIRECT(ADDRESS(ROW(NOTA[ID]),COLUMN(NOTA[ID]))&amp;":"&amp;ADDRESS(ROW(),COLUMN(NOTA[ID]))),-1)))</f>
        <v>136</v>
      </c>
      <c r="E776" s="189"/>
      <c r="F776" s="190"/>
      <c r="G776" s="190"/>
      <c r="H776" s="191"/>
      <c r="I776" s="190"/>
      <c r="J776" s="192"/>
      <c r="K776" s="190"/>
      <c r="L776" s="190" t="s">
        <v>197</v>
      </c>
      <c r="M776" s="193">
        <v>2</v>
      </c>
      <c r="N776" s="188">
        <v>240</v>
      </c>
      <c r="O776" s="190" t="s">
        <v>125</v>
      </c>
      <c r="P776" s="187">
        <v>18250</v>
      </c>
      <c r="Q776" s="194"/>
      <c r="R776" s="195" t="s">
        <v>173</v>
      </c>
      <c r="S776" s="196"/>
      <c r="T776" s="197"/>
      <c r="U776" s="198"/>
      <c r="V776" s="199"/>
      <c r="W776" s="198">
        <f>IF(NOTA[[#This Row],[HARGA/ CTN]]="",NOTA[[#This Row],[JUMLAH_H]],NOTA[[#This Row],[HARGA/ CTN]]*IF(NOTA[[#This Row],[C]]="",0,NOTA[[#This Row],[C]]))</f>
        <v>4380000</v>
      </c>
      <c r="X776" s="198">
        <f>IF(NOTA[[#This Row],[JUMLAH]]="","",NOTA[[#This Row],[JUMLAH]]*NOTA[[#This Row],[DISC 1]])</f>
        <v>0</v>
      </c>
      <c r="Y776" s="198">
        <f>IF(NOTA[[#This Row],[JUMLAH]]="","",(NOTA[[#This Row],[JUMLAH]]-NOTA[[#This Row],[DISC 1-]])*NOTA[[#This Row],[DISC 2]])</f>
        <v>0</v>
      </c>
      <c r="Z776" s="198">
        <f>IF(NOTA[[#This Row],[JUMLAH]]="","",NOTA[[#This Row],[DISC 1-]]+NOTA[[#This Row],[DISC 2-]])</f>
        <v>0</v>
      </c>
      <c r="AA776" s="198">
        <f>IF(NOTA[[#This Row],[JUMLAH]]="","",NOTA[[#This Row],[JUMLAH]]-NOTA[[#This Row],[DISC]])</f>
        <v>4380000</v>
      </c>
      <c r="AB776" s="198"/>
      <c r="AC7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6" s="200">
        <f>IF(OR(NOTA[[#This Row],[QTY]]="",NOTA[[#This Row],[HARGA SATUAN]]="",),"",NOTA[[#This Row],[QTY]]*NOTA[[#This Row],[HARGA SATUAN]])</f>
        <v>4380000</v>
      </c>
      <c r="AG776" s="192">
        <f ca="1">IF(NOTA[ID_H]="","",INDEX(NOTA[TANGGAL],MATCH(,INDIRECT(ADDRESS(ROW(NOTA[TANGGAL]),COLUMN(NOTA[TANGGAL]))&amp;":"&amp;ADDRESS(ROW(),COLUMN(NOTA[TANGGAL]))),-1)))</f>
        <v>45073</v>
      </c>
      <c r="AH776" s="187" t="str">
        <f ca="1">IF(NOTA[[#This Row],[NAMA BARANG]]="","",INDEX(NOTA[SUPPLIER],MATCH(,INDIRECT(ADDRESS(ROW(NOTA[ID]),COLUMN(NOTA[ID]))&amp;":"&amp;ADDRESS(ROW(),COLUMN(NOTA[ID]))),-1)))</f>
        <v>DB STATIONERY</v>
      </c>
      <c r="AI776" s="187" t="str">
        <f ca="1">IF(NOTA[[#This Row],[ID_H]]="","",IF(NOTA[[#This Row],[FAKTUR]]="",INDIRECT(ADDRESS(ROW()-1,COLUMN())),NOTA[[#This Row],[FAKTUR]]))</f>
        <v>UNTANA</v>
      </c>
      <c r="AJ776" s="188" t="str">
        <f ca="1">IF(NOTA[[#This Row],[ID]]="","",COUNTIF(NOTA[ID_H],NOTA[[#This Row],[ID_H]]))</f>
        <v/>
      </c>
      <c r="AK776" s="188">
        <f ca="1">IF(NOTA[[#This Row],[TGL.NOTA]]="",IF(NOTA[[#This Row],[SUPPLIER_H]]="","",AK775),MONTH(NOTA[[#This Row],[TGL.NOTA]]))</f>
        <v>5</v>
      </c>
      <c r="AL776" s="188" t="str">
        <f>LOWER(SUBSTITUTE(SUBSTITUTE(SUBSTITUTE(SUBSTITUTE(SUBSTITUTE(SUBSTITUTE(SUBSTITUTE(SUBSTITUTE(SUBSTITUTE(NOTA[NAMA BARANG]," ",),".",""),"-",""),"(",""),")",""),",",""),"/",""),"""",""),"+",""))</f>
        <v>gelzhixinrefillg3131</v>
      </c>
      <c r="AM7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gelzhixinrefillg31312190000</v>
      </c>
      <c r="AN7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gelzhixinrefillg31312190000</v>
      </c>
      <c r="AO7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188" t="str">
        <f>IF(NOTA[[#This Row],[CONCAT4]]="","",_xlfn.IFNA(MATCH(NOTA[[#This Row],[CONCAT4]],[2]!RAW[CONCAT_H],0),FALSE))</f>
        <v/>
      </c>
      <c r="AQ776" s="188">
        <f>IF(NOTA[[#This Row],[CONCAT1]]="","",MATCH(NOTA[[#This Row],[CONCAT1]],[3]!db[NB NOTA_C],0)+1)</f>
        <v>982</v>
      </c>
    </row>
    <row r="777" spans="1:43" ht="20.100000000000001" customHeight="1" x14ac:dyDescent="0.25">
      <c r="A7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188" t="str">
        <f>IF(NOTA[[#This Row],[ID_P]]="","",MATCH(NOTA[[#This Row],[ID_P]],[1]!B_MSK[N_ID],0))</f>
        <v/>
      </c>
      <c r="D777" s="188">
        <f ca="1">IF(NOTA[[#This Row],[NAMA BARANG]]="","",INDEX(NOTA[ID],MATCH(,INDIRECT(ADDRESS(ROW(NOTA[ID]),COLUMN(NOTA[ID]))&amp;":"&amp;ADDRESS(ROW(),COLUMN(NOTA[ID]))),-1)))</f>
        <v>136</v>
      </c>
      <c r="E777" s="189"/>
      <c r="F777" s="190"/>
      <c r="G777" s="190"/>
      <c r="H777" s="191"/>
      <c r="I777" s="190"/>
      <c r="J777" s="192"/>
      <c r="K777" s="190"/>
      <c r="L777" s="190" t="s">
        <v>202</v>
      </c>
      <c r="M777" s="193">
        <v>2</v>
      </c>
      <c r="N777" s="188">
        <v>240</v>
      </c>
      <c r="O777" s="190" t="s">
        <v>125</v>
      </c>
      <c r="P777" s="187">
        <v>18250</v>
      </c>
      <c r="Q777" s="194"/>
      <c r="R777" s="195" t="s">
        <v>173</v>
      </c>
      <c r="S777" s="196"/>
      <c r="T777" s="197"/>
      <c r="U777" s="198"/>
      <c r="V777" s="199"/>
      <c r="W777" s="198">
        <f>IF(NOTA[[#This Row],[HARGA/ CTN]]="",NOTA[[#This Row],[JUMLAH_H]],NOTA[[#This Row],[HARGA/ CTN]]*IF(NOTA[[#This Row],[C]]="",0,NOTA[[#This Row],[C]]))</f>
        <v>4380000</v>
      </c>
      <c r="X777" s="198">
        <f>IF(NOTA[[#This Row],[JUMLAH]]="","",NOTA[[#This Row],[JUMLAH]]*NOTA[[#This Row],[DISC 1]])</f>
        <v>0</v>
      </c>
      <c r="Y777" s="198">
        <f>IF(NOTA[[#This Row],[JUMLAH]]="","",(NOTA[[#This Row],[JUMLAH]]-NOTA[[#This Row],[DISC 1-]])*NOTA[[#This Row],[DISC 2]])</f>
        <v>0</v>
      </c>
      <c r="Z777" s="198">
        <f>IF(NOTA[[#This Row],[JUMLAH]]="","",NOTA[[#This Row],[DISC 1-]]+NOTA[[#This Row],[DISC 2-]])</f>
        <v>0</v>
      </c>
      <c r="AA777" s="198">
        <f>IF(NOTA[[#This Row],[JUMLAH]]="","",NOTA[[#This Row],[JUMLAH]]-NOTA[[#This Row],[DISC]])</f>
        <v>4380000</v>
      </c>
      <c r="AB777" s="198"/>
      <c r="AC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7" s="200">
        <f>IF(OR(NOTA[[#This Row],[QTY]]="",NOTA[[#This Row],[HARGA SATUAN]]="",),"",NOTA[[#This Row],[QTY]]*NOTA[[#This Row],[HARGA SATUAN]])</f>
        <v>4380000</v>
      </c>
      <c r="AG777" s="192">
        <f ca="1">IF(NOTA[ID_H]="","",INDEX(NOTA[TANGGAL],MATCH(,INDIRECT(ADDRESS(ROW(NOTA[TANGGAL]),COLUMN(NOTA[TANGGAL]))&amp;":"&amp;ADDRESS(ROW(),COLUMN(NOTA[TANGGAL]))),-1)))</f>
        <v>45073</v>
      </c>
      <c r="AH777" s="187" t="str">
        <f ca="1">IF(NOTA[[#This Row],[NAMA BARANG]]="","",INDEX(NOTA[SUPPLIER],MATCH(,INDIRECT(ADDRESS(ROW(NOTA[ID]),COLUMN(NOTA[ID]))&amp;":"&amp;ADDRESS(ROW(),COLUMN(NOTA[ID]))),-1)))</f>
        <v>DB STATIONERY</v>
      </c>
      <c r="AI777" s="187" t="str">
        <f ca="1">IF(NOTA[[#This Row],[ID_H]]="","",IF(NOTA[[#This Row],[FAKTUR]]="",INDIRECT(ADDRESS(ROW()-1,COLUMN())),NOTA[[#This Row],[FAKTUR]]))</f>
        <v>UNTANA</v>
      </c>
      <c r="AJ777" s="188" t="str">
        <f ca="1">IF(NOTA[[#This Row],[ID]]="","",COUNTIF(NOTA[ID_H],NOTA[[#This Row],[ID_H]]))</f>
        <v/>
      </c>
      <c r="AK777" s="188">
        <f ca="1">IF(NOTA[[#This Row],[TGL.NOTA]]="",IF(NOTA[[#This Row],[SUPPLIER_H]]="","",AK776),MONTH(NOTA[[#This Row],[TGL.NOTA]]))</f>
        <v>5</v>
      </c>
      <c r="AL777" s="188" t="str">
        <f>LOWER(SUBSTITUTE(SUBSTITUTE(SUBSTITUTE(SUBSTITUTE(SUBSTITUTE(SUBSTITUTE(SUBSTITUTE(SUBSTITUTE(SUBSTITUTE(NOTA[NAMA BARANG]," ",),".",""),"-",""),"(",""),")",""),",",""),"/",""),"""",""),"+",""))</f>
        <v>gelzhixinrefillg3133</v>
      </c>
      <c r="AM7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gelzhixinrefillg31332190000</v>
      </c>
      <c r="AN7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gelzhixinrefillg31332190000</v>
      </c>
      <c r="AO7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188" t="str">
        <f>IF(NOTA[[#This Row],[CONCAT4]]="","",_xlfn.IFNA(MATCH(NOTA[[#This Row],[CONCAT4]],[2]!RAW[CONCAT_H],0),FALSE))</f>
        <v/>
      </c>
      <c r="AQ777" s="188">
        <f>IF(NOTA[[#This Row],[CONCAT1]]="","",MATCH(NOTA[[#This Row],[CONCAT1]],[3]!db[NB NOTA_C],0)+1)</f>
        <v>984</v>
      </c>
    </row>
    <row r="778" spans="1:43" ht="20.100000000000001" customHeight="1" x14ac:dyDescent="0.25">
      <c r="A77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188" t="str">
        <f>IF(NOTA[[#This Row],[ID_P]]="","",MATCH(NOTA[[#This Row],[ID_P]],[1]!B_MSK[N_ID],0))</f>
        <v/>
      </c>
      <c r="D778" s="188">
        <f ca="1">IF(NOTA[[#This Row],[NAMA BARANG]]="","",INDEX(NOTA[ID],MATCH(,INDIRECT(ADDRESS(ROW(NOTA[ID]),COLUMN(NOTA[ID]))&amp;":"&amp;ADDRESS(ROW(),COLUMN(NOTA[ID]))),-1)))</f>
        <v>136</v>
      </c>
      <c r="E778" s="189"/>
      <c r="F778" s="190"/>
      <c r="G778" s="190"/>
      <c r="H778" s="191"/>
      <c r="I778" s="190"/>
      <c r="J778" s="192"/>
      <c r="K778" s="190"/>
      <c r="L778" s="190" t="s">
        <v>201</v>
      </c>
      <c r="M778" s="193">
        <v>2</v>
      </c>
      <c r="N778" s="188">
        <v>240</v>
      </c>
      <c r="O778" s="190" t="s">
        <v>125</v>
      </c>
      <c r="P778" s="187">
        <v>18250</v>
      </c>
      <c r="Q778" s="194"/>
      <c r="R778" s="195" t="s">
        <v>173</v>
      </c>
      <c r="S778" s="196"/>
      <c r="T778" s="197"/>
      <c r="U778" s="198"/>
      <c r="V778" s="199"/>
      <c r="W778" s="198">
        <f>IF(NOTA[[#This Row],[HARGA/ CTN]]="",NOTA[[#This Row],[JUMLAH_H]],NOTA[[#This Row],[HARGA/ CTN]]*IF(NOTA[[#This Row],[C]]="",0,NOTA[[#This Row],[C]]))</f>
        <v>4380000</v>
      </c>
      <c r="X778" s="198">
        <f>IF(NOTA[[#This Row],[JUMLAH]]="","",NOTA[[#This Row],[JUMLAH]]*NOTA[[#This Row],[DISC 1]])</f>
        <v>0</v>
      </c>
      <c r="Y778" s="198">
        <f>IF(NOTA[[#This Row],[JUMLAH]]="","",(NOTA[[#This Row],[JUMLAH]]-NOTA[[#This Row],[DISC 1-]])*NOTA[[#This Row],[DISC 2]])</f>
        <v>0</v>
      </c>
      <c r="Z778" s="198">
        <f>IF(NOTA[[#This Row],[JUMLAH]]="","",NOTA[[#This Row],[DISC 1-]]+NOTA[[#This Row],[DISC 2-]])</f>
        <v>0</v>
      </c>
      <c r="AA778" s="198">
        <f>IF(NOTA[[#This Row],[JUMLAH]]="","",NOTA[[#This Row],[JUMLAH]]-NOTA[[#This Row],[DISC]])</f>
        <v>4380000</v>
      </c>
      <c r="AB778" s="198"/>
      <c r="AC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8" s="200">
        <f>IF(OR(NOTA[[#This Row],[QTY]]="",NOTA[[#This Row],[HARGA SATUAN]]="",),"",NOTA[[#This Row],[QTY]]*NOTA[[#This Row],[HARGA SATUAN]])</f>
        <v>4380000</v>
      </c>
      <c r="AG778" s="192">
        <f ca="1">IF(NOTA[ID_H]="","",INDEX(NOTA[TANGGAL],MATCH(,INDIRECT(ADDRESS(ROW(NOTA[TANGGAL]),COLUMN(NOTA[TANGGAL]))&amp;":"&amp;ADDRESS(ROW(),COLUMN(NOTA[TANGGAL]))),-1)))</f>
        <v>45073</v>
      </c>
      <c r="AH778" s="187" t="str">
        <f ca="1">IF(NOTA[[#This Row],[NAMA BARANG]]="","",INDEX(NOTA[SUPPLIER],MATCH(,INDIRECT(ADDRESS(ROW(NOTA[ID]),COLUMN(NOTA[ID]))&amp;":"&amp;ADDRESS(ROW(),COLUMN(NOTA[ID]))),-1)))</f>
        <v>DB STATIONERY</v>
      </c>
      <c r="AI778" s="187" t="str">
        <f ca="1">IF(NOTA[[#This Row],[ID_H]]="","",IF(NOTA[[#This Row],[FAKTUR]]="",INDIRECT(ADDRESS(ROW()-1,COLUMN())),NOTA[[#This Row],[FAKTUR]]))</f>
        <v>UNTANA</v>
      </c>
      <c r="AJ778" s="188" t="str">
        <f ca="1">IF(NOTA[[#This Row],[ID]]="","",COUNTIF(NOTA[ID_H],NOTA[[#This Row],[ID_H]]))</f>
        <v/>
      </c>
      <c r="AK778" s="188">
        <f ca="1">IF(NOTA[[#This Row],[TGL.NOTA]]="",IF(NOTA[[#This Row],[SUPPLIER_H]]="","",AK777),MONTH(NOTA[[#This Row],[TGL.NOTA]]))</f>
        <v>5</v>
      </c>
      <c r="AL778" s="188" t="str">
        <f>LOWER(SUBSTITUTE(SUBSTITUTE(SUBSTITUTE(SUBSTITUTE(SUBSTITUTE(SUBSTITUTE(SUBSTITUTE(SUBSTITUTE(SUBSTITUTE(NOTA[NAMA BARANG]," ",),".",""),"-",""),"(",""),")",""),",",""),"/",""),"""",""),"+",""))</f>
        <v>gelzhixinrefillg3135</v>
      </c>
      <c r="AM7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gelzhixinrefillg31352190000</v>
      </c>
      <c r="AN7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gelzhixinrefillg31352190000</v>
      </c>
      <c r="AO77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188" t="str">
        <f>IF(NOTA[[#This Row],[CONCAT4]]="","",_xlfn.IFNA(MATCH(NOTA[[#This Row],[CONCAT4]],[2]!RAW[CONCAT_H],0),FALSE))</f>
        <v/>
      </c>
      <c r="AQ778" s="188">
        <f>IF(NOTA[[#This Row],[CONCAT1]]="","",MATCH(NOTA[[#This Row],[CONCAT1]],[3]!db[NB NOTA_C],0)+1)</f>
        <v>985</v>
      </c>
    </row>
    <row r="779" spans="1:43" ht="20.100000000000001" customHeight="1" x14ac:dyDescent="0.25">
      <c r="A7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188" t="str">
        <f>IF(NOTA[[#This Row],[ID_P]]="","",MATCH(NOTA[[#This Row],[ID_P]],[1]!B_MSK[N_ID],0))</f>
        <v/>
      </c>
      <c r="D779" s="188">
        <f ca="1">IF(NOTA[[#This Row],[NAMA BARANG]]="","",INDEX(NOTA[ID],MATCH(,INDIRECT(ADDRESS(ROW(NOTA[ID]),COLUMN(NOTA[ID]))&amp;":"&amp;ADDRESS(ROW(),COLUMN(NOTA[ID]))),-1)))</f>
        <v>136</v>
      </c>
      <c r="E779" s="189"/>
      <c r="F779" s="190"/>
      <c r="G779" s="190"/>
      <c r="H779" s="191"/>
      <c r="I779" s="190"/>
      <c r="J779" s="192"/>
      <c r="K779" s="190"/>
      <c r="L779" s="190" t="s">
        <v>200</v>
      </c>
      <c r="M779" s="193">
        <v>2</v>
      </c>
      <c r="N779" s="188">
        <v>240</v>
      </c>
      <c r="O779" s="190" t="s">
        <v>125</v>
      </c>
      <c r="P779" s="187">
        <v>18250</v>
      </c>
      <c r="Q779" s="194"/>
      <c r="R779" s="195" t="s">
        <v>173</v>
      </c>
      <c r="S779" s="196"/>
      <c r="T779" s="197"/>
      <c r="U779" s="198"/>
      <c r="V779" s="199"/>
      <c r="W779" s="198">
        <f>IF(NOTA[[#This Row],[HARGA/ CTN]]="",NOTA[[#This Row],[JUMLAH_H]],NOTA[[#This Row],[HARGA/ CTN]]*IF(NOTA[[#This Row],[C]]="",0,NOTA[[#This Row],[C]]))</f>
        <v>4380000</v>
      </c>
      <c r="X779" s="198">
        <f>IF(NOTA[[#This Row],[JUMLAH]]="","",NOTA[[#This Row],[JUMLAH]]*NOTA[[#This Row],[DISC 1]])</f>
        <v>0</v>
      </c>
      <c r="Y779" s="198">
        <f>IF(NOTA[[#This Row],[JUMLAH]]="","",(NOTA[[#This Row],[JUMLAH]]-NOTA[[#This Row],[DISC 1-]])*NOTA[[#This Row],[DISC 2]])</f>
        <v>0</v>
      </c>
      <c r="Z779" s="198">
        <f>IF(NOTA[[#This Row],[JUMLAH]]="","",NOTA[[#This Row],[DISC 1-]]+NOTA[[#This Row],[DISC 2-]])</f>
        <v>0</v>
      </c>
      <c r="AA779" s="198">
        <f>IF(NOTA[[#This Row],[JUMLAH]]="","",NOTA[[#This Row],[JUMLAH]]-NOTA[[#This Row],[DISC]])</f>
        <v>4380000</v>
      </c>
      <c r="AB779" s="198"/>
      <c r="AC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79" s="200">
        <f>IF(OR(NOTA[[#This Row],[QTY]]="",NOTA[[#This Row],[HARGA SATUAN]]="",),"",NOTA[[#This Row],[QTY]]*NOTA[[#This Row],[HARGA SATUAN]])</f>
        <v>4380000</v>
      </c>
      <c r="AG779" s="192">
        <f ca="1">IF(NOTA[ID_H]="","",INDEX(NOTA[TANGGAL],MATCH(,INDIRECT(ADDRESS(ROW(NOTA[TANGGAL]),COLUMN(NOTA[TANGGAL]))&amp;":"&amp;ADDRESS(ROW(),COLUMN(NOTA[TANGGAL]))),-1)))</f>
        <v>45073</v>
      </c>
      <c r="AH779" s="187" t="str">
        <f ca="1">IF(NOTA[[#This Row],[NAMA BARANG]]="","",INDEX(NOTA[SUPPLIER],MATCH(,INDIRECT(ADDRESS(ROW(NOTA[ID]),COLUMN(NOTA[ID]))&amp;":"&amp;ADDRESS(ROW(),COLUMN(NOTA[ID]))),-1)))</f>
        <v>DB STATIONERY</v>
      </c>
      <c r="AI779" s="187" t="str">
        <f ca="1">IF(NOTA[[#This Row],[ID_H]]="","",IF(NOTA[[#This Row],[FAKTUR]]="",INDIRECT(ADDRESS(ROW()-1,COLUMN())),NOTA[[#This Row],[FAKTUR]]))</f>
        <v>UNTANA</v>
      </c>
      <c r="AJ779" s="188" t="str">
        <f ca="1">IF(NOTA[[#This Row],[ID]]="","",COUNTIF(NOTA[ID_H],NOTA[[#This Row],[ID_H]]))</f>
        <v/>
      </c>
      <c r="AK779" s="188">
        <f ca="1">IF(NOTA[[#This Row],[TGL.NOTA]]="",IF(NOTA[[#This Row],[SUPPLIER_H]]="","",AK778),MONTH(NOTA[[#This Row],[TGL.NOTA]]))</f>
        <v>5</v>
      </c>
      <c r="AL779" s="188" t="str">
        <f>LOWER(SUBSTITUTE(SUBSTITUTE(SUBSTITUTE(SUBSTITUTE(SUBSTITUTE(SUBSTITUTE(SUBSTITUTE(SUBSTITUTE(SUBSTITUTE(NOTA[NAMA BARANG]," ",),".",""),"-",""),"(",""),")",""),",",""),"/",""),"""",""),"+",""))</f>
        <v>gelzhixinrefillg3136</v>
      </c>
      <c r="AM7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gelzhixinrefillg31362190000</v>
      </c>
      <c r="AN7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gelzhixinrefillg31362190000</v>
      </c>
      <c r="AO7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188" t="str">
        <f>IF(NOTA[[#This Row],[CONCAT4]]="","",_xlfn.IFNA(MATCH(NOTA[[#This Row],[CONCAT4]],[2]!RAW[CONCAT_H],0),FALSE))</f>
        <v/>
      </c>
      <c r="AQ779" s="188">
        <f>IF(NOTA[[#This Row],[CONCAT1]]="","",MATCH(NOTA[[#This Row],[CONCAT1]],[3]!db[NB NOTA_C],0)+1)</f>
        <v>986</v>
      </c>
    </row>
    <row r="780" spans="1:43" ht="20.100000000000001" customHeight="1" x14ac:dyDescent="0.25">
      <c r="A78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188" t="str">
        <f>IF(NOTA[[#This Row],[ID_P]]="","",MATCH(NOTA[[#This Row],[ID_P]],[1]!B_MSK[N_ID],0))</f>
        <v/>
      </c>
      <c r="D780" s="188">
        <f ca="1">IF(NOTA[[#This Row],[NAMA BARANG]]="","",INDEX(NOTA[ID],MATCH(,INDIRECT(ADDRESS(ROW(NOTA[ID]),COLUMN(NOTA[ID]))&amp;":"&amp;ADDRESS(ROW(),COLUMN(NOTA[ID]))),-1)))</f>
        <v>136</v>
      </c>
      <c r="E780" s="189"/>
      <c r="F780" s="190"/>
      <c r="G780" s="190"/>
      <c r="H780" s="191"/>
      <c r="I780" s="190"/>
      <c r="J780" s="192"/>
      <c r="K780" s="190"/>
      <c r="L780" s="190" t="s">
        <v>961</v>
      </c>
      <c r="M780" s="193">
        <v>2</v>
      </c>
      <c r="N780" s="188">
        <v>240</v>
      </c>
      <c r="O780" s="190" t="s">
        <v>125</v>
      </c>
      <c r="P780" s="187">
        <v>18250</v>
      </c>
      <c r="Q780" s="194"/>
      <c r="R780" s="195" t="s">
        <v>173</v>
      </c>
      <c r="S780" s="196"/>
      <c r="T780" s="197"/>
      <c r="U780" s="198"/>
      <c r="V780" s="199"/>
      <c r="W780" s="198">
        <f>IF(NOTA[[#This Row],[HARGA/ CTN]]="",NOTA[[#This Row],[JUMLAH_H]],NOTA[[#This Row],[HARGA/ CTN]]*IF(NOTA[[#This Row],[C]]="",0,NOTA[[#This Row],[C]]))</f>
        <v>4380000</v>
      </c>
      <c r="X780" s="198">
        <f>IF(NOTA[[#This Row],[JUMLAH]]="","",NOTA[[#This Row],[JUMLAH]]*NOTA[[#This Row],[DISC 1]])</f>
        <v>0</v>
      </c>
      <c r="Y780" s="198">
        <f>IF(NOTA[[#This Row],[JUMLAH]]="","",(NOTA[[#This Row],[JUMLAH]]-NOTA[[#This Row],[DISC 1-]])*NOTA[[#This Row],[DISC 2]])</f>
        <v>0</v>
      </c>
      <c r="Z780" s="198">
        <f>IF(NOTA[[#This Row],[JUMLAH]]="","",NOTA[[#This Row],[DISC 1-]]+NOTA[[#This Row],[DISC 2-]])</f>
        <v>0</v>
      </c>
      <c r="AA780" s="198">
        <f>IF(NOTA[[#This Row],[JUMLAH]]="","",NOTA[[#This Row],[JUMLAH]]-NOTA[[#This Row],[DISC]])</f>
        <v>4380000</v>
      </c>
      <c r="AB780" s="198"/>
      <c r="AC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0" s="200">
        <f>IF(OR(NOTA[[#This Row],[QTY]]="",NOTA[[#This Row],[HARGA SATUAN]]="",),"",NOTA[[#This Row],[QTY]]*NOTA[[#This Row],[HARGA SATUAN]])</f>
        <v>4380000</v>
      </c>
      <c r="AG780" s="192">
        <f ca="1">IF(NOTA[ID_H]="","",INDEX(NOTA[TANGGAL],MATCH(,INDIRECT(ADDRESS(ROW(NOTA[TANGGAL]),COLUMN(NOTA[TANGGAL]))&amp;":"&amp;ADDRESS(ROW(),COLUMN(NOTA[TANGGAL]))),-1)))</f>
        <v>45073</v>
      </c>
      <c r="AH780" s="187" t="str">
        <f ca="1">IF(NOTA[[#This Row],[NAMA BARANG]]="","",INDEX(NOTA[SUPPLIER],MATCH(,INDIRECT(ADDRESS(ROW(NOTA[ID]),COLUMN(NOTA[ID]))&amp;":"&amp;ADDRESS(ROW(),COLUMN(NOTA[ID]))),-1)))</f>
        <v>DB STATIONERY</v>
      </c>
      <c r="AI780" s="187" t="str">
        <f ca="1">IF(NOTA[[#This Row],[ID_H]]="","",IF(NOTA[[#This Row],[FAKTUR]]="",INDIRECT(ADDRESS(ROW()-1,COLUMN())),NOTA[[#This Row],[FAKTUR]]))</f>
        <v>UNTANA</v>
      </c>
      <c r="AJ780" s="188" t="str">
        <f ca="1">IF(NOTA[[#This Row],[ID]]="","",COUNTIF(NOTA[ID_H],NOTA[[#This Row],[ID_H]]))</f>
        <v/>
      </c>
      <c r="AK780" s="188">
        <f ca="1">IF(NOTA[[#This Row],[TGL.NOTA]]="",IF(NOTA[[#This Row],[SUPPLIER_H]]="","",AK779),MONTH(NOTA[[#This Row],[TGL.NOTA]]))</f>
        <v>5</v>
      </c>
      <c r="AL780" s="188" t="str">
        <f>LOWER(SUBSTITUTE(SUBSTITUTE(SUBSTITUTE(SUBSTITUTE(SUBSTITUTE(SUBSTITUTE(SUBSTITUTE(SUBSTITUTE(SUBSTITUTE(NOTA[NAMA BARANG]," ",),".",""),"-",""),"(",""),")",""),",",""),"/",""),"""",""),"+",""))</f>
        <v>gelzhixinrefillg3137</v>
      </c>
      <c r="AM7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gelzhixinrefillg31372190000</v>
      </c>
      <c r="AN7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gelzhixinrefillg31372190000</v>
      </c>
      <c r="AO78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188" t="str">
        <f>IF(NOTA[[#This Row],[CONCAT4]]="","",_xlfn.IFNA(MATCH(NOTA[[#This Row],[CONCAT4]],[2]!RAW[CONCAT_H],0),FALSE))</f>
        <v/>
      </c>
      <c r="AQ780" s="188">
        <f>IF(NOTA[[#This Row],[CONCAT1]]="","",MATCH(NOTA[[#This Row],[CONCAT1]],[3]!db[NB NOTA_C],0)+1)</f>
        <v>987</v>
      </c>
    </row>
    <row r="781" spans="1:43" ht="20.100000000000001" customHeight="1" x14ac:dyDescent="0.25">
      <c r="A7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188" t="str">
        <f>IF(NOTA[[#This Row],[ID_P]]="","",MATCH(NOTA[[#This Row],[ID_P]],[1]!B_MSK[N_ID],0))</f>
        <v/>
      </c>
      <c r="D781" s="188">
        <f ca="1">IF(NOTA[[#This Row],[NAMA BARANG]]="","",INDEX(NOTA[ID],MATCH(,INDIRECT(ADDRESS(ROW(NOTA[ID]),COLUMN(NOTA[ID]))&amp;":"&amp;ADDRESS(ROW(),COLUMN(NOTA[ID]))),-1)))</f>
        <v>136</v>
      </c>
      <c r="E781" s="189"/>
      <c r="F781" s="190"/>
      <c r="G781" s="190"/>
      <c r="H781" s="191"/>
      <c r="I781" s="190"/>
      <c r="J781" s="192"/>
      <c r="K781" s="190"/>
      <c r="L781" s="190" t="s">
        <v>199</v>
      </c>
      <c r="M781" s="193">
        <v>1</v>
      </c>
      <c r="N781" s="188">
        <v>120</v>
      </c>
      <c r="O781" s="190" t="s">
        <v>125</v>
      </c>
      <c r="P781" s="187">
        <v>18250</v>
      </c>
      <c r="Q781" s="194"/>
      <c r="R781" s="195" t="s">
        <v>962</v>
      </c>
      <c r="S781" s="196"/>
      <c r="T781" s="197"/>
      <c r="U781" s="198"/>
      <c r="V781" s="199"/>
      <c r="W781" s="198">
        <f>IF(NOTA[[#This Row],[HARGA/ CTN]]="",NOTA[[#This Row],[JUMLAH_H]],NOTA[[#This Row],[HARGA/ CTN]]*IF(NOTA[[#This Row],[C]]="",0,NOTA[[#This Row],[C]]))</f>
        <v>2190000</v>
      </c>
      <c r="X781" s="198">
        <f>IF(NOTA[[#This Row],[JUMLAH]]="","",NOTA[[#This Row],[JUMLAH]]*NOTA[[#This Row],[DISC 1]])</f>
        <v>0</v>
      </c>
      <c r="Y781" s="198">
        <f>IF(NOTA[[#This Row],[JUMLAH]]="","",(NOTA[[#This Row],[JUMLAH]]-NOTA[[#This Row],[DISC 1-]])*NOTA[[#This Row],[DISC 2]])</f>
        <v>0</v>
      </c>
      <c r="Z781" s="198">
        <f>IF(NOTA[[#This Row],[JUMLAH]]="","",NOTA[[#This Row],[DISC 1-]]+NOTA[[#This Row],[DISC 2-]])</f>
        <v>0</v>
      </c>
      <c r="AA781" s="198">
        <f>IF(NOTA[[#This Row],[JUMLAH]]="","",NOTA[[#This Row],[JUMLAH]]-NOTA[[#This Row],[DISC]])</f>
        <v>2190000</v>
      </c>
      <c r="AB781" s="198"/>
      <c r="AC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187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81" s="200">
        <f>IF(OR(NOTA[[#This Row],[QTY]]="",NOTA[[#This Row],[HARGA SATUAN]]="",),"",NOTA[[#This Row],[QTY]]*NOTA[[#This Row],[HARGA SATUAN]])</f>
        <v>2190000</v>
      </c>
      <c r="AG781" s="192">
        <f ca="1">IF(NOTA[ID_H]="","",INDEX(NOTA[TANGGAL],MATCH(,INDIRECT(ADDRESS(ROW(NOTA[TANGGAL]),COLUMN(NOTA[TANGGAL]))&amp;":"&amp;ADDRESS(ROW(),COLUMN(NOTA[TANGGAL]))),-1)))</f>
        <v>45073</v>
      </c>
      <c r="AH781" s="187" t="str">
        <f ca="1">IF(NOTA[[#This Row],[NAMA BARANG]]="","",INDEX(NOTA[SUPPLIER],MATCH(,INDIRECT(ADDRESS(ROW(NOTA[ID]),COLUMN(NOTA[ID]))&amp;":"&amp;ADDRESS(ROW(),COLUMN(NOTA[ID]))),-1)))</f>
        <v>DB STATIONERY</v>
      </c>
      <c r="AI781" s="187" t="str">
        <f ca="1">IF(NOTA[[#This Row],[ID_H]]="","",IF(NOTA[[#This Row],[FAKTUR]]="",INDIRECT(ADDRESS(ROW()-1,COLUMN())),NOTA[[#This Row],[FAKTUR]]))</f>
        <v>UNTANA</v>
      </c>
      <c r="AJ781" s="188" t="str">
        <f ca="1">IF(NOTA[[#This Row],[ID]]="","",COUNTIF(NOTA[ID_H],NOTA[[#This Row],[ID_H]]))</f>
        <v/>
      </c>
      <c r="AK781" s="188">
        <f ca="1">IF(NOTA[[#This Row],[TGL.NOTA]]="",IF(NOTA[[#This Row],[SUPPLIER_H]]="","",AK780),MONTH(NOTA[[#This Row],[TGL.NOTA]]))</f>
        <v>5</v>
      </c>
      <c r="AL781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7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N7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O7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188" t="str">
        <f>IF(NOTA[[#This Row],[CONCAT4]]="","",_xlfn.IFNA(MATCH(NOTA[[#This Row],[CONCAT4]],[2]!RAW[CONCAT_H],0),FALSE))</f>
        <v/>
      </c>
      <c r="AQ781" s="188" t="e">
        <f>IF(NOTA[[#This Row],[CONCAT1]]="","",MATCH(NOTA[[#This Row],[CONCAT1]],[3]!db[NB NOTA_C],0)+1)</f>
        <v>#N/A</v>
      </c>
    </row>
    <row r="782" spans="1:43" ht="20.100000000000001" customHeight="1" x14ac:dyDescent="0.25">
      <c r="A7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188" t="str">
        <f>IF(NOTA[[#This Row],[ID_P]]="","",MATCH(NOTA[[#This Row],[ID_P]],[1]!B_MSK[N_ID],0))</f>
        <v/>
      </c>
      <c r="D782" s="188">
        <f ca="1">IF(NOTA[[#This Row],[NAMA BARANG]]="","",INDEX(NOTA[ID],MATCH(,INDIRECT(ADDRESS(ROW(NOTA[ID]),COLUMN(NOTA[ID]))&amp;":"&amp;ADDRESS(ROW(),COLUMN(NOTA[ID]))),-1)))</f>
        <v>136</v>
      </c>
      <c r="E782" s="189"/>
      <c r="F782" s="190"/>
      <c r="G782" s="190"/>
      <c r="H782" s="191"/>
      <c r="I782" s="190"/>
      <c r="J782" s="192"/>
      <c r="K782" s="190"/>
      <c r="L782" s="190" t="s">
        <v>199</v>
      </c>
      <c r="M782" s="193">
        <v>1</v>
      </c>
      <c r="N782" s="188">
        <v>120</v>
      </c>
      <c r="O782" s="190" t="s">
        <v>125</v>
      </c>
      <c r="P782" s="187"/>
      <c r="Q782" s="194"/>
      <c r="R782" s="195" t="s">
        <v>173</v>
      </c>
      <c r="S782" s="196"/>
      <c r="T782" s="197"/>
      <c r="U782" s="198"/>
      <c r="V782" s="199" t="s">
        <v>181</v>
      </c>
      <c r="W782" s="198" t="str">
        <f>IF(NOTA[[#This Row],[HARGA/ CTN]]="",NOTA[[#This Row],[JUMLAH_H]],NOTA[[#This Row],[HARGA/ CTN]]*IF(NOTA[[#This Row],[C]]="",0,NOTA[[#This Row],[C]]))</f>
        <v/>
      </c>
      <c r="X782" s="198" t="str">
        <f>IF(NOTA[[#This Row],[JUMLAH]]="","",NOTA[[#This Row],[JUMLAH]]*NOTA[[#This Row],[DISC 1]])</f>
        <v/>
      </c>
      <c r="Y782" s="198" t="str">
        <f>IF(NOTA[[#This Row],[JUMLAH]]="","",(NOTA[[#This Row],[JUMLAH]]-NOTA[[#This Row],[DISC 1-]])*NOTA[[#This Row],[DISC 2]])</f>
        <v/>
      </c>
      <c r="Z782" s="198" t="str">
        <f>IF(NOTA[[#This Row],[JUMLAH]]="","",NOTA[[#This Row],[DISC 1-]]+NOTA[[#This Row],[DISC 2-]])</f>
        <v/>
      </c>
      <c r="AA782" s="198" t="str">
        <f>IF(NOTA[[#This Row],[JUMLAH]]="","",NOTA[[#This Row],[JUMLAH]]-NOTA[[#This Row],[DISC]])</f>
        <v/>
      </c>
      <c r="AB782" s="198"/>
      <c r="AC78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8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82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82" s="200" t="str">
        <f>IF(OR(NOTA[[#This Row],[QTY]]="",NOTA[[#This Row],[HARGA SATUAN]]="",),"",NOTA[[#This Row],[QTY]]*NOTA[[#This Row],[HARGA SATUAN]])</f>
        <v/>
      </c>
      <c r="AG782" s="192">
        <f ca="1">IF(NOTA[ID_H]="","",INDEX(NOTA[TANGGAL],MATCH(,INDIRECT(ADDRESS(ROW(NOTA[TANGGAL]),COLUMN(NOTA[TANGGAL]))&amp;":"&amp;ADDRESS(ROW(),COLUMN(NOTA[TANGGAL]))),-1)))</f>
        <v>45073</v>
      </c>
      <c r="AH782" s="187" t="str">
        <f ca="1">IF(NOTA[[#This Row],[NAMA BARANG]]="","",INDEX(NOTA[SUPPLIER],MATCH(,INDIRECT(ADDRESS(ROW(NOTA[ID]),COLUMN(NOTA[ID]))&amp;":"&amp;ADDRESS(ROW(),COLUMN(NOTA[ID]))),-1)))</f>
        <v>DB STATIONERY</v>
      </c>
      <c r="AI782" s="187" t="str">
        <f ca="1">IF(NOTA[[#This Row],[ID_H]]="","",IF(NOTA[[#This Row],[FAKTUR]]="",INDIRECT(ADDRESS(ROW()-1,COLUMN())),NOTA[[#This Row],[FAKTUR]]))</f>
        <v>UNTANA</v>
      </c>
      <c r="AJ782" s="188" t="str">
        <f ca="1">IF(NOTA[[#This Row],[ID]]="","",COUNTIF(NOTA[ID_H],NOTA[[#This Row],[ID_H]]))</f>
        <v/>
      </c>
      <c r="AK782" s="188">
        <f ca="1">IF(NOTA[[#This Row],[TGL.NOTA]]="",IF(NOTA[[#This Row],[SUPPLIER_H]]="","",AK781),MONTH(NOTA[[#This Row],[TGL.NOTA]]))</f>
        <v>5</v>
      </c>
      <c r="AL782" s="188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M7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gelzhixinrefillg31380</v>
      </c>
      <c r="AN7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gelzhixinrefillg31380</v>
      </c>
      <c r="AO7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188" t="str">
        <f>IF(NOTA[[#This Row],[CONCAT4]]="","",_xlfn.IFNA(MATCH(NOTA[[#This Row],[CONCAT4]],[2]!RAW[CONCAT_H],0),FALSE))</f>
        <v/>
      </c>
      <c r="AQ782" s="188" t="e">
        <f>IF(NOTA[[#This Row],[CONCAT1]]="","",MATCH(NOTA[[#This Row],[CONCAT1]],[3]!db[NB NOTA_C],0)+1)</f>
        <v>#N/A</v>
      </c>
    </row>
    <row r="783" spans="1:43" ht="20.100000000000001" customHeight="1" x14ac:dyDescent="0.25">
      <c r="A7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188" t="str">
        <f>IF(NOTA[[#This Row],[ID_P]]="","",MATCH(NOTA[[#This Row],[ID_P]],[1]!B_MSK[N_ID],0))</f>
        <v/>
      </c>
      <c r="D783" s="188" t="str">
        <f ca="1">IF(NOTA[[#This Row],[NAMA BARANG]]="","",INDEX(NOTA[ID],MATCH(,INDIRECT(ADDRESS(ROW(NOTA[ID]),COLUMN(NOTA[ID]))&amp;":"&amp;ADDRESS(ROW(),COLUMN(NOTA[ID]))),-1)))</f>
        <v/>
      </c>
      <c r="E783" s="189"/>
      <c r="F783" s="190"/>
      <c r="G783" s="190"/>
      <c r="H783" s="191"/>
      <c r="I783" s="190"/>
      <c r="J783" s="192"/>
      <c r="K783" s="190"/>
      <c r="L783" s="190"/>
      <c r="M783" s="193"/>
      <c r="N783" s="188"/>
      <c r="O783" s="190"/>
      <c r="P783" s="187"/>
      <c r="Q783" s="194"/>
      <c r="R783" s="195"/>
      <c r="S783" s="196"/>
      <c r="T783" s="197"/>
      <c r="U783" s="198"/>
      <c r="V783" s="199"/>
      <c r="W783" s="198" t="str">
        <f>IF(NOTA[[#This Row],[HARGA/ CTN]]="",NOTA[[#This Row],[JUMLAH_H]],NOTA[[#This Row],[HARGA/ CTN]]*IF(NOTA[[#This Row],[C]]="",0,NOTA[[#This Row],[C]]))</f>
        <v/>
      </c>
      <c r="X783" s="198" t="str">
        <f>IF(NOTA[[#This Row],[JUMLAH]]="","",NOTA[[#This Row],[JUMLAH]]*NOTA[[#This Row],[DISC 1]])</f>
        <v/>
      </c>
      <c r="Y783" s="198" t="str">
        <f>IF(NOTA[[#This Row],[JUMLAH]]="","",(NOTA[[#This Row],[JUMLAH]]-NOTA[[#This Row],[DISC 1-]])*NOTA[[#This Row],[DISC 2]])</f>
        <v/>
      </c>
      <c r="Z783" s="198" t="str">
        <f>IF(NOTA[[#This Row],[JUMLAH]]="","",NOTA[[#This Row],[DISC 1-]]+NOTA[[#This Row],[DISC 2-]])</f>
        <v/>
      </c>
      <c r="AA783" s="198" t="str">
        <f>IF(NOTA[[#This Row],[JUMLAH]]="","",NOTA[[#This Row],[JUMLAH]]-NOTA[[#This Row],[DISC]])</f>
        <v/>
      </c>
      <c r="AB783" s="198"/>
      <c r="AC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200" t="str">
        <f>IF(OR(NOTA[[#This Row],[QTY]]="",NOTA[[#This Row],[HARGA SATUAN]]="",),"",NOTA[[#This Row],[QTY]]*NOTA[[#This Row],[HARGA SATUAN]])</f>
        <v/>
      </c>
      <c r="AG783" s="192" t="str">
        <f ca="1">IF(NOTA[ID_H]="","",INDEX(NOTA[TANGGAL],MATCH(,INDIRECT(ADDRESS(ROW(NOTA[TANGGAL]),COLUMN(NOTA[TANGGAL]))&amp;":"&amp;ADDRESS(ROW(),COLUMN(NOTA[TANGGAL]))),-1)))</f>
        <v/>
      </c>
      <c r="AH783" s="187" t="str">
        <f ca="1">IF(NOTA[[#This Row],[NAMA BARANG]]="","",INDEX(NOTA[SUPPLIER],MATCH(,INDIRECT(ADDRESS(ROW(NOTA[ID]),COLUMN(NOTA[ID]))&amp;":"&amp;ADDRESS(ROW(),COLUMN(NOTA[ID]))),-1)))</f>
        <v/>
      </c>
      <c r="AI783" s="187" t="str">
        <f ca="1">IF(NOTA[[#This Row],[ID_H]]="","",IF(NOTA[[#This Row],[FAKTUR]]="",INDIRECT(ADDRESS(ROW()-1,COLUMN())),NOTA[[#This Row],[FAKTUR]]))</f>
        <v/>
      </c>
      <c r="AJ783" s="188" t="str">
        <f ca="1">IF(NOTA[[#This Row],[ID]]="","",COUNTIF(NOTA[ID_H],NOTA[[#This Row],[ID_H]]))</f>
        <v/>
      </c>
      <c r="AK783" s="188" t="str">
        <f ca="1">IF(NOTA[[#This Row],[TGL.NOTA]]="",IF(NOTA[[#This Row],[SUPPLIER_H]]="","",AK782),MONTH(NOTA[[#This Row],[TGL.NOTA]]))</f>
        <v/>
      </c>
      <c r="AL783" s="188" t="str">
        <f>LOWER(SUBSTITUTE(SUBSTITUTE(SUBSTITUTE(SUBSTITUTE(SUBSTITUTE(SUBSTITUTE(SUBSTITUTE(SUBSTITUTE(SUBSTITUTE(NOTA[NAMA BARANG]," ",),".",""),"-",""),"(",""),")",""),",",""),"/",""),"""",""),"+",""))</f>
        <v/>
      </c>
      <c r="AM7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188" t="str">
        <f>IF(NOTA[[#This Row],[CONCAT4]]="","",_xlfn.IFNA(MATCH(NOTA[[#This Row],[CONCAT4]],[2]!RAW[CONCAT_H],0),FALSE))</f>
        <v/>
      </c>
      <c r="AQ783" s="188" t="str">
        <f>IF(NOTA[[#This Row],[CONCAT1]]="","",MATCH(NOTA[[#This Row],[CONCAT1]],[3]!db[NB NOTA_C],0)+1)</f>
        <v/>
      </c>
    </row>
    <row r="784" spans="1:43" ht="20.100000000000001" customHeight="1" x14ac:dyDescent="0.25">
      <c r="A784" s="187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DBS_2705_023-7</v>
      </c>
      <c r="C784" s="188" t="e">
        <f ca="1">IF(NOTA[[#This Row],[ID_P]]="","",MATCH(NOTA[[#This Row],[ID_P]],[1]!B_MSK[N_ID],0))</f>
        <v>#REF!</v>
      </c>
      <c r="D784" s="188">
        <f ca="1">IF(NOTA[[#This Row],[NAMA BARANG]]="","",INDEX(NOTA[ID],MATCH(,INDIRECT(ADDRESS(ROW(NOTA[ID]),COLUMN(NOTA[ID]))&amp;":"&amp;ADDRESS(ROW(),COLUMN(NOTA[ID]))),-1)))</f>
        <v>137</v>
      </c>
      <c r="E784" s="189"/>
      <c r="F784" s="190" t="s">
        <v>168</v>
      </c>
      <c r="G784" s="190" t="s">
        <v>112</v>
      </c>
      <c r="H784" s="191" t="s">
        <v>963</v>
      </c>
      <c r="I784" s="190"/>
      <c r="J784" s="192">
        <v>45069</v>
      </c>
      <c r="K784" s="190"/>
      <c r="L784" s="190" t="s">
        <v>964</v>
      </c>
      <c r="M784" s="193">
        <v>1</v>
      </c>
      <c r="N784" s="188">
        <v>96</v>
      </c>
      <c r="O784" s="190" t="s">
        <v>160</v>
      </c>
      <c r="P784" s="187">
        <v>25000</v>
      </c>
      <c r="Q784" s="194"/>
      <c r="R784" s="195" t="s">
        <v>728</v>
      </c>
      <c r="S784" s="196">
        <v>0.3</v>
      </c>
      <c r="T784" s="197"/>
      <c r="U784" s="198"/>
      <c r="V784" s="199"/>
      <c r="W784" s="198">
        <f>IF(NOTA[[#This Row],[HARGA/ CTN]]="",NOTA[[#This Row],[JUMLAH_H]],NOTA[[#This Row],[HARGA/ CTN]]*IF(NOTA[[#This Row],[C]]="",0,NOTA[[#This Row],[C]]))</f>
        <v>2400000</v>
      </c>
      <c r="X784" s="198">
        <f>IF(NOTA[[#This Row],[JUMLAH]]="","",NOTA[[#This Row],[JUMLAH]]*NOTA[[#This Row],[DISC 1]])</f>
        <v>720000</v>
      </c>
      <c r="Y784" s="198">
        <f>IF(NOTA[[#This Row],[JUMLAH]]="","",(NOTA[[#This Row],[JUMLAH]]-NOTA[[#This Row],[DISC 1-]])*NOTA[[#This Row],[DISC 2]])</f>
        <v>0</v>
      </c>
      <c r="Z784" s="198">
        <f>IF(NOTA[[#This Row],[JUMLAH]]="","",NOTA[[#This Row],[DISC 1-]]+NOTA[[#This Row],[DISC 2-]])</f>
        <v>720000</v>
      </c>
      <c r="AA784" s="198">
        <f>IF(NOTA[[#This Row],[JUMLAH]]="","",NOTA[[#This Row],[JUMLAH]]-NOTA[[#This Row],[DISC]])</f>
        <v>1680000</v>
      </c>
      <c r="AB784" s="198"/>
      <c r="AC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784" s="200">
        <f>IF(OR(NOTA[[#This Row],[QTY]]="",NOTA[[#This Row],[HARGA SATUAN]]="",),"",NOTA[[#This Row],[QTY]]*NOTA[[#This Row],[HARGA SATUAN]])</f>
        <v>2400000</v>
      </c>
      <c r="AG784" s="192">
        <f ca="1">IF(NOTA[ID_H]="","",INDEX(NOTA[TANGGAL],MATCH(,INDIRECT(ADDRESS(ROW(NOTA[TANGGAL]),COLUMN(NOTA[TANGGAL]))&amp;":"&amp;ADDRESS(ROW(),COLUMN(NOTA[TANGGAL]))),-1)))</f>
        <v>45073</v>
      </c>
      <c r="AH784" s="187" t="str">
        <f ca="1">IF(NOTA[[#This Row],[NAMA BARANG]]="","",INDEX(NOTA[SUPPLIER],MATCH(,INDIRECT(ADDRESS(ROW(NOTA[ID]),COLUMN(NOTA[ID]))&amp;":"&amp;ADDRESS(ROW(),COLUMN(NOTA[ID]))),-1)))</f>
        <v>DB STATIONERY</v>
      </c>
      <c r="AI784" s="187" t="str">
        <f ca="1">IF(NOTA[[#This Row],[ID_H]]="","",IF(NOTA[[#This Row],[FAKTUR]]="",INDIRECT(ADDRESS(ROW()-1,COLUMN())),NOTA[[#This Row],[FAKTUR]]))</f>
        <v>UNTANA</v>
      </c>
      <c r="AJ784" s="188">
        <f ca="1">IF(NOTA[[#This Row],[ID]]="","",COUNTIF(NOTA[ID_H],NOTA[[#This Row],[ID_H]]))</f>
        <v>7</v>
      </c>
      <c r="AK784" s="188">
        <f>IF(NOTA[[#This Row],[TGL.NOTA]]="",IF(NOTA[[#This Row],[SUPPLIER_H]]="","",AK783),MONTH(NOTA[[#This Row],[TGL.NOTA]]))</f>
        <v>5</v>
      </c>
      <c r="AL784" s="188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M7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N7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O784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STATIONERYUNTANAJUE530/2345069tpensilplastikb35122</v>
      </c>
      <c r="AP784" s="188" t="e">
        <f>IF(NOTA[[#This Row],[CONCAT4]]="","",_xlfn.IFNA(MATCH(NOTA[[#This Row],[CONCAT4]],[2]!RAW[CONCAT_H],0),FALSE))</f>
        <v>#REF!</v>
      </c>
      <c r="AQ784" s="188" t="e">
        <f>IF(NOTA[[#This Row],[CONCAT1]]="","",MATCH(NOTA[[#This Row],[CONCAT1]],[3]!db[NB NOTA_C],0)+1)</f>
        <v>#N/A</v>
      </c>
    </row>
    <row r="785" spans="1:43" ht="20.100000000000001" customHeight="1" x14ac:dyDescent="0.25">
      <c r="A7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188" t="str">
        <f>IF(NOTA[[#This Row],[ID_P]]="","",MATCH(NOTA[[#This Row],[ID_P]],[1]!B_MSK[N_ID],0))</f>
        <v/>
      </c>
      <c r="D785" s="188">
        <f ca="1">IF(NOTA[[#This Row],[NAMA BARANG]]="","",INDEX(NOTA[ID],MATCH(,INDIRECT(ADDRESS(ROW(NOTA[ID]),COLUMN(NOTA[ID]))&amp;":"&amp;ADDRESS(ROW(),COLUMN(NOTA[ID]))),-1)))</f>
        <v>137</v>
      </c>
      <c r="E785" s="189"/>
      <c r="F785" s="190"/>
      <c r="G785" s="190"/>
      <c r="H785" s="191"/>
      <c r="I785" s="190"/>
      <c r="J785" s="192"/>
      <c r="K785" s="190"/>
      <c r="L785" s="190" t="s">
        <v>965</v>
      </c>
      <c r="M785" s="193">
        <v>1</v>
      </c>
      <c r="N785" s="188">
        <v>96</v>
      </c>
      <c r="O785" s="190" t="s">
        <v>160</v>
      </c>
      <c r="P785" s="187">
        <v>21000</v>
      </c>
      <c r="Q785" s="194"/>
      <c r="R785" s="195" t="s">
        <v>728</v>
      </c>
      <c r="S785" s="196">
        <v>0.3</v>
      </c>
      <c r="T785" s="197"/>
      <c r="U785" s="198"/>
      <c r="V785" s="199"/>
      <c r="W785" s="198">
        <f>IF(NOTA[[#This Row],[HARGA/ CTN]]="",NOTA[[#This Row],[JUMLAH_H]],NOTA[[#This Row],[HARGA/ CTN]]*IF(NOTA[[#This Row],[C]]="",0,NOTA[[#This Row],[C]]))</f>
        <v>2016000</v>
      </c>
      <c r="X785" s="198">
        <f>IF(NOTA[[#This Row],[JUMLAH]]="","",NOTA[[#This Row],[JUMLAH]]*NOTA[[#This Row],[DISC 1]])</f>
        <v>604800</v>
      </c>
      <c r="Y785" s="198">
        <f>IF(NOTA[[#This Row],[JUMLAH]]="","",(NOTA[[#This Row],[JUMLAH]]-NOTA[[#This Row],[DISC 1-]])*NOTA[[#This Row],[DISC 2]])</f>
        <v>0</v>
      </c>
      <c r="Z785" s="198">
        <f>IF(NOTA[[#This Row],[JUMLAH]]="","",NOTA[[#This Row],[DISC 1-]]+NOTA[[#This Row],[DISC 2-]])</f>
        <v>604800</v>
      </c>
      <c r="AA785" s="198">
        <f>IF(NOTA[[#This Row],[JUMLAH]]="","",NOTA[[#This Row],[JUMLAH]]-NOTA[[#This Row],[DISC]])</f>
        <v>1411200</v>
      </c>
      <c r="AB785" s="198"/>
      <c r="AC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785" s="200">
        <f>IF(OR(NOTA[[#This Row],[QTY]]="",NOTA[[#This Row],[HARGA SATUAN]]="",),"",NOTA[[#This Row],[QTY]]*NOTA[[#This Row],[HARGA SATUAN]])</f>
        <v>2016000</v>
      </c>
      <c r="AG785" s="192">
        <f ca="1">IF(NOTA[ID_H]="","",INDEX(NOTA[TANGGAL],MATCH(,INDIRECT(ADDRESS(ROW(NOTA[TANGGAL]),COLUMN(NOTA[TANGGAL]))&amp;":"&amp;ADDRESS(ROW(),COLUMN(NOTA[TANGGAL]))),-1)))</f>
        <v>45073</v>
      </c>
      <c r="AH785" s="187" t="str">
        <f ca="1">IF(NOTA[[#This Row],[NAMA BARANG]]="","",INDEX(NOTA[SUPPLIER],MATCH(,INDIRECT(ADDRESS(ROW(NOTA[ID]),COLUMN(NOTA[ID]))&amp;":"&amp;ADDRESS(ROW(),COLUMN(NOTA[ID]))),-1)))</f>
        <v>DB STATIONERY</v>
      </c>
      <c r="AI785" s="187" t="str">
        <f ca="1">IF(NOTA[[#This Row],[ID_H]]="","",IF(NOTA[[#This Row],[FAKTUR]]="",INDIRECT(ADDRESS(ROW()-1,COLUMN())),NOTA[[#This Row],[FAKTUR]]))</f>
        <v>UNTANA</v>
      </c>
      <c r="AJ785" s="188" t="str">
        <f ca="1">IF(NOTA[[#This Row],[ID]]="","",COUNTIF(NOTA[ID_H],NOTA[[#This Row],[ID_H]]))</f>
        <v/>
      </c>
      <c r="AK785" s="188">
        <f ca="1">IF(NOTA[[#This Row],[TGL.NOTA]]="",IF(NOTA[[#This Row],[SUPPLIER_H]]="","",AK784),MONTH(NOTA[[#This Row],[TGL.NOTA]]))</f>
        <v>5</v>
      </c>
      <c r="AL785" s="188" t="str">
        <f>LOWER(SUBSTITUTE(SUBSTITUTE(SUBSTITUTE(SUBSTITUTE(SUBSTITUTE(SUBSTITUTE(SUBSTITUTE(SUBSTITUTE(SUBSTITUTE(NOTA[NAMA BARANG]," ",),".",""),"-",""),"(",""),")",""),",",""),"/",""),"""",""),"+",""))</f>
        <v>tpensilmagnetxlgb35182</v>
      </c>
      <c r="AM7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tpensilmagnetxlgb3518220160000.3</v>
      </c>
      <c r="AN7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tpensilmagnetxlgb3518220160000.3</v>
      </c>
      <c r="AO7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188" t="str">
        <f>IF(NOTA[[#This Row],[CONCAT4]]="","",_xlfn.IFNA(MATCH(NOTA[[#This Row],[CONCAT4]],[2]!RAW[CONCAT_H],0),FALSE))</f>
        <v/>
      </c>
      <c r="AQ785" s="188" t="e">
        <f>IF(NOTA[[#This Row],[CONCAT1]]="","",MATCH(NOTA[[#This Row],[CONCAT1]],[3]!db[NB NOTA_C],0)+1)</f>
        <v>#N/A</v>
      </c>
    </row>
    <row r="786" spans="1:43" ht="20.100000000000001" customHeight="1" x14ac:dyDescent="0.25">
      <c r="A7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188" t="str">
        <f>IF(NOTA[[#This Row],[ID_P]]="","",MATCH(NOTA[[#This Row],[ID_P]],[1]!B_MSK[N_ID],0))</f>
        <v/>
      </c>
      <c r="D786" s="188">
        <f ca="1">IF(NOTA[[#This Row],[NAMA BARANG]]="","",INDEX(NOTA[ID],MATCH(,INDIRECT(ADDRESS(ROW(NOTA[ID]),COLUMN(NOTA[ID]))&amp;":"&amp;ADDRESS(ROW(),COLUMN(NOTA[ID]))),-1)))</f>
        <v>137</v>
      </c>
      <c r="E786" s="189"/>
      <c r="F786" s="190"/>
      <c r="G786" s="190"/>
      <c r="H786" s="191"/>
      <c r="I786" s="190"/>
      <c r="J786" s="192"/>
      <c r="K786" s="190"/>
      <c r="L786" s="190" t="s">
        <v>966</v>
      </c>
      <c r="M786" s="193">
        <v>1</v>
      </c>
      <c r="N786" s="188">
        <v>96</v>
      </c>
      <c r="O786" s="190" t="s">
        <v>160</v>
      </c>
      <c r="P786" s="187">
        <v>21000</v>
      </c>
      <c r="Q786" s="194"/>
      <c r="R786" s="195" t="s">
        <v>728</v>
      </c>
      <c r="S786" s="196">
        <v>0.3</v>
      </c>
      <c r="T786" s="197"/>
      <c r="U786" s="198"/>
      <c r="V786" s="199"/>
      <c r="W786" s="198">
        <f>IF(NOTA[[#This Row],[HARGA/ CTN]]="",NOTA[[#This Row],[JUMLAH_H]],NOTA[[#This Row],[HARGA/ CTN]]*IF(NOTA[[#This Row],[C]]="",0,NOTA[[#This Row],[C]]))</f>
        <v>2016000</v>
      </c>
      <c r="X786" s="198">
        <f>IF(NOTA[[#This Row],[JUMLAH]]="","",NOTA[[#This Row],[JUMLAH]]*NOTA[[#This Row],[DISC 1]])</f>
        <v>604800</v>
      </c>
      <c r="Y786" s="198">
        <f>IF(NOTA[[#This Row],[JUMLAH]]="","",(NOTA[[#This Row],[JUMLAH]]-NOTA[[#This Row],[DISC 1-]])*NOTA[[#This Row],[DISC 2]])</f>
        <v>0</v>
      </c>
      <c r="Z786" s="198">
        <f>IF(NOTA[[#This Row],[JUMLAH]]="","",NOTA[[#This Row],[DISC 1-]]+NOTA[[#This Row],[DISC 2-]])</f>
        <v>604800</v>
      </c>
      <c r="AA786" s="198">
        <f>IF(NOTA[[#This Row],[JUMLAH]]="","",NOTA[[#This Row],[JUMLAH]]-NOTA[[#This Row],[DISC]])</f>
        <v>1411200</v>
      </c>
      <c r="AB786" s="198"/>
      <c r="AC7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786" s="200">
        <f>IF(OR(NOTA[[#This Row],[QTY]]="",NOTA[[#This Row],[HARGA SATUAN]]="",),"",NOTA[[#This Row],[QTY]]*NOTA[[#This Row],[HARGA SATUAN]])</f>
        <v>2016000</v>
      </c>
      <c r="AG786" s="192">
        <f ca="1">IF(NOTA[ID_H]="","",INDEX(NOTA[TANGGAL],MATCH(,INDIRECT(ADDRESS(ROW(NOTA[TANGGAL]),COLUMN(NOTA[TANGGAL]))&amp;":"&amp;ADDRESS(ROW(),COLUMN(NOTA[TANGGAL]))),-1)))</f>
        <v>45073</v>
      </c>
      <c r="AH786" s="187" t="str">
        <f ca="1">IF(NOTA[[#This Row],[NAMA BARANG]]="","",INDEX(NOTA[SUPPLIER],MATCH(,INDIRECT(ADDRESS(ROW(NOTA[ID]),COLUMN(NOTA[ID]))&amp;":"&amp;ADDRESS(ROW(),COLUMN(NOTA[ID]))),-1)))</f>
        <v>DB STATIONERY</v>
      </c>
      <c r="AI786" s="187" t="str">
        <f ca="1">IF(NOTA[[#This Row],[ID_H]]="","",IF(NOTA[[#This Row],[FAKTUR]]="",INDIRECT(ADDRESS(ROW()-1,COLUMN())),NOTA[[#This Row],[FAKTUR]]))</f>
        <v>UNTANA</v>
      </c>
      <c r="AJ786" s="188" t="str">
        <f ca="1">IF(NOTA[[#This Row],[ID]]="","",COUNTIF(NOTA[ID_H],NOTA[[#This Row],[ID_H]]))</f>
        <v/>
      </c>
      <c r="AK786" s="188">
        <f ca="1">IF(NOTA[[#This Row],[TGL.NOTA]]="",IF(NOTA[[#This Row],[SUPPLIER_H]]="","",AK785),MONTH(NOTA[[#This Row],[TGL.NOTA]]))</f>
        <v>5</v>
      </c>
      <c r="AL786" s="188" t="str">
        <f>LOWER(SUBSTITUTE(SUBSTITUTE(SUBSTITUTE(SUBSTITUTE(SUBSTITUTE(SUBSTITUTE(SUBSTITUTE(SUBSTITUTE(SUBSTITUTE(NOTA[NAMA BARANG]," ",),".",""),"-",""),"(",""),")",""),",",""),"/",""),"""",""),"+",""))</f>
        <v>tpmagnetxlgb35189</v>
      </c>
      <c r="AM7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N7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O7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188" t="str">
        <f>IF(NOTA[[#This Row],[CONCAT4]]="","",_xlfn.IFNA(MATCH(NOTA[[#This Row],[CONCAT4]],[2]!RAW[CONCAT_H],0),FALSE))</f>
        <v/>
      </c>
      <c r="AQ786" s="188" t="e">
        <f>IF(NOTA[[#This Row],[CONCAT1]]="","",MATCH(NOTA[[#This Row],[CONCAT1]],[3]!db[NB NOTA_C],0)+1)</f>
        <v>#N/A</v>
      </c>
    </row>
    <row r="787" spans="1:43" ht="20.100000000000001" customHeight="1" x14ac:dyDescent="0.25">
      <c r="A7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188" t="str">
        <f>IF(NOTA[[#This Row],[ID_P]]="","",MATCH(NOTA[[#This Row],[ID_P]],[1]!B_MSK[N_ID],0))</f>
        <v/>
      </c>
      <c r="D787" s="188">
        <f ca="1">IF(NOTA[[#This Row],[NAMA BARANG]]="","",INDEX(NOTA[ID],MATCH(,INDIRECT(ADDRESS(ROW(NOTA[ID]),COLUMN(NOTA[ID]))&amp;":"&amp;ADDRESS(ROW(),COLUMN(NOTA[ID]))),-1)))</f>
        <v>137</v>
      </c>
      <c r="E787" s="189"/>
      <c r="F787" s="190"/>
      <c r="G787" s="190"/>
      <c r="H787" s="191"/>
      <c r="I787" s="190"/>
      <c r="J787" s="192"/>
      <c r="K787" s="190"/>
      <c r="L787" s="190" t="s">
        <v>967</v>
      </c>
      <c r="M787" s="193">
        <v>1</v>
      </c>
      <c r="N787" s="188">
        <v>96</v>
      </c>
      <c r="O787" s="190" t="s">
        <v>160</v>
      </c>
      <c r="P787" s="187">
        <v>29500</v>
      </c>
      <c r="Q787" s="194"/>
      <c r="R787" s="195" t="s">
        <v>728</v>
      </c>
      <c r="S787" s="196">
        <v>0.3</v>
      </c>
      <c r="T787" s="197"/>
      <c r="U787" s="198"/>
      <c r="V787" s="199"/>
      <c r="W787" s="198">
        <f>IF(NOTA[[#This Row],[HARGA/ CTN]]="",NOTA[[#This Row],[JUMLAH_H]],NOTA[[#This Row],[HARGA/ CTN]]*IF(NOTA[[#This Row],[C]]="",0,NOTA[[#This Row],[C]]))</f>
        <v>2832000</v>
      </c>
      <c r="X787" s="198">
        <f>IF(NOTA[[#This Row],[JUMLAH]]="","",NOTA[[#This Row],[JUMLAH]]*NOTA[[#This Row],[DISC 1]])</f>
        <v>849600</v>
      </c>
      <c r="Y787" s="198">
        <f>IF(NOTA[[#This Row],[JUMLAH]]="","",(NOTA[[#This Row],[JUMLAH]]-NOTA[[#This Row],[DISC 1-]])*NOTA[[#This Row],[DISC 2]])</f>
        <v>0</v>
      </c>
      <c r="Z787" s="198">
        <f>IF(NOTA[[#This Row],[JUMLAH]]="","",NOTA[[#This Row],[DISC 1-]]+NOTA[[#This Row],[DISC 2-]])</f>
        <v>849600</v>
      </c>
      <c r="AA787" s="198">
        <f>IF(NOTA[[#This Row],[JUMLAH]]="","",NOTA[[#This Row],[JUMLAH]]-NOTA[[#This Row],[DISC]])</f>
        <v>1982400</v>
      </c>
      <c r="AB787" s="198"/>
      <c r="AC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787" s="200">
        <f>IF(OR(NOTA[[#This Row],[QTY]]="",NOTA[[#This Row],[HARGA SATUAN]]="",),"",NOTA[[#This Row],[QTY]]*NOTA[[#This Row],[HARGA SATUAN]])</f>
        <v>2832000</v>
      </c>
      <c r="AG787" s="192">
        <f ca="1">IF(NOTA[ID_H]="","",INDEX(NOTA[TANGGAL],MATCH(,INDIRECT(ADDRESS(ROW(NOTA[TANGGAL]),COLUMN(NOTA[TANGGAL]))&amp;":"&amp;ADDRESS(ROW(),COLUMN(NOTA[TANGGAL]))),-1)))</f>
        <v>45073</v>
      </c>
      <c r="AH787" s="187" t="str">
        <f ca="1">IF(NOTA[[#This Row],[NAMA BARANG]]="","",INDEX(NOTA[SUPPLIER],MATCH(,INDIRECT(ADDRESS(ROW(NOTA[ID]),COLUMN(NOTA[ID]))&amp;":"&amp;ADDRESS(ROW(),COLUMN(NOTA[ID]))),-1)))</f>
        <v>DB STATIONERY</v>
      </c>
      <c r="AI787" s="187" t="str">
        <f ca="1">IF(NOTA[[#This Row],[ID_H]]="","",IF(NOTA[[#This Row],[FAKTUR]]="",INDIRECT(ADDRESS(ROW()-1,COLUMN())),NOTA[[#This Row],[FAKTUR]]))</f>
        <v>UNTANA</v>
      </c>
      <c r="AJ787" s="188" t="str">
        <f ca="1">IF(NOTA[[#This Row],[ID]]="","",COUNTIF(NOTA[ID_H],NOTA[[#This Row],[ID_H]]))</f>
        <v/>
      </c>
      <c r="AK787" s="188">
        <f ca="1">IF(NOTA[[#This Row],[TGL.NOTA]]="",IF(NOTA[[#This Row],[SUPPLIER_H]]="","",AK786),MONTH(NOTA[[#This Row],[TGL.NOTA]]))</f>
        <v>5</v>
      </c>
      <c r="AL787" s="188" t="str">
        <f>LOWER(SUBSTITUTE(SUBSTITUTE(SUBSTITUTE(SUBSTITUTE(SUBSTITUTE(SUBSTITUTE(SUBSTITUTE(SUBSTITUTE(SUBSTITUTE(NOTA[NAMA BARANG]," ",),".",""),"-",""),"(",""),")",""),",",""),"/",""),"""",""),"+",""))</f>
        <v>tpmagnetb35141</v>
      </c>
      <c r="AM7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tpmagnetb3514128320000.3</v>
      </c>
      <c r="AN7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tpmagnetb3514128320000.3</v>
      </c>
      <c r="AO7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188" t="str">
        <f>IF(NOTA[[#This Row],[CONCAT4]]="","",_xlfn.IFNA(MATCH(NOTA[[#This Row],[CONCAT4]],[2]!RAW[CONCAT_H],0),FALSE))</f>
        <v/>
      </c>
      <c r="AQ787" s="188" t="e">
        <f>IF(NOTA[[#This Row],[CONCAT1]]="","",MATCH(NOTA[[#This Row],[CONCAT1]],[3]!db[NB NOTA_C],0)+1)</f>
        <v>#N/A</v>
      </c>
    </row>
    <row r="788" spans="1:43" ht="20.100000000000001" customHeight="1" x14ac:dyDescent="0.25">
      <c r="A78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188" t="str">
        <f>IF(NOTA[[#This Row],[ID_P]]="","",MATCH(NOTA[[#This Row],[ID_P]],[1]!B_MSK[N_ID],0))</f>
        <v/>
      </c>
      <c r="D788" s="188">
        <f ca="1">IF(NOTA[[#This Row],[NAMA BARANG]]="","",INDEX(NOTA[ID],MATCH(,INDIRECT(ADDRESS(ROW(NOTA[ID]),COLUMN(NOTA[ID]))&amp;":"&amp;ADDRESS(ROW(),COLUMN(NOTA[ID]))),-1)))</f>
        <v>137</v>
      </c>
      <c r="E788" s="189"/>
      <c r="F788" s="190"/>
      <c r="G788" s="190"/>
      <c r="H788" s="191"/>
      <c r="I788" s="190"/>
      <c r="J788" s="192"/>
      <c r="K788" s="190"/>
      <c r="L788" s="190" t="s">
        <v>968</v>
      </c>
      <c r="M788" s="193">
        <v>1</v>
      </c>
      <c r="N788" s="188">
        <v>120</v>
      </c>
      <c r="O788" s="190" t="s">
        <v>160</v>
      </c>
      <c r="P788" s="187">
        <v>10250</v>
      </c>
      <c r="Q788" s="194"/>
      <c r="R788" s="195" t="s">
        <v>428</v>
      </c>
      <c r="S788" s="196">
        <v>0.3</v>
      </c>
      <c r="T788" s="197"/>
      <c r="U788" s="198"/>
      <c r="V788" s="199"/>
      <c r="W788" s="198">
        <f>IF(NOTA[[#This Row],[HARGA/ CTN]]="",NOTA[[#This Row],[JUMLAH_H]],NOTA[[#This Row],[HARGA/ CTN]]*IF(NOTA[[#This Row],[C]]="",0,NOTA[[#This Row],[C]]))</f>
        <v>1230000</v>
      </c>
      <c r="X788" s="198">
        <f>IF(NOTA[[#This Row],[JUMLAH]]="","",NOTA[[#This Row],[JUMLAH]]*NOTA[[#This Row],[DISC 1]])</f>
        <v>369000</v>
      </c>
      <c r="Y788" s="198">
        <f>IF(NOTA[[#This Row],[JUMLAH]]="","",(NOTA[[#This Row],[JUMLAH]]-NOTA[[#This Row],[DISC 1-]])*NOTA[[#This Row],[DISC 2]])</f>
        <v>0</v>
      </c>
      <c r="Z788" s="198">
        <f>IF(NOTA[[#This Row],[JUMLAH]]="","",NOTA[[#This Row],[DISC 1-]]+NOTA[[#This Row],[DISC 2-]])</f>
        <v>369000</v>
      </c>
      <c r="AA788" s="198">
        <f>IF(NOTA[[#This Row],[JUMLAH]]="","",NOTA[[#This Row],[JUMLAH]]-NOTA[[#This Row],[DISC]])</f>
        <v>861000</v>
      </c>
      <c r="AB788" s="198"/>
      <c r="AC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187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F788" s="200">
        <f>IF(OR(NOTA[[#This Row],[QTY]]="",NOTA[[#This Row],[HARGA SATUAN]]="",),"",NOTA[[#This Row],[QTY]]*NOTA[[#This Row],[HARGA SATUAN]])</f>
        <v>1230000</v>
      </c>
      <c r="AG788" s="192">
        <f ca="1">IF(NOTA[ID_H]="","",INDEX(NOTA[TANGGAL],MATCH(,INDIRECT(ADDRESS(ROW(NOTA[TANGGAL]),COLUMN(NOTA[TANGGAL]))&amp;":"&amp;ADDRESS(ROW(),COLUMN(NOTA[TANGGAL]))),-1)))</f>
        <v>45073</v>
      </c>
      <c r="AH788" s="187" t="str">
        <f ca="1">IF(NOTA[[#This Row],[NAMA BARANG]]="","",INDEX(NOTA[SUPPLIER],MATCH(,INDIRECT(ADDRESS(ROW(NOTA[ID]),COLUMN(NOTA[ID]))&amp;":"&amp;ADDRESS(ROW(),COLUMN(NOTA[ID]))),-1)))</f>
        <v>DB STATIONERY</v>
      </c>
      <c r="AI788" s="187" t="str">
        <f ca="1">IF(NOTA[[#This Row],[ID_H]]="","",IF(NOTA[[#This Row],[FAKTUR]]="",INDIRECT(ADDRESS(ROW()-1,COLUMN())),NOTA[[#This Row],[FAKTUR]]))</f>
        <v>UNTANA</v>
      </c>
      <c r="AJ788" s="188" t="str">
        <f ca="1">IF(NOTA[[#This Row],[ID]]="","",COUNTIF(NOTA[ID_H],NOTA[[#This Row],[ID_H]]))</f>
        <v/>
      </c>
      <c r="AK788" s="188">
        <f ca="1">IF(NOTA[[#This Row],[TGL.NOTA]]="",IF(NOTA[[#This Row],[SUPPLIER_H]]="","",AK787),MONTH(NOTA[[#This Row],[TGL.NOTA]]))</f>
        <v>5</v>
      </c>
      <c r="AL788" s="188" t="str">
        <f>LOWER(SUBSTITUTE(SUBSTITUTE(SUBSTITUTE(SUBSTITUTE(SUBSTITUTE(SUBSTITUTE(SUBSTITUTE(SUBSTITUTE(SUBSTITUTE(NOTA[NAMA BARANG]," ",),".",""),"-",""),"(",""),")",""),",",""),"/",""),"""",""),"+",""))</f>
        <v>tpplastikb3581</v>
      </c>
      <c r="AM7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tpplastikb358112300000.3</v>
      </c>
      <c r="AN7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tpplastikb358112300000.3</v>
      </c>
      <c r="AO78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188" t="str">
        <f>IF(NOTA[[#This Row],[CONCAT4]]="","",_xlfn.IFNA(MATCH(NOTA[[#This Row],[CONCAT4]],[2]!RAW[CONCAT_H],0),FALSE))</f>
        <v/>
      </c>
      <c r="AQ788" s="188" t="e">
        <f>IF(NOTA[[#This Row],[CONCAT1]]="","",MATCH(NOTA[[#This Row],[CONCAT1]],[3]!db[NB NOTA_C],0)+1)</f>
        <v>#N/A</v>
      </c>
    </row>
    <row r="789" spans="1:43" ht="20.100000000000001" customHeight="1" x14ac:dyDescent="0.25">
      <c r="A7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188" t="str">
        <f>IF(NOTA[[#This Row],[ID_P]]="","",MATCH(NOTA[[#This Row],[ID_P]],[1]!B_MSK[N_ID],0))</f>
        <v/>
      </c>
      <c r="D789" s="188">
        <f ca="1">IF(NOTA[[#This Row],[NAMA BARANG]]="","",INDEX(NOTA[ID],MATCH(,INDIRECT(ADDRESS(ROW(NOTA[ID]),COLUMN(NOTA[ID]))&amp;":"&amp;ADDRESS(ROW(),COLUMN(NOTA[ID]))),-1)))</f>
        <v>137</v>
      </c>
      <c r="E789" s="189"/>
      <c r="F789" s="190"/>
      <c r="G789" s="190"/>
      <c r="H789" s="191"/>
      <c r="I789" s="190"/>
      <c r="J789" s="192"/>
      <c r="K789" s="190"/>
      <c r="L789" s="190" t="s">
        <v>969</v>
      </c>
      <c r="M789" s="193">
        <v>1</v>
      </c>
      <c r="N789" s="188">
        <v>96</v>
      </c>
      <c r="O789" s="190" t="s">
        <v>160</v>
      </c>
      <c r="P789" s="187">
        <v>29500</v>
      </c>
      <c r="Q789" s="194"/>
      <c r="R789" s="195" t="s">
        <v>728</v>
      </c>
      <c r="S789" s="196">
        <v>0.3</v>
      </c>
      <c r="T789" s="197"/>
      <c r="U789" s="198"/>
      <c r="V789" s="199"/>
      <c r="W789" s="198">
        <f>IF(NOTA[[#This Row],[HARGA/ CTN]]="",NOTA[[#This Row],[JUMLAH_H]],NOTA[[#This Row],[HARGA/ CTN]]*IF(NOTA[[#This Row],[C]]="",0,NOTA[[#This Row],[C]]))</f>
        <v>2832000</v>
      </c>
      <c r="X789" s="198">
        <f>IF(NOTA[[#This Row],[JUMLAH]]="","",NOTA[[#This Row],[JUMLAH]]*NOTA[[#This Row],[DISC 1]])</f>
        <v>849600</v>
      </c>
      <c r="Y789" s="198">
        <f>IF(NOTA[[#This Row],[JUMLAH]]="","",(NOTA[[#This Row],[JUMLAH]]-NOTA[[#This Row],[DISC 1-]])*NOTA[[#This Row],[DISC 2]])</f>
        <v>0</v>
      </c>
      <c r="Z789" s="198">
        <f>IF(NOTA[[#This Row],[JUMLAH]]="","",NOTA[[#This Row],[DISC 1-]]+NOTA[[#This Row],[DISC 2-]])</f>
        <v>849600</v>
      </c>
      <c r="AA789" s="198">
        <f>IF(NOTA[[#This Row],[JUMLAH]]="","",NOTA[[#This Row],[JUMLAH]]-NOTA[[#This Row],[DISC]])</f>
        <v>1982400</v>
      </c>
      <c r="AB789" s="198"/>
      <c r="AC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187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789" s="200">
        <f>IF(OR(NOTA[[#This Row],[QTY]]="",NOTA[[#This Row],[HARGA SATUAN]]="",),"",NOTA[[#This Row],[QTY]]*NOTA[[#This Row],[HARGA SATUAN]])</f>
        <v>2832000</v>
      </c>
      <c r="AG789" s="192">
        <f ca="1">IF(NOTA[ID_H]="","",INDEX(NOTA[TANGGAL],MATCH(,INDIRECT(ADDRESS(ROW(NOTA[TANGGAL]),COLUMN(NOTA[TANGGAL]))&amp;":"&amp;ADDRESS(ROW(),COLUMN(NOTA[TANGGAL]))),-1)))</f>
        <v>45073</v>
      </c>
      <c r="AH789" s="187" t="str">
        <f ca="1">IF(NOTA[[#This Row],[NAMA BARANG]]="","",INDEX(NOTA[SUPPLIER],MATCH(,INDIRECT(ADDRESS(ROW(NOTA[ID]),COLUMN(NOTA[ID]))&amp;":"&amp;ADDRESS(ROW(),COLUMN(NOTA[ID]))),-1)))</f>
        <v>DB STATIONERY</v>
      </c>
      <c r="AI789" s="187" t="str">
        <f ca="1">IF(NOTA[[#This Row],[ID_H]]="","",IF(NOTA[[#This Row],[FAKTUR]]="",INDIRECT(ADDRESS(ROW()-1,COLUMN())),NOTA[[#This Row],[FAKTUR]]))</f>
        <v>UNTANA</v>
      </c>
      <c r="AJ789" s="188" t="str">
        <f ca="1">IF(NOTA[[#This Row],[ID]]="","",COUNTIF(NOTA[ID_H],NOTA[[#This Row],[ID_H]]))</f>
        <v/>
      </c>
      <c r="AK789" s="188">
        <f ca="1">IF(NOTA[[#This Row],[TGL.NOTA]]="",IF(NOTA[[#This Row],[SUPPLIER_H]]="","",AK788),MONTH(NOTA[[#This Row],[TGL.NOTA]]))</f>
        <v>5</v>
      </c>
      <c r="AL789" s="188" t="str">
        <f>LOWER(SUBSTITUTE(SUBSTITUTE(SUBSTITUTE(SUBSTITUTE(SUBSTITUTE(SUBSTITUTE(SUBSTITUTE(SUBSTITUTE(SUBSTITUTE(NOTA[NAMA BARANG]," ",),".",""),"-",""),"(",""),")",""),",",""),"/",""),"""",""),"+",""))</f>
        <v>tpmagnetb3511620</v>
      </c>
      <c r="AM7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N7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O78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188" t="str">
        <f>IF(NOTA[[#This Row],[CONCAT4]]="","",_xlfn.IFNA(MATCH(NOTA[[#This Row],[CONCAT4]],[2]!RAW[CONCAT_H],0),FALSE))</f>
        <v/>
      </c>
      <c r="AQ789" s="188" t="e">
        <f>IF(NOTA[[#This Row],[CONCAT1]]="","",MATCH(NOTA[[#This Row],[CONCAT1]],[3]!db[NB NOTA_C],0)+1)</f>
        <v>#N/A</v>
      </c>
    </row>
    <row r="790" spans="1:43" ht="20.100000000000001" customHeight="1" x14ac:dyDescent="0.25">
      <c r="A79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188" t="str">
        <f>IF(NOTA[[#This Row],[ID_P]]="","",MATCH(NOTA[[#This Row],[ID_P]],[1]!B_MSK[N_ID],0))</f>
        <v/>
      </c>
      <c r="D790" s="188">
        <f ca="1">IF(NOTA[[#This Row],[NAMA BARANG]]="","",INDEX(NOTA[ID],MATCH(,INDIRECT(ADDRESS(ROW(NOTA[ID]),COLUMN(NOTA[ID]))&amp;":"&amp;ADDRESS(ROW(),COLUMN(NOTA[ID]))),-1)))</f>
        <v>137</v>
      </c>
      <c r="E790" s="189"/>
      <c r="F790" s="190"/>
      <c r="G790" s="190"/>
      <c r="H790" s="191"/>
      <c r="I790" s="190"/>
      <c r="J790" s="192"/>
      <c r="K790" s="190"/>
      <c r="L790" s="190" t="s">
        <v>970</v>
      </c>
      <c r="M790" s="193">
        <v>3</v>
      </c>
      <c r="N790" s="188">
        <v>540</v>
      </c>
      <c r="O790" s="190" t="s">
        <v>160</v>
      </c>
      <c r="P790" s="187">
        <v>22000</v>
      </c>
      <c r="Q790" s="194"/>
      <c r="R790" s="195" t="s">
        <v>216</v>
      </c>
      <c r="S790" s="196">
        <v>2.5000000000000001E-2</v>
      </c>
      <c r="T790" s="197"/>
      <c r="U790" s="198"/>
      <c r="V790" s="199"/>
      <c r="W790" s="198">
        <f>IF(NOTA[[#This Row],[HARGA/ CTN]]="",NOTA[[#This Row],[JUMLAH_H]],NOTA[[#This Row],[HARGA/ CTN]]*IF(NOTA[[#This Row],[C]]="",0,NOTA[[#This Row],[C]]))</f>
        <v>11880000</v>
      </c>
      <c r="X790" s="198">
        <f>IF(NOTA[[#This Row],[JUMLAH]]="","",NOTA[[#This Row],[JUMLAH]]*NOTA[[#This Row],[DISC 1]])</f>
        <v>297000</v>
      </c>
      <c r="Y790" s="198">
        <f>IF(NOTA[[#This Row],[JUMLAH]]="","",(NOTA[[#This Row],[JUMLAH]]-NOTA[[#This Row],[DISC 1-]])*NOTA[[#This Row],[DISC 2]])</f>
        <v>0</v>
      </c>
      <c r="Z790" s="198">
        <f>IF(NOTA[[#This Row],[JUMLAH]]="","",NOTA[[#This Row],[DISC 1-]]+NOTA[[#This Row],[DISC 2-]])</f>
        <v>297000</v>
      </c>
      <c r="AA790" s="198">
        <f>IF(NOTA[[#This Row],[JUMLAH]]="","",NOTA[[#This Row],[JUMLAH]]-NOTA[[#This Row],[DISC]])</f>
        <v>11583000</v>
      </c>
      <c r="AB790" s="198"/>
      <c r="AC79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4294800</v>
      </c>
      <c r="AD79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20911200</v>
      </c>
      <c r="AE790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790" s="200">
        <f>IF(OR(NOTA[[#This Row],[QTY]]="",NOTA[[#This Row],[HARGA SATUAN]]="",),"",NOTA[[#This Row],[QTY]]*NOTA[[#This Row],[HARGA SATUAN]])</f>
        <v>11880000</v>
      </c>
      <c r="AG790" s="192">
        <f ca="1">IF(NOTA[ID_H]="","",INDEX(NOTA[TANGGAL],MATCH(,INDIRECT(ADDRESS(ROW(NOTA[TANGGAL]),COLUMN(NOTA[TANGGAL]))&amp;":"&amp;ADDRESS(ROW(),COLUMN(NOTA[TANGGAL]))),-1)))</f>
        <v>45073</v>
      </c>
      <c r="AH790" s="187" t="str">
        <f ca="1">IF(NOTA[[#This Row],[NAMA BARANG]]="","",INDEX(NOTA[SUPPLIER],MATCH(,INDIRECT(ADDRESS(ROW(NOTA[ID]),COLUMN(NOTA[ID]))&amp;":"&amp;ADDRESS(ROW(),COLUMN(NOTA[ID]))),-1)))</f>
        <v>DB STATIONERY</v>
      </c>
      <c r="AI790" s="187" t="str">
        <f ca="1">IF(NOTA[[#This Row],[ID_H]]="","",IF(NOTA[[#This Row],[FAKTUR]]="",INDIRECT(ADDRESS(ROW()-1,COLUMN())),NOTA[[#This Row],[FAKTUR]]))</f>
        <v>UNTANA</v>
      </c>
      <c r="AJ790" s="188" t="str">
        <f ca="1">IF(NOTA[[#This Row],[ID]]="","",COUNTIF(NOTA[ID_H],NOTA[[#This Row],[ID_H]]))</f>
        <v/>
      </c>
      <c r="AK790" s="188">
        <f ca="1">IF(NOTA[[#This Row],[TGL.NOTA]]="",IF(NOTA[[#This Row],[SUPPLIER_H]]="","",AK789),MONTH(NOTA[[#This Row],[TGL.NOTA]]))</f>
        <v>5</v>
      </c>
      <c r="AL790" s="188" t="str">
        <f>LOWER(SUBSTITUTE(SUBSTITUTE(SUBSTITUTE(SUBSTITUTE(SUBSTITUTE(SUBSTITUTE(SUBSTITUTE(SUBSTITUTE(SUBSTITUTE(NOTA[NAMA BARANG]," ",),".",""),"-",""),"(",""),")",""),",",""),"/",""),"""",""),"+",""))</f>
        <v>tpbdxlgbd847</v>
      </c>
      <c r="AM79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tpbdxlgbd84739600000.025</v>
      </c>
      <c r="AN79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tpbdxlgbd84739600000.025</v>
      </c>
      <c r="AO79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188" t="str">
        <f>IF(NOTA[[#This Row],[CONCAT4]]="","",_xlfn.IFNA(MATCH(NOTA[[#This Row],[CONCAT4]],[2]!RAW[CONCAT_H],0),FALSE))</f>
        <v/>
      </c>
      <c r="AQ790" s="188" t="e">
        <f>IF(NOTA[[#This Row],[CONCAT1]]="","",MATCH(NOTA[[#This Row],[CONCAT1]],[3]!db[NB NOTA_C],0)+1)</f>
        <v>#N/A</v>
      </c>
    </row>
    <row r="791" spans="1:43" ht="20.100000000000001" customHeight="1" x14ac:dyDescent="0.25">
      <c r="A79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188" t="str">
        <f>IF(NOTA[[#This Row],[ID_P]]="","",MATCH(NOTA[[#This Row],[ID_P]],[1]!B_MSK[N_ID],0))</f>
        <v/>
      </c>
      <c r="D791" s="188" t="str">
        <f ca="1">IF(NOTA[[#This Row],[NAMA BARANG]]="","",INDEX(NOTA[ID],MATCH(,INDIRECT(ADDRESS(ROW(NOTA[ID]),COLUMN(NOTA[ID]))&amp;":"&amp;ADDRESS(ROW(),COLUMN(NOTA[ID]))),-1)))</f>
        <v/>
      </c>
      <c r="E791" s="189"/>
      <c r="F791" s="190"/>
      <c r="G791" s="190"/>
      <c r="H791" s="191"/>
      <c r="I791" s="190"/>
      <c r="J791" s="192"/>
      <c r="K791" s="190"/>
      <c r="L791" s="190"/>
      <c r="M791" s="193"/>
      <c r="N791" s="188"/>
      <c r="O791" s="190"/>
      <c r="P791" s="187"/>
      <c r="Q791" s="194"/>
      <c r="R791" s="195"/>
      <c r="S791" s="196"/>
      <c r="T791" s="197"/>
      <c r="U791" s="198"/>
      <c r="V791" s="199"/>
      <c r="W791" s="198" t="str">
        <f>IF(NOTA[[#This Row],[HARGA/ CTN]]="",NOTA[[#This Row],[JUMLAH_H]],NOTA[[#This Row],[HARGA/ CTN]]*IF(NOTA[[#This Row],[C]]="",0,NOTA[[#This Row],[C]]))</f>
        <v/>
      </c>
      <c r="X791" s="198" t="str">
        <f>IF(NOTA[[#This Row],[JUMLAH]]="","",NOTA[[#This Row],[JUMLAH]]*NOTA[[#This Row],[DISC 1]])</f>
        <v/>
      </c>
      <c r="Y791" s="198" t="str">
        <f>IF(NOTA[[#This Row],[JUMLAH]]="","",(NOTA[[#This Row],[JUMLAH]]-NOTA[[#This Row],[DISC 1-]])*NOTA[[#This Row],[DISC 2]])</f>
        <v/>
      </c>
      <c r="Z791" s="198" t="str">
        <f>IF(NOTA[[#This Row],[JUMLAH]]="","",NOTA[[#This Row],[DISC 1-]]+NOTA[[#This Row],[DISC 2-]])</f>
        <v/>
      </c>
      <c r="AA791" s="198" t="str">
        <f>IF(NOTA[[#This Row],[JUMLAH]]="","",NOTA[[#This Row],[JUMLAH]]-NOTA[[#This Row],[DISC]])</f>
        <v/>
      </c>
      <c r="AB791" s="198"/>
      <c r="AC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200" t="str">
        <f>IF(OR(NOTA[[#This Row],[QTY]]="",NOTA[[#This Row],[HARGA SATUAN]]="",),"",NOTA[[#This Row],[QTY]]*NOTA[[#This Row],[HARGA SATUAN]])</f>
        <v/>
      </c>
      <c r="AG791" s="192" t="str">
        <f ca="1">IF(NOTA[ID_H]="","",INDEX(NOTA[TANGGAL],MATCH(,INDIRECT(ADDRESS(ROW(NOTA[TANGGAL]),COLUMN(NOTA[TANGGAL]))&amp;":"&amp;ADDRESS(ROW(),COLUMN(NOTA[TANGGAL]))),-1)))</f>
        <v/>
      </c>
      <c r="AH791" s="187" t="str">
        <f ca="1">IF(NOTA[[#This Row],[NAMA BARANG]]="","",INDEX(NOTA[SUPPLIER],MATCH(,INDIRECT(ADDRESS(ROW(NOTA[ID]),COLUMN(NOTA[ID]))&amp;":"&amp;ADDRESS(ROW(),COLUMN(NOTA[ID]))),-1)))</f>
        <v/>
      </c>
      <c r="AI791" s="187" t="str">
        <f ca="1">IF(NOTA[[#This Row],[ID_H]]="","",IF(NOTA[[#This Row],[FAKTUR]]="",INDIRECT(ADDRESS(ROW()-1,COLUMN())),NOTA[[#This Row],[FAKTUR]]))</f>
        <v/>
      </c>
      <c r="AJ791" s="188" t="str">
        <f ca="1">IF(NOTA[[#This Row],[ID]]="","",COUNTIF(NOTA[ID_H],NOTA[[#This Row],[ID_H]]))</f>
        <v/>
      </c>
      <c r="AK791" s="188" t="str">
        <f ca="1">IF(NOTA[[#This Row],[TGL.NOTA]]="",IF(NOTA[[#This Row],[SUPPLIER_H]]="","",AK790),MONTH(NOTA[[#This Row],[TGL.NOTA]]))</f>
        <v/>
      </c>
      <c r="AL791" s="188" t="str">
        <f>LOWER(SUBSTITUTE(SUBSTITUTE(SUBSTITUTE(SUBSTITUTE(SUBSTITUTE(SUBSTITUTE(SUBSTITUTE(SUBSTITUTE(SUBSTITUTE(NOTA[NAMA BARANG]," ",),".",""),"-",""),"(",""),")",""),",",""),"/",""),"""",""),"+",""))</f>
        <v/>
      </c>
      <c r="AM79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188" t="str">
        <f>IF(NOTA[[#This Row],[CONCAT4]]="","",_xlfn.IFNA(MATCH(NOTA[[#This Row],[CONCAT4]],[2]!RAW[CONCAT_H],0),FALSE))</f>
        <v/>
      </c>
      <c r="AQ791" s="188" t="str">
        <f>IF(NOTA[[#This Row],[CONCAT1]]="","",MATCH(NOTA[[#This Row],[CONCAT1]],[3]!db[NB NOTA_C],0)+1)</f>
        <v/>
      </c>
    </row>
    <row r="792" spans="1:43" ht="20.100000000000001" customHeight="1" x14ac:dyDescent="0.25">
      <c r="A792" s="187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DBS_2705_923-14</v>
      </c>
      <c r="C792" s="188" t="e">
        <f ca="1">IF(NOTA[[#This Row],[ID_P]]="","",MATCH(NOTA[[#This Row],[ID_P]],[1]!B_MSK[N_ID],0))</f>
        <v>#REF!</v>
      </c>
      <c r="D792" s="188">
        <f ca="1">IF(NOTA[[#This Row],[NAMA BARANG]]="","",INDEX(NOTA[ID],MATCH(,INDIRECT(ADDRESS(ROW(NOTA[ID]),COLUMN(NOTA[ID]))&amp;":"&amp;ADDRESS(ROW(),COLUMN(NOTA[ID]))),-1)))</f>
        <v>138</v>
      </c>
      <c r="E792" s="189"/>
      <c r="F792" s="190" t="s">
        <v>168</v>
      </c>
      <c r="G792" s="190" t="s">
        <v>112</v>
      </c>
      <c r="H792" s="191" t="s">
        <v>971</v>
      </c>
      <c r="I792" s="190"/>
      <c r="J792" s="192">
        <v>45069</v>
      </c>
      <c r="K792" s="190"/>
      <c r="L792" s="190" t="s">
        <v>972</v>
      </c>
      <c r="M792" s="193">
        <v>2</v>
      </c>
      <c r="N792" s="188">
        <v>144</v>
      </c>
      <c r="O792" s="190" t="s">
        <v>160</v>
      </c>
      <c r="P792" s="187">
        <v>25000</v>
      </c>
      <c r="Q792" s="194"/>
      <c r="R792" s="195" t="s">
        <v>549</v>
      </c>
      <c r="S792" s="196"/>
      <c r="T792" s="197"/>
      <c r="U792" s="198"/>
      <c r="V792" s="199"/>
      <c r="W792" s="198">
        <f>IF(NOTA[[#This Row],[HARGA/ CTN]]="",NOTA[[#This Row],[JUMLAH_H]],NOTA[[#This Row],[HARGA/ CTN]]*IF(NOTA[[#This Row],[C]]="",0,NOTA[[#This Row],[C]]))</f>
        <v>3600000</v>
      </c>
      <c r="X792" s="198">
        <f>IF(NOTA[[#This Row],[JUMLAH]]="","",NOTA[[#This Row],[JUMLAH]]*NOTA[[#This Row],[DISC 1]])</f>
        <v>0</v>
      </c>
      <c r="Y792" s="198">
        <f>IF(NOTA[[#This Row],[JUMLAH]]="","",(NOTA[[#This Row],[JUMLAH]]-NOTA[[#This Row],[DISC 1-]])*NOTA[[#This Row],[DISC 2]])</f>
        <v>0</v>
      </c>
      <c r="Z792" s="198">
        <f>IF(NOTA[[#This Row],[JUMLAH]]="","",NOTA[[#This Row],[DISC 1-]]+NOTA[[#This Row],[DISC 2-]])</f>
        <v>0</v>
      </c>
      <c r="AA792" s="198">
        <f>IF(NOTA[[#This Row],[JUMLAH]]="","",NOTA[[#This Row],[JUMLAH]]-NOTA[[#This Row],[DISC]])</f>
        <v>3600000</v>
      </c>
      <c r="AB792" s="198"/>
      <c r="AC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792" s="200">
        <f>IF(OR(NOTA[[#This Row],[QTY]]="",NOTA[[#This Row],[HARGA SATUAN]]="",),"",NOTA[[#This Row],[QTY]]*NOTA[[#This Row],[HARGA SATUAN]])</f>
        <v>3600000</v>
      </c>
      <c r="AG792" s="192">
        <f ca="1">IF(NOTA[ID_H]="","",INDEX(NOTA[TANGGAL],MATCH(,INDIRECT(ADDRESS(ROW(NOTA[TANGGAL]),COLUMN(NOTA[TANGGAL]))&amp;":"&amp;ADDRESS(ROW(),COLUMN(NOTA[TANGGAL]))),-1)))</f>
        <v>45073</v>
      </c>
      <c r="AH792" s="187" t="str">
        <f ca="1">IF(NOTA[[#This Row],[NAMA BARANG]]="","",INDEX(NOTA[SUPPLIER],MATCH(,INDIRECT(ADDRESS(ROW(NOTA[ID]),COLUMN(NOTA[ID]))&amp;":"&amp;ADDRESS(ROW(),COLUMN(NOTA[ID]))),-1)))</f>
        <v>DB STATIONERY</v>
      </c>
      <c r="AI792" s="187" t="str">
        <f ca="1">IF(NOTA[[#This Row],[ID_H]]="","",IF(NOTA[[#This Row],[FAKTUR]]="",INDIRECT(ADDRESS(ROW()-1,COLUMN())),NOTA[[#This Row],[FAKTUR]]))</f>
        <v>UNTANA</v>
      </c>
      <c r="AJ792" s="188">
        <f ca="1">IF(NOTA[[#This Row],[ID]]="","",COUNTIF(NOTA[ID_H],NOTA[[#This Row],[ID_H]]))</f>
        <v>14</v>
      </c>
      <c r="AK792" s="188">
        <f>IF(NOTA[[#This Row],[TGL.NOTA]]="",IF(NOTA[[#This Row],[SUPPLIER_H]]="","",AK791),MONTH(NOTA[[#This Row],[TGL.NOTA]]))</f>
        <v>5</v>
      </c>
      <c r="AL792" s="188" t="str">
        <f>LOWER(SUBSTITUTE(SUBSTITUTE(SUBSTITUTE(SUBSTITUTE(SUBSTITUTE(SUBSTITUTE(SUBSTITUTE(SUBSTITUTE(SUBSTITUTE(NOTA[NAMA BARANG]," ",),".",""),"-",""),"(",""),")",""),",",""),"/",""),"""",""),"+",""))</f>
        <v>mekpensil24pcsg09306</v>
      </c>
      <c r="AM79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mekpensil24pcsg093061800000</v>
      </c>
      <c r="AN79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mekpensil24pcsg093061800000</v>
      </c>
      <c r="AO792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STATIONERYUNTANAJUE529/2345069mekpensil24pcsg09306</v>
      </c>
      <c r="AP792" s="188" t="e">
        <f>IF(NOTA[[#This Row],[CONCAT4]]="","",_xlfn.IFNA(MATCH(NOTA[[#This Row],[CONCAT4]],[2]!RAW[CONCAT_H],0),FALSE))</f>
        <v>#REF!</v>
      </c>
      <c r="AQ792" s="188">
        <f>IF(NOTA[[#This Row],[CONCAT1]]="","",MATCH(NOTA[[#This Row],[CONCAT1]],[3]!db[NB NOTA_C],0)+1)</f>
        <v>1640</v>
      </c>
    </row>
    <row r="793" spans="1:43" ht="20.100000000000001" customHeight="1" x14ac:dyDescent="0.25">
      <c r="A79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188" t="str">
        <f>IF(NOTA[[#This Row],[ID_P]]="","",MATCH(NOTA[[#This Row],[ID_P]],[1]!B_MSK[N_ID],0))</f>
        <v/>
      </c>
      <c r="D793" s="188">
        <f ca="1">IF(NOTA[[#This Row],[NAMA BARANG]]="","",INDEX(NOTA[ID],MATCH(,INDIRECT(ADDRESS(ROW(NOTA[ID]),COLUMN(NOTA[ID]))&amp;":"&amp;ADDRESS(ROW(),COLUMN(NOTA[ID]))),-1)))</f>
        <v>138</v>
      </c>
      <c r="E793" s="189"/>
      <c r="F793" s="190"/>
      <c r="G793" s="190"/>
      <c r="H793" s="191"/>
      <c r="I793" s="190"/>
      <c r="J793" s="192"/>
      <c r="K793" s="190"/>
      <c r="L793" s="190" t="s">
        <v>974</v>
      </c>
      <c r="M793" s="193">
        <v>2</v>
      </c>
      <c r="N793" s="188">
        <v>144</v>
      </c>
      <c r="O793" s="190" t="s">
        <v>160</v>
      </c>
      <c r="P793" s="187">
        <v>25000</v>
      </c>
      <c r="Q793" s="194"/>
      <c r="R793" s="195" t="s">
        <v>549</v>
      </c>
      <c r="S793" s="196"/>
      <c r="T793" s="197"/>
      <c r="U793" s="198"/>
      <c r="V793" s="199"/>
      <c r="W793" s="198">
        <f>IF(NOTA[[#This Row],[HARGA/ CTN]]="",NOTA[[#This Row],[JUMLAH_H]],NOTA[[#This Row],[HARGA/ CTN]]*IF(NOTA[[#This Row],[C]]="",0,NOTA[[#This Row],[C]]))</f>
        <v>3600000</v>
      </c>
      <c r="X793" s="198">
        <f>IF(NOTA[[#This Row],[JUMLAH]]="","",NOTA[[#This Row],[JUMLAH]]*NOTA[[#This Row],[DISC 1]])</f>
        <v>0</v>
      </c>
      <c r="Y793" s="198">
        <f>IF(NOTA[[#This Row],[JUMLAH]]="","",(NOTA[[#This Row],[JUMLAH]]-NOTA[[#This Row],[DISC 1-]])*NOTA[[#This Row],[DISC 2]])</f>
        <v>0</v>
      </c>
      <c r="Z793" s="198">
        <f>IF(NOTA[[#This Row],[JUMLAH]]="","",NOTA[[#This Row],[DISC 1-]]+NOTA[[#This Row],[DISC 2-]])</f>
        <v>0</v>
      </c>
      <c r="AA793" s="198">
        <f>IF(NOTA[[#This Row],[JUMLAH]]="","",NOTA[[#This Row],[JUMLAH]]-NOTA[[#This Row],[DISC]])</f>
        <v>3600000</v>
      </c>
      <c r="AB793" s="198"/>
      <c r="AC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793" s="200">
        <f>IF(OR(NOTA[[#This Row],[QTY]]="",NOTA[[#This Row],[HARGA SATUAN]]="",),"",NOTA[[#This Row],[QTY]]*NOTA[[#This Row],[HARGA SATUAN]])</f>
        <v>3600000</v>
      </c>
      <c r="AG793" s="192">
        <f ca="1">IF(NOTA[ID_H]="","",INDEX(NOTA[TANGGAL],MATCH(,INDIRECT(ADDRESS(ROW(NOTA[TANGGAL]),COLUMN(NOTA[TANGGAL]))&amp;":"&amp;ADDRESS(ROW(),COLUMN(NOTA[TANGGAL]))),-1)))</f>
        <v>45073</v>
      </c>
      <c r="AH793" s="187" t="str">
        <f ca="1">IF(NOTA[[#This Row],[NAMA BARANG]]="","",INDEX(NOTA[SUPPLIER],MATCH(,INDIRECT(ADDRESS(ROW(NOTA[ID]),COLUMN(NOTA[ID]))&amp;":"&amp;ADDRESS(ROW(),COLUMN(NOTA[ID]))),-1)))</f>
        <v>DB STATIONERY</v>
      </c>
      <c r="AI793" s="187" t="str">
        <f ca="1">IF(NOTA[[#This Row],[ID_H]]="","",IF(NOTA[[#This Row],[FAKTUR]]="",INDIRECT(ADDRESS(ROW()-1,COLUMN())),NOTA[[#This Row],[FAKTUR]]))</f>
        <v>UNTANA</v>
      </c>
      <c r="AJ793" s="188" t="str">
        <f ca="1">IF(NOTA[[#This Row],[ID]]="","",COUNTIF(NOTA[ID_H],NOTA[[#This Row],[ID_H]]))</f>
        <v/>
      </c>
      <c r="AK793" s="188">
        <f ca="1">IF(NOTA[[#This Row],[TGL.NOTA]]="",IF(NOTA[[#This Row],[SUPPLIER_H]]="","",AK792),MONTH(NOTA[[#This Row],[TGL.NOTA]]))</f>
        <v>5</v>
      </c>
      <c r="AL793" s="188" t="str">
        <f>LOWER(SUBSTITUTE(SUBSTITUTE(SUBSTITUTE(SUBSTITUTE(SUBSTITUTE(SUBSTITUTE(SUBSTITUTE(SUBSTITUTE(SUBSTITUTE(NOTA[NAMA BARANG]," ",),".",""),"-",""),"(",""),")",""),",",""),"/",""),"""",""),"+",""))</f>
        <v>mekpensil24pcsg09307</v>
      </c>
      <c r="AM79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mekpensil24pcsg093071800000</v>
      </c>
      <c r="AN79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mekpensil24pcsg093071800000</v>
      </c>
      <c r="AO79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188" t="str">
        <f>IF(NOTA[[#This Row],[CONCAT4]]="","",_xlfn.IFNA(MATCH(NOTA[[#This Row],[CONCAT4]],[2]!RAW[CONCAT_H],0),FALSE))</f>
        <v/>
      </c>
      <c r="AQ793" s="188">
        <f>IF(NOTA[[#This Row],[CONCAT1]]="","",MATCH(NOTA[[#This Row],[CONCAT1]],[3]!db[NB NOTA_C],0)+1)</f>
        <v>1652</v>
      </c>
    </row>
    <row r="794" spans="1:43" ht="20.100000000000001" customHeight="1" x14ac:dyDescent="0.25">
      <c r="A79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188" t="str">
        <f>IF(NOTA[[#This Row],[ID_P]]="","",MATCH(NOTA[[#This Row],[ID_P]],[1]!B_MSK[N_ID],0))</f>
        <v/>
      </c>
      <c r="D794" s="188">
        <f ca="1">IF(NOTA[[#This Row],[NAMA BARANG]]="","",INDEX(NOTA[ID],MATCH(,INDIRECT(ADDRESS(ROW(NOTA[ID]),COLUMN(NOTA[ID]))&amp;":"&amp;ADDRESS(ROW(),COLUMN(NOTA[ID]))),-1)))</f>
        <v>138</v>
      </c>
      <c r="E794" s="189"/>
      <c r="F794" s="190"/>
      <c r="G794" s="190"/>
      <c r="H794" s="191"/>
      <c r="I794" s="190"/>
      <c r="J794" s="192"/>
      <c r="K794" s="190"/>
      <c r="L794" s="190" t="s">
        <v>973</v>
      </c>
      <c r="M794" s="193">
        <v>2</v>
      </c>
      <c r="N794" s="188">
        <v>144</v>
      </c>
      <c r="O794" s="190" t="s">
        <v>160</v>
      </c>
      <c r="P794" s="187">
        <v>25000</v>
      </c>
      <c r="Q794" s="194"/>
      <c r="R794" s="195" t="s">
        <v>549</v>
      </c>
      <c r="S794" s="196"/>
      <c r="T794" s="197"/>
      <c r="U794" s="198"/>
      <c r="V794" s="199"/>
      <c r="W794" s="198">
        <f>IF(NOTA[[#This Row],[HARGA/ CTN]]="",NOTA[[#This Row],[JUMLAH_H]],NOTA[[#This Row],[HARGA/ CTN]]*IF(NOTA[[#This Row],[C]]="",0,NOTA[[#This Row],[C]]))</f>
        <v>3600000</v>
      </c>
      <c r="X794" s="198">
        <f>IF(NOTA[[#This Row],[JUMLAH]]="","",NOTA[[#This Row],[JUMLAH]]*NOTA[[#This Row],[DISC 1]])</f>
        <v>0</v>
      </c>
      <c r="Y794" s="198">
        <f>IF(NOTA[[#This Row],[JUMLAH]]="","",(NOTA[[#This Row],[JUMLAH]]-NOTA[[#This Row],[DISC 1-]])*NOTA[[#This Row],[DISC 2]])</f>
        <v>0</v>
      </c>
      <c r="Z794" s="198">
        <f>IF(NOTA[[#This Row],[JUMLAH]]="","",NOTA[[#This Row],[DISC 1-]]+NOTA[[#This Row],[DISC 2-]])</f>
        <v>0</v>
      </c>
      <c r="AA794" s="198">
        <f>IF(NOTA[[#This Row],[JUMLAH]]="","",NOTA[[#This Row],[JUMLAH]]-NOTA[[#This Row],[DISC]])</f>
        <v>3600000</v>
      </c>
      <c r="AB794" s="198"/>
      <c r="AC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794" s="200">
        <f>IF(OR(NOTA[[#This Row],[QTY]]="",NOTA[[#This Row],[HARGA SATUAN]]="",),"",NOTA[[#This Row],[QTY]]*NOTA[[#This Row],[HARGA SATUAN]])</f>
        <v>3600000</v>
      </c>
      <c r="AG794" s="192">
        <f ca="1">IF(NOTA[ID_H]="","",INDEX(NOTA[TANGGAL],MATCH(,INDIRECT(ADDRESS(ROW(NOTA[TANGGAL]),COLUMN(NOTA[TANGGAL]))&amp;":"&amp;ADDRESS(ROW(),COLUMN(NOTA[TANGGAL]))),-1)))</f>
        <v>45073</v>
      </c>
      <c r="AH794" s="187" t="str">
        <f ca="1">IF(NOTA[[#This Row],[NAMA BARANG]]="","",INDEX(NOTA[SUPPLIER],MATCH(,INDIRECT(ADDRESS(ROW(NOTA[ID]),COLUMN(NOTA[ID]))&amp;":"&amp;ADDRESS(ROW(),COLUMN(NOTA[ID]))),-1)))</f>
        <v>DB STATIONERY</v>
      </c>
      <c r="AI794" s="187" t="str">
        <f ca="1">IF(NOTA[[#This Row],[ID_H]]="","",IF(NOTA[[#This Row],[FAKTUR]]="",INDIRECT(ADDRESS(ROW()-1,COLUMN())),NOTA[[#This Row],[FAKTUR]]))</f>
        <v>UNTANA</v>
      </c>
      <c r="AJ794" s="188" t="str">
        <f ca="1">IF(NOTA[[#This Row],[ID]]="","",COUNTIF(NOTA[ID_H],NOTA[[#This Row],[ID_H]]))</f>
        <v/>
      </c>
      <c r="AK794" s="188">
        <f ca="1">IF(NOTA[[#This Row],[TGL.NOTA]]="",IF(NOTA[[#This Row],[SUPPLIER_H]]="","",AK793),MONTH(NOTA[[#This Row],[TGL.NOTA]]))</f>
        <v>5</v>
      </c>
      <c r="AL794" s="188" t="str">
        <f>LOWER(SUBSTITUTE(SUBSTITUTE(SUBSTITUTE(SUBSTITUTE(SUBSTITUTE(SUBSTITUTE(SUBSTITUTE(SUBSTITUTE(SUBSTITUTE(NOTA[NAMA BARANG]," ",),".",""),"-",""),"(",""),")",""),",",""),"/",""),"""",""),"+",""))</f>
        <v>mekpensil24pcsg09309</v>
      </c>
      <c r="AM79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mekpensil24pcsg093091800000</v>
      </c>
      <c r="AN79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mekpensil24pcsg093091800000</v>
      </c>
      <c r="AO79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188" t="str">
        <f>IF(NOTA[[#This Row],[CONCAT4]]="","",_xlfn.IFNA(MATCH(NOTA[[#This Row],[CONCAT4]],[2]!RAW[CONCAT_H],0),FALSE))</f>
        <v/>
      </c>
      <c r="AQ794" s="188">
        <f>IF(NOTA[[#This Row],[CONCAT1]]="","",MATCH(NOTA[[#This Row],[CONCAT1]],[3]!db[NB NOTA_C],0)+1)</f>
        <v>1641</v>
      </c>
    </row>
    <row r="795" spans="1:43" ht="20.100000000000001" customHeight="1" x14ac:dyDescent="0.25">
      <c r="A79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188" t="str">
        <f>IF(NOTA[[#This Row],[ID_P]]="","",MATCH(NOTA[[#This Row],[ID_P]],[1]!B_MSK[N_ID],0))</f>
        <v/>
      </c>
      <c r="D795" s="188">
        <f ca="1">IF(NOTA[[#This Row],[NAMA BARANG]]="","",INDEX(NOTA[ID],MATCH(,INDIRECT(ADDRESS(ROW(NOTA[ID]),COLUMN(NOTA[ID]))&amp;":"&amp;ADDRESS(ROW(),COLUMN(NOTA[ID]))),-1)))</f>
        <v>138</v>
      </c>
      <c r="E795" s="189"/>
      <c r="F795" s="190"/>
      <c r="G795" s="190"/>
      <c r="H795" s="191"/>
      <c r="I795" s="190"/>
      <c r="J795" s="192"/>
      <c r="K795" s="190"/>
      <c r="L795" s="190" t="s">
        <v>975</v>
      </c>
      <c r="M795" s="193">
        <v>3</v>
      </c>
      <c r="N795" s="188">
        <v>360</v>
      </c>
      <c r="O795" s="190" t="s">
        <v>125</v>
      </c>
      <c r="P795" s="187">
        <v>25500</v>
      </c>
      <c r="Q795" s="194"/>
      <c r="R795" s="195" t="s">
        <v>173</v>
      </c>
      <c r="S795" s="196"/>
      <c r="T795" s="197"/>
      <c r="U795" s="198"/>
      <c r="V795" s="199"/>
      <c r="W795" s="198">
        <f>IF(NOTA[[#This Row],[HARGA/ CTN]]="",NOTA[[#This Row],[JUMLAH_H]],NOTA[[#This Row],[HARGA/ CTN]]*IF(NOTA[[#This Row],[C]]="",0,NOTA[[#This Row],[C]]))</f>
        <v>9180000</v>
      </c>
      <c r="X795" s="198">
        <f>IF(NOTA[[#This Row],[JUMLAH]]="","",NOTA[[#This Row],[JUMLAH]]*NOTA[[#This Row],[DISC 1]])</f>
        <v>0</v>
      </c>
      <c r="Y795" s="198">
        <f>IF(NOTA[[#This Row],[JUMLAH]]="","",(NOTA[[#This Row],[JUMLAH]]-NOTA[[#This Row],[DISC 1-]])*NOTA[[#This Row],[DISC 2]])</f>
        <v>0</v>
      </c>
      <c r="Z795" s="198">
        <f>IF(NOTA[[#This Row],[JUMLAH]]="","",NOTA[[#This Row],[DISC 1-]]+NOTA[[#This Row],[DISC 2-]])</f>
        <v>0</v>
      </c>
      <c r="AA795" s="198">
        <f>IF(NOTA[[#This Row],[JUMLAH]]="","",NOTA[[#This Row],[JUMLAH]]-NOTA[[#This Row],[DISC]])</f>
        <v>9180000</v>
      </c>
      <c r="AB795" s="198"/>
      <c r="AC7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795" s="200">
        <f>IF(OR(NOTA[[#This Row],[QTY]]="",NOTA[[#This Row],[HARGA SATUAN]]="",),"",NOTA[[#This Row],[QTY]]*NOTA[[#This Row],[HARGA SATUAN]])</f>
        <v>9180000</v>
      </c>
      <c r="AG795" s="192">
        <f ca="1">IF(NOTA[ID_H]="","",INDEX(NOTA[TANGGAL],MATCH(,INDIRECT(ADDRESS(ROW(NOTA[TANGGAL]),COLUMN(NOTA[TANGGAL]))&amp;":"&amp;ADDRESS(ROW(),COLUMN(NOTA[TANGGAL]))),-1)))</f>
        <v>45073</v>
      </c>
      <c r="AH795" s="187" t="str">
        <f ca="1">IF(NOTA[[#This Row],[NAMA BARANG]]="","",INDEX(NOTA[SUPPLIER],MATCH(,INDIRECT(ADDRESS(ROW(NOTA[ID]),COLUMN(NOTA[ID]))&amp;":"&amp;ADDRESS(ROW(),COLUMN(NOTA[ID]))),-1)))</f>
        <v>DB STATIONERY</v>
      </c>
      <c r="AI795" s="187" t="str">
        <f ca="1">IF(NOTA[[#This Row],[ID_H]]="","",IF(NOTA[[#This Row],[FAKTUR]]="",INDIRECT(ADDRESS(ROW()-1,COLUMN())),NOTA[[#This Row],[FAKTUR]]))</f>
        <v>UNTANA</v>
      </c>
      <c r="AJ795" s="188" t="str">
        <f ca="1">IF(NOTA[[#This Row],[ID]]="","",COUNTIF(NOTA[ID_H],NOTA[[#This Row],[ID_H]]))</f>
        <v/>
      </c>
      <c r="AK795" s="188">
        <f ca="1">IF(NOTA[[#This Row],[TGL.NOTA]]="",IF(NOTA[[#This Row],[SUPPLIER_H]]="","",AK794),MONTH(NOTA[[#This Row],[TGL.NOTA]]))</f>
        <v>5</v>
      </c>
      <c r="AL795" s="188" t="str">
        <f>LOWER(SUBSTITUTE(SUBSTITUTE(SUBSTITUTE(SUBSTITUTE(SUBSTITUTE(SUBSTITUTE(SUBSTITUTE(SUBSTITUTE(SUBSTITUTE(NOTA[NAMA BARANG]," ",),".",""),"-",""),"(",""),")",""),",",""),"/",""),"""",""),"+",""))</f>
        <v>geldebozz07dbg07</v>
      </c>
      <c r="AM79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N79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O79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188" t="str">
        <f>IF(NOTA[[#This Row],[CONCAT4]]="","",_xlfn.IFNA(MATCH(NOTA[[#This Row],[CONCAT4]],[2]!RAW[CONCAT_H],0),FALSE))</f>
        <v/>
      </c>
      <c r="AQ795" s="188">
        <f>IF(NOTA[[#This Row],[CONCAT1]]="","",MATCH(NOTA[[#This Row],[CONCAT1]],[3]!db[NB NOTA_C],0)+1)</f>
        <v>789</v>
      </c>
    </row>
    <row r="796" spans="1:43" ht="20.100000000000001" customHeight="1" x14ac:dyDescent="0.25">
      <c r="A79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188" t="str">
        <f>IF(NOTA[[#This Row],[ID_P]]="","",MATCH(NOTA[[#This Row],[ID_P]],[1]!B_MSK[N_ID],0))</f>
        <v/>
      </c>
      <c r="D796" s="188">
        <f ca="1">IF(NOTA[[#This Row],[NAMA BARANG]]="","",INDEX(NOTA[ID],MATCH(,INDIRECT(ADDRESS(ROW(NOTA[ID]),COLUMN(NOTA[ID]))&amp;":"&amp;ADDRESS(ROW(),COLUMN(NOTA[ID]))),-1)))</f>
        <v>138</v>
      </c>
      <c r="E796" s="189"/>
      <c r="F796" s="190"/>
      <c r="G796" s="190"/>
      <c r="H796" s="191"/>
      <c r="I796" s="190"/>
      <c r="J796" s="192"/>
      <c r="K796" s="190"/>
      <c r="L796" s="190" t="s">
        <v>976</v>
      </c>
      <c r="M796" s="193">
        <v>2</v>
      </c>
      <c r="N796" s="188">
        <v>288</v>
      </c>
      <c r="O796" s="190" t="s">
        <v>125</v>
      </c>
      <c r="P796" s="187">
        <v>25500</v>
      </c>
      <c r="Q796" s="194"/>
      <c r="R796" s="195" t="s">
        <v>171</v>
      </c>
      <c r="S796" s="196"/>
      <c r="T796" s="197"/>
      <c r="U796" s="198"/>
      <c r="V796" s="199"/>
      <c r="W796" s="198">
        <f>IF(NOTA[[#This Row],[HARGA/ CTN]]="",NOTA[[#This Row],[JUMLAH_H]],NOTA[[#This Row],[HARGA/ CTN]]*IF(NOTA[[#This Row],[C]]="",0,NOTA[[#This Row],[C]]))</f>
        <v>7344000</v>
      </c>
      <c r="X796" s="198">
        <f>IF(NOTA[[#This Row],[JUMLAH]]="","",NOTA[[#This Row],[JUMLAH]]*NOTA[[#This Row],[DISC 1]])</f>
        <v>0</v>
      </c>
      <c r="Y796" s="198">
        <f>IF(NOTA[[#This Row],[JUMLAH]]="","",(NOTA[[#This Row],[JUMLAH]]-NOTA[[#This Row],[DISC 1-]])*NOTA[[#This Row],[DISC 2]])</f>
        <v>0</v>
      </c>
      <c r="Z796" s="198">
        <f>IF(NOTA[[#This Row],[JUMLAH]]="","",NOTA[[#This Row],[DISC 1-]]+NOTA[[#This Row],[DISC 2-]])</f>
        <v>0</v>
      </c>
      <c r="AA796" s="198">
        <f>IF(NOTA[[#This Row],[JUMLAH]]="","",NOTA[[#This Row],[JUMLAH]]-NOTA[[#This Row],[DISC]])</f>
        <v>7344000</v>
      </c>
      <c r="AB796" s="198"/>
      <c r="AC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796" s="200">
        <f>IF(OR(NOTA[[#This Row],[QTY]]="",NOTA[[#This Row],[HARGA SATUAN]]="",),"",NOTA[[#This Row],[QTY]]*NOTA[[#This Row],[HARGA SATUAN]])</f>
        <v>7344000</v>
      </c>
      <c r="AG796" s="192">
        <f ca="1">IF(NOTA[ID_H]="","",INDEX(NOTA[TANGGAL],MATCH(,INDIRECT(ADDRESS(ROW(NOTA[TANGGAL]),COLUMN(NOTA[TANGGAL]))&amp;":"&amp;ADDRESS(ROW(),COLUMN(NOTA[TANGGAL]))),-1)))</f>
        <v>45073</v>
      </c>
      <c r="AH796" s="187" t="str">
        <f ca="1">IF(NOTA[[#This Row],[NAMA BARANG]]="","",INDEX(NOTA[SUPPLIER],MATCH(,INDIRECT(ADDRESS(ROW(NOTA[ID]),COLUMN(NOTA[ID]))&amp;":"&amp;ADDRESS(ROW(),COLUMN(NOTA[ID]))),-1)))</f>
        <v>DB STATIONERY</v>
      </c>
      <c r="AI796" s="187" t="str">
        <f ca="1">IF(NOTA[[#This Row],[ID_H]]="","",IF(NOTA[[#This Row],[FAKTUR]]="",INDIRECT(ADDRESS(ROW()-1,COLUMN())),NOTA[[#This Row],[FAKTUR]]))</f>
        <v>UNTANA</v>
      </c>
      <c r="AJ796" s="188" t="str">
        <f ca="1">IF(NOTA[[#This Row],[ID]]="","",COUNTIF(NOTA[ID_H],NOTA[[#This Row],[ID_H]]))</f>
        <v/>
      </c>
      <c r="AK796" s="188">
        <f ca="1">IF(NOTA[[#This Row],[TGL.NOTA]]="",IF(NOTA[[#This Row],[SUPPLIER_H]]="","",AK795),MONTH(NOTA[[#This Row],[TGL.NOTA]]))</f>
        <v>5</v>
      </c>
      <c r="AL796" s="188" t="str">
        <f>LOWER(SUBSTITUTE(SUBSTITUTE(SUBSTITUTE(SUBSTITUTE(SUBSTITUTE(SUBSTITUTE(SUBSTITUTE(SUBSTITUTE(SUBSTITUTE(NOTA[NAMA BARANG]," ",),".",""),"-",""),"(",""),")",""),",",""),"/",""),"""",""),"+",""))</f>
        <v>geltechjobtg346b</v>
      </c>
      <c r="AM79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geltechjobtg346b3672000</v>
      </c>
      <c r="AN79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geltechjobtg346b3672000</v>
      </c>
      <c r="AO79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188" t="str">
        <f>IF(NOTA[[#This Row],[CONCAT4]]="","",_xlfn.IFNA(MATCH(NOTA[[#This Row],[CONCAT4]],[2]!RAW[CONCAT_H],0),FALSE))</f>
        <v/>
      </c>
      <c r="AQ796" s="188">
        <f>IF(NOTA[[#This Row],[CONCAT1]]="","",MATCH(NOTA[[#This Row],[CONCAT1]],[3]!db[NB NOTA_C],0)+1)</f>
        <v>841</v>
      </c>
    </row>
    <row r="797" spans="1:43" ht="20.100000000000001" customHeight="1" x14ac:dyDescent="0.25">
      <c r="A79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188" t="str">
        <f>IF(NOTA[[#This Row],[ID_P]]="","",MATCH(NOTA[[#This Row],[ID_P]],[1]!B_MSK[N_ID],0))</f>
        <v/>
      </c>
      <c r="D797" s="188">
        <f ca="1">IF(NOTA[[#This Row],[NAMA BARANG]]="","",INDEX(NOTA[ID],MATCH(,INDIRECT(ADDRESS(ROW(NOTA[ID]),COLUMN(NOTA[ID]))&amp;":"&amp;ADDRESS(ROW(),COLUMN(NOTA[ID]))),-1)))</f>
        <v>138</v>
      </c>
      <c r="E797" s="189"/>
      <c r="F797" s="190"/>
      <c r="G797" s="190"/>
      <c r="H797" s="191"/>
      <c r="I797" s="190"/>
      <c r="J797" s="192"/>
      <c r="K797" s="190"/>
      <c r="L797" s="190" t="s">
        <v>977</v>
      </c>
      <c r="M797" s="193">
        <v>2</v>
      </c>
      <c r="N797" s="188">
        <v>288</v>
      </c>
      <c r="O797" s="190" t="s">
        <v>125</v>
      </c>
      <c r="P797" s="187">
        <v>25500</v>
      </c>
      <c r="Q797" s="194"/>
      <c r="R797" s="195" t="s">
        <v>171</v>
      </c>
      <c r="S797" s="196"/>
      <c r="T797" s="197"/>
      <c r="U797" s="198"/>
      <c r="V797" s="199"/>
      <c r="W797" s="198">
        <f>IF(NOTA[[#This Row],[HARGA/ CTN]]="",NOTA[[#This Row],[JUMLAH_H]],NOTA[[#This Row],[HARGA/ CTN]]*IF(NOTA[[#This Row],[C]]="",0,NOTA[[#This Row],[C]]))</f>
        <v>7344000</v>
      </c>
      <c r="X797" s="198">
        <f>IF(NOTA[[#This Row],[JUMLAH]]="","",NOTA[[#This Row],[JUMLAH]]*NOTA[[#This Row],[DISC 1]])</f>
        <v>0</v>
      </c>
      <c r="Y797" s="198">
        <f>IF(NOTA[[#This Row],[JUMLAH]]="","",(NOTA[[#This Row],[JUMLAH]]-NOTA[[#This Row],[DISC 1-]])*NOTA[[#This Row],[DISC 2]])</f>
        <v>0</v>
      </c>
      <c r="Z797" s="198">
        <f>IF(NOTA[[#This Row],[JUMLAH]]="","",NOTA[[#This Row],[DISC 1-]]+NOTA[[#This Row],[DISC 2-]])</f>
        <v>0</v>
      </c>
      <c r="AA797" s="198">
        <f>IF(NOTA[[#This Row],[JUMLAH]]="","",NOTA[[#This Row],[JUMLAH]]-NOTA[[#This Row],[DISC]])</f>
        <v>7344000</v>
      </c>
      <c r="AB797" s="198"/>
      <c r="AC7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797" s="200">
        <f>IF(OR(NOTA[[#This Row],[QTY]]="",NOTA[[#This Row],[HARGA SATUAN]]="",),"",NOTA[[#This Row],[QTY]]*NOTA[[#This Row],[HARGA SATUAN]])</f>
        <v>7344000</v>
      </c>
      <c r="AG797" s="192">
        <f ca="1">IF(NOTA[ID_H]="","",INDEX(NOTA[TANGGAL],MATCH(,INDIRECT(ADDRESS(ROW(NOTA[TANGGAL]),COLUMN(NOTA[TANGGAL]))&amp;":"&amp;ADDRESS(ROW(),COLUMN(NOTA[TANGGAL]))),-1)))</f>
        <v>45073</v>
      </c>
      <c r="AH797" s="187" t="str">
        <f ca="1">IF(NOTA[[#This Row],[NAMA BARANG]]="","",INDEX(NOTA[SUPPLIER],MATCH(,INDIRECT(ADDRESS(ROW(NOTA[ID]),COLUMN(NOTA[ID]))&amp;":"&amp;ADDRESS(ROW(),COLUMN(NOTA[ID]))),-1)))</f>
        <v>DB STATIONERY</v>
      </c>
      <c r="AI797" s="187" t="str">
        <f ca="1">IF(NOTA[[#This Row],[ID_H]]="","",IF(NOTA[[#This Row],[FAKTUR]]="",INDIRECT(ADDRESS(ROW()-1,COLUMN())),NOTA[[#This Row],[FAKTUR]]))</f>
        <v>UNTANA</v>
      </c>
      <c r="AJ797" s="188" t="str">
        <f ca="1">IF(NOTA[[#This Row],[ID]]="","",COUNTIF(NOTA[ID_H],NOTA[[#This Row],[ID_H]]))</f>
        <v/>
      </c>
      <c r="AK797" s="188">
        <f ca="1">IF(NOTA[[#This Row],[TGL.NOTA]]="",IF(NOTA[[#This Row],[SUPPLIER_H]]="","",AK796),MONTH(NOTA[[#This Row],[TGL.NOTA]]))</f>
        <v>5</v>
      </c>
      <c r="AL797" s="188" t="str">
        <f>LOWER(SUBSTITUTE(SUBSTITUTE(SUBSTITUTE(SUBSTITUTE(SUBSTITUTE(SUBSTITUTE(SUBSTITUTE(SUBSTITUTE(SUBSTITUTE(NOTA[NAMA BARANG]," ",),".",""),"-",""),"(",""),")",""),",",""),"/",""),"""",""),"+",""))</f>
        <v>geltechjob346ctg346c</v>
      </c>
      <c r="AM79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geltechjob346ctg346c3672000</v>
      </c>
      <c r="AN79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geltechjob346ctg346c3672000</v>
      </c>
      <c r="AO79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188" t="str">
        <f>IF(NOTA[[#This Row],[CONCAT4]]="","",_xlfn.IFNA(MATCH(NOTA[[#This Row],[CONCAT4]],[2]!RAW[CONCAT_H],0),FALSE))</f>
        <v/>
      </c>
      <c r="AQ797" s="188" t="e">
        <f>IF(NOTA[[#This Row],[CONCAT1]]="","",MATCH(NOTA[[#This Row],[CONCAT1]],[3]!db[NB NOTA_C],0)+1)</f>
        <v>#N/A</v>
      </c>
    </row>
    <row r="798" spans="1:43" ht="20.100000000000001" customHeight="1" x14ac:dyDescent="0.25">
      <c r="A79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188" t="str">
        <f>IF(NOTA[[#This Row],[ID_P]]="","",MATCH(NOTA[[#This Row],[ID_P]],[1]!B_MSK[N_ID],0))</f>
        <v/>
      </c>
      <c r="D798" s="188">
        <f ca="1">IF(NOTA[[#This Row],[NAMA BARANG]]="","",INDEX(NOTA[ID],MATCH(,INDIRECT(ADDRESS(ROW(NOTA[ID]),COLUMN(NOTA[ID]))&amp;":"&amp;ADDRESS(ROW(),COLUMN(NOTA[ID]))),-1)))</f>
        <v>138</v>
      </c>
      <c r="E798" s="189"/>
      <c r="F798" s="190"/>
      <c r="G798" s="190"/>
      <c r="H798" s="191"/>
      <c r="I798" s="190"/>
      <c r="J798" s="192"/>
      <c r="K798" s="190"/>
      <c r="L798" s="190" t="s">
        <v>978</v>
      </c>
      <c r="M798" s="193">
        <v>2</v>
      </c>
      <c r="N798" s="188">
        <v>288</v>
      </c>
      <c r="O798" s="190" t="s">
        <v>125</v>
      </c>
      <c r="P798" s="187">
        <v>25500</v>
      </c>
      <c r="Q798" s="194"/>
      <c r="R798" s="195" t="s">
        <v>171</v>
      </c>
      <c r="S798" s="196"/>
      <c r="T798" s="197"/>
      <c r="U798" s="198"/>
      <c r="V798" s="199"/>
      <c r="W798" s="198">
        <f>IF(NOTA[[#This Row],[HARGA/ CTN]]="",NOTA[[#This Row],[JUMLAH_H]],NOTA[[#This Row],[HARGA/ CTN]]*IF(NOTA[[#This Row],[C]]="",0,NOTA[[#This Row],[C]]))</f>
        <v>7344000</v>
      </c>
      <c r="X798" s="198">
        <f>IF(NOTA[[#This Row],[JUMLAH]]="","",NOTA[[#This Row],[JUMLAH]]*NOTA[[#This Row],[DISC 1]])</f>
        <v>0</v>
      </c>
      <c r="Y798" s="198">
        <f>IF(NOTA[[#This Row],[JUMLAH]]="","",(NOTA[[#This Row],[JUMLAH]]-NOTA[[#This Row],[DISC 1-]])*NOTA[[#This Row],[DISC 2]])</f>
        <v>0</v>
      </c>
      <c r="Z798" s="198">
        <f>IF(NOTA[[#This Row],[JUMLAH]]="","",NOTA[[#This Row],[DISC 1-]]+NOTA[[#This Row],[DISC 2-]])</f>
        <v>0</v>
      </c>
      <c r="AA798" s="198">
        <f>IF(NOTA[[#This Row],[JUMLAH]]="","",NOTA[[#This Row],[JUMLAH]]-NOTA[[#This Row],[DISC]])</f>
        <v>7344000</v>
      </c>
      <c r="AB798" s="198"/>
      <c r="AC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187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F798" s="200">
        <f>IF(OR(NOTA[[#This Row],[QTY]]="",NOTA[[#This Row],[HARGA SATUAN]]="",),"",NOTA[[#This Row],[QTY]]*NOTA[[#This Row],[HARGA SATUAN]])</f>
        <v>7344000</v>
      </c>
      <c r="AG798" s="192">
        <f ca="1">IF(NOTA[ID_H]="","",INDEX(NOTA[TANGGAL],MATCH(,INDIRECT(ADDRESS(ROW(NOTA[TANGGAL]),COLUMN(NOTA[TANGGAL]))&amp;":"&amp;ADDRESS(ROW(),COLUMN(NOTA[TANGGAL]))),-1)))</f>
        <v>45073</v>
      </c>
      <c r="AH798" s="187" t="str">
        <f ca="1">IF(NOTA[[#This Row],[NAMA BARANG]]="","",INDEX(NOTA[SUPPLIER],MATCH(,INDIRECT(ADDRESS(ROW(NOTA[ID]),COLUMN(NOTA[ID]))&amp;":"&amp;ADDRESS(ROW(),COLUMN(NOTA[ID]))),-1)))</f>
        <v>DB STATIONERY</v>
      </c>
      <c r="AI798" s="187" t="str">
        <f ca="1">IF(NOTA[[#This Row],[ID_H]]="","",IF(NOTA[[#This Row],[FAKTUR]]="",INDIRECT(ADDRESS(ROW()-1,COLUMN())),NOTA[[#This Row],[FAKTUR]]))</f>
        <v>UNTANA</v>
      </c>
      <c r="AJ798" s="188" t="str">
        <f ca="1">IF(NOTA[[#This Row],[ID]]="","",COUNTIF(NOTA[ID_H],NOTA[[#This Row],[ID_H]]))</f>
        <v/>
      </c>
      <c r="AK798" s="188">
        <f ca="1">IF(NOTA[[#This Row],[TGL.NOTA]]="",IF(NOTA[[#This Row],[SUPPLIER_H]]="","",AK797),MONTH(NOTA[[#This Row],[TGL.NOTA]]))</f>
        <v>5</v>
      </c>
      <c r="AL798" s="188" t="str">
        <f>LOWER(SUBSTITUTE(SUBSTITUTE(SUBSTITUTE(SUBSTITUTE(SUBSTITUTE(SUBSTITUTE(SUBSTITUTE(SUBSTITUTE(SUBSTITUTE(NOTA[NAMA BARANG]," ",),".",""),"-",""),"(",""),")",""),",",""),"/",""),"""",""),"+",""))</f>
        <v>geltizo346tg346d</v>
      </c>
      <c r="AM79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geltizo346tg346d3672000</v>
      </c>
      <c r="AN79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geltizo346tg346d3672000</v>
      </c>
      <c r="AO79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188" t="str">
        <f>IF(NOTA[[#This Row],[CONCAT4]]="","",_xlfn.IFNA(MATCH(NOTA[[#This Row],[CONCAT4]],[2]!RAW[CONCAT_H],0),FALSE))</f>
        <v/>
      </c>
      <c r="AQ798" s="188">
        <f>IF(NOTA[[#This Row],[CONCAT1]]="","",MATCH(NOTA[[#This Row],[CONCAT1]],[3]!db[NB NOTA_C],0)+1)</f>
        <v>849</v>
      </c>
    </row>
    <row r="799" spans="1:43" ht="20.100000000000001" customHeight="1" x14ac:dyDescent="0.25">
      <c r="A79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188" t="str">
        <f>IF(NOTA[[#This Row],[ID_P]]="","",MATCH(NOTA[[#This Row],[ID_P]],[1]!B_MSK[N_ID],0))</f>
        <v/>
      </c>
      <c r="D799" s="188">
        <f ca="1">IF(NOTA[[#This Row],[NAMA BARANG]]="","",INDEX(NOTA[ID],MATCH(,INDIRECT(ADDRESS(ROW(NOTA[ID]),COLUMN(NOTA[ID]))&amp;":"&amp;ADDRESS(ROW(),COLUMN(NOTA[ID]))),-1)))</f>
        <v>138</v>
      </c>
      <c r="E799" s="189"/>
      <c r="F799" s="190"/>
      <c r="G799" s="190"/>
      <c r="H799" s="191"/>
      <c r="I799" s="190"/>
      <c r="J799" s="192"/>
      <c r="K799" s="190"/>
      <c r="L799" s="190" t="s">
        <v>979</v>
      </c>
      <c r="M799" s="193">
        <v>2</v>
      </c>
      <c r="N799" s="188">
        <v>288</v>
      </c>
      <c r="O799" s="190" t="s">
        <v>125</v>
      </c>
      <c r="P799" s="187">
        <v>24000</v>
      </c>
      <c r="Q799" s="194"/>
      <c r="R799" s="195" t="s">
        <v>171</v>
      </c>
      <c r="S799" s="196"/>
      <c r="T799" s="197"/>
      <c r="U799" s="198"/>
      <c r="V799" s="199"/>
      <c r="W799" s="198">
        <f>IF(NOTA[[#This Row],[HARGA/ CTN]]="",NOTA[[#This Row],[JUMLAH_H]],NOTA[[#This Row],[HARGA/ CTN]]*IF(NOTA[[#This Row],[C]]="",0,NOTA[[#This Row],[C]]))</f>
        <v>6912000</v>
      </c>
      <c r="X799" s="198">
        <f>IF(NOTA[[#This Row],[JUMLAH]]="","",NOTA[[#This Row],[JUMLAH]]*NOTA[[#This Row],[DISC 1]])</f>
        <v>0</v>
      </c>
      <c r="Y799" s="198">
        <f>IF(NOTA[[#This Row],[JUMLAH]]="","",(NOTA[[#This Row],[JUMLAH]]-NOTA[[#This Row],[DISC 1-]])*NOTA[[#This Row],[DISC 2]])</f>
        <v>0</v>
      </c>
      <c r="Z799" s="198">
        <f>IF(NOTA[[#This Row],[JUMLAH]]="","",NOTA[[#This Row],[DISC 1-]]+NOTA[[#This Row],[DISC 2-]])</f>
        <v>0</v>
      </c>
      <c r="AA799" s="198">
        <f>IF(NOTA[[#This Row],[JUMLAH]]="","",NOTA[[#This Row],[JUMLAH]]-NOTA[[#This Row],[DISC]])</f>
        <v>6912000</v>
      </c>
      <c r="AB799" s="198"/>
      <c r="AC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799" s="200">
        <f>IF(OR(NOTA[[#This Row],[QTY]]="",NOTA[[#This Row],[HARGA SATUAN]]="",),"",NOTA[[#This Row],[QTY]]*NOTA[[#This Row],[HARGA SATUAN]])</f>
        <v>6912000</v>
      </c>
      <c r="AG799" s="192">
        <f ca="1">IF(NOTA[ID_H]="","",INDEX(NOTA[TANGGAL],MATCH(,INDIRECT(ADDRESS(ROW(NOTA[TANGGAL]),COLUMN(NOTA[TANGGAL]))&amp;":"&amp;ADDRESS(ROW(),COLUMN(NOTA[TANGGAL]))),-1)))</f>
        <v>45073</v>
      </c>
      <c r="AH799" s="187" t="str">
        <f ca="1">IF(NOTA[[#This Row],[NAMA BARANG]]="","",INDEX(NOTA[SUPPLIER],MATCH(,INDIRECT(ADDRESS(ROW(NOTA[ID]),COLUMN(NOTA[ID]))&amp;":"&amp;ADDRESS(ROW(),COLUMN(NOTA[ID]))),-1)))</f>
        <v>DB STATIONERY</v>
      </c>
      <c r="AI799" s="187" t="str">
        <f ca="1">IF(NOTA[[#This Row],[ID_H]]="","",IF(NOTA[[#This Row],[FAKTUR]]="",INDIRECT(ADDRESS(ROW()-1,COLUMN())),NOTA[[#This Row],[FAKTUR]]))</f>
        <v>UNTANA</v>
      </c>
      <c r="AJ799" s="188" t="str">
        <f ca="1">IF(NOTA[[#This Row],[ID]]="","",COUNTIF(NOTA[ID_H],NOTA[[#This Row],[ID_H]]))</f>
        <v/>
      </c>
      <c r="AK799" s="188">
        <f ca="1">IF(NOTA[[#This Row],[TGL.NOTA]]="",IF(NOTA[[#This Row],[SUPPLIER_H]]="","",AK798),MONTH(NOTA[[#This Row],[TGL.NOTA]]))</f>
        <v>5</v>
      </c>
      <c r="AL799" s="188" t="str">
        <f>LOWER(SUBSTITUTE(SUBSTITUTE(SUBSTITUTE(SUBSTITUTE(SUBSTITUTE(SUBSTITUTE(SUBSTITUTE(SUBSTITUTE(SUBSTITUTE(NOTA[NAMA BARANG]," ",),".",""),"-",""),"(",""),")",""),",",""),"/",""),"""",""),"+",""))</f>
        <v>geltechjobtg313</v>
      </c>
      <c r="AM79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N79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O79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188" t="str">
        <f>IF(NOTA[[#This Row],[CONCAT4]]="","",_xlfn.IFNA(MATCH(NOTA[[#This Row],[CONCAT4]],[2]!RAW[CONCAT_H],0),FALSE))</f>
        <v/>
      </c>
      <c r="AQ799" s="188">
        <f>IF(NOTA[[#This Row],[CONCAT1]]="","",MATCH(NOTA[[#This Row],[CONCAT1]],[3]!db[NB NOTA_C],0)+1)</f>
        <v>840</v>
      </c>
    </row>
    <row r="800" spans="1:43" ht="20.100000000000001" customHeight="1" x14ac:dyDescent="0.25">
      <c r="A80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188" t="str">
        <f>IF(NOTA[[#This Row],[ID_P]]="","",MATCH(NOTA[[#This Row],[ID_P]],[1]!B_MSK[N_ID],0))</f>
        <v/>
      </c>
      <c r="D800" s="188">
        <f ca="1">IF(NOTA[[#This Row],[NAMA BARANG]]="","",INDEX(NOTA[ID],MATCH(,INDIRECT(ADDRESS(ROW(NOTA[ID]),COLUMN(NOTA[ID]))&amp;":"&amp;ADDRESS(ROW(),COLUMN(NOTA[ID]))),-1)))</f>
        <v>138</v>
      </c>
      <c r="E800" s="189"/>
      <c r="F800" s="190"/>
      <c r="G800" s="190"/>
      <c r="H800" s="191"/>
      <c r="I800" s="190"/>
      <c r="J800" s="192"/>
      <c r="K800" s="190"/>
      <c r="L800" s="190" t="s">
        <v>980</v>
      </c>
      <c r="M800" s="193">
        <v>2</v>
      </c>
      <c r="N800" s="188">
        <v>288</v>
      </c>
      <c r="O800" s="190" t="s">
        <v>125</v>
      </c>
      <c r="P800" s="187">
        <v>24000</v>
      </c>
      <c r="Q800" s="194"/>
      <c r="R800" s="195" t="s">
        <v>171</v>
      </c>
      <c r="S800" s="196"/>
      <c r="T800" s="197"/>
      <c r="U800" s="198"/>
      <c r="V800" s="199"/>
      <c r="W800" s="198">
        <f>IF(NOTA[[#This Row],[HARGA/ CTN]]="",NOTA[[#This Row],[JUMLAH_H]],NOTA[[#This Row],[HARGA/ CTN]]*IF(NOTA[[#This Row],[C]]="",0,NOTA[[#This Row],[C]]))</f>
        <v>6912000</v>
      </c>
      <c r="X800" s="198">
        <f>IF(NOTA[[#This Row],[JUMLAH]]="","",NOTA[[#This Row],[JUMLAH]]*NOTA[[#This Row],[DISC 1]])</f>
        <v>0</v>
      </c>
      <c r="Y800" s="198">
        <f>IF(NOTA[[#This Row],[JUMLAH]]="","",(NOTA[[#This Row],[JUMLAH]]-NOTA[[#This Row],[DISC 1-]])*NOTA[[#This Row],[DISC 2]])</f>
        <v>0</v>
      </c>
      <c r="Z800" s="198">
        <f>IF(NOTA[[#This Row],[JUMLAH]]="","",NOTA[[#This Row],[DISC 1-]]+NOTA[[#This Row],[DISC 2-]])</f>
        <v>0</v>
      </c>
      <c r="AA800" s="198">
        <f>IF(NOTA[[#This Row],[JUMLAH]]="","",NOTA[[#This Row],[JUMLAH]]-NOTA[[#This Row],[DISC]])</f>
        <v>6912000</v>
      </c>
      <c r="AB800" s="198"/>
      <c r="AC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187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00" s="200">
        <f>IF(OR(NOTA[[#This Row],[QTY]]="",NOTA[[#This Row],[HARGA SATUAN]]="",),"",NOTA[[#This Row],[QTY]]*NOTA[[#This Row],[HARGA SATUAN]])</f>
        <v>6912000</v>
      </c>
      <c r="AG800" s="192">
        <f ca="1">IF(NOTA[ID_H]="","",INDEX(NOTA[TANGGAL],MATCH(,INDIRECT(ADDRESS(ROW(NOTA[TANGGAL]),COLUMN(NOTA[TANGGAL]))&amp;":"&amp;ADDRESS(ROW(),COLUMN(NOTA[TANGGAL]))),-1)))</f>
        <v>45073</v>
      </c>
      <c r="AH800" s="187" t="str">
        <f ca="1">IF(NOTA[[#This Row],[NAMA BARANG]]="","",INDEX(NOTA[SUPPLIER],MATCH(,INDIRECT(ADDRESS(ROW(NOTA[ID]),COLUMN(NOTA[ID]))&amp;":"&amp;ADDRESS(ROW(),COLUMN(NOTA[ID]))),-1)))</f>
        <v>DB STATIONERY</v>
      </c>
      <c r="AI800" s="187" t="str">
        <f ca="1">IF(NOTA[[#This Row],[ID_H]]="","",IF(NOTA[[#This Row],[FAKTUR]]="",INDIRECT(ADDRESS(ROW()-1,COLUMN())),NOTA[[#This Row],[FAKTUR]]))</f>
        <v>UNTANA</v>
      </c>
      <c r="AJ800" s="188" t="str">
        <f ca="1">IF(NOTA[[#This Row],[ID]]="","",COUNTIF(NOTA[ID_H],NOTA[[#This Row],[ID_H]]))</f>
        <v/>
      </c>
      <c r="AK800" s="188">
        <f ca="1">IF(NOTA[[#This Row],[TGL.NOTA]]="",IF(NOTA[[#This Row],[SUPPLIER_H]]="","",AK799),MONTH(NOTA[[#This Row],[TGL.NOTA]]))</f>
        <v>5</v>
      </c>
      <c r="AL800" s="188" t="str">
        <f>LOWER(SUBSTITUTE(SUBSTITUTE(SUBSTITUTE(SUBSTITUTE(SUBSTITUTE(SUBSTITUTE(SUBSTITUTE(SUBSTITUTE(SUBSTITUTE(NOTA[NAMA BARANG]," ",),".",""),"-",""),"(",""),")",""),",",""),"/",""),"""",""),"+",""))</f>
        <v>geltechjobexaminattg313b</v>
      </c>
      <c r="AM80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geltechjobexaminattg313b3456000</v>
      </c>
      <c r="AN80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geltechjobexaminattg313b3456000</v>
      </c>
      <c r="AO80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188" t="str">
        <f>IF(NOTA[[#This Row],[CONCAT4]]="","",_xlfn.IFNA(MATCH(NOTA[[#This Row],[CONCAT4]],[2]!RAW[CONCAT_H],0),FALSE))</f>
        <v/>
      </c>
      <c r="AQ800" s="188">
        <f>IF(NOTA[[#This Row],[CONCAT1]]="","",MATCH(NOTA[[#This Row],[CONCAT1]],[3]!db[NB NOTA_C],0)+1)</f>
        <v>839</v>
      </c>
    </row>
    <row r="801" spans="1:43" ht="20.100000000000001" customHeight="1" x14ac:dyDescent="0.25">
      <c r="A80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188" t="str">
        <f>IF(NOTA[[#This Row],[ID_P]]="","",MATCH(NOTA[[#This Row],[ID_P]],[1]!B_MSK[N_ID],0))</f>
        <v/>
      </c>
      <c r="D801" s="188">
        <f ca="1">IF(NOTA[[#This Row],[NAMA BARANG]]="","",INDEX(NOTA[ID],MATCH(,INDIRECT(ADDRESS(ROW(NOTA[ID]),COLUMN(NOTA[ID]))&amp;":"&amp;ADDRESS(ROW(),COLUMN(NOTA[ID]))),-1)))</f>
        <v>138</v>
      </c>
      <c r="E801" s="189"/>
      <c r="F801" s="190"/>
      <c r="G801" s="190"/>
      <c r="H801" s="191"/>
      <c r="I801" s="190"/>
      <c r="J801" s="192"/>
      <c r="K801" s="190"/>
      <c r="L801" s="190" t="s">
        <v>981</v>
      </c>
      <c r="M801" s="193">
        <v>2</v>
      </c>
      <c r="N801" s="188">
        <v>288</v>
      </c>
      <c r="O801" s="190" t="s">
        <v>125</v>
      </c>
      <c r="P801" s="187">
        <v>29500</v>
      </c>
      <c r="Q801" s="194"/>
      <c r="R801" s="195" t="s">
        <v>171</v>
      </c>
      <c r="S801" s="196"/>
      <c r="T801" s="197"/>
      <c r="U801" s="198"/>
      <c r="V801" s="199"/>
      <c r="W801" s="198">
        <f>IF(NOTA[[#This Row],[HARGA/ CTN]]="",NOTA[[#This Row],[JUMLAH_H]],NOTA[[#This Row],[HARGA/ CTN]]*IF(NOTA[[#This Row],[C]]="",0,NOTA[[#This Row],[C]]))</f>
        <v>8496000</v>
      </c>
      <c r="X801" s="198">
        <f>IF(NOTA[[#This Row],[JUMLAH]]="","",NOTA[[#This Row],[JUMLAH]]*NOTA[[#This Row],[DISC 1]])</f>
        <v>0</v>
      </c>
      <c r="Y801" s="198">
        <f>IF(NOTA[[#This Row],[JUMLAH]]="","",(NOTA[[#This Row],[JUMLAH]]-NOTA[[#This Row],[DISC 1-]])*NOTA[[#This Row],[DISC 2]])</f>
        <v>0</v>
      </c>
      <c r="Z801" s="198">
        <f>IF(NOTA[[#This Row],[JUMLAH]]="","",NOTA[[#This Row],[DISC 1-]]+NOTA[[#This Row],[DISC 2-]])</f>
        <v>0</v>
      </c>
      <c r="AA801" s="198">
        <f>IF(NOTA[[#This Row],[JUMLAH]]="","",NOTA[[#This Row],[JUMLAH]]-NOTA[[#This Row],[DISC]])</f>
        <v>8496000</v>
      </c>
      <c r="AB801" s="198"/>
      <c r="AC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187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F801" s="200">
        <f>IF(OR(NOTA[[#This Row],[QTY]]="",NOTA[[#This Row],[HARGA SATUAN]]="",),"",NOTA[[#This Row],[QTY]]*NOTA[[#This Row],[HARGA SATUAN]])</f>
        <v>8496000</v>
      </c>
      <c r="AG801" s="192">
        <f ca="1">IF(NOTA[ID_H]="","",INDEX(NOTA[TANGGAL],MATCH(,INDIRECT(ADDRESS(ROW(NOTA[TANGGAL]),COLUMN(NOTA[TANGGAL]))&amp;":"&amp;ADDRESS(ROW(),COLUMN(NOTA[TANGGAL]))),-1)))</f>
        <v>45073</v>
      </c>
      <c r="AH801" s="187" t="str">
        <f ca="1">IF(NOTA[[#This Row],[NAMA BARANG]]="","",INDEX(NOTA[SUPPLIER],MATCH(,INDIRECT(ADDRESS(ROW(NOTA[ID]),COLUMN(NOTA[ID]))&amp;":"&amp;ADDRESS(ROW(),COLUMN(NOTA[ID]))),-1)))</f>
        <v>DB STATIONERY</v>
      </c>
      <c r="AI801" s="187" t="str">
        <f ca="1">IF(NOTA[[#This Row],[ID_H]]="","",IF(NOTA[[#This Row],[FAKTUR]]="",INDIRECT(ADDRESS(ROW()-1,COLUMN())),NOTA[[#This Row],[FAKTUR]]))</f>
        <v>UNTANA</v>
      </c>
      <c r="AJ801" s="188" t="str">
        <f ca="1">IF(NOTA[[#This Row],[ID]]="","",COUNTIF(NOTA[ID_H],NOTA[[#This Row],[ID_H]]))</f>
        <v/>
      </c>
      <c r="AK801" s="188">
        <f ca="1">IF(NOTA[[#This Row],[TGL.NOTA]]="",IF(NOTA[[#This Row],[SUPPLIER_H]]="","",AK800),MONTH(NOTA[[#This Row],[TGL.NOTA]]))</f>
        <v>5</v>
      </c>
      <c r="AL801" s="188" t="str">
        <f>LOWER(SUBSTITUTE(SUBSTITUTE(SUBSTITUTE(SUBSTITUTE(SUBSTITUTE(SUBSTITUTE(SUBSTITUTE(SUBSTITUTE(SUBSTITUTE(NOTA[NAMA BARANG]," ",),".",""),"-",""),"(",""),")",""),",",""),"/",""),"""",""),"+",""))</f>
        <v>geltizotg31060</v>
      </c>
      <c r="AM80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N80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O80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188" t="str">
        <f>IF(NOTA[[#This Row],[CONCAT4]]="","",_xlfn.IFNA(MATCH(NOTA[[#This Row],[CONCAT4]],[2]!RAW[CONCAT_H],0),FALSE))</f>
        <v/>
      </c>
      <c r="AQ801" s="188">
        <f>IF(NOTA[[#This Row],[CONCAT1]]="","",MATCH(NOTA[[#This Row],[CONCAT1]],[3]!db[NB NOTA_C],0)+1)</f>
        <v>919</v>
      </c>
    </row>
    <row r="802" spans="1:43" ht="20.100000000000001" customHeight="1" x14ac:dyDescent="0.25">
      <c r="A80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188" t="str">
        <f>IF(NOTA[[#This Row],[ID_P]]="","",MATCH(NOTA[[#This Row],[ID_P]],[1]!B_MSK[N_ID],0))</f>
        <v/>
      </c>
      <c r="D802" s="188">
        <f ca="1">IF(NOTA[[#This Row],[NAMA BARANG]]="","",INDEX(NOTA[ID],MATCH(,INDIRECT(ADDRESS(ROW(NOTA[ID]),COLUMN(NOTA[ID]))&amp;":"&amp;ADDRESS(ROW(),COLUMN(NOTA[ID]))),-1)))</f>
        <v>138</v>
      </c>
      <c r="E802" s="189"/>
      <c r="F802" s="190"/>
      <c r="G802" s="190"/>
      <c r="H802" s="191"/>
      <c r="I802" s="190"/>
      <c r="J802" s="192"/>
      <c r="K802" s="190"/>
      <c r="L802" s="190" t="s">
        <v>982</v>
      </c>
      <c r="M802" s="193">
        <v>2</v>
      </c>
      <c r="N802" s="188">
        <v>576</v>
      </c>
      <c r="O802" s="190" t="s">
        <v>252</v>
      </c>
      <c r="P802" s="187">
        <v>10800</v>
      </c>
      <c r="Q802" s="194"/>
      <c r="R802" s="195" t="s">
        <v>983</v>
      </c>
      <c r="S802" s="196"/>
      <c r="T802" s="197"/>
      <c r="U802" s="198"/>
      <c r="V802" s="199"/>
      <c r="W802" s="198">
        <f>IF(NOTA[[#This Row],[HARGA/ CTN]]="",NOTA[[#This Row],[JUMLAH_H]],NOTA[[#This Row],[HARGA/ CTN]]*IF(NOTA[[#This Row],[C]]="",0,NOTA[[#This Row],[C]]))</f>
        <v>6220800</v>
      </c>
      <c r="X802" s="198">
        <f>IF(NOTA[[#This Row],[JUMLAH]]="","",NOTA[[#This Row],[JUMLAH]]*NOTA[[#This Row],[DISC 1]])</f>
        <v>0</v>
      </c>
      <c r="Y802" s="198">
        <f>IF(NOTA[[#This Row],[JUMLAH]]="","",(NOTA[[#This Row],[JUMLAH]]-NOTA[[#This Row],[DISC 1-]])*NOTA[[#This Row],[DISC 2]])</f>
        <v>0</v>
      </c>
      <c r="Z802" s="198">
        <f>IF(NOTA[[#This Row],[JUMLAH]]="","",NOTA[[#This Row],[DISC 1-]]+NOTA[[#This Row],[DISC 2-]])</f>
        <v>0</v>
      </c>
      <c r="AA802" s="198">
        <f>IF(NOTA[[#This Row],[JUMLAH]]="","",NOTA[[#This Row],[JUMLAH]]-NOTA[[#This Row],[DISC]])</f>
        <v>6220800</v>
      </c>
      <c r="AB802" s="198"/>
      <c r="AC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187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802" s="200">
        <f>IF(OR(NOTA[[#This Row],[QTY]]="",NOTA[[#This Row],[HARGA SATUAN]]="",),"",NOTA[[#This Row],[QTY]]*NOTA[[#This Row],[HARGA SATUAN]])</f>
        <v>6220800</v>
      </c>
      <c r="AG802" s="192">
        <f ca="1">IF(NOTA[ID_H]="","",INDEX(NOTA[TANGGAL],MATCH(,INDIRECT(ADDRESS(ROW(NOTA[TANGGAL]),COLUMN(NOTA[TANGGAL]))&amp;":"&amp;ADDRESS(ROW(),COLUMN(NOTA[TANGGAL]))),-1)))</f>
        <v>45073</v>
      </c>
      <c r="AH802" s="187" t="str">
        <f ca="1">IF(NOTA[[#This Row],[NAMA BARANG]]="","",INDEX(NOTA[SUPPLIER],MATCH(,INDIRECT(ADDRESS(ROW(NOTA[ID]),COLUMN(NOTA[ID]))&amp;":"&amp;ADDRESS(ROW(),COLUMN(NOTA[ID]))),-1)))</f>
        <v>DB STATIONERY</v>
      </c>
      <c r="AI802" s="187" t="str">
        <f ca="1">IF(NOTA[[#This Row],[ID_H]]="","",IF(NOTA[[#This Row],[FAKTUR]]="",INDIRECT(ADDRESS(ROW()-1,COLUMN())),NOTA[[#This Row],[FAKTUR]]))</f>
        <v>UNTANA</v>
      </c>
      <c r="AJ802" s="188" t="str">
        <f ca="1">IF(NOTA[[#This Row],[ID]]="","",COUNTIF(NOTA[ID_H],NOTA[[#This Row],[ID_H]]))</f>
        <v/>
      </c>
      <c r="AK802" s="188">
        <f ca="1">IF(NOTA[[#This Row],[TGL.NOTA]]="",IF(NOTA[[#This Row],[SUPPLIER_H]]="","",AK801),MONTH(NOTA[[#This Row],[TGL.NOTA]]))</f>
        <v>5</v>
      </c>
      <c r="AL802" s="188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M80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N80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O80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188" t="str">
        <f>IF(NOTA[[#This Row],[CONCAT4]]="","",_xlfn.IFNA(MATCH(NOTA[[#This Row],[CONCAT4]],[2]!RAW[CONCAT_H],0),FALSE))</f>
        <v/>
      </c>
      <c r="AQ802" s="188">
        <f>IF(NOTA[[#This Row],[CONCAT1]]="","",MATCH(NOTA[[#This Row],[CONCAT1]],[3]!db[NB NOTA_C],0)+1)</f>
        <v>2008</v>
      </c>
    </row>
    <row r="803" spans="1:43" ht="20.100000000000001" customHeight="1" x14ac:dyDescent="0.25">
      <c r="A80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188" t="str">
        <f>IF(NOTA[[#This Row],[ID_P]]="","",MATCH(NOTA[[#This Row],[ID_P]],[1]!B_MSK[N_ID],0))</f>
        <v/>
      </c>
      <c r="D803" s="188">
        <f ca="1">IF(NOTA[[#This Row],[NAMA BARANG]]="","",INDEX(NOTA[ID],MATCH(,INDIRECT(ADDRESS(ROW(NOTA[ID]),COLUMN(NOTA[ID]))&amp;":"&amp;ADDRESS(ROW(),COLUMN(NOTA[ID]))),-1)))</f>
        <v>138</v>
      </c>
      <c r="E803" s="189"/>
      <c r="F803" s="190"/>
      <c r="G803" s="190"/>
      <c r="H803" s="191"/>
      <c r="I803" s="190"/>
      <c r="J803" s="192"/>
      <c r="K803" s="190"/>
      <c r="L803" s="190" t="s">
        <v>984</v>
      </c>
      <c r="M803" s="193">
        <v>1</v>
      </c>
      <c r="N803" s="188">
        <v>144</v>
      </c>
      <c r="O803" s="190" t="s">
        <v>252</v>
      </c>
      <c r="P803" s="187">
        <v>18500</v>
      </c>
      <c r="Q803" s="194"/>
      <c r="R803" s="195" t="s">
        <v>985</v>
      </c>
      <c r="S803" s="196"/>
      <c r="T803" s="197"/>
      <c r="U803" s="198"/>
      <c r="V803" s="199"/>
      <c r="W803" s="198">
        <f>IF(NOTA[[#This Row],[HARGA/ CTN]]="",NOTA[[#This Row],[JUMLAH_H]],NOTA[[#This Row],[HARGA/ CTN]]*IF(NOTA[[#This Row],[C]]="",0,NOTA[[#This Row],[C]]))</f>
        <v>2664000</v>
      </c>
      <c r="X803" s="198">
        <f>IF(NOTA[[#This Row],[JUMLAH]]="","",NOTA[[#This Row],[JUMLAH]]*NOTA[[#This Row],[DISC 1]])</f>
        <v>0</v>
      </c>
      <c r="Y803" s="198">
        <f>IF(NOTA[[#This Row],[JUMLAH]]="","",(NOTA[[#This Row],[JUMLAH]]-NOTA[[#This Row],[DISC 1-]])*NOTA[[#This Row],[DISC 2]])</f>
        <v>0</v>
      </c>
      <c r="Z803" s="198">
        <f>IF(NOTA[[#This Row],[JUMLAH]]="","",NOTA[[#This Row],[DISC 1-]]+NOTA[[#This Row],[DISC 2-]])</f>
        <v>0</v>
      </c>
      <c r="AA803" s="198">
        <f>IF(NOTA[[#This Row],[JUMLAH]]="","",NOTA[[#This Row],[JUMLAH]]-NOTA[[#This Row],[DISC]])</f>
        <v>2664000</v>
      </c>
      <c r="AB803" s="198"/>
      <c r="AC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187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803" s="200">
        <f>IF(OR(NOTA[[#This Row],[QTY]]="",NOTA[[#This Row],[HARGA SATUAN]]="",),"",NOTA[[#This Row],[QTY]]*NOTA[[#This Row],[HARGA SATUAN]])</f>
        <v>2664000</v>
      </c>
      <c r="AG803" s="192">
        <f ca="1">IF(NOTA[ID_H]="","",INDEX(NOTA[TANGGAL],MATCH(,INDIRECT(ADDRESS(ROW(NOTA[TANGGAL]),COLUMN(NOTA[TANGGAL]))&amp;":"&amp;ADDRESS(ROW(),COLUMN(NOTA[TANGGAL]))),-1)))</f>
        <v>45073</v>
      </c>
      <c r="AH803" s="187" t="str">
        <f ca="1">IF(NOTA[[#This Row],[NAMA BARANG]]="","",INDEX(NOTA[SUPPLIER],MATCH(,INDIRECT(ADDRESS(ROW(NOTA[ID]),COLUMN(NOTA[ID]))&amp;":"&amp;ADDRESS(ROW(),COLUMN(NOTA[ID]))),-1)))</f>
        <v>DB STATIONERY</v>
      </c>
      <c r="AI803" s="187" t="str">
        <f ca="1">IF(NOTA[[#This Row],[ID_H]]="","",IF(NOTA[[#This Row],[FAKTUR]]="",INDIRECT(ADDRESS(ROW()-1,COLUMN())),NOTA[[#This Row],[FAKTUR]]))</f>
        <v>UNTANA</v>
      </c>
      <c r="AJ803" s="188" t="str">
        <f ca="1">IF(NOTA[[#This Row],[ID]]="","",COUNTIF(NOTA[ID_H],NOTA[[#This Row],[ID_H]]))</f>
        <v/>
      </c>
      <c r="AK803" s="188">
        <f ca="1">IF(NOTA[[#This Row],[TGL.NOTA]]="",IF(NOTA[[#This Row],[SUPPLIER_H]]="","",AK802),MONTH(NOTA[[#This Row],[TGL.NOTA]]))</f>
        <v>5</v>
      </c>
      <c r="AL803" s="18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M80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N80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O80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188" t="str">
        <f>IF(NOTA[[#This Row],[CONCAT4]]="","",_xlfn.IFNA(MATCH(NOTA[[#This Row],[CONCAT4]],[2]!RAW[CONCAT_H],0),FALSE))</f>
        <v/>
      </c>
      <c r="AQ803" s="188">
        <f>IF(NOTA[[#This Row],[CONCAT1]]="","",MATCH(NOTA[[#This Row],[CONCAT1]],[3]!db[NB NOTA_C],0)+1)</f>
        <v>1743</v>
      </c>
    </row>
    <row r="804" spans="1:43" ht="20.100000000000001" customHeight="1" x14ac:dyDescent="0.25">
      <c r="A80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188" t="str">
        <f>IF(NOTA[[#This Row],[ID_P]]="","",MATCH(NOTA[[#This Row],[ID_P]],[1]!B_MSK[N_ID],0))</f>
        <v/>
      </c>
      <c r="D804" s="188">
        <f ca="1">IF(NOTA[[#This Row],[NAMA BARANG]]="","",INDEX(NOTA[ID],MATCH(,INDIRECT(ADDRESS(ROW(NOTA[ID]),COLUMN(NOTA[ID]))&amp;":"&amp;ADDRESS(ROW(),COLUMN(NOTA[ID]))),-1)))</f>
        <v>138</v>
      </c>
      <c r="E804" s="189"/>
      <c r="F804" s="190"/>
      <c r="G804" s="190"/>
      <c r="H804" s="191"/>
      <c r="I804" s="190"/>
      <c r="J804" s="192"/>
      <c r="K804" s="190"/>
      <c r="L804" s="190" t="s">
        <v>986</v>
      </c>
      <c r="M804" s="193">
        <v>1</v>
      </c>
      <c r="N804" s="188">
        <v>80</v>
      </c>
      <c r="O804" s="190" t="s">
        <v>252</v>
      </c>
      <c r="P804" s="187">
        <v>28000</v>
      </c>
      <c r="Q804" s="194"/>
      <c r="R804" s="195" t="s">
        <v>987</v>
      </c>
      <c r="S804" s="196"/>
      <c r="T804" s="197"/>
      <c r="U804" s="198"/>
      <c r="V804" s="199"/>
      <c r="W804" s="198">
        <f>IF(NOTA[[#This Row],[HARGA/ CTN]]="",NOTA[[#This Row],[JUMLAH_H]],NOTA[[#This Row],[HARGA/ CTN]]*IF(NOTA[[#This Row],[C]]="",0,NOTA[[#This Row],[C]]))</f>
        <v>2240000</v>
      </c>
      <c r="X804" s="198">
        <f>IF(NOTA[[#This Row],[JUMLAH]]="","",NOTA[[#This Row],[JUMLAH]]*NOTA[[#This Row],[DISC 1]])</f>
        <v>0</v>
      </c>
      <c r="Y804" s="198">
        <f>IF(NOTA[[#This Row],[JUMLAH]]="","",(NOTA[[#This Row],[JUMLAH]]-NOTA[[#This Row],[DISC 1-]])*NOTA[[#This Row],[DISC 2]])</f>
        <v>0</v>
      </c>
      <c r="Z804" s="198">
        <f>IF(NOTA[[#This Row],[JUMLAH]]="","",NOTA[[#This Row],[DISC 1-]]+NOTA[[#This Row],[DISC 2-]])</f>
        <v>0</v>
      </c>
      <c r="AA804" s="198">
        <f>IF(NOTA[[#This Row],[JUMLAH]]="","",NOTA[[#This Row],[JUMLAH]]-NOTA[[#This Row],[DISC]])</f>
        <v>2240000</v>
      </c>
      <c r="AB804" s="198"/>
      <c r="AC8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187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04" s="200">
        <f>IF(OR(NOTA[[#This Row],[QTY]]="",NOTA[[#This Row],[HARGA SATUAN]]="",),"",NOTA[[#This Row],[QTY]]*NOTA[[#This Row],[HARGA SATUAN]])</f>
        <v>2240000</v>
      </c>
      <c r="AG804" s="192">
        <f ca="1">IF(NOTA[ID_H]="","",INDEX(NOTA[TANGGAL],MATCH(,INDIRECT(ADDRESS(ROW(NOTA[TANGGAL]),COLUMN(NOTA[TANGGAL]))&amp;":"&amp;ADDRESS(ROW(),COLUMN(NOTA[TANGGAL]))),-1)))</f>
        <v>45073</v>
      </c>
      <c r="AH804" s="187" t="str">
        <f ca="1">IF(NOTA[[#This Row],[NAMA BARANG]]="","",INDEX(NOTA[SUPPLIER],MATCH(,INDIRECT(ADDRESS(ROW(NOTA[ID]),COLUMN(NOTA[ID]))&amp;":"&amp;ADDRESS(ROW(),COLUMN(NOTA[ID]))),-1)))</f>
        <v>DB STATIONERY</v>
      </c>
      <c r="AI804" s="187" t="str">
        <f ca="1">IF(NOTA[[#This Row],[ID_H]]="","",IF(NOTA[[#This Row],[FAKTUR]]="",INDIRECT(ADDRESS(ROW()-1,COLUMN())),NOTA[[#This Row],[FAKTUR]]))</f>
        <v>UNTANA</v>
      </c>
      <c r="AJ804" s="188" t="str">
        <f ca="1">IF(NOTA[[#This Row],[ID]]="","",COUNTIF(NOTA[ID_H],NOTA[[#This Row],[ID_H]]))</f>
        <v/>
      </c>
      <c r="AK804" s="188">
        <f ca="1">IF(NOTA[[#This Row],[TGL.NOTA]]="",IF(NOTA[[#This Row],[SUPPLIER_H]]="","",AK803),MONTH(NOTA[[#This Row],[TGL.NOTA]]))</f>
        <v>5</v>
      </c>
      <c r="AL804" s="18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M80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N80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O80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188" t="str">
        <f>IF(NOTA[[#This Row],[CONCAT4]]="","",_xlfn.IFNA(MATCH(NOTA[[#This Row],[CONCAT4]],[2]!RAW[CONCAT_H],0),FALSE))</f>
        <v/>
      </c>
      <c r="AQ804" s="188" t="e">
        <f>IF(NOTA[[#This Row],[CONCAT1]]="","",MATCH(NOTA[[#This Row],[CONCAT1]],[3]!db[NB NOTA_C],0)+1)</f>
        <v>#N/A</v>
      </c>
    </row>
    <row r="805" spans="1:43" ht="20.100000000000001" customHeight="1" x14ac:dyDescent="0.25">
      <c r="A80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188" t="str">
        <f>IF(NOTA[[#This Row],[ID_P]]="","",MATCH(NOTA[[#This Row],[ID_P]],[1]!B_MSK[N_ID],0))</f>
        <v/>
      </c>
      <c r="D805" s="188">
        <f ca="1">IF(NOTA[[#This Row],[NAMA BARANG]]="","",INDEX(NOTA[ID],MATCH(,INDIRECT(ADDRESS(ROW(NOTA[ID]),COLUMN(NOTA[ID]))&amp;":"&amp;ADDRESS(ROW(),COLUMN(NOTA[ID]))),-1)))</f>
        <v>138</v>
      </c>
      <c r="E805" s="189"/>
      <c r="F805" s="190"/>
      <c r="G805" s="190"/>
      <c r="H805" s="191"/>
      <c r="I805" s="190"/>
      <c r="J805" s="192"/>
      <c r="K805" s="190"/>
      <c r="L805" s="190" t="s">
        <v>988</v>
      </c>
      <c r="M805" s="193">
        <v>5</v>
      </c>
      <c r="N805" s="188">
        <v>720</v>
      </c>
      <c r="O805" s="190" t="s">
        <v>125</v>
      </c>
      <c r="P805" s="187">
        <v>22500</v>
      </c>
      <c r="Q805" s="194"/>
      <c r="R805" s="195" t="s">
        <v>171</v>
      </c>
      <c r="S805" s="196"/>
      <c r="T805" s="197"/>
      <c r="U805" s="198"/>
      <c r="V805" s="199"/>
      <c r="W805" s="198">
        <f>IF(NOTA[[#This Row],[HARGA/ CTN]]="",NOTA[[#This Row],[JUMLAH_H]],NOTA[[#This Row],[HARGA/ CTN]]*IF(NOTA[[#This Row],[C]]="",0,NOTA[[#This Row],[C]]))</f>
        <v>16200000</v>
      </c>
      <c r="X805" s="198">
        <f>IF(NOTA[[#This Row],[JUMLAH]]="","",NOTA[[#This Row],[JUMLAH]]*NOTA[[#This Row],[DISC 1]])</f>
        <v>0</v>
      </c>
      <c r="Y805" s="198">
        <f>IF(NOTA[[#This Row],[JUMLAH]]="","",(NOTA[[#This Row],[JUMLAH]]-NOTA[[#This Row],[DISC 1-]])*NOTA[[#This Row],[DISC 2]])</f>
        <v>0</v>
      </c>
      <c r="Z805" s="198">
        <f>IF(NOTA[[#This Row],[JUMLAH]]="","",NOTA[[#This Row],[DISC 1-]]+NOTA[[#This Row],[DISC 2-]])</f>
        <v>0</v>
      </c>
      <c r="AA805" s="198">
        <f>IF(NOTA[[#This Row],[JUMLAH]]="","",NOTA[[#This Row],[JUMLAH]]-NOTA[[#This Row],[DISC]])</f>
        <v>16200000</v>
      </c>
      <c r="AB805" s="198"/>
      <c r="AC8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0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91656800</v>
      </c>
      <c r="AE805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05" s="200">
        <f>IF(OR(NOTA[[#This Row],[QTY]]="",NOTA[[#This Row],[HARGA SATUAN]]="",),"",NOTA[[#This Row],[QTY]]*NOTA[[#This Row],[HARGA SATUAN]])</f>
        <v>16200000</v>
      </c>
      <c r="AG805" s="192">
        <f ca="1">IF(NOTA[ID_H]="","",INDEX(NOTA[TANGGAL],MATCH(,INDIRECT(ADDRESS(ROW(NOTA[TANGGAL]),COLUMN(NOTA[TANGGAL]))&amp;":"&amp;ADDRESS(ROW(),COLUMN(NOTA[TANGGAL]))),-1)))</f>
        <v>45073</v>
      </c>
      <c r="AH805" s="187" t="str">
        <f ca="1">IF(NOTA[[#This Row],[NAMA BARANG]]="","",INDEX(NOTA[SUPPLIER],MATCH(,INDIRECT(ADDRESS(ROW(NOTA[ID]),COLUMN(NOTA[ID]))&amp;":"&amp;ADDRESS(ROW(),COLUMN(NOTA[ID]))),-1)))</f>
        <v>DB STATIONERY</v>
      </c>
      <c r="AI805" s="187" t="str">
        <f ca="1">IF(NOTA[[#This Row],[ID_H]]="","",IF(NOTA[[#This Row],[FAKTUR]]="",INDIRECT(ADDRESS(ROW()-1,COLUMN())),NOTA[[#This Row],[FAKTUR]]))</f>
        <v>UNTANA</v>
      </c>
      <c r="AJ805" s="188" t="str">
        <f ca="1">IF(NOTA[[#This Row],[ID]]="","",COUNTIF(NOTA[ID_H],NOTA[[#This Row],[ID_H]]))</f>
        <v/>
      </c>
      <c r="AK805" s="188">
        <f ca="1">IF(NOTA[[#This Row],[TGL.NOTA]]="",IF(NOTA[[#This Row],[SUPPLIER_H]]="","",AK804),MONTH(NOTA[[#This Row],[TGL.NOTA]]))</f>
        <v>5</v>
      </c>
      <c r="AL805" s="18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M80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N80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O80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188" t="str">
        <f>IF(NOTA[[#This Row],[CONCAT4]]="","",_xlfn.IFNA(MATCH(NOTA[[#This Row],[CONCAT4]],[2]!RAW[CONCAT_H],0),FALSE))</f>
        <v/>
      </c>
      <c r="AQ805" s="188">
        <f>IF(NOTA[[#This Row],[CONCAT1]]="","",MATCH(NOTA[[#This Row],[CONCAT1]],[3]!db[NB NOTA_C],0)+1)</f>
        <v>794</v>
      </c>
    </row>
    <row r="806" spans="1:43" ht="20.100000000000001" customHeight="1" x14ac:dyDescent="0.25">
      <c r="A80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188" t="str">
        <f>IF(NOTA[[#This Row],[ID_P]]="","",MATCH(NOTA[[#This Row],[ID_P]],[1]!B_MSK[N_ID],0))</f>
        <v/>
      </c>
      <c r="D806" s="188" t="str">
        <f ca="1">IF(NOTA[[#This Row],[NAMA BARANG]]="","",INDEX(NOTA[ID],MATCH(,INDIRECT(ADDRESS(ROW(NOTA[ID]),COLUMN(NOTA[ID]))&amp;":"&amp;ADDRESS(ROW(),COLUMN(NOTA[ID]))),-1)))</f>
        <v/>
      </c>
      <c r="E806" s="189"/>
      <c r="F806" s="190"/>
      <c r="G806" s="190"/>
      <c r="H806" s="191"/>
      <c r="I806" s="190"/>
      <c r="J806" s="192"/>
      <c r="K806" s="190"/>
      <c r="L806" s="190"/>
      <c r="M806" s="193"/>
      <c r="N806" s="188"/>
      <c r="O806" s="190"/>
      <c r="P806" s="187"/>
      <c r="Q806" s="194"/>
      <c r="R806" s="195"/>
      <c r="S806" s="196"/>
      <c r="T806" s="197"/>
      <c r="U806" s="198"/>
      <c r="V806" s="199"/>
      <c r="W806" s="198" t="str">
        <f>IF(NOTA[[#This Row],[HARGA/ CTN]]="",NOTA[[#This Row],[JUMLAH_H]],NOTA[[#This Row],[HARGA/ CTN]]*IF(NOTA[[#This Row],[C]]="",0,NOTA[[#This Row],[C]]))</f>
        <v/>
      </c>
      <c r="X806" s="198" t="str">
        <f>IF(NOTA[[#This Row],[JUMLAH]]="","",NOTA[[#This Row],[JUMLAH]]*NOTA[[#This Row],[DISC 1]])</f>
        <v/>
      </c>
      <c r="Y806" s="198" t="str">
        <f>IF(NOTA[[#This Row],[JUMLAH]]="","",(NOTA[[#This Row],[JUMLAH]]-NOTA[[#This Row],[DISC 1-]])*NOTA[[#This Row],[DISC 2]])</f>
        <v/>
      </c>
      <c r="Z806" s="198" t="str">
        <f>IF(NOTA[[#This Row],[JUMLAH]]="","",NOTA[[#This Row],[DISC 1-]]+NOTA[[#This Row],[DISC 2-]])</f>
        <v/>
      </c>
      <c r="AA806" s="198" t="str">
        <f>IF(NOTA[[#This Row],[JUMLAH]]="","",NOTA[[#This Row],[JUMLAH]]-NOTA[[#This Row],[DISC]])</f>
        <v/>
      </c>
      <c r="AB806" s="198"/>
      <c r="AC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200" t="str">
        <f>IF(OR(NOTA[[#This Row],[QTY]]="",NOTA[[#This Row],[HARGA SATUAN]]="",),"",NOTA[[#This Row],[QTY]]*NOTA[[#This Row],[HARGA SATUAN]])</f>
        <v/>
      </c>
      <c r="AG806" s="192" t="str">
        <f ca="1">IF(NOTA[ID_H]="","",INDEX(NOTA[TANGGAL],MATCH(,INDIRECT(ADDRESS(ROW(NOTA[TANGGAL]),COLUMN(NOTA[TANGGAL]))&amp;":"&amp;ADDRESS(ROW(),COLUMN(NOTA[TANGGAL]))),-1)))</f>
        <v/>
      </c>
      <c r="AH806" s="187" t="str">
        <f ca="1">IF(NOTA[[#This Row],[NAMA BARANG]]="","",INDEX(NOTA[SUPPLIER],MATCH(,INDIRECT(ADDRESS(ROW(NOTA[ID]),COLUMN(NOTA[ID]))&amp;":"&amp;ADDRESS(ROW(),COLUMN(NOTA[ID]))),-1)))</f>
        <v/>
      </c>
      <c r="AI806" s="187" t="str">
        <f ca="1">IF(NOTA[[#This Row],[ID_H]]="","",IF(NOTA[[#This Row],[FAKTUR]]="",INDIRECT(ADDRESS(ROW()-1,COLUMN())),NOTA[[#This Row],[FAKTUR]]))</f>
        <v/>
      </c>
      <c r="AJ806" s="188" t="str">
        <f ca="1">IF(NOTA[[#This Row],[ID]]="","",COUNTIF(NOTA[ID_H],NOTA[[#This Row],[ID_H]]))</f>
        <v/>
      </c>
      <c r="AK806" s="188" t="str">
        <f ca="1">IF(NOTA[[#This Row],[TGL.NOTA]]="",IF(NOTA[[#This Row],[SUPPLIER_H]]="","",AK805),MONTH(NOTA[[#This Row],[TGL.NOTA]]))</f>
        <v/>
      </c>
      <c r="AL806" s="188" t="str">
        <f>LOWER(SUBSTITUTE(SUBSTITUTE(SUBSTITUTE(SUBSTITUTE(SUBSTITUTE(SUBSTITUTE(SUBSTITUTE(SUBSTITUTE(SUBSTITUTE(NOTA[NAMA BARANG]," ",),".",""),"-",""),"(",""),")",""),",",""),"/",""),"""",""),"+",""))</f>
        <v/>
      </c>
      <c r="AM80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188" t="str">
        <f>IF(NOTA[[#This Row],[CONCAT4]]="","",_xlfn.IFNA(MATCH(NOTA[[#This Row],[CONCAT4]],[2]!RAW[CONCAT_H],0),FALSE))</f>
        <v/>
      </c>
      <c r="AQ806" s="188" t="str">
        <f>IF(NOTA[[#This Row],[CONCAT1]]="","",MATCH(NOTA[[#This Row],[CONCAT1]],[3]!db[NB NOTA_C],0)+1)</f>
        <v/>
      </c>
    </row>
    <row r="807" spans="1:43" ht="20.100000000000001" customHeight="1" x14ac:dyDescent="0.25">
      <c r="A807" s="187">
        <f ca="1">IF(INDIRECT(ADDRESS(ROW()-1,COLUMN(NOTA[[#Headers],[ID]])))="ID",1,IF(NOTA[[#This Row],[FAKTUR]]="","",COUNT(INDIRECT(ADDRESS(ROW(NOTA[ID]),COLUMN(NOTA[ID]))&amp;":"&amp;ADDRESS(ROW()-1,COLUMN(NOTA[ID]))))+1))</f>
        <v>139</v>
      </c>
      <c r="B80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DBS_2705_823-16</v>
      </c>
      <c r="C807" s="188" t="e">
        <f ca="1">IF(NOTA[[#This Row],[ID_P]]="","",MATCH(NOTA[[#This Row],[ID_P]],[1]!B_MSK[N_ID],0))</f>
        <v>#REF!</v>
      </c>
      <c r="D807" s="188">
        <f ca="1">IF(NOTA[[#This Row],[NAMA BARANG]]="","",INDEX(NOTA[ID],MATCH(,INDIRECT(ADDRESS(ROW(NOTA[ID]),COLUMN(NOTA[ID]))&amp;":"&amp;ADDRESS(ROW(),COLUMN(NOTA[ID]))),-1)))</f>
        <v>139</v>
      </c>
      <c r="E807" s="189"/>
      <c r="F807" s="190" t="s">
        <v>168</v>
      </c>
      <c r="G807" s="190" t="s">
        <v>112</v>
      </c>
      <c r="H807" s="191" t="s">
        <v>989</v>
      </c>
      <c r="I807" s="190"/>
      <c r="J807" s="192">
        <v>45069</v>
      </c>
      <c r="K807" s="190"/>
      <c r="L807" s="190" t="s">
        <v>990</v>
      </c>
      <c r="M807" s="193">
        <v>3</v>
      </c>
      <c r="N807" s="188">
        <v>360</v>
      </c>
      <c r="O807" s="190" t="s">
        <v>125</v>
      </c>
      <c r="P807" s="187">
        <v>19000</v>
      </c>
      <c r="Q807" s="194"/>
      <c r="R807" s="195" t="s">
        <v>173</v>
      </c>
      <c r="S807" s="196"/>
      <c r="T807" s="197"/>
      <c r="U807" s="198"/>
      <c r="V807" s="199"/>
      <c r="W807" s="198">
        <f>IF(NOTA[[#This Row],[HARGA/ CTN]]="",NOTA[[#This Row],[JUMLAH_H]],NOTA[[#This Row],[HARGA/ CTN]]*IF(NOTA[[#This Row],[C]]="",0,NOTA[[#This Row],[C]]))</f>
        <v>6840000</v>
      </c>
      <c r="X807" s="198">
        <f>IF(NOTA[[#This Row],[JUMLAH]]="","",NOTA[[#This Row],[JUMLAH]]*NOTA[[#This Row],[DISC 1]])</f>
        <v>0</v>
      </c>
      <c r="Y807" s="198">
        <f>IF(NOTA[[#This Row],[JUMLAH]]="","",(NOTA[[#This Row],[JUMLAH]]-NOTA[[#This Row],[DISC 1-]])*NOTA[[#This Row],[DISC 2]])</f>
        <v>0</v>
      </c>
      <c r="Z807" s="198">
        <f>IF(NOTA[[#This Row],[JUMLAH]]="","",NOTA[[#This Row],[DISC 1-]]+NOTA[[#This Row],[DISC 2-]])</f>
        <v>0</v>
      </c>
      <c r="AA807" s="198">
        <f>IF(NOTA[[#This Row],[JUMLAH]]="","",NOTA[[#This Row],[JUMLAH]]-NOTA[[#This Row],[DISC]])</f>
        <v>6840000</v>
      </c>
      <c r="AB807" s="198"/>
      <c r="AC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807" s="200">
        <f>IF(OR(NOTA[[#This Row],[QTY]]="",NOTA[[#This Row],[HARGA SATUAN]]="",),"",NOTA[[#This Row],[QTY]]*NOTA[[#This Row],[HARGA SATUAN]])</f>
        <v>6840000</v>
      </c>
      <c r="AG807" s="192">
        <f ca="1">IF(NOTA[ID_H]="","",INDEX(NOTA[TANGGAL],MATCH(,INDIRECT(ADDRESS(ROW(NOTA[TANGGAL]),COLUMN(NOTA[TANGGAL]))&amp;":"&amp;ADDRESS(ROW(),COLUMN(NOTA[TANGGAL]))),-1)))</f>
        <v>45073</v>
      </c>
      <c r="AH807" s="187" t="str">
        <f ca="1">IF(NOTA[[#This Row],[NAMA BARANG]]="","",INDEX(NOTA[SUPPLIER],MATCH(,INDIRECT(ADDRESS(ROW(NOTA[ID]),COLUMN(NOTA[ID]))&amp;":"&amp;ADDRESS(ROW(),COLUMN(NOTA[ID]))),-1)))</f>
        <v>DB STATIONERY</v>
      </c>
      <c r="AI807" s="187" t="str">
        <f ca="1">IF(NOTA[[#This Row],[ID_H]]="","",IF(NOTA[[#This Row],[FAKTUR]]="",INDIRECT(ADDRESS(ROW()-1,COLUMN())),NOTA[[#This Row],[FAKTUR]]))</f>
        <v>UNTANA</v>
      </c>
      <c r="AJ807" s="188">
        <f ca="1">IF(NOTA[[#This Row],[ID]]="","",COUNTIF(NOTA[ID_H],NOTA[[#This Row],[ID_H]]))</f>
        <v>16</v>
      </c>
      <c r="AK807" s="188">
        <f>IF(NOTA[[#This Row],[TGL.NOTA]]="",IF(NOTA[[#This Row],[SUPPLIER_H]]="","",AK806),MONTH(NOTA[[#This Row],[TGL.NOTA]]))</f>
        <v>5</v>
      </c>
      <c r="AL807" s="188" t="str">
        <f>LOWER(SUBSTITUTE(SUBSTITUTE(SUBSTITUTE(SUBSTITUTE(SUBSTITUTE(SUBSTITUTE(SUBSTITUTE(SUBSTITUTE(SUBSTITUTE(NOTA[NAMA BARANG]," ",),".",""),"-",""),"(",""),")",""),",",""),"/",""),"""",""),"+",""))</f>
        <v>geldebozz05refilldb550</v>
      </c>
      <c r="AM80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geldebozz05refilldb5502280000</v>
      </c>
      <c r="AN80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geldebozz05refilldb5502280000</v>
      </c>
      <c r="AO807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STATIONERYUNTANAJUE528/2345069geldebozz05refilldb550</v>
      </c>
      <c r="AP807" s="188" t="e">
        <f>IF(NOTA[[#This Row],[CONCAT4]]="","",_xlfn.IFNA(MATCH(NOTA[[#This Row],[CONCAT4]],[2]!RAW[CONCAT_H],0),FALSE))</f>
        <v>#REF!</v>
      </c>
      <c r="AQ807" s="188" t="e">
        <f>IF(NOTA[[#This Row],[CONCAT1]]="","",MATCH(NOTA[[#This Row],[CONCAT1]],[3]!db[NB NOTA_C],0)+1)</f>
        <v>#N/A</v>
      </c>
    </row>
    <row r="808" spans="1:43" ht="20.100000000000001" customHeight="1" x14ac:dyDescent="0.25">
      <c r="A80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188" t="str">
        <f>IF(NOTA[[#This Row],[ID_P]]="","",MATCH(NOTA[[#This Row],[ID_P]],[1]!B_MSK[N_ID],0))</f>
        <v/>
      </c>
      <c r="D808" s="188">
        <f ca="1">IF(NOTA[[#This Row],[NAMA BARANG]]="","",INDEX(NOTA[ID],MATCH(,INDIRECT(ADDRESS(ROW(NOTA[ID]),COLUMN(NOTA[ID]))&amp;":"&amp;ADDRESS(ROW(),COLUMN(NOTA[ID]))),-1)))</f>
        <v>139</v>
      </c>
      <c r="E808" s="189"/>
      <c r="F808" s="190"/>
      <c r="G808" s="190"/>
      <c r="H808" s="191"/>
      <c r="I808" s="190"/>
      <c r="J808" s="192"/>
      <c r="K808" s="190"/>
      <c r="L808" s="190" t="s">
        <v>401</v>
      </c>
      <c r="M808" s="193">
        <v>3</v>
      </c>
      <c r="N808" s="188">
        <v>432</v>
      </c>
      <c r="O808" s="190" t="s">
        <v>125</v>
      </c>
      <c r="P808" s="187">
        <v>21000</v>
      </c>
      <c r="Q808" s="194"/>
      <c r="R808" s="195" t="s">
        <v>171</v>
      </c>
      <c r="S808" s="196"/>
      <c r="T808" s="197"/>
      <c r="U808" s="198"/>
      <c r="V808" s="199"/>
      <c r="W808" s="198">
        <f>IF(NOTA[[#This Row],[HARGA/ CTN]]="",NOTA[[#This Row],[JUMLAH_H]],NOTA[[#This Row],[HARGA/ CTN]]*IF(NOTA[[#This Row],[C]]="",0,NOTA[[#This Row],[C]]))</f>
        <v>9072000</v>
      </c>
      <c r="X808" s="198">
        <f>IF(NOTA[[#This Row],[JUMLAH]]="","",NOTA[[#This Row],[JUMLAH]]*NOTA[[#This Row],[DISC 1]])</f>
        <v>0</v>
      </c>
      <c r="Y808" s="198">
        <f>IF(NOTA[[#This Row],[JUMLAH]]="","",(NOTA[[#This Row],[JUMLAH]]-NOTA[[#This Row],[DISC 1-]])*NOTA[[#This Row],[DISC 2]])</f>
        <v>0</v>
      </c>
      <c r="Z808" s="198">
        <f>IF(NOTA[[#This Row],[JUMLAH]]="","",NOTA[[#This Row],[DISC 1-]]+NOTA[[#This Row],[DISC 2-]])</f>
        <v>0</v>
      </c>
      <c r="AA808" s="198">
        <f>IF(NOTA[[#This Row],[JUMLAH]]="","",NOTA[[#This Row],[JUMLAH]]-NOTA[[#This Row],[DISC]])</f>
        <v>9072000</v>
      </c>
      <c r="AB808" s="198"/>
      <c r="AC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08" s="200">
        <f>IF(OR(NOTA[[#This Row],[QTY]]="",NOTA[[#This Row],[HARGA SATUAN]]="",),"",NOTA[[#This Row],[QTY]]*NOTA[[#This Row],[HARGA SATUAN]])</f>
        <v>9072000</v>
      </c>
      <c r="AG808" s="192">
        <f ca="1">IF(NOTA[ID_H]="","",INDEX(NOTA[TANGGAL],MATCH(,INDIRECT(ADDRESS(ROW(NOTA[TANGGAL]),COLUMN(NOTA[TANGGAL]))&amp;":"&amp;ADDRESS(ROW(),COLUMN(NOTA[TANGGAL]))),-1)))</f>
        <v>45073</v>
      </c>
      <c r="AH808" s="187" t="str">
        <f ca="1">IF(NOTA[[#This Row],[NAMA BARANG]]="","",INDEX(NOTA[SUPPLIER],MATCH(,INDIRECT(ADDRESS(ROW(NOTA[ID]),COLUMN(NOTA[ID]))&amp;":"&amp;ADDRESS(ROW(),COLUMN(NOTA[ID]))),-1)))</f>
        <v>DB STATIONERY</v>
      </c>
      <c r="AI808" s="187" t="str">
        <f ca="1">IF(NOTA[[#This Row],[ID_H]]="","",IF(NOTA[[#This Row],[FAKTUR]]="",INDIRECT(ADDRESS(ROW()-1,COLUMN())),NOTA[[#This Row],[FAKTUR]]))</f>
        <v>UNTANA</v>
      </c>
      <c r="AJ808" s="188" t="str">
        <f ca="1">IF(NOTA[[#This Row],[ID]]="","",COUNTIF(NOTA[ID_H],NOTA[[#This Row],[ID_H]]))</f>
        <v/>
      </c>
      <c r="AK808" s="188">
        <f ca="1">IF(NOTA[[#This Row],[TGL.NOTA]]="",IF(NOTA[[#This Row],[SUPPLIER_H]]="","",AK807),MONTH(NOTA[[#This Row],[TGL.NOTA]]))</f>
        <v>5</v>
      </c>
      <c r="AL808" s="188" t="str">
        <f>LOWER(SUBSTITUTE(SUBSTITUTE(SUBSTITUTE(SUBSTITUTE(SUBSTITUTE(SUBSTITUTE(SUBSTITUTE(SUBSTITUTE(SUBSTITUTE(NOTA[NAMA BARANG]," ",),".",""),"-",""),"(",""),")",""),",",""),"/",""),"""",""),"+",""))</f>
        <v>geltizotg31220</v>
      </c>
      <c r="AM80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N80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O80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188" t="str">
        <f>IF(NOTA[[#This Row],[CONCAT4]]="","",_xlfn.IFNA(MATCH(NOTA[[#This Row],[CONCAT4]],[2]!RAW[CONCAT_H],0),FALSE))</f>
        <v/>
      </c>
      <c r="AQ808" s="188">
        <f>IF(NOTA[[#This Row],[CONCAT1]]="","",MATCH(NOTA[[#This Row],[CONCAT1]],[3]!db[NB NOTA_C],0)+1)</f>
        <v>920</v>
      </c>
    </row>
    <row r="809" spans="1:43" ht="20.100000000000001" customHeight="1" x14ac:dyDescent="0.25">
      <c r="A80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188" t="str">
        <f>IF(NOTA[[#This Row],[ID_P]]="","",MATCH(NOTA[[#This Row],[ID_P]],[1]!B_MSK[N_ID],0))</f>
        <v/>
      </c>
      <c r="D809" s="188">
        <f ca="1">IF(NOTA[[#This Row],[NAMA BARANG]]="","",INDEX(NOTA[ID],MATCH(,INDIRECT(ADDRESS(ROW(NOTA[ID]),COLUMN(NOTA[ID]))&amp;":"&amp;ADDRESS(ROW(),COLUMN(NOTA[ID]))),-1)))</f>
        <v>139</v>
      </c>
      <c r="E809" s="189"/>
      <c r="F809" s="190"/>
      <c r="G809" s="190"/>
      <c r="H809" s="191"/>
      <c r="I809" s="190"/>
      <c r="J809" s="192"/>
      <c r="K809" s="190"/>
      <c r="L809" s="190" t="s">
        <v>991</v>
      </c>
      <c r="M809" s="193">
        <v>2</v>
      </c>
      <c r="N809" s="188">
        <v>288</v>
      </c>
      <c r="O809" s="190" t="s">
        <v>125</v>
      </c>
      <c r="P809" s="187">
        <v>22500</v>
      </c>
      <c r="Q809" s="194"/>
      <c r="R809" s="195" t="s">
        <v>171</v>
      </c>
      <c r="S809" s="196"/>
      <c r="T809" s="197"/>
      <c r="U809" s="198"/>
      <c r="V809" s="199"/>
      <c r="W809" s="198">
        <f>IF(NOTA[[#This Row],[HARGA/ CTN]]="",NOTA[[#This Row],[JUMLAH_H]],NOTA[[#This Row],[HARGA/ CTN]]*IF(NOTA[[#This Row],[C]]="",0,NOTA[[#This Row],[C]]))</f>
        <v>6480000</v>
      </c>
      <c r="X809" s="198">
        <f>IF(NOTA[[#This Row],[JUMLAH]]="","",NOTA[[#This Row],[JUMLAH]]*NOTA[[#This Row],[DISC 1]])</f>
        <v>0</v>
      </c>
      <c r="Y809" s="198">
        <f>IF(NOTA[[#This Row],[JUMLAH]]="","",(NOTA[[#This Row],[JUMLAH]]-NOTA[[#This Row],[DISC 1-]])*NOTA[[#This Row],[DISC 2]])</f>
        <v>0</v>
      </c>
      <c r="Z809" s="198">
        <f>IF(NOTA[[#This Row],[JUMLAH]]="","",NOTA[[#This Row],[DISC 1-]]+NOTA[[#This Row],[DISC 2-]])</f>
        <v>0</v>
      </c>
      <c r="AA809" s="198">
        <f>IF(NOTA[[#This Row],[JUMLAH]]="","",NOTA[[#This Row],[JUMLAH]]-NOTA[[#This Row],[DISC]])</f>
        <v>6480000</v>
      </c>
      <c r="AB809" s="198"/>
      <c r="AC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187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809" s="200">
        <f>IF(OR(NOTA[[#This Row],[QTY]]="",NOTA[[#This Row],[HARGA SATUAN]]="",),"",NOTA[[#This Row],[QTY]]*NOTA[[#This Row],[HARGA SATUAN]])</f>
        <v>6480000</v>
      </c>
      <c r="AG809" s="192">
        <f ca="1">IF(NOTA[ID_H]="","",INDEX(NOTA[TANGGAL],MATCH(,INDIRECT(ADDRESS(ROW(NOTA[TANGGAL]),COLUMN(NOTA[TANGGAL]))&amp;":"&amp;ADDRESS(ROW(),COLUMN(NOTA[TANGGAL]))),-1)))</f>
        <v>45073</v>
      </c>
      <c r="AH809" s="187" t="str">
        <f ca="1">IF(NOTA[[#This Row],[NAMA BARANG]]="","",INDEX(NOTA[SUPPLIER],MATCH(,INDIRECT(ADDRESS(ROW(NOTA[ID]),COLUMN(NOTA[ID]))&amp;":"&amp;ADDRESS(ROW(),COLUMN(NOTA[ID]))),-1)))</f>
        <v>DB STATIONERY</v>
      </c>
      <c r="AI809" s="187" t="str">
        <f ca="1">IF(NOTA[[#This Row],[ID_H]]="","",IF(NOTA[[#This Row],[FAKTUR]]="",INDIRECT(ADDRESS(ROW()-1,COLUMN())),NOTA[[#This Row],[FAKTUR]]))</f>
        <v>UNTANA</v>
      </c>
      <c r="AJ809" s="188" t="str">
        <f ca="1">IF(NOTA[[#This Row],[ID]]="","",COUNTIF(NOTA[ID_H],NOTA[[#This Row],[ID_H]]))</f>
        <v/>
      </c>
      <c r="AK809" s="188">
        <f ca="1">IF(NOTA[[#This Row],[TGL.NOTA]]="",IF(NOTA[[#This Row],[SUPPLIER_H]]="","",AK808),MONTH(NOTA[[#This Row],[TGL.NOTA]]))</f>
        <v>5</v>
      </c>
      <c r="AL809" s="188" t="str">
        <f>LOWER(SUBSTITUTE(SUBSTITUTE(SUBSTITUTE(SUBSTITUTE(SUBSTITUTE(SUBSTITUTE(SUBSTITUTE(SUBSTITUTE(SUBSTITUTE(NOTA[NAMA BARANG]," ",),".",""),"-",""),"(",""),")",""),",",""),"/",""),"""",""),"+",""))</f>
        <v>geldebozzklik09dbg09</v>
      </c>
      <c r="AM80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geldebozzklik09dbg093240000</v>
      </c>
      <c r="AN80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geldebozzklik09dbg093240000</v>
      </c>
      <c r="AO80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188" t="str">
        <f>IF(NOTA[[#This Row],[CONCAT4]]="","",_xlfn.IFNA(MATCH(NOTA[[#This Row],[CONCAT4]],[2]!RAW[CONCAT_H],0),FALSE))</f>
        <v/>
      </c>
      <c r="AQ809" s="188" t="e">
        <f>IF(NOTA[[#This Row],[CONCAT1]]="","",MATCH(NOTA[[#This Row],[CONCAT1]],[3]!db[NB NOTA_C],0)+1)</f>
        <v>#N/A</v>
      </c>
    </row>
    <row r="810" spans="1:43" ht="20.100000000000001" customHeight="1" x14ac:dyDescent="0.25">
      <c r="A81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188" t="str">
        <f>IF(NOTA[[#This Row],[ID_P]]="","",MATCH(NOTA[[#This Row],[ID_P]],[1]!B_MSK[N_ID],0))</f>
        <v/>
      </c>
      <c r="D810" s="188">
        <f ca="1">IF(NOTA[[#This Row],[NAMA BARANG]]="","",INDEX(NOTA[ID],MATCH(,INDIRECT(ADDRESS(ROW(NOTA[ID]),COLUMN(NOTA[ID]))&amp;":"&amp;ADDRESS(ROW(),COLUMN(NOTA[ID]))),-1)))</f>
        <v>139</v>
      </c>
      <c r="E810" s="189"/>
      <c r="F810" s="190"/>
      <c r="G810" s="190"/>
      <c r="H810" s="191"/>
      <c r="I810" s="190"/>
      <c r="J810" s="192"/>
      <c r="K810" s="190"/>
      <c r="L810" s="190" t="s">
        <v>992</v>
      </c>
      <c r="M810" s="193">
        <v>1</v>
      </c>
      <c r="N810" s="188">
        <v>24</v>
      </c>
      <c r="O810" s="190" t="s">
        <v>160</v>
      </c>
      <c r="P810" s="187">
        <v>106000</v>
      </c>
      <c r="Q810" s="194"/>
      <c r="R810" s="195" t="s">
        <v>236</v>
      </c>
      <c r="S810" s="196"/>
      <c r="T810" s="197"/>
      <c r="U810" s="198"/>
      <c r="V810" s="199"/>
      <c r="W810" s="198">
        <f>IF(NOTA[[#This Row],[HARGA/ CTN]]="",NOTA[[#This Row],[JUMLAH_H]],NOTA[[#This Row],[HARGA/ CTN]]*IF(NOTA[[#This Row],[C]]="",0,NOTA[[#This Row],[C]]))</f>
        <v>2544000</v>
      </c>
      <c r="X810" s="198">
        <f>IF(NOTA[[#This Row],[JUMLAH]]="","",NOTA[[#This Row],[JUMLAH]]*NOTA[[#This Row],[DISC 1]])</f>
        <v>0</v>
      </c>
      <c r="Y810" s="198">
        <f>IF(NOTA[[#This Row],[JUMLAH]]="","",(NOTA[[#This Row],[JUMLAH]]-NOTA[[#This Row],[DISC 1-]])*NOTA[[#This Row],[DISC 2]])</f>
        <v>0</v>
      </c>
      <c r="Z810" s="198">
        <f>IF(NOTA[[#This Row],[JUMLAH]]="","",NOTA[[#This Row],[DISC 1-]]+NOTA[[#This Row],[DISC 2-]])</f>
        <v>0</v>
      </c>
      <c r="AA810" s="198">
        <f>IF(NOTA[[#This Row],[JUMLAH]]="","",NOTA[[#This Row],[JUMLAH]]-NOTA[[#This Row],[DISC]])</f>
        <v>2544000</v>
      </c>
      <c r="AB810" s="198"/>
      <c r="AC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187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810" s="200">
        <f>IF(OR(NOTA[[#This Row],[QTY]]="",NOTA[[#This Row],[HARGA SATUAN]]="",),"",NOTA[[#This Row],[QTY]]*NOTA[[#This Row],[HARGA SATUAN]])</f>
        <v>2544000</v>
      </c>
      <c r="AG810" s="192">
        <f ca="1">IF(NOTA[ID_H]="","",INDEX(NOTA[TANGGAL],MATCH(,INDIRECT(ADDRESS(ROW(NOTA[TANGGAL]),COLUMN(NOTA[TANGGAL]))&amp;":"&amp;ADDRESS(ROW(),COLUMN(NOTA[TANGGAL]))),-1)))</f>
        <v>45073</v>
      </c>
      <c r="AH810" s="187" t="str">
        <f ca="1">IF(NOTA[[#This Row],[NAMA BARANG]]="","",INDEX(NOTA[SUPPLIER],MATCH(,INDIRECT(ADDRESS(ROW(NOTA[ID]),COLUMN(NOTA[ID]))&amp;":"&amp;ADDRESS(ROW(),COLUMN(NOTA[ID]))),-1)))</f>
        <v>DB STATIONERY</v>
      </c>
      <c r="AI810" s="187" t="str">
        <f ca="1">IF(NOTA[[#This Row],[ID_H]]="","",IF(NOTA[[#This Row],[FAKTUR]]="",INDIRECT(ADDRESS(ROW()-1,COLUMN())),NOTA[[#This Row],[FAKTUR]]))</f>
        <v>UNTANA</v>
      </c>
      <c r="AJ810" s="188" t="str">
        <f ca="1">IF(NOTA[[#This Row],[ID]]="","",COUNTIF(NOTA[ID_H],NOTA[[#This Row],[ID_H]]))</f>
        <v/>
      </c>
      <c r="AK810" s="188">
        <f ca="1">IF(NOTA[[#This Row],[TGL.NOTA]]="",IF(NOTA[[#This Row],[SUPPLIER_H]]="","",AK809),MONTH(NOTA[[#This Row],[TGL.NOTA]]))</f>
        <v>5</v>
      </c>
      <c r="AL810" s="188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81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81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81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188" t="str">
        <f>IF(NOTA[[#This Row],[CONCAT4]]="","",_xlfn.IFNA(MATCH(NOTA[[#This Row],[CONCAT4]],[2]!RAW[CONCAT_H],0),FALSE))</f>
        <v/>
      </c>
      <c r="AQ810" s="188">
        <f>IF(NOTA[[#This Row],[CONCAT1]]="","",MATCH(NOTA[[#This Row],[CONCAT1]],[3]!db[NB NOTA_C],0)+1)</f>
        <v>2167</v>
      </c>
    </row>
    <row r="811" spans="1:43" ht="20.100000000000001" customHeight="1" x14ac:dyDescent="0.25">
      <c r="A81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188" t="str">
        <f>IF(NOTA[[#This Row],[ID_P]]="","",MATCH(NOTA[[#This Row],[ID_P]],[1]!B_MSK[N_ID],0))</f>
        <v/>
      </c>
      <c r="D811" s="188">
        <f ca="1">IF(NOTA[[#This Row],[NAMA BARANG]]="","",INDEX(NOTA[ID],MATCH(,INDIRECT(ADDRESS(ROW(NOTA[ID]),COLUMN(NOTA[ID]))&amp;":"&amp;ADDRESS(ROW(),COLUMN(NOTA[ID]))),-1)))</f>
        <v>139</v>
      </c>
      <c r="E811" s="189"/>
      <c r="F811" s="190"/>
      <c r="G811" s="190"/>
      <c r="H811" s="191"/>
      <c r="I811" s="190"/>
      <c r="J811" s="192"/>
      <c r="K811" s="190"/>
      <c r="L811" s="190" t="s">
        <v>993</v>
      </c>
      <c r="M811" s="193">
        <v>10</v>
      </c>
      <c r="N811" s="188">
        <v>960</v>
      </c>
      <c r="O811" s="190" t="s">
        <v>125</v>
      </c>
      <c r="P811" s="187">
        <v>31500</v>
      </c>
      <c r="Q811" s="194"/>
      <c r="R811" s="195" t="s">
        <v>175</v>
      </c>
      <c r="S811" s="196"/>
      <c r="T811" s="197"/>
      <c r="U811" s="198"/>
      <c r="V811" s="199"/>
      <c r="W811" s="198">
        <f>IF(NOTA[[#This Row],[HARGA/ CTN]]="",NOTA[[#This Row],[JUMLAH_H]],NOTA[[#This Row],[HARGA/ CTN]]*IF(NOTA[[#This Row],[C]]="",0,NOTA[[#This Row],[C]]))</f>
        <v>30240000</v>
      </c>
      <c r="X811" s="198">
        <f>IF(NOTA[[#This Row],[JUMLAH]]="","",NOTA[[#This Row],[JUMLAH]]*NOTA[[#This Row],[DISC 1]])</f>
        <v>0</v>
      </c>
      <c r="Y811" s="198">
        <f>IF(NOTA[[#This Row],[JUMLAH]]="","",(NOTA[[#This Row],[JUMLAH]]-NOTA[[#This Row],[DISC 1-]])*NOTA[[#This Row],[DISC 2]])</f>
        <v>0</v>
      </c>
      <c r="Z811" s="198">
        <f>IF(NOTA[[#This Row],[JUMLAH]]="","",NOTA[[#This Row],[DISC 1-]]+NOTA[[#This Row],[DISC 2-]])</f>
        <v>0</v>
      </c>
      <c r="AA811" s="198">
        <f>IF(NOTA[[#This Row],[JUMLAH]]="","",NOTA[[#This Row],[JUMLAH]]-NOTA[[#This Row],[DISC]])</f>
        <v>30240000</v>
      </c>
      <c r="AB811" s="198"/>
      <c r="AC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11" s="200">
        <f>IF(OR(NOTA[[#This Row],[QTY]]="",NOTA[[#This Row],[HARGA SATUAN]]="",),"",NOTA[[#This Row],[QTY]]*NOTA[[#This Row],[HARGA SATUAN]])</f>
        <v>30240000</v>
      </c>
      <c r="AG811" s="192">
        <f ca="1">IF(NOTA[ID_H]="","",INDEX(NOTA[TANGGAL],MATCH(,INDIRECT(ADDRESS(ROW(NOTA[TANGGAL]),COLUMN(NOTA[TANGGAL]))&amp;":"&amp;ADDRESS(ROW(),COLUMN(NOTA[TANGGAL]))),-1)))</f>
        <v>45073</v>
      </c>
      <c r="AH811" s="187" t="str">
        <f ca="1">IF(NOTA[[#This Row],[NAMA BARANG]]="","",INDEX(NOTA[SUPPLIER],MATCH(,INDIRECT(ADDRESS(ROW(NOTA[ID]),COLUMN(NOTA[ID]))&amp;":"&amp;ADDRESS(ROW(),COLUMN(NOTA[ID]))),-1)))</f>
        <v>DB STATIONERY</v>
      </c>
      <c r="AI811" s="187" t="str">
        <f ca="1">IF(NOTA[[#This Row],[ID_H]]="","",IF(NOTA[[#This Row],[FAKTUR]]="",INDIRECT(ADDRESS(ROW()-1,COLUMN())),NOTA[[#This Row],[FAKTUR]]))</f>
        <v>UNTANA</v>
      </c>
      <c r="AJ811" s="188" t="str">
        <f ca="1">IF(NOTA[[#This Row],[ID]]="","",COUNTIF(NOTA[ID_H],NOTA[[#This Row],[ID_H]]))</f>
        <v/>
      </c>
      <c r="AK811" s="188">
        <f ca="1">IF(NOTA[[#This Row],[TGL.NOTA]]="",IF(NOTA[[#This Row],[SUPPLIER_H]]="","",AK810),MONTH(NOTA[[#This Row],[TGL.NOTA]]))</f>
        <v>5</v>
      </c>
      <c r="AL811" s="188" t="str">
        <f>LOWER(SUBSTITUTE(SUBSTITUTE(SUBSTITUTE(SUBSTITUTE(SUBSTITUTE(SUBSTITUTE(SUBSTITUTE(SUBSTITUTE(SUBSTITUTE(NOTA[NAMA BARANG]," ",),".",""),"-",""),"(",""),")",""),",",""),"/",""),"""",""),"+",""))</f>
        <v>gelpentizo10tg340</v>
      </c>
      <c r="AM81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81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81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188" t="str">
        <f>IF(NOTA[[#This Row],[CONCAT4]]="","",_xlfn.IFNA(MATCH(NOTA[[#This Row],[CONCAT4]],[2]!RAW[CONCAT_H],0),FALSE))</f>
        <v/>
      </c>
      <c r="AQ811" s="188">
        <f>IF(NOTA[[#This Row],[CONCAT1]]="","",MATCH(NOTA[[#This Row],[CONCAT1]],[3]!db[NB NOTA_C],0)+1)</f>
        <v>829</v>
      </c>
    </row>
    <row r="812" spans="1:43" ht="20.100000000000001" customHeight="1" x14ac:dyDescent="0.25">
      <c r="A81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188" t="str">
        <f>IF(NOTA[[#This Row],[ID_P]]="","",MATCH(NOTA[[#This Row],[ID_P]],[1]!B_MSK[N_ID],0))</f>
        <v/>
      </c>
      <c r="D812" s="188">
        <f ca="1">IF(NOTA[[#This Row],[NAMA BARANG]]="","",INDEX(NOTA[ID],MATCH(,INDIRECT(ADDRESS(ROW(NOTA[ID]),COLUMN(NOTA[ID]))&amp;":"&amp;ADDRESS(ROW(),COLUMN(NOTA[ID]))),-1)))</f>
        <v>139</v>
      </c>
      <c r="E812" s="189"/>
      <c r="F812" s="190"/>
      <c r="G812" s="190"/>
      <c r="H812" s="191"/>
      <c r="I812" s="190"/>
      <c r="J812" s="192"/>
      <c r="K812" s="190"/>
      <c r="L812" s="190" t="s">
        <v>994</v>
      </c>
      <c r="M812" s="193">
        <v>4</v>
      </c>
      <c r="N812" s="188">
        <v>384</v>
      </c>
      <c r="O812" s="190" t="s">
        <v>125</v>
      </c>
      <c r="P812" s="187">
        <v>31500</v>
      </c>
      <c r="Q812" s="194"/>
      <c r="R812" s="195" t="s">
        <v>175</v>
      </c>
      <c r="S812" s="196"/>
      <c r="T812" s="197"/>
      <c r="U812" s="198"/>
      <c r="V812" s="199"/>
      <c r="W812" s="198">
        <f>IF(NOTA[[#This Row],[HARGA/ CTN]]="",NOTA[[#This Row],[JUMLAH_H]],NOTA[[#This Row],[HARGA/ CTN]]*IF(NOTA[[#This Row],[C]]="",0,NOTA[[#This Row],[C]]))</f>
        <v>12096000</v>
      </c>
      <c r="X812" s="198">
        <f>IF(NOTA[[#This Row],[JUMLAH]]="","",NOTA[[#This Row],[JUMLAH]]*NOTA[[#This Row],[DISC 1]])</f>
        <v>0</v>
      </c>
      <c r="Y812" s="198">
        <f>IF(NOTA[[#This Row],[JUMLAH]]="","",(NOTA[[#This Row],[JUMLAH]]-NOTA[[#This Row],[DISC 1-]])*NOTA[[#This Row],[DISC 2]])</f>
        <v>0</v>
      </c>
      <c r="Z812" s="198">
        <f>IF(NOTA[[#This Row],[JUMLAH]]="","",NOTA[[#This Row],[DISC 1-]]+NOTA[[#This Row],[DISC 2-]])</f>
        <v>0</v>
      </c>
      <c r="AA812" s="198">
        <f>IF(NOTA[[#This Row],[JUMLAH]]="","",NOTA[[#This Row],[JUMLAH]]-NOTA[[#This Row],[DISC]])</f>
        <v>12096000</v>
      </c>
      <c r="AB812" s="198"/>
      <c r="AC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187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812" s="200">
        <f>IF(OR(NOTA[[#This Row],[QTY]]="",NOTA[[#This Row],[HARGA SATUAN]]="",),"",NOTA[[#This Row],[QTY]]*NOTA[[#This Row],[HARGA SATUAN]])</f>
        <v>12096000</v>
      </c>
      <c r="AG812" s="192">
        <f ca="1">IF(NOTA[ID_H]="","",INDEX(NOTA[TANGGAL],MATCH(,INDIRECT(ADDRESS(ROW(NOTA[TANGGAL]),COLUMN(NOTA[TANGGAL]))&amp;":"&amp;ADDRESS(ROW(),COLUMN(NOTA[TANGGAL]))),-1)))</f>
        <v>45073</v>
      </c>
      <c r="AH812" s="187" t="str">
        <f ca="1">IF(NOTA[[#This Row],[NAMA BARANG]]="","",INDEX(NOTA[SUPPLIER],MATCH(,INDIRECT(ADDRESS(ROW(NOTA[ID]),COLUMN(NOTA[ID]))&amp;":"&amp;ADDRESS(ROW(),COLUMN(NOTA[ID]))),-1)))</f>
        <v>DB STATIONERY</v>
      </c>
      <c r="AI812" s="187" t="str">
        <f ca="1">IF(NOTA[[#This Row],[ID_H]]="","",IF(NOTA[[#This Row],[FAKTUR]]="",INDIRECT(ADDRESS(ROW()-1,COLUMN())),NOTA[[#This Row],[FAKTUR]]))</f>
        <v>UNTANA</v>
      </c>
      <c r="AJ812" s="188" t="str">
        <f ca="1">IF(NOTA[[#This Row],[ID]]="","",COUNTIF(NOTA[ID_H],NOTA[[#This Row],[ID_H]]))</f>
        <v/>
      </c>
      <c r="AK812" s="188">
        <f ca="1">IF(NOTA[[#This Row],[TGL.NOTA]]="",IF(NOTA[[#This Row],[SUPPLIER_H]]="","",AK811),MONTH(NOTA[[#This Row],[TGL.NOTA]]))</f>
        <v>5</v>
      </c>
      <c r="AL812" s="18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81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81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81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188" t="str">
        <f>IF(NOTA[[#This Row],[CONCAT4]]="","",_xlfn.IFNA(MATCH(NOTA[[#This Row],[CONCAT4]],[2]!RAW[CONCAT_H],0),FALSE))</f>
        <v/>
      </c>
      <c r="AQ812" s="188">
        <f>IF(NOTA[[#This Row],[CONCAT1]]="","",MATCH(NOTA[[#This Row],[CONCAT1]],[3]!db[NB NOTA_C],0)+1)</f>
        <v>779</v>
      </c>
    </row>
    <row r="813" spans="1:43" ht="20.100000000000001" customHeight="1" x14ac:dyDescent="0.25">
      <c r="A81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188" t="str">
        <f>IF(NOTA[[#This Row],[ID_P]]="","",MATCH(NOTA[[#This Row],[ID_P]],[1]!B_MSK[N_ID],0))</f>
        <v/>
      </c>
      <c r="D813" s="188">
        <f ca="1">IF(NOTA[[#This Row],[NAMA BARANG]]="","",INDEX(NOTA[ID],MATCH(,INDIRECT(ADDRESS(ROW(NOTA[ID]),COLUMN(NOTA[ID]))&amp;":"&amp;ADDRESS(ROW(),COLUMN(NOTA[ID]))),-1)))</f>
        <v>139</v>
      </c>
      <c r="E813" s="189"/>
      <c r="F813" s="190"/>
      <c r="G813" s="190"/>
      <c r="H813" s="191"/>
      <c r="I813" s="190"/>
      <c r="J813" s="192"/>
      <c r="K813" s="190"/>
      <c r="L813" s="190" t="s">
        <v>995</v>
      </c>
      <c r="M813" s="193">
        <v>2</v>
      </c>
      <c r="N813" s="188">
        <v>144</v>
      </c>
      <c r="O813" s="190" t="s">
        <v>125</v>
      </c>
      <c r="P813" s="187">
        <v>43500</v>
      </c>
      <c r="Q813" s="194"/>
      <c r="R813" s="195" t="s">
        <v>996</v>
      </c>
      <c r="S813" s="196"/>
      <c r="T813" s="197"/>
      <c r="U813" s="198"/>
      <c r="V813" s="199"/>
      <c r="W813" s="198">
        <f>IF(NOTA[[#This Row],[HARGA/ CTN]]="",NOTA[[#This Row],[JUMLAH_H]],NOTA[[#This Row],[HARGA/ CTN]]*IF(NOTA[[#This Row],[C]]="",0,NOTA[[#This Row],[C]]))</f>
        <v>6264000</v>
      </c>
      <c r="X813" s="198">
        <f>IF(NOTA[[#This Row],[JUMLAH]]="","",NOTA[[#This Row],[JUMLAH]]*NOTA[[#This Row],[DISC 1]])</f>
        <v>0</v>
      </c>
      <c r="Y813" s="198">
        <f>IF(NOTA[[#This Row],[JUMLAH]]="","",(NOTA[[#This Row],[JUMLAH]]-NOTA[[#This Row],[DISC 1-]])*NOTA[[#This Row],[DISC 2]])</f>
        <v>0</v>
      </c>
      <c r="Z813" s="198">
        <f>IF(NOTA[[#This Row],[JUMLAH]]="","",NOTA[[#This Row],[DISC 1-]]+NOTA[[#This Row],[DISC 2-]])</f>
        <v>0</v>
      </c>
      <c r="AA813" s="198">
        <f>IF(NOTA[[#This Row],[JUMLAH]]="","",NOTA[[#This Row],[JUMLAH]]-NOTA[[#This Row],[DISC]])</f>
        <v>6264000</v>
      </c>
      <c r="AB813" s="198"/>
      <c r="AC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18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813" s="200">
        <f>IF(OR(NOTA[[#This Row],[QTY]]="",NOTA[[#This Row],[HARGA SATUAN]]="",),"",NOTA[[#This Row],[QTY]]*NOTA[[#This Row],[HARGA SATUAN]])</f>
        <v>6264000</v>
      </c>
      <c r="AG813" s="192">
        <f ca="1">IF(NOTA[ID_H]="","",INDEX(NOTA[TANGGAL],MATCH(,INDIRECT(ADDRESS(ROW(NOTA[TANGGAL]),COLUMN(NOTA[TANGGAL]))&amp;":"&amp;ADDRESS(ROW(),COLUMN(NOTA[TANGGAL]))),-1)))</f>
        <v>45073</v>
      </c>
      <c r="AH813" s="187" t="str">
        <f ca="1">IF(NOTA[[#This Row],[NAMA BARANG]]="","",INDEX(NOTA[SUPPLIER],MATCH(,INDIRECT(ADDRESS(ROW(NOTA[ID]),COLUMN(NOTA[ID]))&amp;":"&amp;ADDRESS(ROW(),COLUMN(NOTA[ID]))),-1)))</f>
        <v>DB STATIONERY</v>
      </c>
      <c r="AI813" s="187" t="str">
        <f ca="1">IF(NOTA[[#This Row],[ID_H]]="","",IF(NOTA[[#This Row],[FAKTUR]]="",INDIRECT(ADDRESS(ROW()-1,COLUMN())),NOTA[[#This Row],[FAKTUR]]))</f>
        <v>UNTANA</v>
      </c>
      <c r="AJ813" s="188" t="str">
        <f ca="1">IF(NOTA[[#This Row],[ID]]="","",COUNTIF(NOTA[ID_H],NOTA[[#This Row],[ID_H]]))</f>
        <v/>
      </c>
      <c r="AK813" s="188">
        <f ca="1">IF(NOTA[[#This Row],[TGL.NOTA]]="",IF(NOTA[[#This Row],[SUPPLIER_H]]="","",AK812),MONTH(NOTA[[#This Row],[TGL.NOTA]]))</f>
        <v>5</v>
      </c>
      <c r="AL813" s="188" t="str">
        <f>LOWER(SUBSTITUTE(SUBSTITUTE(SUBSTITUTE(SUBSTITUTE(SUBSTITUTE(SUBSTITUTE(SUBSTITUTE(SUBSTITUTE(SUBSTITUTE(NOTA[NAMA BARANG]," ",),".",""),"-",""),"(",""),")",""),",",""),"/",""),"""",""),"+",""))</f>
        <v>geltizoretrc10tg630</v>
      </c>
      <c r="AM81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geltizoretrc10tg6303132000</v>
      </c>
      <c r="AN81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geltizoretrc10tg6303132000</v>
      </c>
      <c r="AO81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188" t="str">
        <f>IF(NOTA[[#This Row],[CONCAT4]]="","",_xlfn.IFNA(MATCH(NOTA[[#This Row],[CONCAT4]],[2]!RAW[CONCAT_H],0),FALSE))</f>
        <v/>
      </c>
      <c r="AQ813" s="188" t="e">
        <f>IF(NOTA[[#This Row],[CONCAT1]]="","",MATCH(NOTA[[#This Row],[CONCAT1]],[3]!db[NB NOTA_C],0)+1)</f>
        <v>#N/A</v>
      </c>
    </row>
    <row r="814" spans="1:43" ht="20.100000000000001" customHeight="1" x14ac:dyDescent="0.25">
      <c r="A81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188" t="str">
        <f>IF(NOTA[[#This Row],[ID_P]]="","",MATCH(NOTA[[#This Row],[ID_P]],[1]!B_MSK[N_ID],0))</f>
        <v/>
      </c>
      <c r="D814" s="188">
        <f ca="1">IF(NOTA[[#This Row],[NAMA BARANG]]="","",INDEX(NOTA[ID],MATCH(,INDIRECT(ADDRESS(ROW(NOTA[ID]),COLUMN(NOTA[ID]))&amp;":"&amp;ADDRESS(ROW(),COLUMN(NOTA[ID]))),-1)))</f>
        <v>139</v>
      </c>
      <c r="E814" s="189"/>
      <c r="F814" s="190"/>
      <c r="G814" s="190"/>
      <c r="H814" s="191"/>
      <c r="I814" s="190"/>
      <c r="J814" s="192"/>
      <c r="K814" s="190"/>
      <c r="L814" s="190" t="s">
        <v>997</v>
      </c>
      <c r="M814" s="193">
        <v>1</v>
      </c>
      <c r="N814" s="188">
        <v>80</v>
      </c>
      <c r="O814" s="190" t="s">
        <v>160</v>
      </c>
      <c r="P814" s="187">
        <v>22500</v>
      </c>
      <c r="Q814" s="194"/>
      <c r="R814" s="195" t="s">
        <v>740</v>
      </c>
      <c r="S814" s="196"/>
      <c r="T814" s="197"/>
      <c r="U814" s="198"/>
      <c r="V814" s="199"/>
      <c r="W814" s="198">
        <f>IF(NOTA[[#This Row],[HARGA/ CTN]]="",NOTA[[#This Row],[JUMLAH_H]],NOTA[[#This Row],[HARGA/ CTN]]*IF(NOTA[[#This Row],[C]]="",0,NOTA[[#This Row],[C]]))</f>
        <v>1800000</v>
      </c>
      <c r="X814" s="198">
        <f>IF(NOTA[[#This Row],[JUMLAH]]="","",NOTA[[#This Row],[JUMLAH]]*NOTA[[#This Row],[DISC 1]])</f>
        <v>0</v>
      </c>
      <c r="Y814" s="198">
        <f>IF(NOTA[[#This Row],[JUMLAH]]="","",(NOTA[[#This Row],[JUMLAH]]-NOTA[[#This Row],[DISC 1-]])*NOTA[[#This Row],[DISC 2]])</f>
        <v>0</v>
      </c>
      <c r="Z814" s="198">
        <f>IF(NOTA[[#This Row],[JUMLAH]]="","",NOTA[[#This Row],[DISC 1-]]+NOTA[[#This Row],[DISC 2-]])</f>
        <v>0</v>
      </c>
      <c r="AA814" s="198">
        <f>IF(NOTA[[#This Row],[JUMLAH]]="","",NOTA[[#This Row],[JUMLAH]]-NOTA[[#This Row],[DISC]])</f>
        <v>1800000</v>
      </c>
      <c r="AB814" s="198"/>
      <c r="AC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14" s="200">
        <f>IF(OR(NOTA[[#This Row],[QTY]]="",NOTA[[#This Row],[HARGA SATUAN]]="",),"",NOTA[[#This Row],[QTY]]*NOTA[[#This Row],[HARGA SATUAN]])</f>
        <v>1800000</v>
      </c>
      <c r="AG814" s="192">
        <f ca="1">IF(NOTA[ID_H]="","",INDEX(NOTA[TANGGAL],MATCH(,INDIRECT(ADDRESS(ROW(NOTA[TANGGAL]),COLUMN(NOTA[TANGGAL]))&amp;":"&amp;ADDRESS(ROW(),COLUMN(NOTA[TANGGAL]))),-1)))</f>
        <v>45073</v>
      </c>
      <c r="AH814" s="187" t="str">
        <f ca="1">IF(NOTA[[#This Row],[NAMA BARANG]]="","",INDEX(NOTA[SUPPLIER],MATCH(,INDIRECT(ADDRESS(ROW(NOTA[ID]),COLUMN(NOTA[ID]))&amp;":"&amp;ADDRESS(ROW(),COLUMN(NOTA[ID]))),-1)))</f>
        <v>DB STATIONERY</v>
      </c>
      <c r="AI814" s="187" t="str">
        <f ca="1">IF(NOTA[[#This Row],[ID_H]]="","",IF(NOTA[[#This Row],[FAKTUR]]="",INDIRECT(ADDRESS(ROW()-1,COLUMN())),NOTA[[#This Row],[FAKTUR]]))</f>
        <v>UNTANA</v>
      </c>
      <c r="AJ814" s="188" t="str">
        <f ca="1">IF(NOTA[[#This Row],[ID]]="","",COUNTIF(NOTA[ID_H],NOTA[[#This Row],[ID_H]]))</f>
        <v/>
      </c>
      <c r="AK814" s="188">
        <f ca="1">IF(NOTA[[#This Row],[TGL.NOTA]]="",IF(NOTA[[#This Row],[SUPPLIER_H]]="","",AK813),MONTH(NOTA[[#This Row],[TGL.NOTA]]))</f>
        <v>5</v>
      </c>
      <c r="AL814" s="188" t="str">
        <f>LOWER(SUBSTITUTE(SUBSTITUTE(SUBSTITUTE(SUBSTITUTE(SUBSTITUTE(SUBSTITUTE(SUBSTITUTE(SUBSTITUTE(SUBSTITUTE(NOTA[NAMA BARANG]," ",),".",""),"-",""),"(",""),")",""),",",""),"/",""),"""",""),"+",""))</f>
        <v>isigel10tg308ar</v>
      </c>
      <c r="AM81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N81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O81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188" t="str">
        <f>IF(NOTA[[#This Row],[CONCAT4]]="","",_xlfn.IFNA(MATCH(NOTA[[#This Row],[CONCAT4]],[2]!RAW[CONCAT_H],0),FALSE))</f>
        <v/>
      </c>
      <c r="AQ814" s="188">
        <f>IF(NOTA[[#This Row],[CONCAT1]]="","",MATCH(NOTA[[#This Row],[CONCAT1]],[3]!db[NB NOTA_C],0)+1)</f>
        <v>1082</v>
      </c>
    </row>
    <row r="815" spans="1:43" ht="20.100000000000001" customHeight="1" x14ac:dyDescent="0.25">
      <c r="A81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188" t="str">
        <f>IF(NOTA[[#This Row],[ID_P]]="","",MATCH(NOTA[[#This Row],[ID_P]],[1]!B_MSK[N_ID],0))</f>
        <v/>
      </c>
      <c r="D815" s="188">
        <f ca="1">IF(NOTA[[#This Row],[NAMA BARANG]]="","",INDEX(NOTA[ID],MATCH(,INDIRECT(ADDRESS(ROW(NOTA[ID]),COLUMN(NOTA[ID]))&amp;":"&amp;ADDRESS(ROW(),COLUMN(NOTA[ID]))),-1)))</f>
        <v>139</v>
      </c>
      <c r="E815" s="189"/>
      <c r="F815" s="190"/>
      <c r="G815" s="190"/>
      <c r="H815" s="191"/>
      <c r="I815" s="190"/>
      <c r="J815" s="192"/>
      <c r="K815" s="190"/>
      <c r="L815" s="190" t="s">
        <v>998</v>
      </c>
      <c r="M815" s="193">
        <v>1</v>
      </c>
      <c r="N815" s="188">
        <v>80</v>
      </c>
      <c r="O815" s="190" t="s">
        <v>160</v>
      </c>
      <c r="P815" s="187">
        <v>22500</v>
      </c>
      <c r="Q815" s="194"/>
      <c r="R815" s="195" t="s">
        <v>740</v>
      </c>
      <c r="S815" s="196"/>
      <c r="T815" s="197"/>
      <c r="U815" s="198"/>
      <c r="V815" s="199"/>
      <c r="W815" s="198">
        <f>IF(NOTA[[#This Row],[HARGA/ CTN]]="",NOTA[[#This Row],[JUMLAH_H]],NOTA[[#This Row],[HARGA/ CTN]]*IF(NOTA[[#This Row],[C]]="",0,NOTA[[#This Row],[C]]))</f>
        <v>1800000</v>
      </c>
      <c r="X815" s="198">
        <f>IF(NOTA[[#This Row],[JUMLAH]]="","",NOTA[[#This Row],[JUMLAH]]*NOTA[[#This Row],[DISC 1]])</f>
        <v>0</v>
      </c>
      <c r="Y815" s="198">
        <f>IF(NOTA[[#This Row],[JUMLAH]]="","",(NOTA[[#This Row],[JUMLAH]]-NOTA[[#This Row],[DISC 1-]])*NOTA[[#This Row],[DISC 2]])</f>
        <v>0</v>
      </c>
      <c r="Z815" s="198">
        <f>IF(NOTA[[#This Row],[JUMLAH]]="","",NOTA[[#This Row],[DISC 1-]]+NOTA[[#This Row],[DISC 2-]])</f>
        <v>0</v>
      </c>
      <c r="AA815" s="198">
        <f>IF(NOTA[[#This Row],[JUMLAH]]="","",NOTA[[#This Row],[JUMLAH]]-NOTA[[#This Row],[DISC]])</f>
        <v>1800000</v>
      </c>
      <c r="AB815" s="198"/>
      <c r="AC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15" s="200">
        <f>IF(OR(NOTA[[#This Row],[QTY]]="",NOTA[[#This Row],[HARGA SATUAN]]="",),"",NOTA[[#This Row],[QTY]]*NOTA[[#This Row],[HARGA SATUAN]])</f>
        <v>1800000</v>
      </c>
      <c r="AG815" s="192">
        <f ca="1">IF(NOTA[ID_H]="","",INDEX(NOTA[TANGGAL],MATCH(,INDIRECT(ADDRESS(ROW(NOTA[TANGGAL]),COLUMN(NOTA[TANGGAL]))&amp;":"&amp;ADDRESS(ROW(),COLUMN(NOTA[TANGGAL]))),-1)))</f>
        <v>45073</v>
      </c>
      <c r="AH815" s="187" t="str">
        <f ca="1">IF(NOTA[[#This Row],[NAMA BARANG]]="","",INDEX(NOTA[SUPPLIER],MATCH(,INDIRECT(ADDRESS(ROW(NOTA[ID]),COLUMN(NOTA[ID]))&amp;":"&amp;ADDRESS(ROW(),COLUMN(NOTA[ID]))),-1)))</f>
        <v>DB STATIONERY</v>
      </c>
      <c r="AI815" s="187" t="str">
        <f ca="1">IF(NOTA[[#This Row],[ID_H]]="","",IF(NOTA[[#This Row],[FAKTUR]]="",INDIRECT(ADDRESS(ROW()-1,COLUMN())),NOTA[[#This Row],[FAKTUR]]))</f>
        <v>UNTANA</v>
      </c>
      <c r="AJ815" s="188" t="str">
        <f ca="1">IF(NOTA[[#This Row],[ID]]="","",COUNTIF(NOTA[ID_H],NOTA[[#This Row],[ID_H]]))</f>
        <v/>
      </c>
      <c r="AK815" s="188">
        <f ca="1">IF(NOTA[[#This Row],[TGL.NOTA]]="",IF(NOTA[[#This Row],[SUPPLIER_H]]="","",AK814),MONTH(NOTA[[#This Row],[TGL.NOTA]]))</f>
        <v>5</v>
      </c>
      <c r="AL815" s="18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M81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N81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O81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188" t="str">
        <f>IF(NOTA[[#This Row],[CONCAT4]]="","",_xlfn.IFNA(MATCH(NOTA[[#This Row],[CONCAT4]],[2]!RAW[CONCAT_H],0),FALSE))</f>
        <v/>
      </c>
      <c r="AQ815" s="188">
        <f>IF(NOTA[[#This Row],[CONCAT1]]="","",MATCH(NOTA[[#This Row],[CONCAT1]],[3]!db[NB NOTA_C],0)+1)</f>
        <v>1079</v>
      </c>
    </row>
    <row r="816" spans="1:43" ht="20.100000000000001" customHeight="1" x14ac:dyDescent="0.25">
      <c r="A81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188" t="str">
        <f>IF(NOTA[[#This Row],[ID_P]]="","",MATCH(NOTA[[#This Row],[ID_P]],[1]!B_MSK[N_ID],0))</f>
        <v/>
      </c>
      <c r="D816" s="188">
        <f ca="1">IF(NOTA[[#This Row],[NAMA BARANG]]="","",INDEX(NOTA[ID],MATCH(,INDIRECT(ADDRESS(ROW(NOTA[ID]),COLUMN(NOTA[ID]))&amp;":"&amp;ADDRESS(ROW(),COLUMN(NOTA[ID]))),-1)))</f>
        <v>139</v>
      </c>
      <c r="E816" s="189"/>
      <c r="F816" s="190"/>
      <c r="G816" s="190"/>
      <c r="H816" s="191"/>
      <c r="I816" s="190"/>
      <c r="J816" s="192"/>
      <c r="K816" s="190"/>
      <c r="L816" s="190" t="s">
        <v>999</v>
      </c>
      <c r="M816" s="193">
        <v>2</v>
      </c>
      <c r="N816" s="188">
        <v>192</v>
      </c>
      <c r="O816" s="190" t="s">
        <v>125</v>
      </c>
      <c r="P816" s="187">
        <v>29000</v>
      </c>
      <c r="Q816" s="194"/>
      <c r="R816" s="195" t="s">
        <v>175</v>
      </c>
      <c r="S816" s="196"/>
      <c r="T816" s="197"/>
      <c r="U816" s="198"/>
      <c r="V816" s="199"/>
      <c r="W816" s="198">
        <f>IF(NOTA[[#This Row],[HARGA/ CTN]]="",NOTA[[#This Row],[JUMLAH_H]],NOTA[[#This Row],[HARGA/ CTN]]*IF(NOTA[[#This Row],[C]]="",0,NOTA[[#This Row],[C]]))</f>
        <v>5568000</v>
      </c>
      <c r="X816" s="198">
        <f>IF(NOTA[[#This Row],[JUMLAH]]="","",NOTA[[#This Row],[JUMLAH]]*NOTA[[#This Row],[DISC 1]])</f>
        <v>0</v>
      </c>
      <c r="Y816" s="198">
        <f>IF(NOTA[[#This Row],[JUMLAH]]="","",(NOTA[[#This Row],[JUMLAH]]-NOTA[[#This Row],[DISC 1-]])*NOTA[[#This Row],[DISC 2]])</f>
        <v>0</v>
      </c>
      <c r="Z816" s="198">
        <f>IF(NOTA[[#This Row],[JUMLAH]]="","",NOTA[[#This Row],[DISC 1-]]+NOTA[[#This Row],[DISC 2-]])</f>
        <v>0</v>
      </c>
      <c r="AA816" s="198">
        <f>IF(NOTA[[#This Row],[JUMLAH]]="","",NOTA[[#This Row],[JUMLAH]]-NOTA[[#This Row],[DISC]])</f>
        <v>5568000</v>
      </c>
      <c r="AB816" s="198"/>
      <c r="AC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16" s="200">
        <f>IF(OR(NOTA[[#This Row],[QTY]]="",NOTA[[#This Row],[HARGA SATUAN]]="",),"",NOTA[[#This Row],[QTY]]*NOTA[[#This Row],[HARGA SATUAN]])</f>
        <v>5568000</v>
      </c>
      <c r="AG816" s="192">
        <f ca="1">IF(NOTA[ID_H]="","",INDEX(NOTA[TANGGAL],MATCH(,INDIRECT(ADDRESS(ROW(NOTA[TANGGAL]),COLUMN(NOTA[TANGGAL]))&amp;":"&amp;ADDRESS(ROW(),COLUMN(NOTA[TANGGAL]))),-1)))</f>
        <v>45073</v>
      </c>
      <c r="AH816" s="187" t="str">
        <f ca="1">IF(NOTA[[#This Row],[NAMA BARANG]]="","",INDEX(NOTA[SUPPLIER],MATCH(,INDIRECT(ADDRESS(ROW(NOTA[ID]),COLUMN(NOTA[ID]))&amp;":"&amp;ADDRESS(ROW(),COLUMN(NOTA[ID]))),-1)))</f>
        <v>DB STATIONERY</v>
      </c>
      <c r="AI816" s="187" t="str">
        <f ca="1">IF(NOTA[[#This Row],[ID_H]]="","",IF(NOTA[[#This Row],[FAKTUR]]="",INDIRECT(ADDRESS(ROW()-1,COLUMN())),NOTA[[#This Row],[FAKTUR]]))</f>
        <v>UNTANA</v>
      </c>
      <c r="AJ816" s="188" t="str">
        <f ca="1">IF(NOTA[[#This Row],[ID]]="","",COUNTIF(NOTA[ID_H],NOTA[[#This Row],[ID_H]]))</f>
        <v/>
      </c>
      <c r="AK816" s="188">
        <f ca="1">IF(NOTA[[#This Row],[TGL.NOTA]]="",IF(NOTA[[#This Row],[SUPPLIER_H]]="","",AK815),MONTH(NOTA[[#This Row],[TGL.NOTA]]))</f>
        <v>5</v>
      </c>
      <c r="AL816" s="188" t="str">
        <f>LOWER(SUBSTITUTE(SUBSTITUTE(SUBSTITUTE(SUBSTITUTE(SUBSTITUTE(SUBSTITUTE(SUBSTITUTE(SUBSTITUTE(SUBSTITUTE(NOTA[NAMA BARANG]," ",),".",""),"-",""),"(",""),")",""),",",""),"/",""),"""",""),"+",""))</f>
        <v>mekpensil20batiktm030d</v>
      </c>
      <c r="AM81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mekpensil20batiktm030d2784000</v>
      </c>
      <c r="AN81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mekpensil20batiktm030d2784000</v>
      </c>
      <c r="AO81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188" t="str">
        <f>IF(NOTA[[#This Row],[CONCAT4]]="","",_xlfn.IFNA(MATCH(NOTA[[#This Row],[CONCAT4]],[2]!RAW[CONCAT_H],0),FALSE))</f>
        <v/>
      </c>
      <c r="AQ816" s="188">
        <f>IF(NOTA[[#This Row],[CONCAT1]]="","",MATCH(NOTA[[#This Row],[CONCAT1]],[3]!db[NB NOTA_C],0)+1)</f>
        <v>1635</v>
      </c>
    </row>
    <row r="817" spans="1:43" ht="20.100000000000001" customHeight="1" x14ac:dyDescent="0.25">
      <c r="A81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188" t="str">
        <f>IF(NOTA[[#This Row],[ID_P]]="","",MATCH(NOTA[[#This Row],[ID_P]],[1]!B_MSK[N_ID],0))</f>
        <v/>
      </c>
      <c r="D817" s="188">
        <f ca="1">IF(NOTA[[#This Row],[NAMA BARANG]]="","",INDEX(NOTA[ID],MATCH(,INDIRECT(ADDRESS(ROW(NOTA[ID]),COLUMN(NOTA[ID]))&amp;":"&amp;ADDRESS(ROW(),COLUMN(NOTA[ID]))),-1)))</f>
        <v>139</v>
      </c>
      <c r="E817" s="189"/>
      <c r="F817" s="190"/>
      <c r="G817" s="190"/>
      <c r="H817" s="191"/>
      <c r="I817" s="190"/>
      <c r="J817" s="192"/>
      <c r="K817" s="190"/>
      <c r="L817" s="190" t="s">
        <v>1000</v>
      </c>
      <c r="M817" s="193">
        <v>2</v>
      </c>
      <c r="N817" s="188">
        <v>192</v>
      </c>
      <c r="O817" s="190" t="s">
        <v>125</v>
      </c>
      <c r="P817" s="187">
        <v>29000</v>
      </c>
      <c r="Q817" s="194"/>
      <c r="R817" s="195" t="s">
        <v>175</v>
      </c>
      <c r="S817" s="196"/>
      <c r="T817" s="197"/>
      <c r="U817" s="198"/>
      <c r="V817" s="199"/>
      <c r="W817" s="198">
        <f>IF(NOTA[[#This Row],[HARGA/ CTN]]="",NOTA[[#This Row],[JUMLAH_H]],NOTA[[#This Row],[HARGA/ CTN]]*IF(NOTA[[#This Row],[C]]="",0,NOTA[[#This Row],[C]]))</f>
        <v>5568000</v>
      </c>
      <c r="X817" s="198">
        <f>IF(NOTA[[#This Row],[JUMLAH]]="","",NOTA[[#This Row],[JUMLAH]]*NOTA[[#This Row],[DISC 1]])</f>
        <v>0</v>
      </c>
      <c r="Y817" s="198">
        <f>IF(NOTA[[#This Row],[JUMLAH]]="","",(NOTA[[#This Row],[JUMLAH]]-NOTA[[#This Row],[DISC 1-]])*NOTA[[#This Row],[DISC 2]])</f>
        <v>0</v>
      </c>
      <c r="Z817" s="198">
        <f>IF(NOTA[[#This Row],[JUMLAH]]="","",NOTA[[#This Row],[DISC 1-]]+NOTA[[#This Row],[DISC 2-]])</f>
        <v>0</v>
      </c>
      <c r="AA817" s="198">
        <f>IF(NOTA[[#This Row],[JUMLAH]]="","",NOTA[[#This Row],[JUMLAH]]-NOTA[[#This Row],[DISC]])</f>
        <v>5568000</v>
      </c>
      <c r="AB817" s="198"/>
      <c r="AC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17" s="200">
        <f>IF(OR(NOTA[[#This Row],[QTY]]="",NOTA[[#This Row],[HARGA SATUAN]]="",),"",NOTA[[#This Row],[QTY]]*NOTA[[#This Row],[HARGA SATUAN]])</f>
        <v>5568000</v>
      </c>
      <c r="AG817" s="192">
        <f ca="1">IF(NOTA[ID_H]="","",INDEX(NOTA[TANGGAL],MATCH(,INDIRECT(ADDRESS(ROW(NOTA[TANGGAL]),COLUMN(NOTA[TANGGAL]))&amp;":"&amp;ADDRESS(ROW(),COLUMN(NOTA[TANGGAL]))),-1)))</f>
        <v>45073</v>
      </c>
      <c r="AH817" s="187" t="str">
        <f ca="1">IF(NOTA[[#This Row],[NAMA BARANG]]="","",INDEX(NOTA[SUPPLIER],MATCH(,INDIRECT(ADDRESS(ROW(NOTA[ID]),COLUMN(NOTA[ID]))&amp;":"&amp;ADDRESS(ROW(),COLUMN(NOTA[ID]))),-1)))</f>
        <v>DB STATIONERY</v>
      </c>
      <c r="AI817" s="187" t="str">
        <f ca="1">IF(NOTA[[#This Row],[ID_H]]="","",IF(NOTA[[#This Row],[FAKTUR]]="",INDIRECT(ADDRESS(ROW()-1,COLUMN())),NOTA[[#This Row],[FAKTUR]]))</f>
        <v>UNTANA</v>
      </c>
      <c r="AJ817" s="188" t="str">
        <f ca="1">IF(NOTA[[#This Row],[ID]]="","",COUNTIF(NOTA[ID_H],NOTA[[#This Row],[ID_H]]))</f>
        <v/>
      </c>
      <c r="AK817" s="188">
        <f ca="1">IF(NOTA[[#This Row],[TGL.NOTA]]="",IF(NOTA[[#This Row],[SUPPLIER_H]]="","",AK816),MONTH(NOTA[[#This Row],[TGL.NOTA]]))</f>
        <v>5</v>
      </c>
      <c r="AL817" s="188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M81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N81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O81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188" t="str">
        <f>IF(NOTA[[#This Row],[CONCAT4]]="","",_xlfn.IFNA(MATCH(NOTA[[#This Row],[CONCAT4]],[2]!RAW[CONCAT_H],0),FALSE))</f>
        <v/>
      </c>
      <c r="AQ817" s="188">
        <f>IF(NOTA[[#This Row],[CONCAT1]]="","",MATCH(NOTA[[#This Row],[CONCAT1]],[3]!db[NB NOTA_C],0)+1)</f>
        <v>1667</v>
      </c>
    </row>
    <row r="818" spans="1:43" ht="20.100000000000001" customHeight="1" x14ac:dyDescent="0.25">
      <c r="A81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188" t="str">
        <f>IF(NOTA[[#This Row],[ID_P]]="","",MATCH(NOTA[[#This Row],[ID_P]],[1]!B_MSK[N_ID],0))</f>
        <v/>
      </c>
      <c r="D818" s="188">
        <f ca="1">IF(NOTA[[#This Row],[NAMA BARANG]]="","",INDEX(NOTA[ID],MATCH(,INDIRECT(ADDRESS(ROW(NOTA[ID]),COLUMN(NOTA[ID]))&amp;":"&amp;ADDRESS(ROW(),COLUMN(NOTA[ID]))),-1)))</f>
        <v>139</v>
      </c>
      <c r="E818" s="189"/>
      <c r="F818" s="190"/>
      <c r="G818" s="190"/>
      <c r="H818" s="191"/>
      <c r="I818" s="190"/>
      <c r="J818" s="192"/>
      <c r="K818" s="190"/>
      <c r="L818" s="190" t="s">
        <v>1001</v>
      </c>
      <c r="M818" s="193">
        <v>2</v>
      </c>
      <c r="N818" s="188">
        <v>192</v>
      </c>
      <c r="O818" s="190" t="s">
        <v>125</v>
      </c>
      <c r="P818" s="187">
        <v>29000</v>
      </c>
      <c r="Q818" s="194"/>
      <c r="R818" s="195" t="s">
        <v>175</v>
      </c>
      <c r="S818" s="196"/>
      <c r="T818" s="197"/>
      <c r="U818" s="198"/>
      <c r="V818" s="199"/>
      <c r="W818" s="198">
        <f>IF(NOTA[[#This Row],[HARGA/ CTN]]="",NOTA[[#This Row],[JUMLAH_H]],NOTA[[#This Row],[HARGA/ CTN]]*IF(NOTA[[#This Row],[C]]="",0,NOTA[[#This Row],[C]]))</f>
        <v>5568000</v>
      </c>
      <c r="X818" s="198">
        <f>IF(NOTA[[#This Row],[JUMLAH]]="","",NOTA[[#This Row],[JUMLAH]]*NOTA[[#This Row],[DISC 1]])</f>
        <v>0</v>
      </c>
      <c r="Y818" s="198">
        <f>IF(NOTA[[#This Row],[JUMLAH]]="","",(NOTA[[#This Row],[JUMLAH]]-NOTA[[#This Row],[DISC 1-]])*NOTA[[#This Row],[DISC 2]])</f>
        <v>0</v>
      </c>
      <c r="Z818" s="198">
        <f>IF(NOTA[[#This Row],[JUMLAH]]="","",NOTA[[#This Row],[DISC 1-]]+NOTA[[#This Row],[DISC 2-]])</f>
        <v>0</v>
      </c>
      <c r="AA818" s="198">
        <f>IF(NOTA[[#This Row],[JUMLAH]]="","",NOTA[[#This Row],[JUMLAH]]-NOTA[[#This Row],[DISC]])</f>
        <v>5568000</v>
      </c>
      <c r="AB818" s="198"/>
      <c r="AC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187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818" s="200">
        <f>IF(OR(NOTA[[#This Row],[QTY]]="",NOTA[[#This Row],[HARGA SATUAN]]="",),"",NOTA[[#This Row],[QTY]]*NOTA[[#This Row],[HARGA SATUAN]])</f>
        <v>5568000</v>
      </c>
      <c r="AG818" s="192">
        <f ca="1">IF(NOTA[ID_H]="","",INDEX(NOTA[TANGGAL],MATCH(,INDIRECT(ADDRESS(ROW(NOTA[TANGGAL]),COLUMN(NOTA[TANGGAL]))&amp;":"&amp;ADDRESS(ROW(),COLUMN(NOTA[TANGGAL]))),-1)))</f>
        <v>45073</v>
      </c>
      <c r="AH818" s="187" t="str">
        <f ca="1">IF(NOTA[[#This Row],[NAMA BARANG]]="","",INDEX(NOTA[SUPPLIER],MATCH(,INDIRECT(ADDRESS(ROW(NOTA[ID]),COLUMN(NOTA[ID]))&amp;":"&amp;ADDRESS(ROW(),COLUMN(NOTA[ID]))),-1)))</f>
        <v>DB STATIONERY</v>
      </c>
      <c r="AI818" s="187" t="str">
        <f ca="1">IF(NOTA[[#This Row],[ID_H]]="","",IF(NOTA[[#This Row],[FAKTUR]]="",INDIRECT(ADDRESS(ROW()-1,COLUMN())),NOTA[[#This Row],[FAKTUR]]))</f>
        <v>UNTANA</v>
      </c>
      <c r="AJ818" s="188" t="str">
        <f ca="1">IF(NOTA[[#This Row],[ID]]="","",COUNTIF(NOTA[ID_H],NOTA[[#This Row],[ID_H]]))</f>
        <v/>
      </c>
      <c r="AK818" s="188">
        <f ca="1">IF(NOTA[[#This Row],[TGL.NOTA]]="",IF(NOTA[[#This Row],[SUPPLIER_H]]="","",AK817),MONTH(NOTA[[#This Row],[TGL.NOTA]]))</f>
        <v>5</v>
      </c>
      <c r="AL818" s="18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M81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N81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O81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188" t="str">
        <f>IF(NOTA[[#This Row],[CONCAT4]]="","",_xlfn.IFNA(MATCH(NOTA[[#This Row],[CONCAT4]],[2]!RAW[CONCAT_H],0),FALSE))</f>
        <v/>
      </c>
      <c r="AQ818" s="188">
        <f>IF(NOTA[[#This Row],[CONCAT1]]="","",MATCH(NOTA[[#This Row],[CONCAT1]],[3]!db[NB NOTA_C],0)+1)</f>
        <v>1658</v>
      </c>
    </row>
    <row r="819" spans="1:43" ht="20.100000000000001" customHeight="1" x14ac:dyDescent="0.25">
      <c r="A81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188" t="str">
        <f>IF(NOTA[[#This Row],[ID_P]]="","",MATCH(NOTA[[#This Row],[ID_P]],[1]!B_MSK[N_ID],0))</f>
        <v/>
      </c>
      <c r="D819" s="188">
        <f ca="1">IF(NOTA[[#This Row],[NAMA BARANG]]="","",INDEX(NOTA[ID],MATCH(,INDIRECT(ADDRESS(ROW(NOTA[ID]),COLUMN(NOTA[ID]))&amp;":"&amp;ADDRESS(ROW(),COLUMN(NOTA[ID]))),-1)))</f>
        <v>139</v>
      </c>
      <c r="E819" s="189"/>
      <c r="F819" s="190"/>
      <c r="G819" s="190"/>
      <c r="H819" s="191"/>
      <c r="I819" s="190"/>
      <c r="J819" s="192"/>
      <c r="K819" s="190"/>
      <c r="L819" s="190" t="s">
        <v>1002</v>
      </c>
      <c r="M819" s="193">
        <v>2</v>
      </c>
      <c r="N819" s="188">
        <v>288</v>
      </c>
      <c r="O819" s="190" t="s">
        <v>125</v>
      </c>
      <c r="P819" s="187">
        <v>13250</v>
      </c>
      <c r="Q819" s="194"/>
      <c r="R819" s="195" t="s">
        <v>171</v>
      </c>
      <c r="S819" s="196"/>
      <c r="T819" s="197"/>
      <c r="U819" s="198"/>
      <c r="V819" s="199"/>
      <c r="W819" s="198">
        <f>IF(NOTA[[#This Row],[HARGA/ CTN]]="",NOTA[[#This Row],[JUMLAH_H]],NOTA[[#This Row],[HARGA/ CTN]]*IF(NOTA[[#This Row],[C]]="",0,NOTA[[#This Row],[C]]))</f>
        <v>3816000</v>
      </c>
      <c r="X819" s="198">
        <f>IF(NOTA[[#This Row],[JUMLAH]]="","",NOTA[[#This Row],[JUMLAH]]*NOTA[[#This Row],[DISC 1]])</f>
        <v>0</v>
      </c>
      <c r="Y819" s="198">
        <f>IF(NOTA[[#This Row],[JUMLAH]]="","",(NOTA[[#This Row],[JUMLAH]]-NOTA[[#This Row],[DISC 1-]])*NOTA[[#This Row],[DISC 2]])</f>
        <v>0</v>
      </c>
      <c r="Z819" s="198">
        <f>IF(NOTA[[#This Row],[JUMLAH]]="","",NOTA[[#This Row],[DISC 1-]]+NOTA[[#This Row],[DISC 2-]])</f>
        <v>0</v>
      </c>
      <c r="AA819" s="198">
        <f>IF(NOTA[[#This Row],[JUMLAH]]="","",NOTA[[#This Row],[JUMLAH]]-NOTA[[#This Row],[DISC]])</f>
        <v>3816000</v>
      </c>
      <c r="AB819" s="198"/>
      <c r="AC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19" s="200">
        <f>IF(OR(NOTA[[#This Row],[QTY]]="",NOTA[[#This Row],[HARGA SATUAN]]="",),"",NOTA[[#This Row],[QTY]]*NOTA[[#This Row],[HARGA SATUAN]])</f>
        <v>3816000</v>
      </c>
      <c r="AG819" s="192">
        <f ca="1">IF(NOTA[ID_H]="","",INDEX(NOTA[TANGGAL],MATCH(,INDIRECT(ADDRESS(ROW(NOTA[TANGGAL]),COLUMN(NOTA[TANGGAL]))&amp;":"&amp;ADDRESS(ROW(),COLUMN(NOTA[TANGGAL]))),-1)))</f>
        <v>45073</v>
      </c>
      <c r="AH819" s="187" t="str">
        <f ca="1">IF(NOTA[[#This Row],[NAMA BARANG]]="","",INDEX(NOTA[SUPPLIER],MATCH(,INDIRECT(ADDRESS(ROW(NOTA[ID]),COLUMN(NOTA[ID]))&amp;":"&amp;ADDRESS(ROW(),COLUMN(NOTA[ID]))),-1)))</f>
        <v>DB STATIONERY</v>
      </c>
      <c r="AI819" s="187" t="str">
        <f ca="1">IF(NOTA[[#This Row],[ID_H]]="","",IF(NOTA[[#This Row],[FAKTUR]]="",INDIRECT(ADDRESS(ROW()-1,COLUMN())),NOTA[[#This Row],[FAKTUR]]))</f>
        <v>UNTANA</v>
      </c>
      <c r="AJ819" s="188" t="str">
        <f ca="1">IF(NOTA[[#This Row],[ID]]="","",COUNTIF(NOTA[ID_H],NOTA[[#This Row],[ID_H]]))</f>
        <v/>
      </c>
      <c r="AK819" s="188">
        <f ca="1">IF(NOTA[[#This Row],[TGL.NOTA]]="",IF(NOTA[[#This Row],[SUPPLIER_H]]="","",AK818),MONTH(NOTA[[#This Row],[TGL.NOTA]]))</f>
        <v>5</v>
      </c>
      <c r="AL819" s="188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M81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N81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O81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188" t="str">
        <f>IF(NOTA[[#This Row],[CONCAT4]]="","",_xlfn.IFNA(MATCH(NOTA[[#This Row],[CONCAT4]],[2]!RAW[CONCAT_H],0),FALSE))</f>
        <v/>
      </c>
      <c r="AQ819" s="188" t="e">
        <f>IF(NOTA[[#This Row],[CONCAT1]]="","",MATCH(NOTA[[#This Row],[CONCAT1]],[3]!db[NB NOTA_C],0)+1)</f>
        <v>#N/A</v>
      </c>
    </row>
    <row r="820" spans="1:43" ht="20.100000000000001" customHeight="1" x14ac:dyDescent="0.25">
      <c r="A82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188" t="str">
        <f>IF(NOTA[[#This Row],[ID_P]]="","",MATCH(NOTA[[#This Row],[ID_P]],[1]!B_MSK[N_ID],0))</f>
        <v/>
      </c>
      <c r="D820" s="188">
        <f ca="1">IF(NOTA[[#This Row],[NAMA BARANG]]="","",INDEX(NOTA[ID],MATCH(,INDIRECT(ADDRESS(ROW(NOTA[ID]),COLUMN(NOTA[ID]))&amp;":"&amp;ADDRESS(ROW(),COLUMN(NOTA[ID]))),-1)))</f>
        <v>139</v>
      </c>
      <c r="E820" s="189"/>
      <c r="F820" s="190"/>
      <c r="G820" s="190"/>
      <c r="H820" s="191"/>
      <c r="I820" s="190"/>
      <c r="J820" s="192"/>
      <c r="K820" s="190"/>
      <c r="L820" s="190" t="s">
        <v>1003</v>
      </c>
      <c r="M820" s="193">
        <v>2</v>
      </c>
      <c r="N820" s="188">
        <v>288</v>
      </c>
      <c r="O820" s="190" t="s">
        <v>125</v>
      </c>
      <c r="P820" s="187">
        <v>13250</v>
      </c>
      <c r="Q820" s="194"/>
      <c r="R820" s="195" t="s">
        <v>171</v>
      </c>
      <c r="S820" s="196"/>
      <c r="T820" s="197"/>
      <c r="U820" s="198"/>
      <c r="V820" s="199"/>
      <c r="W820" s="198">
        <f>IF(NOTA[[#This Row],[HARGA/ CTN]]="",NOTA[[#This Row],[JUMLAH_H]],NOTA[[#This Row],[HARGA/ CTN]]*IF(NOTA[[#This Row],[C]]="",0,NOTA[[#This Row],[C]]))</f>
        <v>3816000</v>
      </c>
      <c r="X820" s="198">
        <f>IF(NOTA[[#This Row],[JUMLAH]]="","",NOTA[[#This Row],[JUMLAH]]*NOTA[[#This Row],[DISC 1]])</f>
        <v>0</v>
      </c>
      <c r="Y820" s="198">
        <f>IF(NOTA[[#This Row],[JUMLAH]]="","",(NOTA[[#This Row],[JUMLAH]]-NOTA[[#This Row],[DISC 1-]])*NOTA[[#This Row],[DISC 2]])</f>
        <v>0</v>
      </c>
      <c r="Z820" s="198">
        <f>IF(NOTA[[#This Row],[JUMLAH]]="","",NOTA[[#This Row],[DISC 1-]]+NOTA[[#This Row],[DISC 2-]])</f>
        <v>0</v>
      </c>
      <c r="AA820" s="198">
        <f>IF(NOTA[[#This Row],[JUMLAH]]="","",NOTA[[#This Row],[JUMLAH]]-NOTA[[#This Row],[DISC]])</f>
        <v>3816000</v>
      </c>
      <c r="AB820" s="198"/>
      <c r="AC8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20" s="200">
        <f>IF(OR(NOTA[[#This Row],[QTY]]="",NOTA[[#This Row],[HARGA SATUAN]]="",),"",NOTA[[#This Row],[QTY]]*NOTA[[#This Row],[HARGA SATUAN]])</f>
        <v>3816000</v>
      </c>
      <c r="AG820" s="192">
        <f ca="1">IF(NOTA[ID_H]="","",INDEX(NOTA[TANGGAL],MATCH(,INDIRECT(ADDRESS(ROW(NOTA[TANGGAL]),COLUMN(NOTA[TANGGAL]))&amp;":"&amp;ADDRESS(ROW(),COLUMN(NOTA[TANGGAL]))),-1)))</f>
        <v>45073</v>
      </c>
      <c r="AH820" s="187" t="str">
        <f ca="1">IF(NOTA[[#This Row],[NAMA BARANG]]="","",INDEX(NOTA[SUPPLIER],MATCH(,INDIRECT(ADDRESS(ROW(NOTA[ID]),COLUMN(NOTA[ID]))&amp;":"&amp;ADDRESS(ROW(),COLUMN(NOTA[ID]))),-1)))</f>
        <v>DB STATIONERY</v>
      </c>
      <c r="AI820" s="187" t="str">
        <f ca="1">IF(NOTA[[#This Row],[ID_H]]="","",IF(NOTA[[#This Row],[FAKTUR]]="",INDIRECT(ADDRESS(ROW()-1,COLUMN())),NOTA[[#This Row],[FAKTUR]]))</f>
        <v>UNTANA</v>
      </c>
      <c r="AJ820" s="188" t="str">
        <f ca="1">IF(NOTA[[#This Row],[ID]]="","",COUNTIF(NOTA[ID_H],NOTA[[#This Row],[ID_H]]))</f>
        <v/>
      </c>
      <c r="AK820" s="188">
        <f ca="1">IF(NOTA[[#This Row],[TGL.NOTA]]="",IF(NOTA[[#This Row],[SUPPLIER_H]]="","",AK819),MONTH(NOTA[[#This Row],[TGL.NOTA]]))</f>
        <v>5</v>
      </c>
      <c r="AL820" s="188" t="str">
        <f>LOWER(SUBSTITUTE(SUBSTITUTE(SUBSTITUTE(SUBSTITUTE(SUBSTITUTE(SUBSTITUTE(SUBSTITUTE(SUBSTITUTE(SUBSTITUTE(NOTA[NAMA BARANG]," ",),".",""),"-",""),"(",""),")",""),",",""),"/",""),"""",""),"+",""))</f>
        <v>mekpensiltizog9000a</v>
      </c>
      <c r="AM82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mekpensiltizog9000a1908000</v>
      </c>
      <c r="AN82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mekpensiltizog9000a1908000</v>
      </c>
      <c r="AO82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188" t="str">
        <f>IF(NOTA[[#This Row],[CONCAT4]]="","",_xlfn.IFNA(MATCH(NOTA[[#This Row],[CONCAT4]],[2]!RAW[CONCAT_H],0),FALSE))</f>
        <v/>
      </c>
      <c r="AQ820" s="188" t="e">
        <f>IF(NOTA[[#This Row],[CONCAT1]]="","",MATCH(NOTA[[#This Row],[CONCAT1]],[3]!db[NB NOTA_C],0)+1)</f>
        <v>#N/A</v>
      </c>
    </row>
    <row r="821" spans="1:43" ht="20.100000000000001" customHeight="1" x14ac:dyDescent="0.25">
      <c r="A82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188" t="str">
        <f>IF(NOTA[[#This Row],[ID_P]]="","",MATCH(NOTA[[#This Row],[ID_P]],[1]!B_MSK[N_ID],0))</f>
        <v/>
      </c>
      <c r="D821" s="188">
        <f ca="1">IF(NOTA[[#This Row],[NAMA BARANG]]="","",INDEX(NOTA[ID],MATCH(,INDIRECT(ADDRESS(ROW(NOTA[ID]),COLUMN(NOTA[ID]))&amp;":"&amp;ADDRESS(ROW(),COLUMN(NOTA[ID]))),-1)))</f>
        <v>139</v>
      </c>
      <c r="E821" s="189"/>
      <c r="F821" s="190"/>
      <c r="G821" s="190"/>
      <c r="H821" s="191"/>
      <c r="I821" s="190"/>
      <c r="J821" s="192"/>
      <c r="K821" s="190"/>
      <c r="L821" s="190" t="s">
        <v>1004</v>
      </c>
      <c r="M821" s="193">
        <v>2</v>
      </c>
      <c r="N821" s="188">
        <v>288</v>
      </c>
      <c r="O821" s="190" t="s">
        <v>125</v>
      </c>
      <c r="P821" s="187">
        <v>13250</v>
      </c>
      <c r="Q821" s="194"/>
      <c r="R821" s="195" t="s">
        <v>171</v>
      </c>
      <c r="S821" s="196"/>
      <c r="T821" s="197"/>
      <c r="U821" s="198"/>
      <c r="V821" s="199"/>
      <c r="W821" s="198">
        <f>IF(NOTA[[#This Row],[HARGA/ CTN]]="",NOTA[[#This Row],[JUMLAH_H]],NOTA[[#This Row],[HARGA/ CTN]]*IF(NOTA[[#This Row],[C]]="",0,NOTA[[#This Row],[C]]))</f>
        <v>3816000</v>
      </c>
      <c r="X821" s="198">
        <f>IF(NOTA[[#This Row],[JUMLAH]]="","",NOTA[[#This Row],[JUMLAH]]*NOTA[[#This Row],[DISC 1]])</f>
        <v>0</v>
      </c>
      <c r="Y821" s="198">
        <f>IF(NOTA[[#This Row],[JUMLAH]]="","",(NOTA[[#This Row],[JUMLAH]]-NOTA[[#This Row],[DISC 1-]])*NOTA[[#This Row],[DISC 2]])</f>
        <v>0</v>
      </c>
      <c r="Z821" s="198">
        <f>IF(NOTA[[#This Row],[JUMLAH]]="","",NOTA[[#This Row],[DISC 1-]]+NOTA[[#This Row],[DISC 2-]])</f>
        <v>0</v>
      </c>
      <c r="AA821" s="198">
        <f>IF(NOTA[[#This Row],[JUMLAH]]="","",NOTA[[#This Row],[JUMLAH]]-NOTA[[#This Row],[DISC]])</f>
        <v>3816000</v>
      </c>
      <c r="AB821" s="198"/>
      <c r="AC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187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821" s="200">
        <f>IF(OR(NOTA[[#This Row],[QTY]]="",NOTA[[#This Row],[HARGA SATUAN]]="",),"",NOTA[[#This Row],[QTY]]*NOTA[[#This Row],[HARGA SATUAN]])</f>
        <v>3816000</v>
      </c>
      <c r="AG821" s="192">
        <f ca="1">IF(NOTA[ID_H]="","",INDEX(NOTA[TANGGAL],MATCH(,INDIRECT(ADDRESS(ROW(NOTA[TANGGAL]),COLUMN(NOTA[TANGGAL]))&amp;":"&amp;ADDRESS(ROW(),COLUMN(NOTA[TANGGAL]))),-1)))</f>
        <v>45073</v>
      </c>
      <c r="AH821" s="187" t="str">
        <f ca="1">IF(NOTA[[#This Row],[NAMA BARANG]]="","",INDEX(NOTA[SUPPLIER],MATCH(,INDIRECT(ADDRESS(ROW(NOTA[ID]),COLUMN(NOTA[ID]))&amp;":"&amp;ADDRESS(ROW(),COLUMN(NOTA[ID]))),-1)))</f>
        <v>DB STATIONERY</v>
      </c>
      <c r="AI821" s="187" t="str">
        <f ca="1">IF(NOTA[[#This Row],[ID_H]]="","",IF(NOTA[[#This Row],[FAKTUR]]="",INDIRECT(ADDRESS(ROW()-1,COLUMN())),NOTA[[#This Row],[FAKTUR]]))</f>
        <v>UNTANA</v>
      </c>
      <c r="AJ821" s="188" t="str">
        <f ca="1">IF(NOTA[[#This Row],[ID]]="","",COUNTIF(NOTA[ID_H],NOTA[[#This Row],[ID_H]]))</f>
        <v/>
      </c>
      <c r="AK821" s="188">
        <f ca="1">IF(NOTA[[#This Row],[TGL.NOTA]]="",IF(NOTA[[#This Row],[SUPPLIER_H]]="","",AK820),MONTH(NOTA[[#This Row],[TGL.NOTA]]))</f>
        <v>5</v>
      </c>
      <c r="AL821" s="188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M82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N82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O82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188" t="str">
        <f>IF(NOTA[[#This Row],[CONCAT4]]="","",_xlfn.IFNA(MATCH(NOTA[[#This Row],[CONCAT4]],[2]!RAW[CONCAT_H],0),FALSE))</f>
        <v/>
      </c>
      <c r="AQ821" s="188" t="e">
        <f>IF(NOTA[[#This Row],[CONCAT1]]="","",MATCH(NOTA[[#This Row],[CONCAT1]],[3]!db[NB NOTA_C],0)+1)</f>
        <v>#N/A</v>
      </c>
    </row>
    <row r="822" spans="1:43" ht="20.100000000000001" customHeight="1" x14ac:dyDescent="0.25">
      <c r="A82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188" t="str">
        <f>IF(NOTA[[#This Row],[ID_P]]="","",MATCH(NOTA[[#This Row],[ID_P]],[1]!B_MSK[N_ID],0))</f>
        <v/>
      </c>
      <c r="D822" s="188">
        <f ca="1">IF(NOTA[[#This Row],[NAMA BARANG]]="","",INDEX(NOTA[ID],MATCH(,INDIRECT(ADDRESS(ROW(NOTA[ID]),COLUMN(NOTA[ID]))&amp;":"&amp;ADDRESS(ROW(),COLUMN(NOTA[ID]))),-1)))</f>
        <v>139</v>
      </c>
      <c r="E822" s="189"/>
      <c r="F822" s="190"/>
      <c r="G822" s="190"/>
      <c r="H822" s="191"/>
      <c r="I822" s="190"/>
      <c r="J822" s="192"/>
      <c r="K822" s="190"/>
      <c r="L822" s="190" t="s">
        <v>1005</v>
      </c>
      <c r="M822" s="193">
        <v>1</v>
      </c>
      <c r="N822" s="188">
        <v>144</v>
      </c>
      <c r="O822" s="190" t="s">
        <v>125</v>
      </c>
      <c r="P822" s="187">
        <v>27500</v>
      </c>
      <c r="Q822" s="194"/>
      <c r="R822" s="195" t="s">
        <v>171</v>
      </c>
      <c r="S822" s="196"/>
      <c r="T822" s="197"/>
      <c r="U822" s="198"/>
      <c r="V822" s="199"/>
      <c r="W822" s="198">
        <f>IF(NOTA[[#This Row],[HARGA/ CTN]]="",NOTA[[#This Row],[JUMLAH_H]],NOTA[[#This Row],[HARGA/ CTN]]*IF(NOTA[[#This Row],[C]]="",0,NOTA[[#This Row],[C]]))</f>
        <v>3960000</v>
      </c>
      <c r="X822" s="198">
        <f>IF(NOTA[[#This Row],[JUMLAH]]="","",NOTA[[#This Row],[JUMLAH]]*NOTA[[#This Row],[DISC 1]])</f>
        <v>0</v>
      </c>
      <c r="Y822" s="198">
        <f>IF(NOTA[[#This Row],[JUMLAH]]="","",(NOTA[[#This Row],[JUMLAH]]-NOTA[[#This Row],[DISC 1-]])*NOTA[[#This Row],[DISC 2]])</f>
        <v>0</v>
      </c>
      <c r="Z822" s="198">
        <f>IF(NOTA[[#This Row],[JUMLAH]]="","",NOTA[[#This Row],[DISC 1-]]+NOTA[[#This Row],[DISC 2-]])</f>
        <v>0</v>
      </c>
      <c r="AA822" s="198">
        <f>IF(NOTA[[#This Row],[JUMLAH]]="","",NOTA[[#This Row],[JUMLAH]]-NOTA[[#This Row],[DISC]])</f>
        <v>3960000</v>
      </c>
      <c r="AB822" s="198"/>
      <c r="AC82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109248000</v>
      </c>
      <c r="AE822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22" s="200">
        <f>IF(OR(NOTA[[#This Row],[QTY]]="",NOTA[[#This Row],[HARGA SATUAN]]="",),"",NOTA[[#This Row],[QTY]]*NOTA[[#This Row],[HARGA SATUAN]])</f>
        <v>3960000</v>
      </c>
      <c r="AG822" s="192">
        <f ca="1">IF(NOTA[ID_H]="","",INDEX(NOTA[TANGGAL],MATCH(,INDIRECT(ADDRESS(ROW(NOTA[TANGGAL]),COLUMN(NOTA[TANGGAL]))&amp;":"&amp;ADDRESS(ROW(),COLUMN(NOTA[TANGGAL]))),-1)))</f>
        <v>45073</v>
      </c>
      <c r="AH822" s="187" t="str">
        <f ca="1">IF(NOTA[[#This Row],[NAMA BARANG]]="","",INDEX(NOTA[SUPPLIER],MATCH(,INDIRECT(ADDRESS(ROW(NOTA[ID]),COLUMN(NOTA[ID]))&amp;":"&amp;ADDRESS(ROW(),COLUMN(NOTA[ID]))),-1)))</f>
        <v>DB STATIONERY</v>
      </c>
      <c r="AI822" s="187" t="str">
        <f ca="1">IF(NOTA[[#This Row],[ID_H]]="","",IF(NOTA[[#This Row],[FAKTUR]]="",INDIRECT(ADDRESS(ROW()-1,COLUMN())),NOTA[[#This Row],[FAKTUR]]))</f>
        <v>UNTANA</v>
      </c>
      <c r="AJ822" s="188" t="str">
        <f ca="1">IF(NOTA[[#This Row],[ID]]="","",COUNTIF(NOTA[ID_H],NOTA[[#This Row],[ID_H]]))</f>
        <v/>
      </c>
      <c r="AK822" s="188">
        <f ca="1">IF(NOTA[[#This Row],[TGL.NOTA]]="",IF(NOTA[[#This Row],[SUPPLIER_H]]="","",AK821),MONTH(NOTA[[#This Row],[TGL.NOTA]]))</f>
        <v>5</v>
      </c>
      <c r="AL822" s="188" t="str">
        <f>LOWER(SUBSTITUTE(SUBSTITUTE(SUBSTITUTE(SUBSTITUTE(SUBSTITUTE(SUBSTITUTE(SUBSTITUTE(SUBSTITUTE(SUBSTITUTE(NOTA[NAMA BARANG]," ",),".",""),"-",""),"(",""),")",""),",",""),"/",""),"""",""),"+",""))</f>
        <v>geltechjobwritetg322b</v>
      </c>
      <c r="AM82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geltechjobwritetg322b3960000</v>
      </c>
      <c r="AN82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geltechjobwritetg322b3960000</v>
      </c>
      <c r="AO82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188" t="str">
        <f>IF(NOTA[[#This Row],[CONCAT4]]="","",_xlfn.IFNA(MATCH(NOTA[[#This Row],[CONCAT4]],[2]!RAW[CONCAT_H],0),FALSE))</f>
        <v/>
      </c>
      <c r="AQ822" s="188">
        <f>IF(NOTA[[#This Row],[CONCAT1]]="","",MATCH(NOTA[[#This Row],[CONCAT1]],[3]!db[NB NOTA_C],0)+1)</f>
        <v>843</v>
      </c>
    </row>
    <row r="823" spans="1:43" ht="20.100000000000001" customHeight="1" x14ac:dyDescent="0.25">
      <c r="A82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188" t="str">
        <f>IF(NOTA[[#This Row],[ID_P]]="","",MATCH(NOTA[[#This Row],[ID_P]],[1]!B_MSK[N_ID],0))</f>
        <v/>
      </c>
      <c r="D823" s="188" t="str">
        <f ca="1">IF(NOTA[[#This Row],[NAMA BARANG]]="","",INDEX(NOTA[ID],MATCH(,INDIRECT(ADDRESS(ROW(NOTA[ID]),COLUMN(NOTA[ID]))&amp;":"&amp;ADDRESS(ROW(),COLUMN(NOTA[ID]))),-1)))</f>
        <v/>
      </c>
      <c r="E823" s="189"/>
      <c r="F823" s="190"/>
      <c r="G823" s="190"/>
      <c r="H823" s="191"/>
      <c r="I823" s="190"/>
      <c r="J823" s="192"/>
      <c r="K823" s="190"/>
      <c r="L823" s="190"/>
      <c r="M823" s="193"/>
      <c r="N823" s="188"/>
      <c r="O823" s="190"/>
      <c r="P823" s="187"/>
      <c r="Q823" s="194"/>
      <c r="R823" s="195"/>
      <c r="S823" s="196"/>
      <c r="T823" s="197"/>
      <c r="U823" s="198"/>
      <c r="V823" s="199"/>
      <c r="W823" s="198" t="str">
        <f>IF(NOTA[[#This Row],[HARGA/ CTN]]="",NOTA[[#This Row],[JUMLAH_H]],NOTA[[#This Row],[HARGA/ CTN]]*IF(NOTA[[#This Row],[C]]="",0,NOTA[[#This Row],[C]]))</f>
        <v/>
      </c>
      <c r="X823" s="198" t="str">
        <f>IF(NOTA[[#This Row],[JUMLAH]]="","",NOTA[[#This Row],[JUMLAH]]*NOTA[[#This Row],[DISC 1]])</f>
        <v/>
      </c>
      <c r="Y823" s="198" t="str">
        <f>IF(NOTA[[#This Row],[JUMLAH]]="","",(NOTA[[#This Row],[JUMLAH]]-NOTA[[#This Row],[DISC 1-]])*NOTA[[#This Row],[DISC 2]])</f>
        <v/>
      </c>
      <c r="Z823" s="198" t="str">
        <f>IF(NOTA[[#This Row],[JUMLAH]]="","",NOTA[[#This Row],[DISC 1-]]+NOTA[[#This Row],[DISC 2-]])</f>
        <v/>
      </c>
      <c r="AA823" s="198" t="str">
        <f>IF(NOTA[[#This Row],[JUMLAH]]="","",NOTA[[#This Row],[JUMLAH]]-NOTA[[#This Row],[DISC]])</f>
        <v/>
      </c>
      <c r="AB823" s="198"/>
      <c r="AC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200" t="str">
        <f>IF(OR(NOTA[[#This Row],[QTY]]="",NOTA[[#This Row],[HARGA SATUAN]]="",),"",NOTA[[#This Row],[QTY]]*NOTA[[#This Row],[HARGA SATUAN]])</f>
        <v/>
      </c>
      <c r="AG823" s="192" t="str">
        <f ca="1">IF(NOTA[ID_H]="","",INDEX(NOTA[TANGGAL],MATCH(,INDIRECT(ADDRESS(ROW(NOTA[TANGGAL]),COLUMN(NOTA[TANGGAL]))&amp;":"&amp;ADDRESS(ROW(),COLUMN(NOTA[TANGGAL]))),-1)))</f>
        <v/>
      </c>
      <c r="AH823" s="187" t="str">
        <f ca="1">IF(NOTA[[#This Row],[NAMA BARANG]]="","",INDEX(NOTA[SUPPLIER],MATCH(,INDIRECT(ADDRESS(ROW(NOTA[ID]),COLUMN(NOTA[ID]))&amp;":"&amp;ADDRESS(ROW(),COLUMN(NOTA[ID]))),-1)))</f>
        <v/>
      </c>
      <c r="AI823" s="187" t="str">
        <f ca="1">IF(NOTA[[#This Row],[ID_H]]="","",IF(NOTA[[#This Row],[FAKTUR]]="",INDIRECT(ADDRESS(ROW()-1,COLUMN())),NOTA[[#This Row],[FAKTUR]]))</f>
        <v/>
      </c>
      <c r="AJ823" s="188" t="str">
        <f ca="1">IF(NOTA[[#This Row],[ID]]="","",COUNTIF(NOTA[ID_H],NOTA[[#This Row],[ID_H]]))</f>
        <v/>
      </c>
      <c r="AK823" s="188" t="str">
        <f ca="1">IF(NOTA[[#This Row],[TGL.NOTA]]="",IF(NOTA[[#This Row],[SUPPLIER_H]]="","",AK822),MONTH(NOTA[[#This Row],[TGL.NOTA]]))</f>
        <v/>
      </c>
      <c r="AL823" s="188" t="str">
        <f>LOWER(SUBSTITUTE(SUBSTITUTE(SUBSTITUTE(SUBSTITUTE(SUBSTITUTE(SUBSTITUTE(SUBSTITUTE(SUBSTITUTE(SUBSTITUTE(NOTA[NAMA BARANG]," ",),".",""),"-",""),"(",""),")",""),",",""),"/",""),"""",""),"+",""))</f>
        <v/>
      </c>
      <c r="AM82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188" t="str">
        <f>IF(NOTA[[#This Row],[CONCAT4]]="","",_xlfn.IFNA(MATCH(NOTA[[#This Row],[CONCAT4]],[2]!RAW[CONCAT_H],0),FALSE))</f>
        <v/>
      </c>
      <c r="AQ823" s="188" t="str">
        <f>IF(NOTA[[#This Row],[CONCAT1]]="","",MATCH(NOTA[[#This Row],[CONCAT1]],[3]!db[NB NOTA_C],0)+1)</f>
        <v/>
      </c>
    </row>
    <row r="824" spans="1:43" ht="20.100000000000001" customHeight="1" x14ac:dyDescent="0.25">
      <c r="A824" s="187">
        <f ca="1">IF(INDIRECT(ADDRESS(ROW()-1,COLUMN(NOTA[[#Headers],[ID]])))="ID",1,IF(NOTA[[#This Row],[FAKTUR]]="","",COUNT(INDIRECT(ADDRESS(ROW(NOTA[ID]),COLUMN(NOTA[ID]))&amp;":"&amp;ADDRESS(ROW()-1,COLUMN(NOTA[ID]))))+1))</f>
        <v>140</v>
      </c>
      <c r="B824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GUN_2705_990-5</v>
      </c>
      <c r="C824" s="188" t="e">
        <f ca="1">IF(NOTA[[#This Row],[ID_P]]="","",MATCH(NOTA[[#This Row],[ID_P]],[1]!B_MSK[N_ID],0))</f>
        <v>#REF!</v>
      </c>
      <c r="D824" s="188">
        <f ca="1">IF(NOTA[[#This Row],[NAMA BARANG]]="","",INDEX(NOTA[ID],MATCH(,INDIRECT(ADDRESS(ROW(NOTA[ID]),COLUMN(NOTA[ID]))&amp;":"&amp;ADDRESS(ROW(),COLUMN(NOTA[ID]))),-1)))</f>
        <v>140</v>
      </c>
      <c r="E824" s="189"/>
      <c r="F824" s="190" t="s">
        <v>563</v>
      </c>
      <c r="G824" s="190" t="s">
        <v>112</v>
      </c>
      <c r="H824" s="191" t="s">
        <v>1006</v>
      </c>
      <c r="I824" s="190"/>
      <c r="J824" s="192">
        <v>45068</v>
      </c>
      <c r="K824" s="190"/>
      <c r="L824" s="190" t="s">
        <v>799</v>
      </c>
      <c r="M824" s="193">
        <v>2</v>
      </c>
      <c r="N824" s="188">
        <v>60</v>
      </c>
      <c r="O824" s="190" t="s">
        <v>125</v>
      </c>
      <c r="P824" s="187">
        <v>70000</v>
      </c>
      <c r="Q824" s="194"/>
      <c r="R824" s="195" t="s">
        <v>797</v>
      </c>
      <c r="S824" s="196">
        <v>0.05</v>
      </c>
      <c r="T824" s="197">
        <v>0.1</v>
      </c>
      <c r="U824" s="198"/>
      <c r="V824" s="199"/>
      <c r="W824" s="198">
        <f>IF(NOTA[[#This Row],[HARGA/ CTN]]="",NOTA[[#This Row],[JUMLAH_H]],NOTA[[#This Row],[HARGA/ CTN]]*IF(NOTA[[#This Row],[C]]="",0,NOTA[[#This Row],[C]]))</f>
        <v>4200000</v>
      </c>
      <c r="X824" s="198">
        <f>IF(NOTA[[#This Row],[JUMLAH]]="","",NOTA[[#This Row],[JUMLAH]]*NOTA[[#This Row],[DISC 1]])</f>
        <v>210000</v>
      </c>
      <c r="Y824" s="198">
        <f>IF(NOTA[[#This Row],[JUMLAH]]="","",(NOTA[[#This Row],[JUMLAH]]-NOTA[[#This Row],[DISC 1-]])*NOTA[[#This Row],[DISC 2]])</f>
        <v>399000</v>
      </c>
      <c r="Z824" s="198">
        <f>IF(NOTA[[#This Row],[JUMLAH]]="","",NOTA[[#This Row],[DISC 1-]]+NOTA[[#This Row],[DISC 2-]])</f>
        <v>609000</v>
      </c>
      <c r="AA824" s="198">
        <f>IF(NOTA[[#This Row],[JUMLAH]]="","",NOTA[[#This Row],[JUMLAH]]-NOTA[[#This Row],[DISC]])</f>
        <v>3591000</v>
      </c>
      <c r="AB824" s="198"/>
      <c r="AC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187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824" s="200">
        <f>IF(OR(NOTA[[#This Row],[QTY]]="",NOTA[[#This Row],[HARGA SATUAN]]="",),"",NOTA[[#This Row],[QTY]]*NOTA[[#This Row],[HARGA SATUAN]])</f>
        <v>4200000</v>
      </c>
      <c r="AG824" s="192">
        <f ca="1">IF(NOTA[ID_H]="","",INDEX(NOTA[TANGGAL],MATCH(,INDIRECT(ADDRESS(ROW(NOTA[TANGGAL]),COLUMN(NOTA[TANGGAL]))&amp;":"&amp;ADDRESS(ROW(),COLUMN(NOTA[TANGGAL]))),-1)))</f>
        <v>45073</v>
      </c>
      <c r="AH824" s="187" t="str">
        <f ca="1">IF(NOTA[[#This Row],[NAMA BARANG]]="","",INDEX(NOTA[SUPPLIER],MATCH(,INDIRECT(ADDRESS(ROW(NOTA[ID]),COLUMN(NOTA[ID]))&amp;":"&amp;ADDRESS(ROW(),COLUMN(NOTA[ID]))),-1)))</f>
        <v>GUNINDO</v>
      </c>
      <c r="AI824" s="187" t="str">
        <f ca="1">IF(NOTA[[#This Row],[ID_H]]="","",IF(NOTA[[#This Row],[FAKTUR]]="",INDIRECT(ADDRESS(ROW()-1,COLUMN())),NOTA[[#This Row],[FAKTUR]]))</f>
        <v>UNTANA</v>
      </c>
      <c r="AJ824" s="188">
        <f ca="1">IF(NOTA[[#This Row],[ID]]="","",COUNTIF(NOTA[ID_H],NOTA[[#This Row],[ID_H]]))</f>
        <v>5</v>
      </c>
      <c r="AK824" s="188">
        <f>IF(NOTA[[#This Row],[TGL.NOTA]]="",IF(NOTA[[#This Row],[SUPPLIER_H]]="","",AK823),MONTH(NOTA[[#This Row],[TGL.NOTA]]))</f>
        <v>5</v>
      </c>
      <c r="AL824" s="188" t="str">
        <f>LOWER(SUBSTITUTE(SUBSTITUTE(SUBSTITUTE(SUBSTITUTE(SUBSTITUTE(SUBSTITUTE(SUBSTITUTE(SUBSTITUTE(SUBSTITUTE(NOTA[NAMA BARANG]," ",),".",""),"-",""),"(",""),")",""),",",""),"/",""),"""",""),"+",""))</f>
        <v>ollgunindo</v>
      </c>
      <c r="AM82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82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824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GUNINDOUNTANA230099045068ollgunindo</v>
      </c>
      <c r="AP824" s="188" t="e">
        <f>IF(NOTA[[#This Row],[CONCAT4]]="","",_xlfn.IFNA(MATCH(NOTA[[#This Row],[CONCAT4]],[2]!RAW[CONCAT_H],0),FALSE))</f>
        <v>#REF!</v>
      </c>
      <c r="AQ824" s="188">
        <f>IF(NOTA[[#This Row],[CONCAT1]]="","",MATCH(NOTA[[#This Row],[CONCAT1]],[3]!db[NB NOTA_C],0)+1)</f>
        <v>1711</v>
      </c>
    </row>
    <row r="825" spans="1:43" ht="20.100000000000001" customHeight="1" x14ac:dyDescent="0.25">
      <c r="A82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188" t="str">
        <f>IF(NOTA[[#This Row],[ID_P]]="","",MATCH(NOTA[[#This Row],[ID_P]],[1]!B_MSK[N_ID],0))</f>
        <v/>
      </c>
      <c r="D825" s="188">
        <f ca="1">IF(NOTA[[#This Row],[NAMA BARANG]]="","",INDEX(NOTA[ID],MATCH(,INDIRECT(ADDRESS(ROW(NOTA[ID]),COLUMN(NOTA[ID]))&amp;":"&amp;ADDRESS(ROW(),COLUMN(NOTA[ID]))),-1)))</f>
        <v>140</v>
      </c>
      <c r="E825" s="189"/>
      <c r="F825" s="190"/>
      <c r="G825" s="190"/>
      <c r="H825" s="191"/>
      <c r="I825" s="190"/>
      <c r="J825" s="192"/>
      <c r="K825" s="190"/>
      <c r="L825" s="190" t="s">
        <v>569</v>
      </c>
      <c r="M825" s="193">
        <v>2</v>
      </c>
      <c r="N825" s="188">
        <v>40</v>
      </c>
      <c r="O825" s="190" t="s">
        <v>125</v>
      </c>
      <c r="P825" s="187">
        <v>120000</v>
      </c>
      <c r="Q825" s="194"/>
      <c r="R825" s="195" t="s">
        <v>570</v>
      </c>
      <c r="S825" s="196">
        <v>0.05</v>
      </c>
      <c r="T825" s="197">
        <v>0.1</v>
      </c>
      <c r="U825" s="198"/>
      <c r="V825" s="199"/>
      <c r="W825" s="198">
        <f>IF(NOTA[[#This Row],[HARGA/ CTN]]="",NOTA[[#This Row],[JUMLAH_H]],NOTA[[#This Row],[HARGA/ CTN]]*IF(NOTA[[#This Row],[C]]="",0,NOTA[[#This Row],[C]]))</f>
        <v>4800000</v>
      </c>
      <c r="X825" s="198">
        <f>IF(NOTA[[#This Row],[JUMLAH]]="","",NOTA[[#This Row],[JUMLAH]]*NOTA[[#This Row],[DISC 1]])</f>
        <v>240000</v>
      </c>
      <c r="Y825" s="198">
        <f>IF(NOTA[[#This Row],[JUMLAH]]="","",(NOTA[[#This Row],[JUMLAH]]-NOTA[[#This Row],[DISC 1-]])*NOTA[[#This Row],[DISC 2]])</f>
        <v>456000</v>
      </c>
      <c r="Z825" s="198">
        <f>IF(NOTA[[#This Row],[JUMLAH]]="","",NOTA[[#This Row],[DISC 1-]]+NOTA[[#This Row],[DISC 2-]])</f>
        <v>696000</v>
      </c>
      <c r="AA825" s="198">
        <f>IF(NOTA[[#This Row],[JUMLAH]]="","",NOTA[[#This Row],[JUMLAH]]-NOTA[[#This Row],[DISC]])</f>
        <v>4104000</v>
      </c>
      <c r="AB825" s="198"/>
      <c r="AC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187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25" s="200">
        <f>IF(OR(NOTA[[#This Row],[QTY]]="",NOTA[[#This Row],[HARGA SATUAN]]="",),"",NOTA[[#This Row],[QTY]]*NOTA[[#This Row],[HARGA SATUAN]])</f>
        <v>4800000</v>
      </c>
      <c r="AG825" s="192">
        <f ca="1">IF(NOTA[ID_H]="","",INDEX(NOTA[TANGGAL],MATCH(,INDIRECT(ADDRESS(ROW(NOTA[TANGGAL]),COLUMN(NOTA[TANGGAL]))&amp;":"&amp;ADDRESS(ROW(),COLUMN(NOTA[TANGGAL]))),-1)))</f>
        <v>45073</v>
      </c>
      <c r="AH825" s="187" t="str">
        <f ca="1">IF(NOTA[[#This Row],[NAMA BARANG]]="","",INDEX(NOTA[SUPPLIER],MATCH(,INDIRECT(ADDRESS(ROW(NOTA[ID]),COLUMN(NOTA[ID]))&amp;":"&amp;ADDRESS(ROW(),COLUMN(NOTA[ID]))),-1)))</f>
        <v>GUNINDO</v>
      </c>
      <c r="AI825" s="187" t="str">
        <f ca="1">IF(NOTA[[#This Row],[ID_H]]="","",IF(NOTA[[#This Row],[FAKTUR]]="",INDIRECT(ADDRESS(ROW()-1,COLUMN())),NOTA[[#This Row],[FAKTUR]]))</f>
        <v>UNTANA</v>
      </c>
      <c r="AJ825" s="188" t="str">
        <f ca="1">IF(NOTA[[#This Row],[ID]]="","",COUNTIF(NOTA[ID_H],NOTA[[#This Row],[ID_H]]))</f>
        <v/>
      </c>
      <c r="AK825" s="188">
        <f ca="1">IF(NOTA[[#This Row],[TGL.NOTA]]="",IF(NOTA[[#This Row],[SUPPLIER_H]]="","",AK824),MONTH(NOTA[[#This Row],[TGL.NOTA]]))</f>
        <v>5</v>
      </c>
      <c r="AL825" s="188" t="str">
        <f>LOWER(SUBSTITUTE(SUBSTITUTE(SUBSTITUTE(SUBSTITUTE(SUBSTITUTE(SUBSTITUTE(SUBSTITUTE(SUBSTITUTE(SUBSTITUTE(NOTA[NAMA BARANG]," ",),".",""),"-",""),"(",""),")",""),",",""),"/",""),"""",""),"+",""))</f>
        <v>gunindoflcoklat</v>
      </c>
      <c r="AM82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N82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O82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188" t="str">
        <f>IF(NOTA[[#This Row],[CONCAT4]]="","",_xlfn.IFNA(MATCH(NOTA[[#This Row],[CONCAT4]],[2]!RAW[CONCAT_H],0),FALSE))</f>
        <v/>
      </c>
      <c r="AQ825" s="188">
        <f>IF(NOTA[[#This Row],[CONCAT1]]="","",MATCH(NOTA[[#This Row],[CONCAT1]],[3]!db[NB NOTA_C],0)+1)</f>
        <v>1022</v>
      </c>
    </row>
    <row r="826" spans="1:43" ht="20.100000000000001" customHeight="1" x14ac:dyDescent="0.25">
      <c r="A82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188" t="str">
        <f>IF(NOTA[[#This Row],[ID_P]]="","",MATCH(NOTA[[#This Row],[ID_P]],[1]!B_MSK[N_ID],0))</f>
        <v/>
      </c>
      <c r="D826" s="188">
        <f ca="1">IF(NOTA[[#This Row],[NAMA BARANG]]="","",INDEX(NOTA[ID],MATCH(,INDIRECT(ADDRESS(ROW(NOTA[ID]),COLUMN(NOTA[ID]))&amp;":"&amp;ADDRESS(ROW(),COLUMN(NOTA[ID]))),-1)))</f>
        <v>140</v>
      </c>
      <c r="E826" s="189"/>
      <c r="F826" s="190"/>
      <c r="G826" s="190"/>
      <c r="H826" s="191"/>
      <c r="I826" s="190"/>
      <c r="J826" s="192"/>
      <c r="K826" s="190"/>
      <c r="L826" s="190" t="s">
        <v>1007</v>
      </c>
      <c r="M826" s="193">
        <v>2</v>
      </c>
      <c r="N826" s="188">
        <v>60</v>
      </c>
      <c r="O826" s="190" t="s">
        <v>125</v>
      </c>
      <c r="P826" s="187">
        <v>60000</v>
      </c>
      <c r="Q826" s="194"/>
      <c r="R826" s="195" t="s">
        <v>797</v>
      </c>
      <c r="S826" s="196">
        <v>0.05</v>
      </c>
      <c r="T826" s="197">
        <v>0.1</v>
      </c>
      <c r="U826" s="198"/>
      <c r="V826" s="199"/>
      <c r="W826" s="198">
        <f>IF(NOTA[[#This Row],[HARGA/ CTN]]="",NOTA[[#This Row],[JUMLAH_H]],NOTA[[#This Row],[HARGA/ CTN]]*IF(NOTA[[#This Row],[C]]="",0,NOTA[[#This Row],[C]]))</f>
        <v>3600000</v>
      </c>
      <c r="X826" s="198">
        <f>IF(NOTA[[#This Row],[JUMLAH]]="","",NOTA[[#This Row],[JUMLAH]]*NOTA[[#This Row],[DISC 1]])</f>
        <v>180000</v>
      </c>
      <c r="Y826" s="198">
        <f>IF(NOTA[[#This Row],[JUMLAH]]="","",(NOTA[[#This Row],[JUMLAH]]-NOTA[[#This Row],[DISC 1-]])*NOTA[[#This Row],[DISC 2]])</f>
        <v>342000</v>
      </c>
      <c r="Z826" s="198">
        <f>IF(NOTA[[#This Row],[JUMLAH]]="","",NOTA[[#This Row],[DISC 1-]]+NOTA[[#This Row],[DISC 2-]])</f>
        <v>522000</v>
      </c>
      <c r="AA826" s="198">
        <f>IF(NOTA[[#This Row],[JUMLAH]]="","",NOTA[[#This Row],[JUMLAH]]-NOTA[[#This Row],[DISC]])</f>
        <v>3078000</v>
      </c>
      <c r="AB826" s="198"/>
      <c r="AC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187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826" s="200">
        <f>IF(OR(NOTA[[#This Row],[QTY]]="",NOTA[[#This Row],[HARGA SATUAN]]="",),"",NOTA[[#This Row],[QTY]]*NOTA[[#This Row],[HARGA SATUAN]])</f>
        <v>3600000</v>
      </c>
      <c r="AG826" s="192">
        <f ca="1">IF(NOTA[ID_H]="","",INDEX(NOTA[TANGGAL],MATCH(,INDIRECT(ADDRESS(ROW(NOTA[TANGGAL]),COLUMN(NOTA[TANGGAL]))&amp;":"&amp;ADDRESS(ROW(),COLUMN(NOTA[TANGGAL]))),-1)))</f>
        <v>45073</v>
      </c>
      <c r="AH826" s="187" t="str">
        <f ca="1">IF(NOTA[[#This Row],[NAMA BARANG]]="","",INDEX(NOTA[SUPPLIER],MATCH(,INDIRECT(ADDRESS(ROW(NOTA[ID]),COLUMN(NOTA[ID]))&amp;":"&amp;ADDRESS(ROW(),COLUMN(NOTA[ID]))),-1)))</f>
        <v>GUNINDO</v>
      </c>
      <c r="AI826" s="187" t="str">
        <f ca="1">IF(NOTA[[#This Row],[ID_H]]="","",IF(NOTA[[#This Row],[FAKTUR]]="",INDIRECT(ADDRESS(ROW()-1,COLUMN())),NOTA[[#This Row],[FAKTUR]]))</f>
        <v>UNTANA</v>
      </c>
      <c r="AJ826" s="188" t="str">
        <f ca="1">IF(NOTA[[#This Row],[ID]]="","",COUNTIF(NOTA[ID_H],NOTA[[#This Row],[ID_H]]))</f>
        <v/>
      </c>
      <c r="AK826" s="188">
        <f ca="1">IF(NOTA[[#This Row],[TGL.NOTA]]="",IF(NOTA[[#This Row],[SUPPLIER_H]]="","",AK825),MONTH(NOTA[[#This Row],[TGL.NOTA]]))</f>
        <v>5</v>
      </c>
      <c r="AL826" s="188" t="str">
        <f>LOWER(SUBSTITUTE(SUBSTITUTE(SUBSTITUTE(SUBSTITUTE(SUBSTITUTE(SUBSTITUTE(SUBSTITUTE(SUBSTITUTE(SUBSTITUTE(NOTA[NAMA BARANG]," ",),".",""),"-",""),"(",""),")",""),",",""),"/",""),"""",""),"+",""))</f>
        <v>gunindosplcoklat</v>
      </c>
      <c r="AM82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N82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O82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188" t="str">
        <f>IF(NOTA[[#This Row],[CONCAT4]]="","",_xlfn.IFNA(MATCH(NOTA[[#This Row],[CONCAT4]],[2]!RAW[CONCAT_H],0),FALSE))</f>
        <v/>
      </c>
      <c r="AQ826" s="188">
        <f>IF(NOTA[[#This Row],[CONCAT1]]="","",MATCH(NOTA[[#This Row],[CONCAT1]],[3]!db[NB NOTA_C],0)+1)</f>
        <v>1026</v>
      </c>
    </row>
    <row r="827" spans="1:43" ht="20.100000000000001" customHeight="1" x14ac:dyDescent="0.25">
      <c r="A82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188" t="str">
        <f>IF(NOTA[[#This Row],[ID_P]]="","",MATCH(NOTA[[#This Row],[ID_P]],[1]!B_MSK[N_ID],0))</f>
        <v/>
      </c>
      <c r="D827" s="188">
        <f ca="1">IF(NOTA[[#This Row],[NAMA BARANG]]="","",INDEX(NOTA[ID],MATCH(,INDIRECT(ADDRESS(ROW(NOTA[ID]),COLUMN(NOTA[ID]))&amp;":"&amp;ADDRESS(ROW(),COLUMN(NOTA[ID]))),-1)))</f>
        <v>140</v>
      </c>
      <c r="E827" s="189"/>
      <c r="F827" s="190"/>
      <c r="G827" s="190"/>
      <c r="H827" s="191"/>
      <c r="I827" s="190"/>
      <c r="J827" s="192"/>
      <c r="K827" s="190"/>
      <c r="L827" s="190" t="s">
        <v>568</v>
      </c>
      <c r="M827" s="193">
        <v>1</v>
      </c>
      <c r="N827" s="188">
        <v>60</v>
      </c>
      <c r="O827" s="190" t="s">
        <v>125</v>
      </c>
      <c r="P827" s="187">
        <v>47500</v>
      </c>
      <c r="Q827" s="194"/>
      <c r="R827" s="195" t="s">
        <v>379</v>
      </c>
      <c r="S827" s="196">
        <v>0.05</v>
      </c>
      <c r="T827" s="197">
        <v>0.1</v>
      </c>
      <c r="U827" s="198"/>
      <c r="V827" s="199"/>
      <c r="W827" s="198">
        <f>IF(NOTA[[#This Row],[HARGA/ CTN]]="",NOTA[[#This Row],[JUMLAH_H]],NOTA[[#This Row],[HARGA/ CTN]]*IF(NOTA[[#This Row],[C]]="",0,NOTA[[#This Row],[C]]))</f>
        <v>2850000</v>
      </c>
      <c r="X827" s="198">
        <f>IF(NOTA[[#This Row],[JUMLAH]]="","",NOTA[[#This Row],[JUMLAH]]*NOTA[[#This Row],[DISC 1]])</f>
        <v>142500</v>
      </c>
      <c r="Y827" s="198">
        <f>IF(NOTA[[#This Row],[JUMLAH]]="","",(NOTA[[#This Row],[JUMLAH]]-NOTA[[#This Row],[DISC 1-]])*NOTA[[#This Row],[DISC 2]])</f>
        <v>270750</v>
      </c>
      <c r="Z827" s="198">
        <f>IF(NOTA[[#This Row],[JUMLAH]]="","",NOTA[[#This Row],[DISC 1-]]+NOTA[[#This Row],[DISC 2-]])</f>
        <v>413250</v>
      </c>
      <c r="AA827" s="198">
        <f>IF(NOTA[[#This Row],[JUMLAH]]="","",NOTA[[#This Row],[JUMLAH]]-NOTA[[#This Row],[DISC]])</f>
        <v>2436750</v>
      </c>
      <c r="AB827" s="198"/>
      <c r="AC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187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F827" s="200">
        <f>IF(OR(NOTA[[#This Row],[QTY]]="",NOTA[[#This Row],[HARGA SATUAN]]="",),"",NOTA[[#This Row],[QTY]]*NOTA[[#This Row],[HARGA SATUAN]])</f>
        <v>2850000</v>
      </c>
      <c r="AG827" s="192">
        <f ca="1">IF(NOTA[ID_H]="","",INDEX(NOTA[TANGGAL],MATCH(,INDIRECT(ADDRESS(ROW(NOTA[TANGGAL]),COLUMN(NOTA[TANGGAL]))&amp;":"&amp;ADDRESS(ROW(),COLUMN(NOTA[TANGGAL]))),-1)))</f>
        <v>45073</v>
      </c>
      <c r="AH827" s="187" t="str">
        <f ca="1">IF(NOTA[[#This Row],[NAMA BARANG]]="","",INDEX(NOTA[SUPPLIER],MATCH(,INDIRECT(ADDRESS(ROW(NOTA[ID]),COLUMN(NOTA[ID]))&amp;":"&amp;ADDRESS(ROW(),COLUMN(NOTA[ID]))),-1)))</f>
        <v>GUNINDO</v>
      </c>
      <c r="AI827" s="187" t="str">
        <f ca="1">IF(NOTA[[#This Row],[ID_H]]="","",IF(NOTA[[#This Row],[FAKTUR]]="",INDIRECT(ADDRESS(ROW()-1,COLUMN())),NOTA[[#This Row],[FAKTUR]]))</f>
        <v>UNTANA</v>
      </c>
      <c r="AJ827" s="188" t="str">
        <f ca="1">IF(NOTA[[#This Row],[ID]]="","",COUNTIF(NOTA[ID_H],NOTA[[#This Row],[ID_H]]))</f>
        <v/>
      </c>
      <c r="AK827" s="188">
        <f ca="1">IF(NOTA[[#This Row],[TGL.NOTA]]="",IF(NOTA[[#This Row],[SUPPLIER_H]]="","",AK826),MONTH(NOTA[[#This Row],[TGL.NOTA]]))</f>
        <v>5</v>
      </c>
      <c r="AL827" s="188" t="str">
        <f>LOWER(SUBSTITUTE(SUBSTITUTE(SUBSTITUTE(SUBSTITUTE(SUBSTITUTE(SUBSTITUTE(SUBSTITUTE(SUBSTITUTE(SUBSTITUTE(NOTA[NAMA BARANG]," ",),".",""),"-",""),"(",""),")",""),",",""),"/",""),"""",""),"+",""))</f>
        <v>cuttera18trans</v>
      </c>
      <c r="AM82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N82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O82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188" t="str">
        <f>IF(NOTA[[#This Row],[CONCAT4]]="","",_xlfn.IFNA(MATCH(NOTA[[#This Row],[CONCAT4]],[2]!RAW[CONCAT_H],0),FALSE))</f>
        <v/>
      </c>
      <c r="AQ827" s="188">
        <f>IF(NOTA[[#This Row],[CONCAT1]]="","",MATCH(NOTA[[#This Row],[CONCAT1]],[3]!db[NB NOTA_C],0)+1)</f>
        <v>608</v>
      </c>
    </row>
    <row r="828" spans="1:43" ht="20.100000000000001" customHeight="1" x14ac:dyDescent="0.25">
      <c r="A82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188" t="str">
        <f>IF(NOTA[[#This Row],[ID_P]]="","",MATCH(NOTA[[#This Row],[ID_P]],[1]!B_MSK[N_ID],0))</f>
        <v/>
      </c>
      <c r="D828" s="188">
        <f ca="1">IF(NOTA[[#This Row],[NAMA BARANG]]="","",INDEX(NOTA[ID],MATCH(,INDIRECT(ADDRESS(ROW(NOTA[ID]),COLUMN(NOTA[ID]))&amp;":"&amp;ADDRESS(ROW(),COLUMN(NOTA[ID]))),-1)))</f>
        <v>140</v>
      </c>
      <c r="E828" s="189"/>
      <c r="F828" s="190"/>
      <c r="G828" s="190"/>
      <c r="H828" s="191"/>
      <c r="I828" s="190"/>
      <c r="J828" s="192"/>
      <c r="K828" s="190"/>
      <c r="L828" s="190" t="s">
        <v>1008</v>
      </c>
      <c r="M828" s="193">
        <v>1</v>
      </c>
      <c r="N828" s="188">
        <v>60</v>
      </c>
      <c r="O828" s="190" t="s">
        <v>125</v>
      </c>
      <c r="P828" s="187">
        <v>33000</v>
      </c>
      <c r="Q828" s="194"/>
      <c r="R828" s="195" t="s">
        <v>379</v>
      </c>
      <c r="S828" s="196">
        <v>0.05</v>
      </c>
      <c r="T828" s="197">
        <v>0.1</v>
      </c>
      <c r="U828" s="198"/>
      <c r="V828" s="199"/>
      <c r="W828" s="198">
        <f>IF(NOTA[[#This Row],[HARGA/ CTN]]="",NOTA[[#This Row],[JUMLAH_H]],NOTA[[#This Row],[HARGA/ CTN]]*IF(NOTA[[#This Row],[C]]="",0,NOTA[[#This Row],[C]]))</f>
        <v>1980000</v>
      </c>
      <c r="X828" s="198">
        <f>IF(NOTA[[#This Row],[JUMLAH]]="","",NOTA[[#This Row],[JUMLAH]]*NOTA[[#This Row],[DISC 1]])</f>
        <v>99000</v>
      </c>
      <c r="Y828" s="198">
        <f>IF(NOTA[[#This Row],[JUMLAH]]="","",(NOTA[[#This Row],[JUMLAH]]-NOTA[[#This Row],[DISC 1-]])*NOTA[[#This Row],[DISC 2]])</f>
        <v>188100</v>
      </c>
      <c r="Z828" s="198">
        <f>IF(NOTA[[#This Row],[JUMLAH]]="","",NOTA[[#This Row],[DISC 1-]]+NOTA[[#This Row],[DISC 2-]])</f>
        <v>287100</v>
      </c>
      <c r="AA828" s="198">
        <f>IF(NOTA[[#This Row],[JUMLAH]]="","",NOTA[[#This Row],[JUMLAH]]-NOTA[[#This Row],[DISC]])</f>
        <v>1692900</v>
      </c>
      <c r="AB828" s="198"/>
      <c r="AC82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2527350</v>
      </c>
      <c r="AD82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14902650</v>
      </c>
      <c r="AE828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828" s="200">
        <f>IF(OR(NOTA[[#This Row],[QTY]]="",NOTA[[#This Row],[HARGA SATUAN]]="",),"",NOTA[[#This Row],[QTY]]*NOTA[[#This Row],[HARGA SATUAN]])</f>
        <v>1980000</v>
      </c>
      <c r="AG828" s="192">
        <f ca="1">IF(NOTA[ID_H]="","",INDEX(NOTA[TANGGAL],MATCH(,INDIRECT(ADDRESS(ROW(NOTA[TANGGAL]),COLUMN(NOTA[TANGGAL]))&amp;":"&amp;ADDRESS(ROW(),COLUMN(NOTA[TANGGAL]))),-1)))</f>
        <v>45073</v>
      </c>
      <c r="AH828" s="187" t="str">
        <f ca="1">IF(NOTA[[#This Row],[NAMA BARANG]]="","",INDEX(NOTA[SUPPLIER],MATCH(,INDIRECT(ADDRESS(ROW(NOTA[ID]),COLUMN(NOTA[ID]))&amp;":"&amp;ADDRESS(ROW(),COLUMN(NOTA[ID]))),-1)))</f>
        <v>GUNINDO</v>
      </c>
      <c r="AI828" s="187" t="str">
        <f ca="1">IF(NOTA[[#This Row],[ID_H]]="","",IF(NOTA[[#This Row],[FAKTUR]]="",INDIRECT(ADDRESS(ROW()-1,COLUMN())),NOTA[[#This Row],[FAKTUR]]))</f>
        <v>UNTANA</v>
      </c>
      <c r="AJ828" s="188" t="str">
        <f ca="1">IF(NOTA[[#This Row],[ID]]="","",COUNTIF(NOTA[ID_H],NOTA[[#This Row],[ID_H]]))</f>
        <v/>
      </c>
      <c r="AK828" s="188">
        <f ca="1">IF(NOTA[[#This Row],[TGL.NOTA]]="",IF(NOTA[[#This Row],[SUPPLIER_H]]="","",AK827),MONTH(NOTA[[#This Row],[TGL.NOTA]]))</f>
        <v>5</v>
      </c>
      <c r="AL828" s="188" t="str">
        <f>LOWER(SUBSTITUTE(SUBSTITUTE(SUBSTITUTE(SUBSTITUTE(SUBSTITUTE(SUBSTITUTE(SUBSTITUTE(SUBSTITUTE(SUBSTITUTE(NOTA[NAMA BARANG]," ",),".",""),"-",""),"(",""),")",""),",",""),"/",""),"""",""),"+",""))</f>
        <v>cuttersc9ctrans</v>
      </c>
      <c r="AM82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cuttersc9ctrans19800000.050.1</v>
      </c>
      <c r="AN82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cuttersc9ctrans19800000.050.1</v>
      </c>
      <c r="AO82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188" t="str">
        <f>IF(NOTA[[#This Row],[CONCAT4]]="","",_xlfn.IFNA(MATCH(NOTA[[#This Row],[CONCAT4]],[2]!RAW[CONCAT_H],0),FALSE))</f>
        <v/>
      </c>
      <c r="AQ828" s="188" t="e">
        <f>IF(NOTA[[#This Row],[CONCAT1]]="","",MATCH(NOTA[[#This Row],[CONCAT1]],[3]!db[NB NOTA_C],0)+1)</f>
        <v>#N/A</v>
      </c>
    </row>
    <row r="829" spans="1:43" ht="20.100000000000001" customHeight="1" x14ac:dyDescent="0.25">
      <c r="A82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188" t="str">
        <f>IF(NOTA[[#This Row],[ID_P]]="","",MATCH(NOTA[[#This Row],[ID_P]],[1]!B_MSK[N_ID],0))</f>
        <v/>
      </c>
      <c r="D829" s="188" t="str">
        <f ca="1">IF(NOTA[[#This Row],[NAMA BARANG]]="","",INDEX(NOTA[ID],MATCH(,INDIRECT(ADDRESS(ROW(NOTA[ID]),COLUMN(NOTA[ID]))&amp;":"&amp;ADDRESS(ROW(),COLUMN(NOTA[ID]))),-1)))</f>
        <v/>
      </c>
      <c r="E829" s="189"/>
      <c r="F829" s="190"/>
      <c r="G829" s="190"/>
      <c r="H829" s="191"/>
      <c r="I829" s="190"/>
      <c r="J829" s="192"/>
      <c r="K829" s="190"/>
      <c r="L829" s="190"/>
      <c r="M829" s="193"/>
      <c r="N829" s="188"/>
      <c r="O829" s="190"/>
      <c r="P829" s="187"/>
      <c r="Q829" s="194"/>
      <c r="R829" s="195"/>
      <c r="S829" s="196"/>
      <c r="T829" s="197"/>
      <c r="U829" s="198"/>
      <c r="V829" s="199"/>
      <c r="W829" s="198" t="str">
        <f>IF(NOTA[[#This Row],[HARGA/ CTN]]="",NOTA[[#This Row],[JUMLAH_H]],NOTA[[#This Row],[HARGA/ CTN]]*IF(NOTA[[#This Row],[C]]="",0,NOTA[[#This Row],[C]]))</f>
        <v/>
      </c>
      <c r="X829" s="198" t="str">
        <f>IF(NOTA[[#This Row],[JUMLAH]]="","",NOTA[[#This Row],[JUMLAH]]*NOTA[[#This Row],[DISC 1]])</f>
        <v/>
      </c>
      <c r="Y829" s="198" t="str">
        <f>IF(NOTA[[#This Row],[JUMLAH]]="","",(NOTA[[#This Row],[JUMLAH]]-NOTA[[#This Row],[DISC 1-]])*NOTA[[#This Row],[DISC 2]])</f>
        <v/>
      </c>
      <c r="Z829" s="198" t="str">
        <f>IF(NOTA[[#This Row],[JUMLAH]]="","",NOTA[[#This Row],[DISC 1-]]+NOTA[[#This Row],[DISC 2-]])</f>
        <v/>
      </c>
      <c r="AA829" s="198" t="str">
        <f>IF(NOTA[[#This Row],[JUMLAH]]="","",NOTA[[#This Row],[JUMLAH]]-NOTA[[#This Row],[DISC]])</f>
        <v/>
      </c>
      <c r="AB829" s="198"/>
      <c r="AC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200" t="str">
        <f>IF(OR(NOTA[[#This Row],[QTY]]="",NOTA[[#This Row],[HARGA SATUAN]]="",),"",NOTA[[#This Row],[QTY]]*NOTA[[#This Row],[HARGA SATUAN]])</f>
        <v/>
      </c>
      <c r="AG829" s="192" t="str">
        <f ca="1">IF(NOTA[ID_H]="","",INDEX(NOTA[TANGGAL],MATCH(,INDIRECT(ADDRESS(ROW(NOTA[TANGGAL]),COLUMN(NOTA[TANGGAL]))&amp;":"&amp;ADDRESS(ROW(),COLUMN(NOTA[TANGGAL]))),-1)))</f>
        <v/>
      </c>
      <c r="AH829" s="187" t="str">
        <f ca="1">IF(NOTA[[#This Row],[NAMA BARANG]]="","",INDEX(NOTA[SUPPLIER],MATCH(,INDIRECT(ADDRESS(ROW(NOTA[ID]),COLUMN(NOTA[ID]))&amp;":"&amp;ADDRESS(ROW(),COLUMN(NOTA[ID]))),-1)))</f>
        <v/>
      </c>
      <c r="AI829" s="187" t="str">
        <f ca="1">IF(NOTA[[#This Row],[ID_H]]="","",IF(NOTA[[#This Row],[FAKTUR]]="",INDIRECT(ADDRESS(ROW()-1,COLUMN())),NOTA[[#This Row],[FAKTUR]]))</f>
        <v/>
      </c>
      <c r="AJ829" s="188" t="str">
        <f ca="1">IF(NOTA[[#This Row],[ID]]="","",COUNTIF(NOTA[ID_H],NOTA[[#This Row],[ID_H]]))</f>
        <v/>
      </c>
      <c r="AK829" s="188" t="str">
        <f ca="1">IF(NOTA[[#This Row],[TGL.NOTA]]="",IF(NOTA[[#This Row],[SUPPLIER_H]]="","",AK828),MONTH(NOTA[[#This Row],[TGL.NOTA]]))</f>
        <v/>
      </c>
      <c r="AL829" s="188" t="str">
        <f>LOWER(SUBSTITUTE(SUBSTITUTE(SUBSTITUTE(SUBSTITUTE(SUBSTITUTE(SUBSTITUTE(SUBSTITUTE(SUBSTITUTE(SUBSTITUTE(NOTA[NAMA BARANG]," ",),".",""),"-",""),"(",""),")",""),",",""),"/",""),"""",""),"+",""))</f>
        <v/>
      </c>
      <c r="AM82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188" t="str">
        <f>IF(NOTA[[#This Row],[CONCAT4]]="","",_xlfn.IFNA(MATCH(NOTA[[#This Row],[CONCAT4]],[2]!RAW[CONCAT_H],0),FALSE))</f>
        <v/>
      </c>
      <c r="AQ829" s="188" t="str">
        <f>IF(NOTA[[#This Row],[CONCAT1]]="","",MATCH(NOTA[[#This Row],[CONCAT1]],[3]!db[NB NOTA_C],0)+1)</f>
        <v/>
      </c>
    </row>
    <row r="830" spans="1:43" ht="20.100000000000001" customHeight="1" x14ac:dyDescent="0.25">
      <c r="A830" s="187">
        <f ca="1">IF(INDIRECT(ADDRESS(ROW()-1,COLUMN(NOTA[[#Headers],[ID]])))="ID",1,IF(NOTA[[#This Row],[FAKTUR]]="","",COUNT(INDIRECT(ADDRESS(ROW(NOTA[ID]),COLUMN(NOTA[ID]))&amp;":"&amp;ADDRESS(ROW()-1,COLUMN(NOTA[ID]))))+1))</f>
        <v>141</v>
      </c>
      <c r="B83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GUN_2705_970-1</v>
      </c>
      <c r="C830" s="188" t="e">
        <f ca="1">IF(NOTA[[#This Row],[ID_P]]="","",MATCH(NOTA[[#This Row],[ID_P]],[1]!B_MSK[N_ID],0))</f>
        <v>#REF!</v>
      </c>
      <c r="D830" s="188">
        <f ca="1">IF(NOTA[[#This Row],[NAMA BARANG]]="","",INDEX(NOTA[ID],MATCH(,INDIRECT(ADDRESS(ROW(NOTA[ID]),COLUMN(NOTA[ID]))&amp;":"&amp;ADDRESS(ROW(),COLUMN(NOTA[ID]))),-1)))</f>
        <v>141</v>
      </c>
      <c r="E830" s="189"/>
      <c r="F830" s="190" t="s">
        <v>563</v>
      </c>
      <c r="G830" s="190" t="s">
        <v>112</v>
      </c>
      <c r="H830" s="191" t="s">
        <v>1009</v>
      </c>
      <c r="I830" s="190"/>
      <c r="J830" s="192">
        <v>45068</v>
      </c>
      <c r="K830" s="190"/>
      <c r="L830" s="190" t="s">
        <v>1010</v>
      </c>
      <c r="M830" s="193">
        <v>2</v>
      </c>
      <c r="N830" s="188">
        <v>120</v>
      </c>
      <c r="O830" s="190" t="s">
        <v>125</v>
      </c>
      <c r="P830" s="187">
        <v>57000</v>
      </c>
      <c r="Q830" s="194"/>
      <c r="R830" s="195" t="s">
        <v>379</v>
      </c>
      <c r="S830" s="196">
        <v>0.05</v>
      </c>
      <c r="T830" s="197">
        <v>0.1</v>
      </c>
      <c r="U830" s="198"/>
      <c r="V830" s="199"/>
      <c r="W830" s="198">
        <f>IF(NOTA[[#This Row],[HARGA/ CTN]]="",NOTA[[#This Row],[JUMLAH_H]],NOTA[[#This Row],[HARGA/ CTN]]*IF(NOTA[[#This Row],[C]]="",0,NOTA[[#This Row],[C]]))</f>
        <v>6840000</v>
      </c>
      <c r="X830" s="198">
        <f>IF(NOTA[[#This Row],[JUMLAH]]="","",NOTA[[#This Row],[JUMLAH]]*NOTA[[#This Row],[DISC 1]])</f>
        <v>342000</v>
      </c>
      <c r="Y830" s="198">
        <f>IF(NOTA[[#This Row],[JUMLAH]]="","",(NOTA[[#This Row],[JUMLAH]]-NOTA[[#This Row],[DISC 1-]])*NOTA[[#This Row],[DISC 2]])</f>
        <v>649800</v>
      </c>
      <c r="Z830" s="198">
        <f>IF(NOTA[[#This Row],[JUMLAH]]="","",NOTA[[#This Row],[DISC 1-]]+NOTA[[#This Row],[DISC 2-]])</f>
        <v>991800</v>
      </c>
      <c r="AA830" s="198">
        <f>IF(NOTA[[#This Row],[JUMLAH]]="","",NOTA[[#This Row],[JUMLAH]]-NOTA[[#This Row],[DISC]])</f>
        <v>5848200</v>
      </c>
      <c r="AB830" s="198"/>
      <c r="AC8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83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830" s="187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830" s="200">
        <f>IF(OR(NOTA[[#This Row],[QTY]]="",NOTA[[#This Row],[HARGA SATUAN]]="",),"",NOTA[[#This Row],[QTY]]*NOTA[[#This Row],[HARGA SATUAN]])</f>
        <v>6840000</v>
      </c>
      <c r="AG830" s="192">
        <f ca="1">IF(NOTA[ID_H]="","",INDEX(NOTA[TANGGAL],MATCH(,INDIRECT(ADDRESS(ROW(NOTA[TANGGAL]),COLUMN(NOTA[TANGGAL]))&amp;":"&amp;ADDRESS(ROW(),COLUMN(NOTA[TANGGAL]))),-1)))</f>
        <v>45073</v>
      </c>
      <c r="AH830" s="187" t="str">
        <f ca="1">IF(NOTA[[#This Row],[NAMA BARANG]]="","",INDEX(NOTA[SUPPLIER],MATCH(,INDIRECT(ADDRESS(ROW(NOTA[ID]),COLUMN(NOTA[ID]))&amp;":"&amp;ADDRESS(ROW(),COLUMN(NOTA[ID]))),-1)))</f>
        <v>GUNINDO</v>
      </c>
      <c r="AI830" s="187" t="str">
        <f ca="1">IF(NOTA[[#This Row],[ID_H]]="","",IF(NOTA[[#This Row],[FAKTUR]]="",INDIRECT(ADDRESS(ROW()-1,COLUMN())),NOTA[[#This Row],[FAKTUR]]))</f>
        <v>UNTANA</v>
      </c>
      <c r="AJ830" s="188">
        <f ca="1">IF(NOTA[[#This Row],[ID]]="","",COUNTIF(NOTA[ID_H],NOTA[[#This Row],[ID_H]]))</f>
        <v>1</v>
      </c>
      <c r="AK830" s="188">
        <f>IF(NOTA[[#This Row],[TGL.NOTA]]="",IF(NOTA[[#This Row],[SUPPLIER_H]]="","",AK829),MONTH(NOTA[[#This Row],[TGL.NOTA]]))</f>
        <v>5</v>
      </c>
      <c r="AL830" s="188" t="str">
        <f>LOWER(SUBSTITUTE(SUBSTITUTE(SUBSTITUTE(SUBSTITUTE(SUBSTITUTE(SUBSTITUTE(SUBSTITUTE(SUBSTITUTE(SUBSTITUTE(NOTA[NAMA BARANG]," ",),".",""),"-",""),"(",""),")",""),",",""),"/",""),"""",""),"+",""))</f>
        <v>ommgunido</v>
      </c>
      <c r="AM83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ommgunido34200000.050.1</v>
      </c>
      <c r="AN83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ommgunido34200000.050.1</v>
      </c>
      <c r="AO830" s="18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GUNINDOUNTANA230097045068ommgunido</v>
      </c>
      <c r="AP830" s="188" t="e">
        <f>IF(NOTA[[#This Row],[CONCAT4]]="","",_xlfn.IFNA(MATCH(NOTA[[#This Row],[CONCAT4]],[2]!RAW[CONCAT_H],0),FALSE))</f>
        <v>#REF!</v>
      </c>
      <c r="AQ830" s="188" t="e">
        <f>IF(NOTA[[#This Row],[CONCAT1]]="","",MATCH(NOTA[[#This Row],[CONCAT1]],[3]!db[NB NOTA_C],0)+1)</f>
        <v>#N/A</v>
      </c>
    </row>
    <row r="831" spans="1:43" ht="20.100000000000001" customHeight="1" x14ac:dyDescent="0.25">
      <c r="A83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188" t="str">
        <f>IF(NOTA[[#This Row],[ID_P]]="","",MATCH(NOTA[[#This Row],[ID_P]],[1]!B_MSK[N_ID],0))</f>
        <v/>
      </c>
      <c r="D831" s="188" t="str">
        <f ca="1">IF(NOTA[[#This Row],[NAMA BARANG]]="","",INDEX(NOTA[ID],MATCH(,INDIRECT(ADDRESS(ROW(NOTA[ID]),COLUMN(NOTA[ID]))&amp;":"&amp;ADDRESS(ROW(),COLUMN(NOTA[ID]))),-1)))</f>
        <v/>
      </c>
      <c r="E831" s="189"/>
      <c r="F831" s="190"/>
      <c r="G831" s="190"/>
      <c r="H831" s="191"/>
      <c r="I831" s="190"/>
      <c r="J831" s="192"/>
      <c r="K831" s="190"/>
      <c r="L831" s="190"/>
      <c r="M831" s="193"/>
      <c r="N831" s="188"/>
      <c r="O831" s="190"/>
      <c r="P831" s="187"/>
      <c r="Q831" s="194"/>
      <c r="R831" s="195"/>
      <c r="S831" s="196"/>
      <c r="T831" s="197"/>
      <c r="U831" s="198"/>
      <c r="V831" s="199"/>
      <c r="W831" s="198" t="str">
        <f>IF(NOTA[[#This Row],[HARGA/ CTN]]="",NOTA[[#This Row],[JUMLAH_H]],NOTA[[#This Row],[HARGA/ CTN]]*IF(NOTA[[#This Row],[C]]="",0,NOTA[[#This Row],[C]]))</f>
        <v/>
      </c>
      <c r="X831" s="198" t="str">
        <f>IF(NOTA[[#This Row],[JUMLAH]]="","",NOTA[[#This Row],[JUMLAH]]*NOTA[[#This Row],[DISC 1]])</f>
        <v/>
      </c>
      <c r="Y831" s="198" t="str">
        <f>IF(NOTA[[#This Row],[JUMLAH]]="","",(NOTA[[#This Row],[JUMLAH]]-NOTA[[#This Row],[DISC 1-]])*NOTA[[#This Row],[DISC 2]])</f>
        <v/>
      </c>
      <c r="Z831" s="198" t="str">
        <f>IF(NOTA[[#This Row],[JUMLAH]]="","",NOTA[[#This Row],[DISC 1-]]+NOTA[[#This Row],[DISC 2-]])</f>
        <v/>
      </c>
      <c r="AA831" s="198" t="str">
        <f>IF(NOTA[[#This Row],[JUMLAH]]="","",NOTA[[#This Row],[JUMLAH]]-NOTA[[#This Row],[DISC]])</f>
        <v/>
      </c>
      <c r="AB831" s="198"/>
      <c r="AC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200" t="str">
        <f>IF(OR(NOTA[[#This Row],[QTY]]="",NOTA[[#This Row],[HARGA SATUAN]]="",),"",NOTA[[#This Row],[QTY]]*NOTA[[#This Row],[HARGA SATUAN]])</f>
        <v/>
      </c>
      <c r="AG831" s="192" t="str">
        <f ca="1">IF(NOTA[ID_H]="","",INDEX(NOTA[TANGGAL],MATCH(,INDIRECT(ADDRESS(ROW(NOTA[TANGGAL]),COLUMN(NOTA[TANGGAL]))&amp;":"&amp;ADDRESS(ROW(),COLUMN(NOTA[TANGGAL]))),-1)))</f>
        <v/>
      </c>
      <c r="AH831" s="187" t="str">
        <f ca="1">IF(NOTA[[#This Row],[NAMA BARANG]]="","",INDEX(NOTA[SUPPLIER],MATCH(,INDIRECT(ADDRESS(ROW(NOTA[ID]),COLUMN(NOTA[ID]))&amp;":"&amp;ADDRESS(ROW(),COLUMN(NOTA[ID]))),-1)))</f>
        <v/>
      </c>
      <c r="AI831" s="187" t="str">
        <f ca="1">IF(NOTA[[#This Row],[ID_H]]="","",IF(NOTA[[#This Row],[FAKTUR]]="",INDIRECT(ADDRESS(ROW()-1,COLUMN())),NOTA[[#This Row],[FAKTUR]]))</f>
        <v/>
      </c>
      <c r="AJ831" s="188" t="str">
        <f ca="1">IF(NOTA[[#This Row],[ID]]="","",COUNTIF(NOTA[ID_H],NOTA[[#This Row],[ID_H]]))</f>
        <v/>
      </c>
      <c r="AK831" s="188" t="str">
        <f ca="1">IF(NOTA[[#This Row],[TGL.NOTA]]="",IF(NOTA[[#This Row],[SUPPLIER_H]]="","",AK830),MONTH(NOTA[[#This Row],[TGL.NOTA]]))</f>
        <v/>
      </c>
      <c r="AL831" s="188" t="str">
        <f>LOWER(SUBSTITUTE(SUBSTITUTE(SUBSTITUTE(SUBSTITUTE(SUBSTITUTE(SUBSTITUTE(SUBSTITUTE(SUBSTITUTE(SUBSTITUTE(NOTA[NAMA BARANG]," ",),".",""),"-",""),"(",""),")",""),",",""),"/",""),"""",""),"+",""))</f>
        <v/>
      </c>
      <c r="AM83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188" t="str">
        <f>IF(NOTA[[#This Row],[CONCAT4]]="","",_xlfn.IFNA(MATCH(NOTA[[#This Row],[CONCAT4]],[2]!RAW[CONCAT_H],0),FALSE))</f>
        <v/>
      </c>
      <c r="AQ831" s="188" t="str">
        <f>IF(NOTA[[#This Row],[CONCAT1]]="","",MATCH(NOTA[[#This Row],[CONCAT1]],[3]!db[NB NOTA_C],0)+1)</f>
        <v/>
      </c>
    </row>
    <row r="832" spans="1:43" ht="20.100000000000001" customHeight="1" x14ac:dyDescent="0.25">
      <c r="A832" s="187">
        <f ca="1">IF(INDIRECT(ADDRESS(ROW()-1,COLUMN(NOTA[[#Headers],[ID]])))="ID",1,IF(NOTA[[#This Row],[FAKTUR]]="","",COUNT(INDIRECT(ADDRESS(ROW(NOTA[ID]),COLUMN(NOTA[ID]))&amp;":"&amp;ADDRESS(ROW()-1,COLUMN(NOTA[ID]))))+1))</f>
        <v>142</v>
      </c>
      <c r="B83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BIN_2805_757-2</v>
      </c>
      <c r="C832" s="188" t="e">
        <f ca="1">IF(NOTA[[#This Row],[ID_P]]="","",MATCH(NOTA[[#This Row],[ID_P]],[1]!B_MSK[N_ID],0))</f>
        <v>#REF!</v>
      </c>
      <c r="D832" s="188">
        <f ca="1">IF(NOTA[[#This Row],[NAMA BARANG]]="","",INDEX(NOTA[ID],MATCH(,INDIRECT(ADDRESS(ROW(NOTA[ID]),COLUMN(NOTA[ID]))&amp;":"&amp;ADDRESS(ROW(),COLUMN(NOTA[ID]))),-1)))</f>
        <v>142</v>
      </c>
      <c r="E832" s="189">
        <v>45074</v>
      </c>
      <c r="F832" s="190" t="s">
        <v>157</v>
      </c>
      <c r="G832" s="190" t="s">
        <v>112</v>
      </c>
      <c r="H832" s="191" t="s">
        <v>1011</v>
      </c>
      <c r="I832" s="190"/>
      <c r="J832" s="192">
        <v>45069</v>
      </c>
      <c r="K832" s="190"/>
      <c r="L832" s="190" t="s">
        <v>1012</v>
      </c>
      <c r="M832" s="193">
        <v>50</v>
      </c>
      <c r="N832" s="188">
        <f>96*50</f>
        <v>4800</v>
      </c>
      <c r="O832" s="190" t="s">
        <v>160</v>
      </c>
      <c r="P832" s="187">
        <v>17750</v>
      </c>
      <c r="Q832" s="194"/>
      <c r="R832" s="195" t="s">
        <v>728</v>
      </c>
      <c r="S832" s="196"/>
      <c r="T832" s="197"/>
      <c r="U832" s="198"/>
      <c r="V832" s="199"/>
      <c r="W832" s="198">
        <f>IF(NOTA[[#This Row],[HARGA/ CTN]]="",NOTA[[#This Row],[JUMLAH_H]],NOTA[[#This Row],[HARGA/ CTN]]*IF(NOTA[[#This Row],[C]]="",0,NOTA[[#This Row],[C]]))</f>
        <v>85200000</v>
      </c>
      <c r="X832" s="198">
        <f>IF(NOTA[[#This Row],[JUMLAH]]="","",NOTA[[#This Row],[JUMLAH]]*NOTA[[#This Row],[DISC 1]])</f>
        <v>0</v>
      </c>
      <c r="Y832" s="198">
        <f>IF(NOTA[[#This Row],[JUMLAH]]="","",(NOTA[[#This Row],[JUMLAH]]-NOTA[[#This Row],[DISC 1-]])*NOTA[[#This Row],[DISC 2]])</f>
        <v>0</v>
      </c>
      <c r="Z832" s="198">
        <f>IF(NOTA[[#This Row],[JUMLAH]]="","",NOTA[[#This Row],[DISC 1-]]+NOTA[[#This Row],[DISC 2-]])</f>
        <v>0</v>
      </c>
      <c r="AA832" s="198">
        <f>IF(NOTA[[#This Row],[JUMLAH]]="","",NOTA[[#This Row],[JUMLAH]]-NOTA[[#This Row],[DISC]])</f>
        <v>85200000</v>
      </c>
      <c r="AB832" s="198"/>
      <c r="AC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187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832" s="200">
        <f>IF(OR(NOTA[[#This Row],[QTY]]="",NOTA[[#This Row],[HARGA SATUAN]]="",),"",NOTA[[#This Row],[QTY]]*NOTA[[#This Row],[HARGA SATUAN]])</f>
        <v>85200000</v>
      </c>
      <c r="AG832" s="192">
        <f ca="1">IF(NOTA[ID_H]="","",INDEX(NOTA[TANGGAL],MATCH(,INDIRECT(ADDRESS(ROW(NOTA[TANGGAL]),COLUMN(NOTA[TANGGAL]))&amp;":"&amp;ADDRESS(ROW(),COLUMN(NOTA[TANGGAL]))),-1)))</f>
        <v>45074</v>
      </c>
      <c r="AH832" s="187" t="str">
        <f ca="1">IF(NOTA[[#This Row],[NAMA BARANG]]="","",INDEX(NOTA[SUPPLIER],MATCH(,INDIRECT(ADDRESS(ROW(NOTA[ID]),COLUMN(NOTA[ID]))&amp;":"&amp;ADDRESS(ROW(),COLUMN(NOTA[ID]))),-1)))</f>
        <v>BINTANG JAYA</v>
      </c>
      <c r="AI832" s="187" t="str">
        <f ca="1">IF(NOTA[[#This Row],[ID_H]]="","",IF(NOTA[[#This Row],[FAKTUR]]="",INDIRECT(ADDRESS(ROW()-1,COLUMN())),NOTA[[#This Row],[FAKTUR]]))</f>
        <v>UNTANA</v>
      </c>
      <c r="AJ832" s="188">
        <f ca="1">IF(NOTA[[#This Row],[ID]]="","",COUNTIF(NOTA[ID_H],NOTA[[#This Row],[ID_H]]))</f>
        <v>2</v>
      </c>
      <c r="AK832" s="188">
        <f>IF(NOTA[[#This Row],[TGL.NOTA]]="",IF(NOTA[[#This Row],[SUPPLIER_H]]="","",AK831),MONTH(NOTA[[#This Row],[TGL.NOTA]]))</f>
        <v>5</v>
      </c>
      <c r="AL832" s="188" t="str">
        <f>LOWER(SUBSTITUTE(SUBSTITUTE(SUBSTITUTE(SUBSTITUTE(SUBSTITUTE(SUBSTITUTE(SUBSTITUTE(SUBSTITUTE(SUBSTITUTE(NOTA[NAMA BARANG]," ",),".",""),"-",""),"(",""),")",""),",",""),"/",""),"""",""),"+",""))</f>
        <v>pencilcaseduskodea2020d</v>
      </c>
      <c r="AM83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pencilcaseduskodea2020d1704000</v>
      </c>
      <c r="AN83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pencilcaseduskodea2020d1704000</v>
      </c>
      <c r="AO832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JAYAUNTANASI.2023.05.0075745069pencilcaseduskodea2020d</v>
      </c>
      <c r="AP832" s="188" t="e">
        <f>IF(NOTA[[#This Row],[CONCAT4]]="","",_xlfn.IFNA(MATCH(NOTA[[#This Row],[CONCAT4]],[2]!RAW[CONCAT_H],0),FALSE))</f>
        <v>#REF!</v>
      </c>
      <c r="AQ832" s="188" t="e">
        <f>IF(NOTA[[#This Row],[CONCAT1]]="","",MATCH(NOTA[[#This Row],[CONCAT1]],[3]!db[NB NOTA_C],0)+1)</f>
        <v>#N/A</v>
      </c>
    </row>
    <row r="833" spans="1:43" ht="20.100000000000001" customHeight="1" x14ac:dyDescent="0.25">
      <c r="A83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188" t="str">
        <f>IF(NOTA[[#This Row],[ID_P]]="","",MATCH(NOTA[[#This Row],[ID_P]],[1]!B_MSK[N_ID],0))</f>
        <v/>
      </c>
      <c r="D833" s="188">
        <f ca="1">IF(NOTA[[#This Row],[NAMA BARANG]]="","",INDEX(NOTA[ID],MATCH(,INDIRECT(ADDRESS(ROW(NOTA[ID]),COLUMN(NOTA[ID]))&amp;":"&amp;ADDRESS(ROW(),COLUMN(NOTA[ID]))),-1)))</f>
        <v>142</v>
      </c>
      <c r="E833" s="189"/>
      <c r="F833" s="190"/>
      <c r="G833" s="190"/>
      <c r="H833" s="191"/>
      <c r="I833" s="190"/>
      <c r="J833" s="192"/>
      <c r="K833" s="190"/>
      <c r="L833" s="190" t="s">
        <v>1013</v>
      </c>
      <c r="M833" s="193">
        <v>50</v>
      </c>
      <c r="N833" s="188">
        <f>144*50</f>
        <v>7200</v>
      </c>
      <c r="O833" s="190" t="s">
        <v>160</v>
      </c>
      <c r="P833" s="187">
        <v>12000</v>
      </c>
      <c r="Q833" s="194"/>
      <c r="R833" s="195" t="s">
        <v>161</v>
      </c>
      <c r="S833" s="196"/>
      <c r="T833" s="197"/>
      <c r="U833" s="198"/>
      <c r="V833" s="199"/>
      <c r="W833" s="198">
        <f>IF(NOTA[[#This Row],[HARGA/ CTN]]="",NOTA[[#This Row],[JUMLAH_H]],NOTA[[#This Row],[HARGA/ CTN]]*IF(NOTA[[#This Row],[C]]="",0,NOTA[[#This Row],[C]]))</f>
        <v>86400000</v>
      </c>
      <c r="X833" s="198">
        <f>IF(NOTA[[#This Row],[JUMLAH]]="","",NOTA[[#This Row],[JUMLAH]]*NOTA[[#This Row],[DISC 1]])</f>
        <v>0</v>
      </c>
      <c r="Y833" s="198">
        <f>IF(NOTA[[#This Row],[JUMLAH]]="","",(NOTA[[#This Row],[JUMLAH]]-NOTA[[#This Row],[DISC 1-]])*NOTA[[#This Row],[DISC 2]])</f>
        <v>0</v>
      </c>
      <c r="Z833" s="198">
        <f>IF(NOTA[[#This Row],[JUMLAH]]="","",NOTA[[#This Row],[DISC 1-]]+NOTA[[#This Row],[DISC 2-]])</f>
        <v>0</v>
      </c>
      <c r="AA833" s="198">
        <f>IF(NOTA[[#This Row],[JUMLAH]]="","",NOTA[[#This Row],[JUMLAH]]-NOTA[[#This Row],[DISC]])</f>
        <v>86400000</v>
      </c>
      <c r="AB833" s="198"/>
      <c r="AC8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171600000</v>
      </c>
      <c r="AE833" s="187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33" s="200">
        <f>IF(OR(NOTA[[#This Row],[QTY]]="",NOTA[[#This Row],[HARGA SATUAN]]="",),"",NOTA[[#This Row],[QTY]]*NOTA[[#This Row],[HARGA SATUAN]])</f>
        <v>86400000</v>
      </c>
      <c r="AG833" s="192">
        <f ca="1">IF(NOTA[ID_H]="","",INDEX(NOTA[TANGGAL],MATCH(,INDIRECT(ADDRESS(ROW(NOTA[TANGGAL]),COLUMN(NOTA[TANGGAL]))&amp;":"&amp;ADDRESS(ROW(),COLUMN(NOTA[TANGGAL]))),-1)))</f>
        <v>45074</v>
      </c>
      <c r="AH833" s="187" t="str">
        <f ca="1">IF(NOTA[[#This Row],[NAMA BARANG]]="","",INDEX(NOTA[SUPPLIER],MATCH(,INDIRECT(ADDRESS(ROW(NOTA[ID]),COLUMN(NOTA[ID]))&amp;":"&amp;ADDRESS(ROW(),COLUMN(NOTA[ID]))),-1)))</f>
        <v>BINTANG JAYA</v>
      </c>
      <c r="AI833" s="187" t="str">
        <f ca="1">IF(NOTA[[#This Row],[ID_H]]="","",IF(NOTA[[#This Row],[FAKTUR]]="",INDIRECT(ADDRESS(ROW()-1,COLUMN())),NOTA[[#This Row],[FAKTUR]]))</f>
        <v>UNTANA</v>
      </c>
      <c r="AJ833" s="188" t="str">
        <f ca="1">IF(NOTA[[#This Row],[ID]]="","",COUNTIF(NOTA[ID_H],NOTA[[#This Row],[ID_H]]))</f>
        <v/>
      </c>
      <c r="AK833" s="188">
        <f ca="1">IF(NOTA[[#This Row],[TGL.NOTA]]="",IF(NOTA[[#This Row],[SUPPLIER_H]]="","",AK832),MONTH(NOTA[[#This Row],[TGL.NOTA]]))</f>
        <v>5</v>
      </c>
      <c r="AL833" s="188" t="str">
        <f>LOWER(SUBSTITUTE(SUBSTITUTE(SUBSTITUTE(SUBSTITUTE(SUBSTITUTE(SUBSTITUTE(SUBSTITUTE(SUBSTITUTE(SUBSTITUTE(NOTA[NAMA BARANG]," ",),".",""),"-",""),"(",""),")",""),",",""),"/",""),"""",""),"+",""))</f>
        <v>pencilcasemagnetkalkulatorcc7806</v>
      </c>
      <c r="AM83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pencilcasemagnetkalkulatorcc78061728000</v>
      </c>
      <c r="AN83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pencilcasemagnetkalkulatorcc78061728000</v>
      </c>
      <c r="AO83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188" t="str">
        <f>IF(NOTA[[#This Row],[CONCAT4]]="","",_xlfn.IFNA(MATCH(NOTA[[#This Row],[CONCAT4]],[2]!RAW[CONCAT_H],0),FALSE))</f>
        <v/>
      </c>
      <c r="AQ833" s="188" t="e">
        <f>IF(NOTA[[#This Row],[CONCAT1]]="","",MATCH(NOTA[[#This Row],[CONCAT1]],[3]!db[NB NOTA_C],0)+1)</f>
        <v>#N/A</v>
      </c>
    </row>
    <row r="834" spans="1:43" ht="20.100000000000001" customHeight="1" x14ac:dyDescent="0.25">
      <c r="A83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188" t="str">
        <f>IF(NOTA[[#This Row],[ID_P]]="","",MATCH(NOTA[[#This Row],[ID_P]],[1]!B_MSK[N_ID],0))</f>
        <v/>
      </c>
      <c r="D834" s="188" t="str">
        <f ca="1">IF(NOTA[[#This Row],[NAMA BARANG]]="","",INDEX(NOTA[ID],MATCH(,INDIRECT(ADDRESS(ROW(NOTA[ID]),COLUMN(NOTA[ID]))&amp;":"&amp;ADDRESS(ROW(),COLUMN(NOTA[ID]))),-1)))</f>
        <v/>
      </c>
      <c r="E834" s="189"/>
      <c r="F834" s="190"/>
      <c r="G834" s="190"/>
      <c r="H834" s="191"/>
      <c r="I834" s="190"/>
      <c r="J834" s="192"/>
      <c r="K834" s="190"/>
      <c r="L834" s="190"/>
      <c r="M834" s="193"/>
      <c r="N834" s="188"/>
      <c r="O834" s="190"/>
      <c r="P834" s="187"/>
      <c r="Q834" s="194"/>
      <c r="R834" s="195"/>
      <c r="S834" s="196"/>
      <c r="T834" s="197"/>
      <c r="U834" s="198"/>
      <c r="V834" s="199"/>
      <c r="W834" s="198" t="str">
        <f>IF(NOTA[[#This Row],[HARGA/ CTN]]="",NOTA[[#This Row],[JUMLAH_H]],NOTA[[#This Row],[HARGA/ CTN]]*IF(NOTA[[#This Row],[C]]="",0,NOTA[[#This Row],[C]]))</f>
        <v/>
      </c>
      <c r="X834" s="198" t="str">
        <f>IF(NOTA[[#This Row],[JUMLAH]]="","",NOTA[[#This Row],[JUMLAH]]*NOTA[[#This Row],[DISC 1]])</f>
        <v/>
      </c>
      <c r="Y834" s="198" t="str">
        <f>IF(NOTA[[#This Row],[JUMLAH]]="","",(NOTA[[#This Row],[JUMLAH]]-NOTA[[#This Row],[DISC 1-]])*NOTA[[#This Row],[DISC 2]])</f>
        <v/>
      </c>
      <c r="Z834" s="198" t="str">
        <f>IF(NOTA[[#This Row],[JUMLAH]]="","",NOTA[[#This Row],[DISC 1-]]+NOTA[[#This Row],[DISC 2-]])</f>
        <v/>
      </c>
      <c r="AA834" s="198" t="str">
        <f>IF(NOTA[[#This Row],[JUMLAH]]="","",NOTA[[#This Row],[JUMLAH]]-NOTA[[#This Row],[DISC]])</f>
        <v/>
      </c>
      <c r="AB834" s="198"/>
      <c r="AC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200" t="str">
        <f>IF(OR(NOTA[[#This Row],[QTY]]="",NOTA[[#This Row],[HARGA SATUAN]]="",),"",NOTA[[#This Row],[QTY]]*NOTA[[#This Row],[HARGA SATUAN]])</f>
        <v/>
      </c>
      <c r="AG834" s="192" t="str">
        <f ca="1">IF(NOTA[ID_H]="","",INDEX(NOTA[TANGGAL],MATCH(,INDIRECT(ADDRESS(ROW(NOTA[TANGGAL]),COLUMN(NOTA[TANGGAL]))&amp;":"&amp;ADDRESS(ROW(),COLUMN(NOTA[TANGGAL]))),-1)))</f>
        <v/>
      </c>
      <c r="AH834" s="187" t="str">
        <f ca="1">IF(NOTA[[#This Row],[NAMA BARANG]]="","",INDEX(NOTA[SUPPLIER],MATCH(,INDIRECT(ADDRESS(ROW(NOTA[ID]),COLUMN(NOTA[ID]))&amp;":"&amp;ADDRESS(ROW(),COLUMN(NOTA[ID]))),-1)))</f>
        <v/>
      </c>
      <c r="AI834" s="187" t="str">
        <f ca="1">IF(NOTA[[#This Row],[ID_H]]="","",IF(NOTA[[#This Row],[FAKTUR]]="",INDIRECT(ADDRESS(ROW()-1,COLUMN())),NOTA[[#This Row],[FAKTUR]]))</f>
        <v/>
      </c>
      <c r="AJ834" s="188" t="str">
        <f ca="1">IF(NOTA[[#This Row],[ID]]="","",COUNTIF(NOTA[ID_H],NOTA[[#This Row],[ID_H]]))</f>
        <v/>
      </c>
      <c r="AK834" s="188" t="str">
        <f ca="1">IF(NOTA[[#This Row],[TGL.NOTA]]="",IF(NOTA[[#This Row],[SUPPLIER_H]]="","",AK833),MONTH(NOTA[[#This Row],[TGL.NOTA]]))</f>
        <v/>
      </c>
      <c r="AL834" s="188" t="str">
        <f>LOWER(SUBSTITUTE(SUBSTITUTE(SUBSTITUTE(SUBSTITUTE(SUBSTITUTE(SUBSTITUTE(SUBSTITUTE(SUBSTITUTE(SUBSTITUTE(NOTA[NAMA BARANG]," ",),".",""),"-",""),"(",""),")",""),",",""),"/",""),"""",""),"+",""))</f>
        <v/>
      </c>
      <c r="AM83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188" t="str">
        <f>IF(NOTA[[#This Row],[CONCAT4]]="","",_xlfn.IFNA(MATCH(NOTA[[#This Row],[CONCAT4]],[2]!RAW[CONCAT_H],0),FALSE))</f>
        <v/>
      </c>
      <c r="AQ834" s="188" t="str">
        <f>IF(NOTA[[#This Row],[CONCAT1]]="","",MATCH(NOTA[[#This Row],[CONCAT1]],[3]!db[NB NOTA_C],0)+1)</f>
        <v/>
      </c>
    </row>
    <row r="835" spans="1:43" ht="20.100000000000001" customHeight="1" x14ac:dyDescent="0.25">
      <c r="A835" s="187">
        <f ca="1">IF(INDIRECT(ADDRESS(ROW()-1,COLUMN(NOTA[[#Headers],[ID]])))="ID",1,IF(NOTA[[#This Row],[FAKTUR]]="","",COUNT(INDIRECT(ADDRESS(ROW(NOTA[ID]),COLUMN(NOTA[ID]))&amp;":"&amp;ADDRESS(ROW()-1,COLUMN(NOTA[ID]))))+1))</f>
        <v>143</v>
      </c>
      <c r="B83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LAU_2705_130-1</v>
      </c>
      <c r="C835" s="188" t="e">
        <f ca="1">IF(NOTA[[#This Row],[ID_P]]="","",MATCH(NOTA[[#This Row],[ID_P]],[1]!B_MSK[N_ID],0))</f>
        <v>#REF!</v>
      </c>
      <c r="D835" s="188">
        <f ca="1">IF(NOTA[[#This Row],[NAMA BARANG]]="","",INDEX(NOTA[ID],MATCH(,INDIRECT(ADDRESS(ROW(NOTA[ID]),COLUMN(NOTA[ID]))&amp;":"&amp;ADDRESS(ROW(),COLUMN(NOTA[ID]))),-1)))</f>
        <v>143</v>
      </c>
      <c r="E835" s="189">
        <v>45073</v>
      </c>
      <c r="F835" s="190" t="s">
        <v>56</v>
      </c>
      <c r="G835" s="190" t="s">
        <v>24</v>
      </c>
      <c r="H835" s="191" t="s">
        <v>1014</v>
      </c>
      <c r="I835" s="190"/>
      <c r="J835" s="192">
        <v>45070</v>
      </c>
      <c r="K835" s="190"/>
      <c r="L835" s="190" t="s">
        <v>1015</v>
      </c>
      <c r="M835" s="193">
        <v>30</v>
      </c>
      <c r="N835" s="188">
        <v>1200</v>
      </c>
      <c r="O835" s="190" t="s">
        <v>262</v>
      </c>
      <c r="P835" s="187">
        <v>52703</v>
      </c>
      <c r="Q835" s="194"/>
      <c r="R835" s="195" t="s">
        <v>1016</v>
      </c>
      <c r="S835" s="196"/>
      <c r="T835" s="197"/>
      <c r="U835" s="198">
        <v>356.76</v>
      </c>
      <c r="V835" s="199" t="s">
        <v>1017</v>
      </c>
      <c r="W835" s="198">
        <f>IF(NOTA[[#This Row],[HARGA/ CTN]]="",NOTA[[#This Row],[JUMLAH_H]],NOTA[[#This Row],[HARGA/ CTN]]*IF(NOTA[[#This Row],[C]]="",0,NOTA[[#This Row],[C]]))</f>
        <v>63243600</v>
      </c>
      <c r="X835" s="198">
        <f>IF(NOTA[[#This Row],[JUMLAH]]="","",NOTA[[#This Row],[JUMLAH]]*NOTA[[#This Row],[DISC 1]])</f>
        <v>0</v>
      </c>
      <c r="Y835" s="198">
        <f>IF(NOTA[[#This Row],[JUMLAH]]="","",(NOTA[[#This Row],[JUMLAH]]-NOTA[[#This Row],[DISC 1-]])*NOTA[[#This Row],[DISC 2]])</f>
        <v>0</v>
      </c>
      <c r="Z835" s="198">
        <f>IF(NOTA[[#This Row],[JUMLAH]]="","",NOTA[[#This Row],[DISC 1-]]+NOTA[[#This Row],[DISC 2-]])</f>
        <v>0</v>
      </c>
      <c r="AA835" s="198">
        <f>IF(NOTA[[#This Row],[JUMLAH]]="","",NOTA[[#This Row],[JUMLAH]]-NOTA[[#This Row],[DISC]])</f>
        <v>63243600</v>
      </c>
      <c r="AB835" s="198"/>
      <c r="AC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356.76</v>
      </c>
      <c r="AD835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63243243.240000002</v>
      </c>
      <c r="AE835" s="187">
        <f>IF(NOTA[[#This Row],[NAMA BARANG]]="","",IF(NOTA[[#This Row],[JUMLAH_H]]="",NOTA[[#This Row],[HARGA/ CTN]],NOTA[[#This Row],[QTY]]*NOTA[[#This Row],[HARGA SATUAN]]/IF(ISNUMBER(NOTA[[#This Row],[C]]),NOTA[[#This Row],[C]],1)))</f>
        <v>2108120</v>
      </c>
      <c r="AF835" s="200">
        <f>IF(OR(NOTA[[#This Row],[QTY]]="",NOTA[[#This Row],[HARGA SATUAN]]="",),"",NOTA[[#This Row],[QTY]]*NOTA[[#This Row],[HARGA SATUAN]])</f>
        <v>63243600</v>
      </c>
      <c r="AG835" s="192">
        <f ca="1">IF(NOTA[ID_H]="","",INDEX(NOTA[TANGGAL],MATCH(,INDIRECT(ADDRESS(ROW(NOTA[TANGGAL]),COLUMN(NOTA[TANGGAL]))&amp;":"&amp;ADDRESS(ROW(),COLUMN(NOTA[TANGGAL]))),-1)))</f>
        <v>45073</v>
      </c>
      <c r="AH835" s="187" t="str">
        <f ca="1">IF(NOTA[[#This Row],[NAMA BARANG]]="","",INDEX(NOTA[SUPPLIER],MATCH(,INDIRECT(ADDRESS(ROW(NOTA[ID]),COLUMN(NOTA[ID]))&amp;":"&amp;ADDRESS(ROW(),COLUMN(NOTA[ID]))),-1)))</f>
        <v>LAUTAN MAS ASIA</v>
      </c>
      <c r="AI835" s="187" t="str">
        <f ca="1">IF(NOTA[[#This Row],[ID_H]]="","",IF(NOTA[[#This Row],[FAKTUR]]="",INDIRECT(ADDRESS(ROW()-1,COLUMN())),NOTA[[#This Row],[FAKTUR]]))</f>
        <v>ARTO MORO</v>
      </c>
      <c r="AJ835" s="188">
        <f ca="1">IF(NOTA[[#This Row],[ID]]="","",COUNTIF(NOTA[ID_H],NOTA[[#This Row],[ID_H]]))</f>
        <v>1</v>
      </c>
      <c r="AK835" s="188">
        <f>IF(NOTA[[#This Row],[TGL.NOTA]]="",IF(NOTA[[#This Row],[SUPPLIER_H]]="","",AK834),MONTH(NOTA[[#This Row],[TGL.NOTA]]))</f>
        <v>5</v>
      </c>
      <c r="AL835" s="188" t="str">
        <f>LOWER(SUBSTITUTE(SUBSTITUTE(SUBSTITUTE(SUBSTITUTE(SUBSTITUTE(SUBSTITUTE(SUBSTITUTE(SUBSTITUTE(SUBSTITUTE(NOTA[NAMA BARANG]," ",),".",""),"-",""),"(",""),")",""),",",""),"/",""),"""",""),"+",""))</f>
        <v>pensilzhonghua59252bboval</v>
      </c>
      <c r="AM83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pensilzhonghua59252bboval2108120</v>
      </c>
      <c r="AN83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pensilzhonghua59252bboval2108120</v>
      </c>
      <c r="AO835" s="18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2023-05-13045070pensilzhonghua59252bboval</v>
      </c>
      <c r="AP835" s="188" t="e">
        <f>IF(NOTA[[#This Row],[CONCAT4]]="","",_xlfn.IFNA(MATCH(NOTA[[#This Row],[CONCAT4]],[2]!RAW[CONCAT_H],0),FALSE))</f>
        <v>#REF!</v>
      </c>
      <c r="AQ835" s="188">
        <f>IF(NOTA[[#This Row],[CONCAT1]]="","",MATCH(NOTA[[#This Row],[CONCAT1]],[3]!db[NB NOTA_C],0)+1)</f>
        <v>2009</v>
      </c>
    </row>
    <row r="836" spans="1:43" ht="20.100000000000001" customHeight="1" x14ac:dyDescent="0.25">
      <c r="A83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188" t="str">
        <f>IF(NOTA[[#This Row],[ID_P]]="","",MATCH(NOTA[[#This Row],[ID_P]],[1]!B_MSK[N_ID],0))</f>
        <v/>
      </c>
      <c r="D836" s="188" t="str">
        <f ca="1">IF(NOTA[[#This Row],[NAMA BARANG]]="","",INDEX(NOTA[ID],MATCH(,INDIRECT(ADDRESS(ROW(NOTA[ID]),COLUMN(NOTA[ID]))&amp;":"&amp;ADDRESS(ROW(),COLUMN(NOTA[ID]))),-1)))</f>
        <v/>
      </c>
      <c r="E836" s="189"/>
      <c r="F836" s="190"/>
      <c r="G836" s="190"/>
      <c r="H836" s="191"/>
      <c r="I836" s="190"/>
      <c r="J836" s="192"/>
      <c r="K836" s="190"/>
      <c r="L836" s="190"/>
      <c r="M836" s="193"/>
      <c r="N836" s="188"/>
      <c r="O836" s="190"/>
      <c r="P836" s="187"/>
      <c r="Q836" s="194"/>
      <c r="R836" s="195"/>
      <c r="S836" s="196"/>
      <c r="T836" s="197"/>
      <c r="U836" s="198"/>
      <c r="V836" s="199"/>
      <c r="W836" s="198" t="str">
        <f>IF(NOTA[[#This Row],[HARGA/ CTN]]="",NOTA[[#This Row],[JUMLAH_H]],NOTA[[#This Row],[HARGA/ CTN]]*IF(NOTA[[#This Row],[C]]="",0,NOTA[[#This Row],[C]]))</f>
        <v/>
      </c>
      <c r="X836" s="198" t="str">
        <f>IF(NOTA[[#This Row],[JUMLAH]]="","",NOTA[[#This Row],[JUMLAH]]*NOTA[[#This Row],[DISC 1]])</f>
        <v/>
      </c>
      <c r="Y836" s="198" t="str">
        <f>IF(NOTA[[#This Row],[JUMLAH]]="","",(NOTA[[#This Row],[JUMLAH]]-NOTA[[#This Row],[DISC 1-]])*NOTA[[#This Row],[DISC 2]])</f>
        <v/>
      </c>
      <c r="Z836" s="198" t="str">
        <f>IF(NOTA[[#This Row],[JUMLAH]]="","",NOTA[[#This Row],[DISC 1-]]+NOTA[[#This Row],[DISC 2-]])</f>
        <v/>
      </c>
      <c r="AA836" s="198" t="str">
        <f>IF(NOTA[[#This Row],[JUMLAH]]="","",NOTA[[#This Row],[JUMLAH]]-NOTA[[#This Row],[DISC]])</f>
        <v/>
      </c>
      <c r="AB836" s="198"/>
      <c r="AC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200" t="str">
        <f>IF(OR(NOTA[[#This Row],[QTY]]="",NOTA[[#This Row],[HARGA SATUAN]]="",),"",NOTA[[#This Row],[QTY]]*NOTA[[#This Row],[HARGA SATUAN]])</f>
        <v/>
      </c>
      <c r="AG836" s="192" t="str">
        <f ca="1">IF(NOTA[ID_H]="","",INDEX(NOTA[TANGGAL],MATCH(,INDIRECT(ADDRESS(ROW(NOTA[TANGGAL]),COLUMN(NOTA[TANGGAL]))&amp;":"&amp;ADDRESS(ROW(),COLUMN(NOTA[TANGGAL]))),-1)))</f>
        <v/>
      </c>
      <c r="AH836" s="187" t="str">
        <f ca="1">IF(NOTA[[#This Row],[NAMA BARANG]]="","",INDEX(NOTA[SUPPLIER],MATCH(,INDIRECT(ADDRESS(ROW(NOTA[ID]),COLUMN(NOTA[ID]))&amp;":"&amp;ADDRESS(ROW(),COLUMN(NOTA[ID]))),-1)))</f>
        <v/>
      </c>
      <c r="AI836" s="187" t="str">
        <f ca="1">IF(NOTA[[#This Row],[ID_H]]="","",IF(NOTA[[#This Row],[FAKTUR]]="",INDIRECT(ADDRESS(ROW()-1,COLUMN())),NOTA[[#This Row],[FAKTUR]]))</f>
        <v/>
      </c>
      <c r="AJ836" s="188" t="str">
        <f ca="1">IF(NOTA[[#This Row],[ID]]="","",COUNTIF(NOTA[ID_H],NOTA[[#This Row],[ID_H]]))</f>
        <v/>
      </c>
      <c r="AK836" s="188" t="str">
        <f ca="1">IF(NOTA[[#This Row],[TGL.NOTA]]="",IF(NOTA[[#This Row],[SUPPLIER_H]]="","",AK835),MONTH(NOTA[[#This Row],[TGL.NOTA]]))</f>
        <v/>
      </c>
      <c r="AL836" s="188" t="str">
        <f>LOWER(SUBSTITUTE(SUBSTITUTE(SUBSTITUTE(SUBSTITUTE(SUBSTITUTE(SUBSTITUTE(SUBSTITUTE(SUBSTITUTE(SUBSTITUTE(NOTA[NAMA BARANG]," ",),".",""),"-",""),"(",""),")",""),",",""),"/",""),"""",""),"+",""))</f>
        <v/>
      </c>
      <c r="AM83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188" t="str">
        <f>IF(NOTA[[#This Row],[CONCAT4]]="","",_xlfn.IFNA(MATCH(NOTA[[#This Row],[CONCAT4]],[2]!RAW[CONCAT_H],0),FALSE))</f>
        <v/>
      </c>
      <c r="AQ836" s="188" t="str">
        <f>IF(NOTA[[#This Row],[CONCAT1]]="","",MATCH(NOTA[[#This Row],[CONCAT1]],[3]!db[NB NOTA_C],0)+1)</f>
        <v/>
      </c>
    </row>
    <row r="837" spans="1:43" ht="20.100000000000001" customHeight="1" x14ac:dyDescent="0.25">
      <c r="A837" s="187">
        <f ca="1">IF(INDIRECT(ADDRESS(ROW()-1,COLUMN(NOTA[[#Headers],[ID]])))="ID",1,IF(NOTA[[#This Row],[FAKTUR]]="","",COUNT(INDIRECT(ADDRESS(ROW(NOTA[ID]),COLUMN(NOTA[ID]))&amp;":"&amp;ADDRESS(ROW()-1,COLUMN(NOTA[ID]))))+1))</f>
        <v>144</v>
      </c>
      <c r="B837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GRA_2705_BCJ-3</v>
      </c>
      <c r="C837" s="188" t="e">
        <f ca="1">IF(NOTA[[#This Row],[ID_P]]="","",MATCH(NOTA[[#This Row],[ID_P]],[1]!B_MSK[N_ID],0))</f>
        <v>#REF!</v>
      </c>
      <c r="D837" s="188">
        <f ca="1">IF(NOTA[[#This Row],[NAMA BARANG]]="","",INDEX(NOTA[ID],MATCH(,INDIRECT(ADDRESS(ROW(NOTA[ID]),COLUMN(NOTA[ID]))&amp;":"&amp;ADDRESS(ROW(),COLUMN(NOTA[ID]))),-1)))</f>
        <v>144</v>
      </c>
      <c r="E837" s="189"/>
      <c r="F837" s="190" t="s">
        <v>124</v>
      </c>
      <c r="G837" s="190" t="s">
        <v>112</v>
      </c>
      <c r="H837" s="191" t="s">
        <v>1018</v>
      </c>
      <c r="I837" s="190"/>
      <c r="J837" s="192">
        <v>45071</v>
      </c>
      <c r="K837" s="190"/>
      <c r="L837" s="190" t="s">
        <v>1019</v>
      </c>
      <c r="M837" s="193">
        <v>10</v>
      </c>
      <c r="N837" s="188">
        <v>600</v>
      </c>
      <c r="O837" s="190" t="s">
        <v>125</v>
      </c>
      <c r="P837" s="187">
        <v>9100</v>
      </c>
      <c r="Q837" s="194"/>
      <c r="R837" s="195" t="s">
        <v>379</v>
      </c>
      <c r="S837" s="196"/>
      <c r="T837" s="197"/>
      <c r="U837" s="198"/>
      <c r="V837" s="199"/>
      <c r="W837" s="198">
        <f>IF(NOTA[[#This Row],[HARGA/ CTN]]="",NOTA[[#This Row],[JUMLAH_H]],NOTA[[#This Row],[HARGA/ CTN]]*IF(NOTA[[#This Row],[C]]="",0,NOTA[[#This Row],[C]]))</f>
        <v>5460000</v>
      </c>
      <c r="X837" s="198">
        <f>IF(NOTA[[#This Row],[JUMLAH]]="","",NOTA[[#This Row],[JUMLAH]]*NOTA[[#This Row],[DISC 1]])</f>
        <v>0</v>
      </c>
      <c r="Y837" s="198">
        <f>IF(NOTA[[#This Row],[JUMLAH]]="","",(NOTA[[#This Row],[JUMLAH]]-NOTA[[#This Row],[DISC 1-]])*NOTA[[#This Row],[DISC 2]])</f>
        <v>0</v>
      </c>
      <c r="Z837" s="198">
        <f>IF(NOTA[[#This Row],[JUMLAH]]="","",NOTA[[#This Row],[DISC 1-]]+NOTA[[#This Row],[DISC 2-]])</f>
        <v>0</v>
      </c>
      <c r="AA837" s="198">
        <f>IF(NOTA[[#This Row],[JUMLAH]]="","",NOTA[[#This Row],[JUMLAH]]-NOTA[[#This Row],[DISC]])</f>
        <v>5460000</v>
      </c>
      <c r="AB837" s="198"/>
      <c r="AC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37" s="200">
        <f>IF(OR(NOTA[[#This Row],[QTY]]="",NOTA[[#This Row],[HARGA SATUAN]]="",),"",NOTA[[#This Row],[QTY]]*NOTA[[#This Row],[HARGA SATUAN]])</f>
        <v>5460000</v>
      </c>
      <c r="AG837" s="192">
        <f ca="1">IF(NOTA[ID_H]="","",INDEX(NOTA[TANGGAL],MATCH(,INDIRECT(ADDRESS(ROW(NOTA[TANGGAL]),COLUMN(NOTA[TANGGAL]))&amp;":"&amp;ADDRESS(ROW(),COLUMN(NOTA[TANGGAL]))),-1)))</f>
        <v>45073</v>
      </c>
      <c r="AH837" s="187" t="str">
        <f ca="1">IF(NOTA[[#This Row],[NAMA BARANG]]="","",INDEX(NOTA[SUPPLIER],MATCH(,INDIRECT(ADDRESS(ROW(NOTA[ID]),COLUMN(NOTA[ID]))&amp;":"&amp;ADDRESS(ROW(),COLUMN(NOTA[ID]))),-1)))</f>
        <v>GRAFINDO</v>
      </c>
      <c r="AI837" s="187" t="str">
        <f ca="1">IF(NOTA[[#This Row],[ID_H]]="","",IF(NOTA[[#This Row],[FAKTUR]]="",INDIRECT(ADDRESS(ROW()-1,COLUMN())),NOTA[[#This Row],[FAKTUR]]))</f>
        <v>UNTANA</v>
      </c>
      <c r="AJ837" s="188">
        <f ca="1">IF(NOTA[[#This Row],[ID]]="","",COUNTIF(NOTA[ID_H],NOTA[[#This Row],[ID_H]]))</f>
        <v>3</v>
      </c>
      <c r="AK837" s="188">
        <f>IF(NOTA[[#This Row],[TGL.NOTA]]="",IF(NOTA[[#This Row],[SUPPLIER_H]]="","",AK836),MONTH(NOTA[[#This Row],[TGL.NOTA]]))</f>
        <v>5</v>
      </c>
      <c r="AL837" s="18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83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clearholderfoliosikaac105fhijau546000</v>
      </c>
      <c r="AN83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clearholderfoliosikaac105fhijau546000</v>
      </c>
      <c r="AO837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GRAFINDOUNTANAB 9720 BCJ45071clearholderfoliosikaac105fhijau</v>
      </c>
      <c r="AP837" s="188" t="e">
        <f>IF(NOTA[[#This Row],[CONCAT4]]="","",_xlfn.IFNA(MATCH(NOTA[[#This Row],[CONCAT4]],[2]!RAW[CONCAT_H],0),FALSE))</f>
        <v>#REF!</v>
      </c>
      <c r="AQ837" s="188" t="e">
        <f>IF(NOTA[[#This Row],[CONCAT1]]="","",MATCH(NOTA[[#This Row],[CONCAT1]],[3]!db[NB NOTA_C],0)+1)</f>
        <v>#N/A</v>
      </c>
    </row>
    <row r="838" spans="1:43" ht="20.100000000000001" customHeight="1" x14ac:dyDescent="0.25">
      <c r="A83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188" t="str">
        <f>IF(NOTA[[#This Row],[ID_P]]="","",MATCH(NOTA[[#This Row],[ID_P]],[1]!B_MSK[N_ID],0))</f>
        <v/>
      </c>
      <c r="D838" s="188">
        <f ca="1">IF(NOTA[[#This Row],[NAMA BARANG]]="","",INDEX(NOTA[ID],MATCH(,INDIRECT(ADDRESS(ROW(NOTA[ID]),COLUMN(NOTA[ID]))&amp;":"&amp;ADDRESS(ROW(),COLUMN(NOTA[ID]))),-1)))</f>
        <v>144</v>
      </c>
      <c r="E838" s="189"/>
      <c r="F838" s="190"/>
      <c r="G838" s="190"/>
      <c r="H838" s="191"/>
      <c r="I838" s="190"/>
      <c r="J838" s="192"/>
      <c r="K838" s="190"/>
      <c r="L838" s="190" t="s">
        <v>1020</v>
      </c>
      <c r="M838" s="193">
        <v>4</v>
      </c>
      <c r="N838" s="188">
        <v>240</v>
      </c>
      <c r="O838" s="190" t="s">
        <v>125</v>
      </c>
      <c r="P838" s="187">
        <v>9100</v>
      </c>
      <c r="Q838" s="194"/>
      <c r="R838" s="195" t="s">
        <v>379</v>
      </c>
      <c r="S838" s="196"/>
      <c r="T838" s="197"/>
      <c r="U838" s="198"/>
      <c r="V838" s="199"/>
      <c r="W838" s="198">
        <f>IF(NOTA[[#This Row],[HARGA/ CTN]]="",NOTA[[#This Row],[JUMLAH_H]],NOTA[[#This Row],[HARGA/ CTN]]*IF(NOTA[[#This Row],[C]]="",0,NOTA[[#This Row],[C]]))</f>
        <v>2184000</v>
      </c>
      <c r="X838" s="198">
        <f>IF(NOTA[[#This Row],[JUMLAH]]="","",NOTA[[#This Row],[JUMLAH]]*NOTA[[#This Row],[DISC 1]])</f>
        <v>0</v>
      </c>
      <c r="Y838" s="198">
        <f>IF(NOTA[[#This Row],[JUMLAH]]="","",(NOTA[[#This Row],[JUMLAH]]-NOTA[[#This Row],[DISC 1-]])*NOTA[[#This Row],[DISC 2]])</f>
        <v>0</v>
      </c>
      <c r="Z838" s="198">
        <f>IF(NOTA[[#This Row],[JUMLAH]]="","",NOTA[[#This Row],[DISC 1-]]+NOTA[[#This Row],[DISC 2-]])</f>
        <v>0</v>
      </c>
      <c r="AA838" s="198">
        <f>IF(NOTA[[#This Row],[JUMLAH]]="","",NOTA[[#This Row],[JUMLAH]]-NOTA[[#This Row],[DISC]])</f>
        <v>2184000</v>
      </c>
      <c r="AB838" s="198"/>
      <c r="AC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38" s="200">
        <f>IF(OR(NOTA[[#This Row],[QTY]]="",NOTA[[#This Row],[HARGA SATUAN]]="",),"",NOTA[[#This Row],[QTY]]*NOTA[[#This Row],[HARGA SATUAN]])</f>
        <v>2184000</v>
      </c>
      <c r="AG838" s="192">
        <f ca="1">IF(NOTA[ID_H]="","",INDEX(NOTA[TANGGAL],MATCH(,INDIRECT(ADDRESS(ROW(NOTA[TANGGAL]),COLUMN(NOTA[TANGGAL]))&amp;":"&amp;ADDRESS(ROW(),COLUMN(NOTA[TANGGAL]))),-1)))</f>
        <v>45073</v>
      </c>
      <c r="AH838" s="187" t="str">
        <f ca="1">IF(NOTA[[#This Row],[NAMA BARANG]]="","",INDEX(NOTA[SUPPLIER],MATCH(,INDIRECT(ADDRESS(ROW(NOTA[ID]),COLUMN(NOTA[ID]))&amp;":"&amp;ADDRESS(ROW(),COLUMN(NOTA[ID]))),-1)))</f>
        <v>GRAFINDO</v>
      </c>
      <c r="AI838" s="187" t="str">
        <f ca="1">IF(NOTA[[#This Row],[ID_H]]="","",IF(NOTA[[#This Row],[FAKTUR]]="",INDIRECT(ADDRESS(ROW()-1,COLUMN())),NOTA[[#This Row],[FAKTUR]]))</f>
        <v>UNTANA</v>
      </c>
      <c r="AJ838" s="188" t="str">
        <f ca="1">IF(NOTA[[#This Row],[ID]]="","",COUNTIF(NOTA[ID_H],NOTA[[#This Row],[ID_H]]))</f>
        <v/>
      </c>
      <c r="AK838" s="188">
        <f ca="1">IF(NOTA[[#This Row],[TGL.NOTA]]="",IF(NOTA[[#This Row],[SUPPLIER_H]]="","",AK837),MONTH(NOTA[[#This Row],[TGL.NOTA]]))</f>
        <v>5</v>
      </c>
      <c r="AL838" s="18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83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clearholderfoliosikaac105fmerah546000</v>
      </c>
      <c r="AN83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clearholderfoliosikaac105fmerah546000</v>
      </c>
      <c r="AO83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188" t="str">
        <f>IF(NOTA[[#This Row],[CONCAT4]]="","",_xlfn.IFNA(MATCH(NOTA[[#This Row],[CONCAT4]],[2]!RAW[CONCAT_H],0),FALSE))</f>
        <v/>
      </c>
      <c r="AQ838" s="188" t="e">
        <f>IF(NOTA[[#This Row],[CONCAT1]]="","",MATCH(NOTA[[#This Row],[CONCAT1]],[3]!db[NB NOTA_C],0)+1)</f>
        <v>#N/A</v>
      </c>
    </row>
    <row r="839" spans="1:43" ht="20.100000000000001" customHeight="1" x14ac:dyDescent="0.25">
      <c r="A83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188" t="str">
        <f>IF(NOTA[[#This Row],[ID_P]]="","",MATCH(NOTA[[#This Row],[ID_P]],[1]!B_MSK[N_ID],0))</f>
        <v/>
      </c>
      <c r="D839" s="188">
        <f ca="1">IF(NOTA[[#This Row],[NAMA BARANG]]="","",INDEX(NOTA[ID],MATCH(,INDIRECT(ADDRESS(ROW(NOTA[ID]),COLUMN(NOTA[ID]))&amp;":"&amp;ADDRESS(ROW(),COLUMN(NOTA[ID]))),-1)))</f>
        <v>144</v>
      </c>
      <c r="E839" s="189"/>
      <c r="F839" s="190"/>
      <c r="G839" s="190"/>
      <c r="H839" s="191"/>
      <c r="I839" s="190"/>
      <c r="J839" s="192"/>
      <c r="K839" s="190"/>
      <c r="L839" s="190" t="s">
        <v>1021</v>
      </c>
      <c r="M839" s="193">
        <v>1</v>
      </c>
      <c r="N839" s="188">
        <v>60</v>
      </c>
      <c r="O839" s="190" t="s">
        <v>125</v>
      </c>
      <c r="P839" s="187">
        <v>9100</v>
      </c>
      <c r="Q839" s="194"/>
      <c r="R839" s="195" t="s">
        <v>379</v>
      </c>
      <c r="S839" s="196"/>
      <c r="T839" s="197"/>
      <c r="U839" s="198"/>
      <c r="V839" s="199"/>
      <c r="W839" s="198">
        <f>IF(NOTA[[#This Row],[HARGA/ CTN]]="",NOTA[[#This Row],[JUMLAH_H]],NOTA[[#This Row],[HARGA/ CTN]]*IF(NOTA[[#This Row],[C]]="",0,NOTA[[#This Row],[C]]))</f>
        <v>546000</v>
      </c>
      <c r="X839" s="198">
        <f>IF(NOTA[[#This Row],[JUMLAH]]="","",NOTA[[#This Row],[JUMLAH]]*NOTA[[#This Row],[DISC 1]])</f>
        <v>0</v>
      </c>
      <c r="Y839" s="198">
        <f>IF(NOTA[[#This Row],[JUMLAH]]="","",(NOTA[[#This Row],[JUMLAH]]-NOTA[[#This Row],[DISC 1-]])*NOTA[[#This Row],[DISC 2]])</f>
        <v>0</v>
      </c>
      <c r="Z839" s="198">
        <f>IF(NOTA[[#This Row],[JUMLAH]]="","",NOTA[[#This Row],[DISC 1-]]+NOTA[[#This Row],[DISC 2-]])</f>
        <v>0</v>
      </c>
      <c r="AA839" s="198">
        <f>IF(NOTA[[#This Row],[JUMLAH]]="","",NOTA[[#This Row],[JUMLAH]]-NOTA[[#This Row],[DISC]])</f>
        <v>546000</v>
      </c>
      <c r="AB839" s="198"/>
      <c r="AC83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839" s="187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839" s="200">
        <f>IF(OR(NOTA[[#This Row],[QTY]]="",NOTA[[#This Row],[HARGA SATUAN]]="",),"",NOTA[[#This Row],[QTY]]*NOTA[[#This Row],[HARGA SATUAN]])</f>
        <v>546000</v>
      </c>
      <c r="AG839" s="192">
        <f ca="1">IF(NOTA[ID_H]="","",INDEX(NOTA[TANGGAL],MATCH(,INDIRECT(ADDRESS(ROW(NOTA[TANGGAL]),COLUMN(NOTA[TANGGAL]))&amp;":"&amp;ADDRESS(ROW(),COLUMN(NOTA[TANGGAL]))),-1)))</f>
        <v>45073</v>
      </c>
      <c r="AH839" s="187" t="str">
        <f ca="1">IF(NOTA[[#This Row],[NAMA BARANG]]="","",INDEX(NOTA[SUPPLIER],MATCH(,INDIRECT(ADDRESS(ROW(NOTA[ID]),COLUMN(NOTA[ID]))&amp;":"&amp;ADDRESS(ROW(),COLUMN(NOTA[ID]))),-1)))</f>
        <v>GRAFINDO</v>
      </c>
      <c r="AI839" s="187" t="str">
        <f ca="1">IF(NOTA[[#This Row],[ID_H]]="","",IF(NOTA[[#This Row],[FAKTUR]]="",INDIRECT(ADDRESS(ROW()-1,COLUMN())),NOTA[[#This Row],[FAKTUR]]))</f>
        <v>UNTANA</v>
      </c>
      <c r="AJ839" s="188" t="str">
        <f ca="1">IF(NOTA[[#This Row],[ID]]="","",COUNTIF(NOTA[ID_H],NOTA[[#This Row],[ID_H]]))</f>
        <v/>
      </c>
      <c r="AK839" s="188">
        <f ca="1">IF(NOTA[[#This Row],[TGL.NOTA]]="",IF(NOTA[[#This Row],[SUPPLIER_H]]="","",AK838),MONTH(NOTA[[#This Row],[TGL.NOTA]]))</f>
        <v>5</v>
      </c>
      <c r="AL839" s="188" t="str">
        <f>LOWER(SUBSTITUTE(SUBSTITUTE(SUBSTITUTE(SUBSTITUTE(SUBSTITUTE(SUBSTITUTE(SUBSTITUTE(SUBSTITUTE(SUBSTITUTE(NOTA[NAMA BARANG]," ",),".",""),"-",""),"(",""),")",""),",",""),"/",""),"""",""),"+",""))</f>
        <v>clearholderfoliosikaac105fkuning</v>
      </c>
      <c r="AM83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clearholderfoliosikaac105fkuning546000</v>
      </c>
      <c r="AN83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clearholderfoliosikaac105fkuning546000</v>
      </c>
      <c r="AO83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188" t="str">
        <f>IF(NOTA[[#This Row],[CONCAT4]]="","",_xlfn.IFNA(MATCH(NOTA[[#This Row],[CONCAT4]],[2]!RAW[CONCAT_H],0),FALSE))</f>
        <v/>
      </c>
      <c r="AQ839" s="188" t="e">
        <f>IF(NOTA[[#This Row],[CONCAT1]]="","",MATCH(NOTA[[#This Row],[CONCAT1]],[3]!db[NB NOTA_C],0)+1)</f>
        <v>#N/A</v>
      </c>
    </row>
    <row r="840" spans="1:43" ht="20.100000000000001" customHeight="1" x14ac:dyDescent="0.25">
      <c r="A84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188" t="str">
        <f>IF(NOTA[[#This Row],[ID_P]]="","",MATCH(NOTA[[#This Row],[ID_P]],[1]!B_MSK[N_ID],0))</f>
        <v/>
      </c>
      <c r="D840" s="188" t="str">
        <f ca="1">IF(NOTA[[#This Row],[NAMA BARANG]]="","",INDEX(NOTA[ID],MATCH(,INDIRECT(ADDRESS(ROW(NOTA[ID]),COLUMN(NOTA[ID]))&amp;":"&amp;ADDRESS(ROW(),COLUMN(NOTA[ID]))),-1)))</f>
        <v/>
      </c>
      <c r="E840" s="189"/>
      <c r="F840" s="190"/>
      <c r="G840" s="190"/>
      <c r="H840" s="191"/>
      <c r="I840" s="190"/>
      <c r="J840" s="192"/>
      <c r="K840" s="190"/>
      <c r="L840" s="190"/>
      <c r="M840" s="193"/>
      <c r="N840" s="188"/>
      <c r="O840" s="190"/>
      <c r="P840" s="187"/>
      <c r="Q840" s="194"/>
      <c r="R840" s="195"/>
      <c r="S840" s="196"/>
      <c r="T840" s="197"/>
      <c r="U840" s="198"/>
      <c r="V840" s="199"/>
      <c r="W840" s="198" t="str">
        <f>IF(NOTA[[#This Row],[HARGA/ CTN]]="",NOTA[[#This Row],[JUMLAH_H]],NOTA[[#This Row],[HARGA/ CTN]]*IF(NOTA[[#This Row],[C]]="",0,NOTA[[#This Row],[C]]))</f>
        <v/>
      </c>
      <c r="X840" s="198" t="str">
        <f>IF(NOTA[[#This Row],[JUMLAH]]="","",NOTA[[#This Row],[JUMLAH]]*NOTA[[#This Row],[DISC 1]])</f>
        <v/>
      </c>
      <c r="Y840" s="198" t="str">
        <f>IF(NOTA[[#This Row],[JUMLAH]]="","",(NOTA[[#This Row],[JUMLAH]]-NOTA[[#This Row],[DISC 1-]])*NOTA[[#This Row],[DISC 2]])</f>
        <v/>
      </c>
      <c r="Z840" s="198" t="str">
        <f>IF(NOTA[[#This Row],[JUMLAH]]="","",NOTA[[#This Row],[DISC 1-]]+NOTA[[#This Row],[DISC 2-]])</f>
        <v/>
      </c>
      <c r="AA840" s="198" t="str">
        <f>IF(NOTA[[#This Row],[JUMLAH]]="","",NOTA[[#This Row],[JUMLAH]]-NOTA[[#This Row],[DISC]])</f>
        <v/>
      </c>
      <c r="AB840" s="198"/>
      <c r="AC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200" t="str">
        <f>IF(OR(NOTA[[#This Row],[QTY]]="",NOTA[[#This Row],[HARGA SATUAN]]="",),"",NOTA[[#This Row],[QTY]]*NOTA[[#This Row],[HARGA SATUAN]])</f>
        <v/>
      </c>
      <c r="AG840" s="192" t="str">
        <f ca="1">IF(NOTA[ID_H]="","",INDEX(NOTA[TANGGAL],MATCH(,INDIRECT(ADDRESS(ROW(NOTA[TANGGAL]),COLUMN(NOTA[TANGGAL]))&amp;":"&amp;ADDRESS(ROW(),COLUMN(NOTA[TANGGAL]))),-1)))</f>
        <v/>
      </c>
      <c r="AH840" s="187" t="str">
        <f ca="1">IF(NOTA[[#This Row],[NAMA BARANG]]="","",INDEX(NOTA[SUPPLIER],MATCH(,INDIRECT(ADDRESS(ROW(NOTA[ID]),COLUMN(NOTA[ID]))&amp;":"&amp;ADDRESS(ROW(),COLUMN(NOTA[ID]))),-1)))</f>
        <v/>
      </c>
      <c r="AI840" s="187" t="str">
        <f ca="1">IF(NOTA[[#This Row],[ID_H]]="","",IF(NOTA[[#This Row],[FAKTUR]]="",INDIRECT(ADDRESS(ROW()-1,COLUMN())),NOTA[[#This Row],[FAKTUR]]))</f>
        <v/>
      </c>
      <c r="AJ840" s="188" t="str">
        <f ca="1">IF(NOTA[[#This Row],[ID]]="","",COUNTIF(NOTA[ID_H],NOTA[[#This Row],[ID_H]]))</f>
        <v/>
      </c>
      <c r="AK840" s="188" t="str">
        <f ca="1">IF(NOTA[[#This Row],[TGL.NOTA]]="",IF(NOTA[[#This Row],[SUPPLIER_H]]="","",AK839),MONTH(NOTA[[#This Row],[TGL.NOTA]]))</f>
        <v/>
      </c>
      <c r="AL840" s="188" t="str">
        <f>LOWER(SUBSTITUTE(SUBSTITUTE(SUBSTITUTE(SUBSTITUTE(SUBSTITUTE(SUBSTITUTE(SUBSTITUTE(SUBSTITUTE(SUBSTITUTE(NOTA[NAMA BARANG]," ",),".",""),"-",""),"(",""),")",""),",",""),"/",""),"""",""),"+",""))</f>
        <v/>
      </c>
      <c r="AM84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188" t="str">
        <f>IF(NOTA[[#This Row],[CONCAT4]]="","",_xlfn.IFNA(MATCH(NOTA[[#This Row],[CONCAT4]],[2]!RAW[CONCAT_H],0),FALSE))</f>
        <v/>
      </c>
      <c r="AQ840" s="188" t="str">
        <f>IF(NOTA[[#This Row],[CONCAT1]]="","",MATCH(NOTA[[#This Row],[CONCAT1]],[3]!db[NB NOTA_C],0)+1)</f>
        <v/>
      </c>
    </row>
    <row r="841" spans="1:43" ht="20.100000000000001" customHeight="1" x14ac:dyDescent="0.25">
      <c r="A841" s="187">
        <f ca="1">IF(INDIRECT(ADDRESS(ROW()-1,COLUMN(NOTA[[#Headers],[ID]])))="ID",1,IF(NOTA[[#This Row],[FAKTUR]]="","",COUNT(INDIRECT(ADDRESS(ROW(NOTA[ID]),COLUMN(NOTA[ID]))&amp;":"&amp;ADDRESS(ROW()-1,COLUMN(NOTA[ID]))))+1))</f>
        <v>145</v>
      </c>
      <c r="B84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DBS_2905_523-13</v>
      </c>
      <c r="C841" s="188" t="e">
        <f ca="1">IF(NOTA[[#This Row],[ID_P]]="","",MATCH(NOTA[[#This Row],[ID_P]],[1]!B_MSK[N_ID],0))</f>
        <v>#REF!</v>
      </c>
      <c r="D841" s="188">
        <f ca="1">IF(NOTA[[#This Row],[NAMA BARANG]]="","",INDEX(NOTA[ID],MATCH(,INDIRECT(ADDRESS(ROW(NOTA[ID]),COLUMN(NOTA[ID]))&amp;":"&amp;ADDRESS(ROW(),COLUMN(NOTA[ID]))),-1)))</f>
        <v>145</v>
      </c>
      <c r="E841" s="189">
        <v>45075</v>
      </c>
      <c r="F841" s="190" t="s">
        <v>168</v>
      </c>
      <c r="G841" s="190" t="s">
        <v>112</v>
      </c>
      <c r="H841" s="191" t="s">
        <v>1022</v>
      </c>
      <c r="I841" s="190"/>
      <c r="J841" s="192">
        <v>45071</v>
      </c>
      <c r="K841" s="190"/>
      <c r="L841" s="190" t="s">
        <v>172</v>
      </c>
      <c r="M841" s="193">
        <v>5</v>
      </c>
      <c r="N841" s="188">
        <v>600</v>
      </c>
      <c r="O841" s="190" t="s">
        <v>125</v>
      </c>
      <c r="P841" s="202">
        <v>25500</v>
      </c>
      <c r="Q841" s="194"/>
      <c r="R841" s="195" t="s">
        <v>173</v>
      </c>
      <c r="S841" s="196"/>
      <c r="T841" s="197"/>
      <c r="U841" s="198"/>
      <c r="V841" s="199"/>
      <c r="W841" s="198">
        <f>IF(NOTA[[#This Row],[HARGA/ CTN]]="",NOTA[[#This Row],[JUMLAH_H]],NOTA[[#This Row],[HARGA/ CTN]]*IF(NOTA[[#This Row],[C]]="",0,NOTA[[#This Row],[C]]))</f>
        <v>15300000</v>
      </c>
      <c r="X841" s="198">
        <f>IF(NOTA[[#This Row],[JUMLAH]]="","",NOTA[[#This Row],[JUMLAH]]*NOTA[[#This Row],[DISC 1]])</f>
        <v>0</v>
      </c>
      <c r="Y841" s="198">
        <f>IF(NOTA[[#This Row],[JUMLAH]]="","",(NOTA[[#This Row],[JUMLAH]]-NOTA[[#This Row],[DISC 1-]])*NOTA[[#This Row],[DISC 2]])</f>
        <v>0</v>
      </c>
      <c r="Z841" s="198">
        <f>IF(NOTA[[#This Row],[JUMLAH]]="","",NOTA[[#This Row],[DISC 1-]]+NOTA[[#This Row],[DISC 2-]])</f>
        <v>0</v>
      </c>
      <c r="AA841" s="198">
        <f>IF(NOTA[[#This Row],[JUMLAH]]="","",NOTA[[#This Row],[JUMLAH]]-NOTA[[#This Row],[DISC]])</f>
        <v>15300000</v>
      </c>
      <c r="AB841" s="198"/>
      <c r="AC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187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841" s="200">
        <f>IF(OR(NOTA[[#This Row],[QTY]]="",NOTA[[#This Row],[HARGA SATUAN]]="",),"",NOTA[[#This Row],[QTY]]*NOTA[[#This Row],[HARGA SATUAN]])</f>
        <v>15300000</v>
      </c>
      <c r="AG841" s="192">
        <f ca="1">IF(NOTA[ID_H]="","",INDEX(NOTA[TANGGAL],MATCH(,INDIRECT(ADDRESS(ROW(NOTA[TANGGAL]),COLUMN(NOTA[TANGGAL]))&amp;":"&amp;ADDRESS(ROW(),COLUMN(NOTA[TANGGAL]))),-1)))</f>
        <v>45075</v>
      </c>
      <c r="AH841" s="187" t="str">
        <f ca="1">IF(NOTA[[#This Row],[NAMA BARANG]]="","",INDEX(NOTA[SUPPLIER],MATCH(,INDIRECT(ADDRESS(ROW(NOTA[ID]),COLUMN(NOTA[ID]))&amp;":"&amp;ADDRESS(ROW(),COLUMN(NOTA[ID]))),-1)))</f>
        <v>DB STATIONERY</v>
      </c>
      <c r="AI841" s="187" t="str">
        <f ca="1">IF(NOTA[[#This Row],[ID_H]]="","",IF(NOTA[[#This Row],[FAKTUR]]="",INDIRECT(ADDRESS(ROW()-1,COLUMN())),NOTA[[#This Row],[FAKTUR]]))</f>
        <v>UNTANA</v>
      </c>
      <c r="AJ841" s="188">
        <f ca="1">IF(NOTA[[#This Row],[ID]]="","",COUNTIF(NOTA[ID_H],NOTA[[#This Row],[ID_H]]))</f>
        <v>13</v>
      </c>
      <c r="AK841" s="188">
        <f>IF(NOTA[[#This Row],[TGL.NOTA]]="",IF(NOTA[[#This Row],[SUPPLIER_H]]="","",AK840),MONTH(NOTA[[#This Row],[TGL.NOTA]]))</f>
        <v>5</v>
      </c>
      <c r="AL841" s="188" t="str">
        <f>LOWER(SUBSTITUTE(SUBSTITUTE(SUBSTITUTE(SUBSTITUTE(SUBSTITUTE(SUBSTITUTE(SUBSTITUTE(SUBSTITUTE(SUBSTITUTE(NOTA[NAMA BARANG]," ",),".",""),"-",""),"(",""),")",""),",",""),"/",""),"""",""),"+",""))</f>
        <v>geldebozz05dbg05</v>
      </c>
      <c r="AM84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N84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O841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STATIONERYUNTANAJUE655/2345071geldebozz05dbg05</v>
      </c>
      <c r="AP841" s="188" t="e">
        <f>IF(NOTA[[#This Row],[CONCAT4]]="","",_xlfn.IFNA(MATCH(NOTA[[#This Row],[CONCAT4]],[2]!RAW[CONCAT_H],0),FALSE))</f>
        <v>#REF!</v>
      </c>
      <c r="AQ841" s="188">
        <f>IF(NOTA[[#This Row],[CONCAT1]]="","",MATCH(NOTA[[#This Row],[CONCAT1]],[3]!db[NB NOTA_C],0)+1)</f>
        <v>785</v>
      </c>
    </row>
    <row r="842" spans="1:43" ht="20.100000000000001" customHeight="1" x14ac:dyDescent="0.25">
      <c r="A84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188" t="str">
        <f>IF(NOTA[[#This Row],[ID_P]]="","",MATCH(NOTA[[#This Row],[ID_P]],[1]!B_MSK[N_ID],0))</f>
        <v/>
      </c>
      <c r="D842" s="188">
        <f ca="1">IF(NOTA[[#This Row],[NAMA BARANG]]="","",INDEX(NOTA[ID],MATCH(,INDIRECT(ADDRESS(ROW(NOTA[ID]),COLUMN(NOTA[ID]))&amp;":"&amp;ADDRESS(ROW(),COLUMN(NOTA[ID]))),-1)))</f>
        <v>145</v>
      </c>
      <c r="E842" s="189"/>
      <c r="F842" s="190"/>
      <c r="G842" s="190"/>
      <c r="H842" s="191"/>
      <c r="I842" s="190"/>
      <c r="J842" s="192"/>
      <c r="K842" s="190"/>
      <c r="L842" s="190" t="s">
        <v>1023</v>
      </c>
      <c r="M842" s="193">
        <v>3</v>
      </c>
      <c r="N842" s="188">
        <v>360</v>
      </c>
      <c r="O842" s="190" t="s">
        <v>125</v>
      </c>
      <c r="P842" s="202">
        <v>19000</v>
      </c>
      <c r="Q842" s="194"/>
      <c r="R842" s="195" t="s">
        <v>173</v>
      </c>
      <c r="S842" s="196"/>
      <c r="T842" s="197"/>
      <c r="U842" s="198"/>
      <c r="V842" s="199"/>
      <c r="W842" s="198">
        <f>IF(NOTA[[#This Row],[HARGA/ CTN]]="",NOTA[[#This Row],[JUMLAH_H]],NOTA[[#This Row],[HARGA/ CTN]]*IF(NOTA[[#This Row],[C]]="",0,NOTA[[#This Row],[C]]))</f>
        <v>6840000</v>
      </c>
      <c r="X842" s="198">
        <f>IF(NOTA[[#This Row],[JUMLAH]]="","",NOTA[[#This Row],[JUMLAH]]*NOTA[[#This Row],[DISC 1]])</f>
        <v>0</v>
      </c>
      <c r="Y842" s="198">
        <f>IF(NOTA[[#This Row],[JUMLAH]]="","",(NOTA[[#This Row],[JUMLAH]]-NOTA[[#This Row],[DISC 1-]])*NOTA[[#This Row],[DISC 2]])</f>
        <v>0</v>
      </c>
      <c r="Z842" s="198">
        <f>IF(NOTA[[#This Row],[JUMLAH]]="","",NOTA[[#This Row],[DISC 1-]]+NOTA[[#This Row],[DISC 2-]])</f>
        <v>0</v>
      </c>
      <c r="AA842" s="198">
        <f>IF(NOTA[[#This Row],[JUMLAH]]="","",NOTA[[#This Row],[JUMLAH]]-NOTA[[#This Row],[DISC]])</f>
        <v>6840000</v>
      </c>
      <c r="AB842" s="198"/>
      <c r="AC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187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842" s="200">
        <f>IF(OR(NOTA[[#This Row],[QTY]]="",NOTA[[#This Row],[HARGA SATUAN]]="",),"",NOTA[[#This Row],[QTY]]*NOTA[[#This Row],[HARGA SATUAN]])</f>
        <v>6840000</v>
      </c>
      <c r="AG842" s="192">
        <f ca="1">IF(NOTA[ID_H]="","",INDEX(NOTA[TANGGAL],MATCH(,INDIRECT(ADDRESS(ROW(NOTA[TANGGAL]),COLUMN(NOTA[TANGGAL]))&amp;":"&amp;ADDRESS(ROW(),COLUMN(NOTA[TANGGAL]))),-1)))</f>
        <v>45075</v>
      </c>
      <c r="AH842" s="187" t="str">
        <f ca="1">IF(NOTA[[#This Row],[NAMA BARANG]]="","",INDEX(NOTA[SUPPLIER],MATCH(,INDIRECT(ADDRESS(ROW(NOTA[ID]),COLUMN(NOTA[ID]))&amp;":"&amp;ADDRESS(ROW(),COLUMN(NOTA[ID]))),-1)))</f>
        <v>DB STATIONERY</v>
      </c>
      <c r="AI842" s="187" t="str">
        <f ca="1">IF(NOTA[[#This Row],[ID_H]]="","",IF(NOTA[[#This Row],[FAKTUR]]="",INDIRECT(ADDRESS(ROW()-1,COLUMN())),NOTA[[#This Row],[FAKTUR]]))</f>
        <v>UNTANA</v>
      </c>
      <c r="AJ842" s="188" t="str">
        <f ca="1">IF(NOTA[[#This Row],[ID]]="","",COUNTIF(NOTA[ID_H],NOTA[[#This Row],[ID_H]]))</f>
        <v/>
      </c>
      <c r="AK842" s="188">
        <f ca="1">IF(NOTA[[#This Row],[TGL.NOTA]]="",IF(NOTA[[#This Row],[SUPPLIER_H]]="","",AK841),MONTH(NOTA[[#This Row],[TGL.NOTA]]))</f>
        <v>5</v>
      </c>
      <c r="AL842" s="188" t="str">
        <f>LOWER(SUBSTITUTE(SUBSTITUTE(SUBSTITUTE(SUBSTITUTE(SUBSTITUTE(SUBSTITUTE(SUBSTITUTE(SUBSTITUTE(SUBSTITUTE(NOTA[NAMA BARANG]," ",),".",""),"-",""),"(",""),")",""),",",""),"/",""),"""",""),"+",""))</f>
        <v>geldebozz07refilldb503</v>
      </c>
      <c r="AM84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geldebozz07refilldb5032280000</v>
      </c>
      <c r="AN84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geldebozz07refilldb5032280000</v>
      </c>
      <c r="AO84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188" t="str">
        <f>IF(NOTA[[#This Row],[CONCAT4]]="","",_xlfn.IFNA(MATCH(NOTA[[#This Row],[CONCAT4]],[2]!RAW[CONCAT_H],0),FALSE))</f>
        <v/>
      </c>
      <c r="AQ842" s="188" t="e">
        <f>IF(NOTA[[#This Row],[CONCAT1]]="","",MATCH(NOTA[[#This Row],[CONCAT1]],[3]!db[NB NOTA_C],0)+1)</f>
        <v>#N/A</v>
      </c>
    </row>
    <row r="843" spans="1:43" ht="20.100000000000001" customHeight="1" x14ac:dyDescent="0.25">
      <c r="A84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188" t="str">
        <f>IF(NOTA[[#This Row],[ID_P]]="","",MATCH(NOTA[[#This Row],[ID_P]],[1]!B_MSK[N_ID],0))</f>
        <v/>
      </c>
      <c r="D843" s="188">
        <f ca="1">IF(NOTA[[#This Row],[NAMA BARANG]]="","",INDEX(NOTA[ID],MATCH(,INDIRECT(ADDRESS(ROW(NOTA[ID]),COLUMN(NOTA[ID]))&amp;":"&amp;ADDRESS(ROW(),COLUMN(NOTA[ID]))),-1)))</f>
        <v>145</v>
      </c>
      <c r="E843" s="189"/>
      <c r="F843" s="190"/>
      <c r="G843" s="190"/>
      <c r="H843" s="191"/>
      <c r="I843" s="190"/>
      <c r="J843" s="192"/>
      <c r="K843" s="190"/>
      <c r="L843" s="190" t="s">
        <v>1024</v>
      </c>
      <c r="M843" s="193">
        <v>1</v>
      </c>
      <c r="N843" s="188">
        <v>144</v>
      </c>
      <c r="O843" s="190" t="s">
        <v>125</v>
      </c>
      <c r="P843" s="202">
        <v>27000</v>
      </c>
      <c r="Q843" s="194"/>
      <c r="R843" s="195" t="s">
        <v>171</v>
      </c>
      <c r="S843" s="196"/>
      <c r="T843" s="197"/>
      <c r="U843" s="198"/>
      <c r="V843" s="199"/>
      <c r="W843" s="198">
        <f>IF(NOTA[[#This Row],[HARGA/ CTN]]="",NOTA[[#This Row],[JUMLAH_H]],NOTA[[#This Row],[HARGA/ CTN]]*IF(NOTA[[#This Row],[C]]="",0,NOTA[[#This Row],[C]]))</f>
        <v>3888000</v>
      </c>
      <c r="X843" s="198">
        <f>IF(NOTA[[#This Row],[JUMLAH]]="","",NOTA[[#This Row],[JUMLAH]]*NOTA[[#This Row],[DISC 1]])</f>
        <v>0</v>
      </c>
      <c r="Y843" s="198">
        <f>IF(NOTA[[#This Row],[JUMLAH]]="","",(NOTA[[#This Row],[JUMLAH]]-NOTA[[#This Row],[DISC 1-]])*NOTA[[#This Row],[DISC 2]])</f>
        <v>0</v>
      </c>
      <c r="Z843" s="198">
        <f>IF(NOTA[[#This Row],[JUMLAH]]="","",NOTA[[#This Row],[DISC 1-]]+NOTA[[#This Row],[DISC 2-]])</f>
        <v>0</v>
      </c>
      <c r="AA843" s="198">
        <f>IF(NOTA[[#This Row],[JUMLAH]]="","",NOTA[[#This Row],[JUMLAH]]-NOTA[[#This Row],[DISC]])</f>
        <v>3888000</v>
      </c>
      <c r="AB843" s="198"/>
      <c r="AC8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187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43" s="200">
        <f>IF(OR(NOTA[[#This Row],[QTY]]="",NOTA[[#This Row],[HARGA SATUAN]]="",),"",NOTA[[#This Row],[QTY]]*NOTA[[#This Row],[HARGA SATUAN]])</f>
        <v>3888000</v>
      </c>
      <c r="AG843" s="192">
        <f ca="1">IF(NOTA[ID_H]="","",INDEX(NOTA[TANGGAL],MATCH(,INDIRECT(ADDRESS(ROW(NOTA[TANGGAL]),COLUMN(NOTA[TANGGAL]))&amp;":"&amp;ADDRESS(ROW(),COLUMN(NOTA[TANGGAL]))),-1)))</f>
        <v>45075</v>
      </c>
      <c r="AH843" s="187" t="str">
        <f ca="1">IF(NOTA[[#This Row],[NAMA BARANG]]="","",INDEX(NOTA[SUPPLIER],MATCH(,INDIRECT(ADDRESS(ROW(NOTA[ID]),COLUMN(NOTA[ID]))&amp;":"&amp;ADDRESS(ROW(),COLUMN(NOTA[ID]))),-1)))</f>
        <v>DB STATIONERY</v>
      </c>
      <c r="AI843" s="187" t="str">
        <f ca="1">IF(NOTA[[#This Row],[ID_H]]="","",IF(NOTA[[#This Row],[FAKTUR]]="",INDIRECT(ADDRESS(ROW()-1,COLUMN())),NOTA[[#This Row],[FAKTUR]]))</f>
        <v>UNTANA</v>
      </c>
      <c r="AJ843" s="188" t="str">
        <f ca="1">IF(NOTA[[#This Row],[ID]]="","",COUNTIF(NOTA[ID_H],NOTA[[#This Row],[ID_H]]))</f>
        <v/>
      </c>
      <c r="AK843" s="188">
        <f ca="1">IF(NOTA[[#This Row],[TGL.NOTA]]="",IF(NOTA[[#This Row],[SUPPLIER_H]]="","",AK842),MONTH(NOTA[[#This Row],[TGL.NOTA]]))</f>
        <v>5</v>
      </c>
      <c r="AL843" s="188" t="str">
        <f>LOWER(SUBSTITUTE(SUBSTITUTE(SUBSTITUTE(SUBSTITUTE(SUBSTITUTE(SUBSTITUTE(SUBSTITUTE(SUBSTITUTE(SUBSTITUTE(NOTA[NAMA BARANG]," ",),".",""),"-",""),"(",""),")",""),",",""),"/",""),"""",""),"+",""))</f>
        <v>gptizo395ftg395f</v>
      </c>
      <c r="AM84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gptizo395ftg395f3888000</v>
      </c>
      <c r="AN84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gptizo395ftg395f3888000</v>
      </c>
      <c r="AO84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188" t="str">
        <f>IF(NOTA[[#This Row],[CONCAT4]]="","",_xlfn.IFNA(MATCH(NOTA[[#This Row],[CONCAT4]],[2]!RAW[CONCAT_H],0),FALSE))</f>
        <v/>
      </c>
      <c r="AQ843" s="188">
        <f>IF(NOTA[[#This Row],[CONCAT1]]="","",MATCH(NOTA[[#This Row],[CONCAT1]],[3]!db[NB NOTA_C],0)+1)</f>
        <v>1013</v>
      </c>
    </row>
    <row r="844" spans="1:43" ht="20.100000000000001" customHeight="1" x14ac:dyDescent="0.25">
      <c r="A84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188" t="str">
        <f>IF(NOTA[[#This Row],[ID_P]]="","",MATCH(NOTA[[#This Row],[ID_P]],[1]!B_MSK[N_ID],0))</f>
        <v/>
      </c>
      <c r="D844" s="188">
        <f ca="1">IF(NOTA[[#This Row],[NAMA BARANG]]="","",INDEX(NOTA[ID],MATCH(,INDIRECT(ADDRESS(ROW(NOTA[ID]),COLUMN(NOTA[ID]))&amp;":"&amp;ADDRESS(ROW(),COLUMN(NOTA[ID]))),-1)))</f>
        <v>145</v>
      </c>
      <c r="E844" s="189"/>
      <c r="F844" s="190"/>
      <c r="G844" s="190"/>
      <c r="H844" s="191"/>
      <c r="I844" s="190"/>
      <c r="J844" s="192"/>
      <c r="K844" s="190"/>
      <c r="L844" s="190" t="s">
        <v>1025</v>
      </c>
      <c r="M844" s="193">
        <v>3</v>
      </c>
      <c r="N844" s="188">
        <v>432</v>
      </c>
      <c r="O844" s="190" t="s">
        <v>125</v>
      </c>
      <c r="P844" s="202">
        <v>10000</v>
      </c>
      <c r="Q844" s="194"/>
      <c r="R844" s="195" t="s">
        <v>171</v>
      </c>
      <c r="S844" s="196"/>
      <c r="T844" s="197"/>
      <c r="U844" s="198"/>
      <c r="V844" s="199"/>
      <c r="W844" s="198">
        <f>IF(NOTA[[#This Row],[HARGA/ CTN]]="",NOTA[[#This Row],[JUMLAH_H]],NOTA[[#This Row],[HARGA/ CTN]]*IF(NOTA[[#This Row],[C]]="",0,NOTA[[#This Row],[C]]))</f>
        <v>4320000</v>
      </c>
      <c r="X844" s="198">
        <f>IF(NOTA[[#This Row],[JUMLAH]]="","",NOTA[[#This Row],[JUMLAH]]*NOTA[[#This Row],[DISC 1]])</f>
        <v>0</v>
      </c>
      <c r="Y844" s="198">
        <f>IF(NOTA[[#This Row],[JUMLAH]]="","",(NOTA[[#This Row],[JUMLAH]]-NOTA[[#This Row],[DISC 1-]])*NOTA[[#This Row],[DISC 2]])</f>
        <v>0</v>
      </c>
      <c r="Z844" s="198">
        <f>IF(NOTA[[#This Row],[JUMLAH]]="","",NOTA[[#This Row],[DISC 1-]]+NOTA[[#This Row],[DISC 2-]])</f>
        <v>0</v>
      </c>
      <c r="AA844" s="198">
        <f>IF(NOTA[[#This Row],[JUMLAH]]="","",NOTA[[#This Row],[JUMLAH]]-NOTA[[#This Row],[DISC]])</f>
        <v>4320000</v>
      </c>
      <c r="AB844" s="198"/>
      <c r="AC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187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844" s="200">
        <f>IF(OR(NOTA[[#This Row],[QTY]]="",NOTA[[#This Row],[HARGA SATUAN]]="",),"",NOTA[[#This Row],[QTY]]*NOTA[[#This Row],[HARGA SATUAN]])</f>
        <v>4320000</v>
      </c>
      <c r="AG844" s="192">
        <f ca="1">IF(NOTA[ID_H]="","",INDEX(NOTA[TANGGAL],MATCH(,INDIRECT(ADDRESS(ROW(NOTA[TANGGAL]),COLUMN(NOTA[TANGGAL]))&amp;":"&amp;ADDRESS(ROW(),COLUMN(NOTA[TANGGAL]))),-1)))</f>
        <v>45075</v>
      </c>
      <c r="AH844" s="187" t="str">
        <f ca="1">IF(NOTA[[#This Row],[NAMA BARANG]]="","",INDEX(NOTA[SUPPLIER],MATCH(,INDIRECT(ADDRESS(ROW(NOTA[ID]),COLUMN(NOTA[ID]))&amp;":"&amp;ADDRESS(ROW(),COLUMN(NOTA[ID]))),-1)))</f>
        <v>DB STATIONERY</v>
      </c>
      <c r="AI844" s="187" t="str">
        <f ca="1">IF(NOTA[[#This Row],[ID_H]]="","",IF(NOTA[[#This Row],[FAKTUR]]="",INDIRECT(ADDRESS(ROW()-1,COLUMN())),NOTA[[#This Row],[FAKTUR]]))</f>
        <v>UNTANA</v>
      </c>
      <c r="AJ844" s="188" t="str">
        <f ca="1">IF(NOTA[[#This Row],[ID]]="","",COUNTIF(NOTA[ID_H],NOTA[[#This Row],[ID_H]]))</f>
        <v/>
      </c>
      <c r="AK844" s="188">
        <f ca="1">IF(NOTA[[#This Row],[TGL.NOTA]]="",IF(NOTA[[#This Row],[SUPPLIER_H]]="","",AK843),MONTH(NOTA[[#This Row],[TGL.NOTA]]))</f>
        <v>5</v>
      </c>
      <c r="AL844" s="188" t="str">
        <f>LOWER(SUBSTITUTE(SUBSTITUTE(SUBSTITUTE(SUBSTITUTE(SUBSTITUTE(SUBSTITUTE(SUBSTITUTE(SUBSTITUTE(SUBSTITUTE(NOTA[NAMA BARANG]," ",),".",""),"-",""),"(",""),")",""),",",""),"/",""),"""",""),"+",""))</f>
        <v>semigeltizotbsg09</v>
      </c>
      <c r="AM84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N84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O84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188" t="str">
        <f>IF(NOTA[[#This Row],[CONCAT4]]="","",_xlfn.IFNA(MATCH(NOTA[[#This Row],[CONCAT4]],[2]!RAW[CONCAT_H],0),FALSE))</f>
        <v/>
      </c>
      <c r="AQ844" s="188">
        <f>IF(NOTA[[#This Row],[CONCAT1]]="","",MATCH(NOTA[[#This Row],[CONCAT1]],[3]!db[NB NOTA_C],0)+1)</f>
        <v>2133</v>
      </c>
    </row>
    <row r="845" spans="1:43" ht="20.100000000000001" customHeight="1" x14ac:dyDescent="0.25">
      <c r="A84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188" t="str">
        <f>IF(NOTA[[#This Row],[ID_P]]="","",MATCH(NOTA[[#This Row],[ID_P]],[1]!B_MSK[N_ID],0))</f>
        <v/>
      </c>
      <c r="D845" s="188">
        <f ca="1">IF(NOTA[[#This Row],[NAMA BARANG]]="","",INDEX(NOTA[ID],MATCH(,INDIRECT(ADDRESS(ROW(NOTA[ID]),COLUMN(NOTA[ID]))&amp;":"&amp;ADDRESS(ROW(),COLUMN(NOTA[ID]))),-1)))</f>
        <v>145</v>
      </c>
      <c r="E845" s="189"/>
      <c r="F845" s="190"/>
      <c r="G845" s="190"/>
      <c r="H845" s="191"/>
      <c r="I845" s="190"/>
      <c r="J845" s="192"/>
      <c r="K845" s="190"/>
      <c r="L845" s="190" t="s">
        <v>1026</v>
      </c>
      <c r="M845" s="193">
        <v>2</v>
      </c>
      <c r="N845" s="188">
        <v>360</v>
      </c>
      <c r="O845" s="190" t="s">
        <v>160</v>
      </c>
      <c r="P845" s="202">
        <v>11500</v>
      </c>
      <c r="Q845" s="194"/>
      <c r="R845" s="195" t="s">
        <v>216</v>
      </c>
      <c r="S845" s="196">
        <v>2.5000000000000001E-2</v>
      </c>
      <c r="T845" s="197"/>
      <c r="U845" s="198"/>
      <c r="V845" s="199"/>
      <c r="W845" s="198">
        <f>IF(NOTA[[#This Row],[HARGA/ CTN]]="",NOTA[[#This Row],[JUMLAH_H]],NOTA[[#This Row],[HARGA/ CTN]]*IF(NOTA[[#This Row],[C]]="",0,NOTA[[#This Row],[C]]))</f>
        <v>4140000</v>
      </c>
      <c r="X845" s="198">
        <f>IF(NOTA[[#This Row],[JUMLAH]]="","",NOTA[[#This Row],[JUMLAH]]*NOTA[[#This Row],[DISC 1]])</f>
        <v>103500</v>
      </c>
      <c r="Y845" s="198">
        <f>IF(NOTA[[#This Row],[JUMLAH]]="","",(NOTA[[#This Row],[JUMLAH]]-NOTA[[#This Row],[DISC 1-]])*NOTA[[#This Row],[DISC 2]])</f>
        <v>0</v>
      </c>
      <c r="Z845" s="198">
        <f>IF(NOTA[[#This Row],[JUMLAH]]="","",NOTA[[#This Row],[DISC 1-]]+NOTA[[#This Row],[DISC 2-]])</f>
        <v>103500</v>
      </c>
      <c r="AA845" s="198">
        <f>IF(NOTA[[#This Row],[JUMLAH]]="","",NOTA[[#This Row],[JUMLAH]]-NOTA[[#This Row],[DISC]])</f>
        <v>4036500</v>
      </c>
      <c r="AB845" s="198"/>
      <c r="AC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187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845" s="200">
        <f>IF(OR(NOTA[[#This Row],[QTY]]="",NOTA[[#This Row],[HARGA SATUAN]]="",),"",NOTA[[#This Row],[QTY]]*NOTA[[#This Row],[HARGA SATUAN]])</f>
        <v>4140000</v>
      </c>
      <c r="AG845" s="192">
        <f ca="1">IF(NOTA[ID_H]="","",INDEX(NOTA[TANGGAL],MATCH(,INDIRECT(ADDRESS(ROW(NOTA[TANGGAL]),COLUMN(NOTA[TANGGAL]))&amp;":"&amp;ADDRESS(ROW(),COLUMN(NOTA[TANGGAL]))),-1)))</f>
        <v>45075</v>
      </c>
      <c r="AH845" s="187" t="str">
        <f ca="1">IF(NOTA[[#This Row],[NAMA BARANG]]="","",INDEX(NOTA[SUPPLIER],MATCH(,INDIRECT(ADDRESS(ROW(NOTA[ID]),COLUMN(NOTA[ID]))&amp;":"&amp;ADDRESS(ROW(),COLUMN(NOTA[ID]))),-1)))</f>
        <v>DB STATIONERY</v>
      </c>
      <c r="AI845" s="187" t="str">
        <f ca="1">IF(NOTA[[#This Row],[ID_H]]="","",IF(NOTA[[#This Row],[FAKTUR]]="",INDIRECT(ADDRESS(ROW()-1,COLUMN())),NOTA[[#This Row],[FAKTUR]]))</f>
        <v>UNTANA</v>
      </c>
      <c r="AJ845" s="188" t="str">
        <f ca="1">IF(NOTA[[#This Row],[ID]]="","",COUNTIF(NOTA[ID_H],NOTA[[#This Row],[ID_H]]))</f>
        <v/>
      </c>
      <c r="AK845" s="188">
        <f ca="1">IF(NOTA[[#This Row],[TGL.NOTA]]="",IF(NOTA[[#This Row],[SUPPLIER_H]]="","",AK844),MONTH(NOTA[[#This Row],[TGL.NOTA]]))</f>
        <v>5</v>
      </c>
      <c r="AL845" s="188" t="str">
        <f>LOWER(SUBSTITUTE(SUBSTITUTE(SUBSTITUTE(SUBSTITUTE(SUBSTITUTE(SUBSTITUTE(SUBSTITUTE(SUBSTITUTE(SUBSTITUTE(NOTA[NAMA BARANG]," ",),".",""),"-",""),"(",""),")",""),",",""),"/",""),"""",""),"+",""))</f>
        <v>tpbdbd180un2</v>
      </c>
      <c r="AM84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tpbdbd180un220700000.025</v>
      </c>
      <c r="AN84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tpbdbd180un220700000.025</v>
      </c>
      <c r="AO84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188" t="str">
        <f>IF(NOTA[[#This Row],[CONCAT4]]="","",_xlfn.IFNA(MATCH(NOTA[[#This Row],[CONCAT4]],[2]!RAW[CONCAT_H],0),FALSE))</f>
        <v/>
      </c>
      <c r="AQ845" s="188" t="e">
        <f>IF(NOTA[[#This Row],[CONCAT1]]="","",MATCH(NOTA[[#This Row],[CONCAT1]],[3]!db[NB NOTA_C],0)+1)</f>
        <v>#N/A</v>
      </c>
    </row>
    <row r="846" spans="1:43" ht="20.100000000000001" customHeight="1" x14ac:dyDescent="0.25">
      <c r="A84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188" t="str">
        <f>IF(NOTA[[#This Row],[ID_P]]="","",MATCH(NOTA[[#This Row],[ID_P]],[1]!B_MSK[N_ID],0))</f>
        <v/>
      </c>
      <c r="D846" s="188">
        <f ca="1">IF(NOTA[[#This Row],[NAMA BARANG]]="","",INDEX(NOTA[ID],MATCH(,INDIRECT(ADDRESS(ROW(NOTA[ID]),COLUMN(NOTA[ID]))&amp;":"&amp;ADDRESS(ROW(),COLUMN(NOTA[ID]))),-1)))</f>
        <v>145</v>
      </c>
      <c r="E846" s="189"/>
      <c r="F846" s="190"/>
      <c r="G846" s="190"/>
      <c r="H846" s="191"/>
      <c r="I846" s="190"/>
      <c r="J846" s="192"/>
      <c r="K846" s="190"/>
      <c r="L846" s="190" t="s">
        <v>1027</v>
      </c>
      <c r="M846" s="193">
        <v>1</v>
      </c>
      <c r="N846" s="188">
        <v>180</v>
      </c>
      <c r="O846" s="190" t="s">
        <v>160</v>
      </c>
      <c r="P846" s="202">
        <v>11500</v>
      </c>
      <c r="Q846" s="194"/>
      <c r="R846" s="195" t="s">
        <v>216</v>
      </c>
      <c r="S846" s="196">
        <v>2.5000000000000001E-2</v>
      </c>
      <c r="T846" s="197"/>
      <c r="U846" s="198"/>
      <c r="V846" s="199"/>
      <c r="W846" s="198">
        <f>IF(NOTA[[#This Row],[HARGA/ CTN]]="",NOTA[[#This Row],[JUMLAH_H]],NOTA[[#This Row],[HARGA/ CTN]]*IF(NOTA[[#This Row],[C]]="",0,NOTA[[#This Row],[C]]))</f>
        <v>2070000</v>
      </c>
      <c r="X846" s="198">
        <f>IF(NOTA[[#This Row],[JUMLAH]]="","",NOTA[[#This Row],[JUMLAH]]*NOTA[[#This Row],[DISC 1]])</f>
        <v>51750</v>
      </c>
      <c r="Y846" s="198">
        <f>IF(NOTA[[#This Row],[JUMLAH]]="","",(NOTA[[#This Row],[JUMLAH]]-NOTA[[#This Row],[DISC 1-]])*NOTA[[#This Row],[DISC 2]])</f>
        <v>0</v>
      </c>
      <c r="Z846" s="198">
        <f>IF(NOTA[[#This Row],[JUMLAH]]="","",NOTA[[#This Row],[DISC 1-]]+NOTA[[#This Row],[DISC 2-]])</f>
        <v>51750</v>
      </c>
      <c r="AA846" s="198">
        <f>IF(NOTA[[#This Row],[JUMLAH]]="","",NOTA[[#This Row],[JUMLAH]]-NOTA[[#This Row],[DISC]])</f>
        <v>2018250</v>
      </c>
      <c r="AB846" s="198"/>
      <c r="AC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187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846" s="200">
        <f>IF(OR(NOTA[[#This Row],[QTY]]="",NOTA[[#This Row],[HARGA SATUAN]]="",),"",NOTA[[#This Row],[QTY]]*NOTA[[#This Row],[HARGA SATUAN]])</f>
        <v>2070000</v>
      </c>
      <c r="AG846" s="192">
        <f ca="1">IF(NOTA[ID_H]="","",INDEX(NOTA[TANGGAL],MATCH(,INDIRECT(ADDRESS(ROW(NOTA[TANGGAL]),COLUMN(NOTA[TANGGAL]))&amp;":"&amp;ADDRESS(ROW(),COLUMN(NOTA[TANGGAL]))),-1)))</f>
        <v>45075</v>
      </c>
      <c r="AH846" s="187" t="str">
        <f ca="1">IF(NOTA[[#This Row],[NAMA BARANG]]="","",INDEX(NOTA[SUPPLIER],MATCH(,INDIRECT(ADDRESS(ROW(NOTA[ID]),COLUMN(NOTA[ID]))&amp;":"&amp;ADDRESS(ROW(),COLUMN(NOTA[ID]))),-1)))</f>
        <v>DB STATIONERY</v>
      </c>
      <c r="AI846" s="187" t="str">
        <f ca="1">IF(NOTA[[#This Row],[ID_H]]="","",IF(NOTA[[#This Row],[FAKTUR]]="",INDIRECT(ADDRESS(ROW()-1,COLUMN())),NOTA[[#This Row],[FAKTUR]]))</f>
        <v>UNTANA</v>
      </c>
      <c r="AJ846" s="188" t="str">
        <f ca="1">IF(NOTA[[#This Row],[ID]]="","",COUNTIF(NOTA[ID_H],NOTA[[#This Row],[ID_H]]))</f>
        <v/>
      </c>
      <c r="AK846" s="188">
        <f ca="1">IF(NOTA[[#This Row],[TGL.NOTA]]="",IF(NOTA[[#This Row],[SUPPLIER_H]]="","",AK845),MONTH(NOTA[[#This Row],[TGL.NOTA]]))</f>
        <v>5</v>
      </c>
      <c r="AL846" s="188" t="str">
        <f>LOWER(SUBSTITUTE(SUBSTITUTE(SUBSTITUTE(SUBSTITUTE(SUBSTITUTE(SUBSTITUTE(SUBSTITUTE(SUBSTITUTE(SUBSTITUTE(NOTA[NAMA BARANG]," ",),".",""),"-",""),"(",""),")",""),",",""),"/",""),"""",""),"+",""))</f>
        <v>tpbdanimalbd180c</v>
      </c>
      <c r="AM84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N84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O84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188" t="str">
        <f>IF(NOTA[[#This Row],[CONCAT4]]="","",_xlfn.IFNA(MATCH(NOTA[[#This Row],[CONCAT4]],[2]!RAW[CONCAT_H],0),FALSE))</f>
        <v/>
      </c>
      <c r="AQ846" s="188" t="e">
        <f>IF(NOTA[[#This Row],[CONCAT1]]="","",MATCH(NOTA[[#This Row],[CONCAT1]],[3]!db[NB NOTA_C],0)+1)</f>
        <v>#N/A</v>
      </c>
    </row>
    <row r="847" spans="1:43" ht="20.100000000000001" customHeight="1" x14ac:dyDescent="0.25">
      <c r="A84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188" t="str">
        <f>IF(NOTA[[#This Row],[ID_P]]="","",MATCH(NOTA[[#This Row],[ID_P]],[1]!B_MSK[N_ID],0))</f>
        <v/>
      </c>
      <c r="D847" s="188">
        <f ca="1">IF(NOTA[[#This Row],[NAMA BARANG]]="","",INDEX(NOTA[ID],MATCH(,INDIRECT(ADDRESS(ROW(NOTA[ID]),COLUMN(NOTA[ID]))&amp;":"&amp;ADDRESS(ROW(),COLUMN(NOTA[ID]))),-1)))</f>
        <v>145</v>
      </c>
      <c r="E847" s="189"/>
      <c r="F847" s="190"/>
      <c r="G847" s="190"/>
      <c r="H847" s="191"/>
      <c r="I847" s="190"/>
      <c r="J847" s="192"/>
      <c r="K847" s="190"/>
      <c r="L847" s="190" t="s">
        <v>1028</v>
      </c>
      <c r="M847" s="193">
        <v>3</v>
      </c>
      <c r="N847" s="188">
        <v>540</v>
      </c>
      <c r="O847" s="190" t="s">
        <v>160</v>
      </c>
      <c r="P847" s="202">
        <v>17500</v>
      </c>
      <c r="Q847" s="194"/>
      <c r="R847" s="195" t="s">
        <v>216</v>
      </c>
      <c r="S847" s="196">
        <v>2.5000000000000001E-2</v>
      </c>
      <c r="T847" s="197"/>
      <c r="U847" s="198"/>
      <c r="V847" s="199"/>
      <c r="W847" s="198">
        <f>IF(NOTA[[#This Row],[HARGA/ CTN]]="",NOTA[[#This Row],[JUMLAH_H]],NOTA[[#This Row],[HARGA/ CTN]]*IF(NOTA[[#This Row],[C]]="",0,NOTA[[#This Row],[C]]))</f>
        <v>9450000</v>
      </c>
      <c r="X847" s="198">
        <f>IF(NOTA[[#This Row],[JUMLAH]]="","",NOTA[[#This Row],[JUMLAH]]*NOTA[[#This Row],[DISC 1]])</f>
        <v>236250</v>
      </c>
      <c r="Y847" s="198">
        <f>IF(NOTA[[#This Row],[JUMLAH]]="","",(NOTA[[#This Row],[JUMLAH]]-NOTA[[#This Row],[DISC 1-]])*NOTA[[#This Row],[DISC 2]])</f>
        <v>0</v>
      </c>
      <c r="Z847" s="198">
        <f>IF(NOTA[[#This Row],[JUMLAH]]="","",NOTA[[#This Row],[DISC 1-]]+NOTA[[#This Row],[DISC 2-]])</f>
        <v>236250</v>
      </c>
      <c r="AA847" s="198">
        <f>IF(NOTA[[#This Row],[JUMLAH]]="","",NOTA[[#This Row],[JUMLAH]]-NOTA[[#This Row],[DISC]])</f>
        <v>9213750</v>
      </c>
      <c r="AB847" s="198"/>
      <c r="AC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187">
        <f>IF(NOTA[[#This Row],[NAMA BARANG]]="","",IF(NOTA[[#This Row],[JUMLAH_H]]="",NOTA[[#This Row],[HARGA/ CTN]],NOTA[[#This Row],[QTY]]*NOTA[[#This Row],[HARGA SATUAN]]/IF(ISNUMBER(NOTA[[#This Row],[C]]),NOTA[[#This Row],[C]],1)))</f>
        <v>3150000</v>
      </c>
      <c r="AF847" s="200">
        <f>IF(OR(NOTA[[#This Row],[QTY]]="",NOTA[[#This Row],[HARGA SATUAN]]="",),"",NOTA[[#This Row],[QTY]]*NOTA[[#This Row],[HARGA SATUAN]])</f>
        <v>9450000</v>
      </c>
      <c r="AG847" s="192">
        <f ca="1">IF(NOTA[ID_H]="","",INDEX(NOTA[TANGGAL],MATCH(,INDIRECT(ADDRESS(ROW(NOTA[TANGGAL]),COLUMN(NOTA[TANGGAL]))&amp;":"&amp;ADDRESS(ROW(),COLUMN(NOTA[TANGGAL]))),-1)))</f>
        <v>45075</v>
      </c>
      <c r="AH847" s="187" t="str">
        <f ca="1">IF(NOTA[[#This Row],[NAMA BARANG]]="","",INDEX(NOTA[SUPPLIER],MATCH(,INDIRECT(ADDRESS(ROW(NOTA[ID]),COLUMN(NOTA[ID]))&amp;":"&amp;ADDRESS(ROW(),COLUMN(NOTA[ID]))),-1)))</f>
        <v>DB STATIONERY</v>
      </c>
      <c r="AI847" s="187" t="str">
        <f ca="1">IF(NOTA[[#This Row],[ID_H]]="","",IF(NOTA[[#This Row],[FAKTUR]]="",INDIRECT(ADDRESS(ROW()-1,COLUMN())),NOTA[[#This Row],[FAKTUR]]))</f>
        <v>UNTANA</v>
      </c>
      <c r="AJ847" s="188" t="str">
        <f ca="1">IF(NOTA[[#This Row],[ID]]="","",COUNTIF(NOTA[ID_H],NOTA[[#This Row],[ID_H]]))</f>
        <v/>
      </c>
      <c r="AK847" s="188">
        <f ca="1">IF(NOTA[[#This Row],[TGL.NOTA]]="",IF(NOTA[[#This Row],[SUPPLIER_H]]="","",AK846),MONTH(NOTA[[#This Row],[TGL.NOTA]]))</f>
        <v>5</v>
      </c>
      <c r="AL847" s="188" t="str">
        <f>LOWER(SUBSTITUTE(SUBSTITUTE(SUBSTITUTE(SUBSTITUTE(SUBSTITUTE(SUBSTITUTE(SUBSTITUTE(SUBSTITUTE(SUBSTITUTE(NOTA[NAMA BARANG]," ",),".",""),"-",""),"(",""),")",""),",",""),"/",""),"""",""),"+",""))</f>
        <v>tpbdbd191un</v>
      </c>
      <c r="AM84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tpbdbd191un31500000.025</v>
      </c>
      <c r="AN84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tpbdbd191un31500000.025</v>
      </c>
      <c r="AO84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188" t="str">
        <f>IF(NOTA[[#This Row],[CONCAT4]]="","",_xlfn.IFNA(MATCH(NOTA[[#This Row],[CONCAT4]],[2]!RAW[CONCAT_H],0),FALSE))</f>
        <v/>
      </c>
      <c r="AQ847" s="188" t="e">
        <f>IF(NOTA[[#This Row],[CONCAT1]]="","",MATCH(NOTA[[#This Row],[CONCAT1]],[3]!db[NB NOTA_C],0)+1)</f>
        <v>#N/A</v>
      </c>
    </row>
    <row r="848" spans="1:43" ht="20.100000000000001" customHeight="1" x14ac:dyDescent="0.25">
      <c r="A84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188" t="str">
        <f>IF(NOTA[[#This Row],[ID_P]]="","",MATCH(NOTA[[#This Row],[ID_P]],[1]!B_MSK[N_ID],0))</f>
        <v/>
      </c>
      <c r="D848" s="188">
        <f ca="1">IF(NOTA[[#This Row],[NAMA BARANG]]="","",INDEX(NOTA[ID],MATCH(,INDIRECT(ADDRESS(ROW(NOTA[ID]),COLUMN(NOTA[ID]))&amp;":"&amp;ADDRESS(ROW(),COLUMN(NOTA[ID]))),-1)))</f>
        <v>145</v>
      </c>
      <c r="E848" s="189"/>
      <c r="F848" s="190"/>
      <c r="G848" s="190"/>
      <c r="H848" s="191"/>
      <c r="I848" s="190"/>
      <c r="J848" s="192"/>
      <c r="K848" s="190"/>
      <c r="L848" s="190" t="s">
        <v>1029</v>
      </c>
      <c r="M848" s="193">
        <v>3</v>
      </c>
      <c r="N848" s="188">
        <v>540</v>
      </c>
      <c r="O848" s="190" t="s">
        <v>160</v>
      </c>
      <c r="P848" s="202">
        <v>15750</v>
      </c>
      <c r="Q848" s="194"/>
      <c r="R848" s="195" t="s">
        <v>216</v>
      </c>
      <c r="S848" s="196">
        <v>2.5000000000000001E-2</v>
      </c>
      <c r="T848" s="197"/>
      <c r="U848" s="198"/>
      <c r="V848" s="199"/>
      <c r="W848" s="198">
        <f>IF(NOTA[[#This Row],[HARGA/ CTN]]="",NOTA[[#This Row],[JUMLAH_H]],NOTA[[#This Row],[HARGA/ CTN]]*IF(NOTA[[#This Row],[C]]="",0,NOTA[[#This Row],[C]]))</f>
        <v>8505000</v>
      </c>
      <c r="X848" s="198">
        <f>IF(NOTA[[#This Row],[JUMLAH]]="","",NOTA[[#This Row],[JUMLAH]]*NOTA[[#This Row],[DISC 1]])</f>
        <v>212625</v>
      </c>
      <c r="Y848" s="198">
        <f>IF(NOTA[[#This Row],[JUMLAH]]="","",(NOTA[[#This Row],[JUMLAH]]-NOTA[[#This Row],[DISC 1-]])*NOTA[[#This Row],[DISC 2]])</f>
        <v>0</v>
      </c>
      <c r="Z848" s="198">
        <f>IF(NOTA[[#This Row],[JUMLAH]]="","",NOTA[[#This Row],[DISC 1-]]+NOTA[[#This Row],[DISC 2-]])</f>
        <v>212625</v>
      </c>
      <c r="AA848" s="198">
        <f>IF(NOTA[[#This Row],[JUMLAH]]="","",NOTA[[#This Row],[JUMLAH]]-NOTA[[#This Row],[DISC]])</f>
        <v>8292375</v>
      </c>
      <c r="AB848" s="198"/>
      <c r="AC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187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848" s="200">
        <f>IF(OR(NOTA[[#This Row],[QTY]]="",NOTA[[#This Row],[HARGA SATUAN]]="",),"",NOTA[[#This Row],[QTY]]*NOTA[[#This Row],[HARGA SATUAN]])</f>
        <v>8505000</v>
      </c>
      <c r="AG848" s="192">
        <f ca="1">IF(NOTA[ID_H]="","",INDEX(NOTA[TANGGAL],MATCH(,INDIRECT(ADDRESS(ROW(NOTA[TANGGAL]),COLUMN(NOTA[TANGGAL]))&amp;":"&amp;ADDRESS(ROW(),COLUMN(NOTA[TANGGAL]))),-1)))</f>
        <v>45075</v>
      </c>
      <c r="AH848" s="187" t="str">
        <f ca="1">IF(NOTA[[#This Row],[NAMA BARANG]]="","",INDEX(NOTA[SUPPLIER],MATCH(,INDIRECT(ADDRESS(ROW(NOTA[ID]),COLUMN(NOTA[ID]))&amp;":"&amp;ADDRESS(ROW(),COLUMN(NOTA[ID]))),-1)))</f>
        <v>DB STATIONERY</v>
      </c>
      <c r="AI848" s="187" t="str">
        <f ca="1">IF(NOTA[[#This Row],[ID_H]]="","",IF(NOTA[[#This Row],[FAKTUR]]="",INDIRECT(ADDRESS(ROW()-1,COLUMN())),NOTA[[#This Row],[FAKTUR]]))</f>
        <v>UNTANA</v>
      </c>
      <c r="AJ848" s="188" t="str">
        <f ca="1">IF(NOTA[[#This Row],[ID]]="","",COUNTIF(NOTA[ID_H],NOTA[[#This Row],[ID_H]]))</f>
        <v/>
      </c>
      <c r="AK848" s="188">
        <f ca="1">IF(NOTA[[#This Row],[TGL.NOTA]]="",IF(NOTA[[#This Row],[SUPPLIER_H]]="","",AK847),MONTH(NOTA[[#This Row],[TGL.NOTA]]))</f>
        <v>5</v>
      </c>
      <c r="AL848" s="188" t="str">
        <f>LOWER(SUBSTITUTE(SUBSTITUTE(SUBSTITUTE(SUBSTITUTE(SUBSTITUTE(SUBSTITUTE(SUBSTITUTE(SUBSTITUTE(SUBSTITUTE(NOTA[NAMA BARANG]," ",),".",""),"-",""),"(",""),")",""),",",""),"/",""),"""",""),"+",""))</f>
        <v>tpbdbd194un</v>
      </c>
      <c r="AM84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tpbdbd194un28350000.025</v>
      </c>
      <c r="AN84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tpbdbd194un28350000.025</v>
      </c>
      <c r="AO84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188" t="str">
        <f>IF(NOTA[[#This Row],[CONCAT4]]="","",_xlfn.IFNA(MATCH(NOTA[[#This Row],[CONCAT4]],[2]!RAW[CONCAT_H],0),FALSE))</f>
        <v/>
      </c>
      <c r="AQ848" s="188" t="e">
        <f>IF(NOTA[[#This Row],[CONCAT1]]="","",MATCH(NOTA[[#This Row],[CONCAT1]],[3]!db[NB NOTA_C],0)+1)</f>
        <v>#N/A</v>
      </c>
    </row>
    <row r="849" spans="1:43" ht="20.100000000000001" customHeight="1" x14ac:dyDescent="0.25">
      <c r="A84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188" t="str">
        <f>IF(NOTA[[#This Row],[ID_P]]="","",MATCH(NOTA[[#This Row],[ID_P]],[1]!B_MSK[N_ID],0))</f>
        <v/>
      </c>
      <c r="D849" s="188">
        <f ca="1">IF(NOTA[[#This Row],[NAMA BARANG]]="","",INDEX(NOTA[ID],MATCH(,INDIRECT(ADDRESS(ROW(NOTA[ID]),COLUMN(NOTA[ID]))&amp;":"&amp;ADDRESS(ROW(),COLUMN(NOTA[ID]))),-1)))</f>
        <v>145</v>
      </c>
      <c r="E849" s="189"/>
      <c r="F849" s="190"/>
      <c r="G849" s="190"/>
      <c r="H849" s="191"/>
      <c r="I849" s="190"/>
      <c r="J849" s="192"/>
      <c r="K849" s="190"/>
      <c r="L849" s="27" t="s">
        <v>1034</v>
      </c>
      <c r="M849" s="193">
        <v>2</v>
      </c>
      <c r="N849" s="188">
        <v>360</v>
      </c>
      <c r="O849" s="27" t="s">
        <v>160</v>
      </c>
      <c r="P849" s="202">
        <v>15750</v>
      </c>
      <c r="Q849" s="194"/>
      <c r="R849" s="42" t="s">
        <v>216</v>
      </c>
      <c r="S849" s="196">
        <v>2.5000000000000001E-2</v>
      </c>
      <c r="T849" s="197"/>
      <c r="U849" s="198"/>
      <c r="V849" s="199"/>
      <c r="W849" s="198">
        <f>IF(NOTA[[#This Row],[HARGA/ CTN]]="",NOTA[[#This Row],[JUMLAH_H]],NOTA[[#This Row],[HARGA/ CTN]]*IF(NOTA[[#This Row],[C]]="",0,NOTA[[#This Row],[C]]))</f>
        <v>5670000</v>
      </c>
      <c r="X849" s="198">
        <f>IF(NOTA[[#This Row],[JUMLAH]]="","",NOTA[[#This Row],[JUMLAH]]*NOTA[[#This Row],[DISC 1]])</f>
        <v>141750</v>
      </c>
      <c r="Y849" s="198">
        <f>IF(NOTA[[#This Row],[JUMLAH]]="","",(NOTA[[#This Row],[JUMLAH]]-NOTA[[#This Row],[DISC 1-]])*NOTA[[#This Row],[DISC 2]])</f>
        <v>0</v>
      </c>
      <c r="Z849" s="198">
        <f>IF(NOTA[[#This Row],[JUMLAH]]="","",NOTA[[#This Row],[DISC 1-]]+NOTA[[#This Row],[DISC 2-]])</f>
        <v>141750</v>
      </c>
      <c r="AA849" s="198">
        <f>IF(NOTA[[#This Row],[JUMLAH]]="","",NOTA[[#This Row],[JUMLAH]]-NOTA[[#This Row],[DISC]])</f>
        <v>5528250</v>
      </c>
      <c r="AB849" s="198"/>
      <c r="AC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187">
        <f>IF(NOTA[[#This Row],[NAMA BARANG]]="","",IF(NOTA[[#This Row],[JUMLAH_H]]="",NOTA[[#This Row],[HARGA/ CTN]],NOTA[[#This Row],[QTY]]*NOTA[[#This Row],[HARGA SATUAN]]/IF(ISNUMBER(NOTA[[#This Row],[C]]),NOTA[[#This Row],[C]],1)))</f>
        <v>2835000</v>
      </c>
      <c r="AF849" s="200">
        <f>IF(OR(NOTA[[#This Row],[QTY]]="",NOTA[[#This Row],[HARGA SATUAN]]="",),"",NOTA[[#This Row],[QTY]]*NOTA[[#This Row],[HARGA SATUAN]])</f>
        <v>5670000</v>
      </c>
      <c r="AG849" s="192">
        <f ca="1">IF(NOTA[ID_H]="","",INDEX(NOTA[TANGGAL],MATCH(,INDIRECT(ADDRESS(ROW(NOTA[TANGGAL]),COLUMN(NOTA[TANGGAL]))&amp;":"&amp;ADDRESS(ROW(),COLUMN(NOTA[TANGGAL]))),-1)))</f>
        <v>45075</v>
      </c>
      <c r="AH849" s="187" t="str">
        <f ca="1">IF(NOTA[[#This Row],[NAMA BARANG]]="","",INDEX(NOTA[SUPPLIER],MATCH(,INDIRECT(ADDRESS(ROW(NOTA[ID]),COLUMN(NOTA[ID]))&amp;":"&amp;ADDRESS(ROW(),COLUMN(NOTA[ID]))),-1)))</f>
        <v>DB STATIONERY</v>
      </c>
      <c r="AI849" s="187" t="str">
        <f ca="1">IF(NOTA[[#This Row],[ID_H]]="","",IF(NOTA[[#This Row],[FAKTUR]]="",INDIRECT(ADDRESS(ROW()-1,COLUMN())),NOTA[[#This Row],[FAKTUR]]))</f>
        <v>UNTANA</v>
      </c>
      <c r="AJ849" s="188" t="str">
        <f ca="1">IF(NOTA[[#This Row],[ID]]="","",COUNTIF(NOTA[ID_H],NOTA[[#This Row],[ID_H]]))</f>
        <v/>
      </c>
      <c r="AK849" s="188">
        <f ca="1">IF(NOTA[[#This Row],[TGL.NOTA]]="",IF(NOTA[[#This Row],[SUPPLIER_H]]="","",AK848),MONTH(NOTA[[#This Row],[TGL.NOTA]]))</f>
        <v>5</v>
      </c>
      <c r="AL849" s="188" t="str">
        <f>LOWER(SUBSTITUTE(SUBSTITUTE(SUBSTITUTE(SUBSTITUTE(SUBSTITUTE(SUBSTITUTE(SUBSTITUTE(SUBSTITUTE(SUBSTITUTE(NOTA[NAMA BARANG]," ",),".",""),"-",""),"(",""),")",""),",",""),"/",""),"""",""),"+",""))</f>
        <v>tpbdxlgbd194c</v>
      </c>
      <c r="AM84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tpbdxlgbd194c28350000.025</v>
      </c>
      <c r="AN84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tpbdxlgbd194c28350000.025</v>
      </c>
      <c r="AO84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188" t="str">
        <f>IF(NOTA[[#This Row],[CONCAT4]]="","",_xlfn.IFNA(MATCH(NOTA[[#This Row],[CONCAT4]],[2]!RAW[CONCAT_H],0),FALSE))</f>
        <v/>
      </c>
      <c r="AQ849" s="188" t="e">
        <f>IF(NOTA[[#This Row],[CONCAT1]]="","",MATCH(NOTA[[#This Row],[CONCAT1]],[3]!db[NB NOTA_C],0)+1)</f>
        <v>#N/A</v>
      </c>
    </row>
    <row r="850" spans="1:43" ht="20.100000000000001" customHeight="1" x14ac:dyDescent="0.25">
      <c r="A85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188" t="str">
        <f>IF(NOTA[[#This Row],[ID_P]]="","",MATCH(NOTA[[#This Row],[ID_P]],[1]!B_MSK[N_ID],0))</f>
        <v/>
      </c>
      <c r="D850" s="188">
        <f ca="1">IF(NOTA[[#This Row],[NAMA BARANG]]="","",INDEX(NOTA[ID],MATCH(,INDIRECT(ADDRESS(ROW(NOTA[ID]),COLUMN(NOTA[ID]))&amp;":"&amp;ADDRESS(ROW(),COLUMN(NOTA[ID]))),-1)))</f>
        <v>145</v>
      </c>
      <c r="E850" s="189"/>
      <c r="F850" s="190"/>
      <c r="G850" s="190"/>
      <c r="H850" s="191"/>
      <c r="I850" s="190"/>
      <c r="J850" s="192"/>
      <c r="K850" s="190"/>
      <c r="L850" s="27" t="s">
        <v>1033</v>
      </c>
      <c r="M850" s="193">
        <v>2</v>
      </c>
      <c r="N850" s="188">
        <v>360</v>
      </c>
      <c r="O850" s="190" t="s">
        <v>160</v>
      </c>
      <c r="P850" s="202">
        <v>11000</v>
      </c>
      <c r="Q850" s="194"/>
      <c r="R850" s="195" t="s">
        <v>216</v>
      </c>
      <c r="S850" s="196">
        <v>2.5000000000000001E-2</v>
      </c>
      <c r="T850" s="197"/>
      <c r="U850" s="198"/>
      <c r="V850" s="199"/>
      <c r="W850" s="198">
        <f>IF(NOTA[[#This Row],[HARGA/ CTN]]="",NOTA[[#This Row],[JUMLAH_H]],NOTA[[#This Row],[HARGA/ CTN]]*IF(NOTA[[#This Row],[C]]="",0,NOTA[[#This Row],[C]]))</f>
        <v>3960000</v>
      </c>
      <c r="X850" s="198">
        <f>IF(NOTA[[#This Row],[JUMLAH]]="","",NOTA[[#This Row],[JUMLAH]]*NOTA[[#This Row],[DISC 1]])</f>
        <v>99000</v>
      </c>
      <c r="Y850" s="198">
        <f>IF(NOTA[[#This Row],[JUMLAH]]="","",(NOTA[[#This Row],[JUMLAH]]-NOTA[[#This Row],[DISC 1-]])*NOTA[[#This Row],[DISC 2]])</f>
        <v>0</v>
      </c>
      <c r="Z850" s="198">
        <f>IF(NOTA[[#This Row],[JUMLAH]]="","",NOTA[[#This Row],[DISC 1-]]+NOTA[[#This Row],[DISC 2-]])</f>
        <v>99000</v>
      </c>
      <c r="AA850" s="198">
        <f>IF(NOTA[[#This Row],[JUMLAH]]="","",NOTA[[#This Row],[JUMLAH]]-NOTA[[#This Row],[DISC]])</f>
        <v>3861000</v>
      </c>
      <c r="AB850" s="198"/>
      <c r="AC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187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850" s="200">
        <f>IF(OR(NOTA[[#This Row],[QTY]]="",NOTA[[#This Row],[HARGA SATUAN]]="",),"",NOTA[[#This Row],[QTY]]*NOTA[[#This Row],[HARGA SATUAN]])</f>
        <v>3960000</v>
      </c>
      <c r="AG850" s="192">
        <f ca="1">IF(NOTA[ID_H]="","",INDEX(NOTA[TANGGAL],MATCH(,INDIRECT(ADDRESS(ROW(NOTA[TANGGAL]),COLUMN(NOTA[TANGGAL]))&amp;":"&amp;ADDRESS(ROW(),COLUMN(NOTA[TANGGAL]))),-1)))</f>
        <v>45075</v>
      </c>
      <c r="AH850" s="187" t="str">
        <f ca="1">IF(NOTA[[#This Row],[NAMA BARANG]]="","",INDEX(NOTA[SUPPLIER],MATCH(,INDIRECT(ADDRESS(ROW(NOTA[ID]),COLUMN(NOTA[ID]))&amp;":"&amp;ADDRESS(ROW(),COLUMN(NOTA[ID]))),-1)))</f>
        <v>DB STATIONERY</v>
      </c>
      <c r="AI850" s="187" t="str">
        <f ca="1">IF(NOTA[[#This Row],[ID_H]]="","",IF(NOTA[[#This Row],[FAKTUR]]="",INDIRECT(ADDRESS(ROW()-1,COLUMN())),NOTA[[#This Row],[FAKTUR]]))</f>
        <v>UNTANA</v>
      </c>
      <c r="AJ850" s="188" t="str">
        <f ca="1">IF(NOTA[[#This Row],[ID]]="","",COUNTIF(NOTA[ID_H],NOTA[[#This Row],[ID_H]]))</f>
        <v/>
      </c>
      <c r="AK850" s="188">
        <f ca="1">IF(NOTA[[#This Row],[TGL.NOTA]]="",IF(NOTA[[#This Row],[SUPPLIER_H]]="","",AK848),MONTH(NOTA[[#This Row],[TGL.NOTA]]))</f>
        <v>5</v>
      </c>
      <c r="AL850" s="188" t="str">
        <f>LOWER(SUBSTITUTE(SUBSTITUTE(SUBSTITUTE(SUBSTITUTE(SUBSTITUTE(SUBSTITUTE(SUBSTITUTE(SUBSTITUTE(SUBSTITUTE(NOTA[NAMA BARANG]," ",),".",""),"-",""),"(",""),")",""),",",""),"/",""),"""",""),"+",""))</f>
        <v>tpensilbdxlgbd33122</v>
      </c>
      <c r="AM85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tpensilbdxlgbd3312219800000.025</v>
      </c>
      <c r="AN85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tpensilbdxlgbd3312219800000.025</v>
      </c>
      <c r="AO85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188" t="str">
        <f>IF(NOTA[[#This Row],[CONCAT4]]="","",_xlfn.IFNA(MATCH(NOTA[[#This Row],[CONCAT4]],[2]!RAW[CONCAT_H],0),FALSE))</f>
        <v/>
      </c>
      <c r="AQ850" s="188">
        <f>IF(NOTA[[#This Row],[CONCAT1]]="","",MATCH(NOTA[[#This Row],[CONCAT1]],[3]!db[NB NOTA_C],0)+1)</f>
        <v>2201</v>
      </c>
    </row>
    <row r="851" spans="1:43" ht="20.100000000000001" customHeight="1" x14ac:dyDescent="0.25">
      <c r="A85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188" t="str">
        <f>IF(NOTA[[#This Row],[ID_P]]="","",MATCH(NOTA[[#This Row],[ID_P]],[1]!B_MSK[N_ID],0))</f>
        <v/>
      </c>
      <c r="D851" s="188">
        <f ca="1">IF(NOTA[[#This Row],[NAMA BARANG]]="","",INDEX(NOTA[ID],MATCH(,INDIRECT(ADDRESS(ROW(NOTA[ID]),COLUMN(NOTA[ID]))&amp;":"&amp;ADDRESS(ROW(),COLUMN(NOTA[ID]))),-1)))</f>
        <v>145</v>
      </c>
      <c r="E851" s="189"/>
      <c r="F851" s="190"/>
      <c r="G851" s="190"/>
      <c r="H851" s="191"/>
      <c r="I851" s="190"/>
      <c r="J851" s="192"/>
      <c r="K851" s="190"/>
      <c r="L851" s="190" t="s">
        <v>1030</v>
      </c>
      <c r="M851" s="193">
        <v>3</v>
      </c>
      <c r="N851" s="188">
        <v>540</v>
      </c>
      <c r="O851" s="190" t="s">
        <v>160</v>
      </c>
      <c r="P851" s="202">
        <v>18500</v>
      </c>
      <c r="Q851" s="194"/>
      <c r="R851" s="195" t="s">
        <v>216</v>
      </c>
      <c r="S851" s="196">
        <v>2.5000000000000001E-2</v>
      </c>
      <c r="T851" s="197"/>
      <c r="U851" s="198"/>
      <c r="V851" s="199"/>
      <c r="W851" s="198">
        <f>IF(NOTA[[#This Row],[HARGA/ CTN]]="",NOTA[[#This Row],[JUMLAH_H]],NOTA[[#This Row],[HARGA/ CTN]]*IF(NOTA[[#This Row],[C]]="",0,NOTA[[#This Row],[C]]))</f>
        <v>9990000</v>
      </c>
      <c r="X851" s="198">
        <f>IF(NOTA[[#This Row],[JUMLAH]]="","",NOTA[[#This Row],[JUMLAH]]*NOTA[[#This Row],[DISC 1]])</f>
        <v>249750</v>
      </c>
      <c r="Y851" s="198">
        <f>IF(NOTA[[#This Row],[JUMLAH]]="","",(NOTA[[#This Row],[JUMLAH]]-NOTA[[#This Row],[DISC 1-]])*NOTA[[#This Row],[DISC 2]])</f>
        <v>0</v>
      </c>
      <c r="Z851" s="198">
        <f>IF(NOTA[[#This Row],[JUMLAH]]="","",NOTA[[#This Row],[DISC 1-]]+NOTA[[#This Row],[DISC 2-]])</f>
        <v>249750</v>
      </c>
      <c r="AA851" s="198">
        <f>IF(NOTA[[#This Row],[JUMLAH]]="","",NOTA[[#This Row],[JUMLAH]]-NOTA[[#This Row],[DISC]])</f>
        <v>9740250</v>
      </c>
      <c r="AB851" s="198"/>
      <c r="AC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187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1" s="200">
        <f>IF(OR(NOTA[[#This Row],[QTY]]="",NOTA[[#This Row],[HARGA SATUAN]]="",),"",NOTA[[#This Row],[QTY]]*NOTA[[#This Row],[HARGA SATUAN]])</f>
        <v>9990000</v>
      </c>
      <c r="AG851" s="192">
        <f ca="1">IF(NOTA[ID_H]="","",INDEX(NOTA[TANGGAL],MATCH(,INDIRECT(ADDRESS(ROW(NOTA[TANGGAL]),COLUMN(NOTA[TANGGAL]))&amp;":"&amp;ADDRESS(ROW(),COLUMN(NOTA[TANGGAL]))),-1)))</f>
        <v>45075</v>
      </c>
      <c r="AH851" s="187" t="str">
        <f ca="1">IF(NOTA[[#This Row],[NAMA BARANG]]="","",INDEX(NOTA[SUPPLIER],MATCH(,INDIRECT(ADDRESS(ROW(NOTA[ID]),COLUMN(NOTA[ID]))&amp;":"&amp;ADDRESS(ROW(),COLUMN(NOTA[ID]))),-1)))</f>
        <v>DB STATIONERY</v>
      </c>
      <c r="AI851" s="187" t="str">
        <f ca="1">IF(NOTA[[#This Row],[ID_H]]="","",IF(NOTA[[#This Row],[FAKTUR]]="",INDIRECT(ADDRESS(ROW()-1,COLUMN())),NOTA[[#This Row],[FAKTUR]]))</f>
        <v>UNTANA</v>
      </c>
      <c r="AJ851" s="188" t="str">
        <f ca="1">IF(NOTA[[#This Row],[ID]]="","",COUNTIF(NOTA[ID_H],NOTA[[#This Row],[ID_H]]))</f>
        <v/>
      </c>
      <c r="AK851" s="188">
        <f ca="1">IF(NOTA[[#This Row],[TGL.NOTA]]="",IF(NOTA[[#This Row],[SUPPLIER_H]]="","",AK850),MONTH(NOTA[[#This Row],[TGL.NOTA]]))</f>
        <v>5</v>
      </c>
      <c r="AL851" s="188" t="str">
        <f>LOWER(SUBSTITUTE(SUBSTITUTE(SUBSTITUTE(SUBSTITUTE(SUBSTITUTE(SUBSTITUTE(SUBSTITUTE(SUBSTITUTE(SUBSTITUTE(NOTA[NAMA BARANG]," ",),".",""),"-",""),"(",""),")",""),",",""),"/",""),"""",""),"+",""))</f>
        <v>tpensilbdbd715</v>
      </c>
      <c r="AM85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tpensilbdbd71533300000.025</v>
      </c>
      <c r="AN85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tpensilbdbd71533300000.025</v>
      </c>
      <c r="AO85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188" t="str">
        <f>IF(NOTA[[#This Row],[CONCAT4]]="","",_xlfn.IFNA(MATCH(NOTA[[#This Row],[CONCAT4]],[2]!RAW[CONCAT_H],0),FALSE))</f>
        <v/>
      </c>
      <c r="AQ851" s="188" t="e">
        <f>IF(NOTA[[#This Row],[CONCAT1]]="","",MATCH(NOTA[[#This Row],[CONCAT1]],[3]!db[NB NOTA_C],0)+1)</f>
        <v>#N/A</v>
      </c>
    </row>
    <row r="852" spans="1:43" ht="20.100000000000001" customHeight="1" x14ac:dyDescent="0.25">
      <c r="A85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188" t="str">
        <f>IF(NOTA[[#This Row],[ID_P]]="","",MATCH(NOTA[[#This Row],[ID_P]],[1]!B_MSK[N_ID],0))</f>
        <v/>
      </c>
      <c r="D852" s="188">
        <f ca="1">IF(NOTA[[#This Row],[NAMA BARANG]]="","",INDEX(NOTA[ID],MATCH(,INDIRECT(ADDRESS(ROW(NOTA[ID]),COLUMN(NOTA[ID]))&amp;":"&amp;ADDRESS(ROW(),COLUMN(NOTA[ID]))),-1)))</f>
        <v>145</v>
      </c>
      <c r="E852" s="189"/>
      <c r="F852" s="190"/>
      <c r="G852" s="190"/>
      <c r="H852" s="191"/>
      <c r="I852" s="190"/>
      <c r="J852" s="192"/>
      <c r="K852" s="190"/>
      <c r="L852" s="190" t="s">
        <v>1031</v>
      </c>
      <c r="M852" s="193">
        <v>3</v>
      </c>
      <c r="N852" s="188">
        <v>540</v>
      </c>
      <c r="O852" s="190" t="s">
        <v>160</v>
      </c>
      <c r="P852" s="202">
        <v>22000</v>
      </c>
      <c r="Q852" s="194"/>
      <c r="R852" s="195" t="s">
        <v>216</v>
      </c>
      <c r="S852" s="196">
        <v>2.5000000000000001E-2</v>
      </c>
      <c r="T852" s="197"/>
      <c r="U852" s="198"/>
      <c r="V852" s="199"/>
      <c r="W852" s="198">
        <f>IF(NOTA[[#This Row],[HARGA/ CTN]]="",NOTA[[#This Row],[JUMLAH_H]],NOTA[[#This Row],[HARGA/ CTN]]*IF(NOTA[[#This Row],[C]]="",0,NOTA[[#This Row],[C]]))</f>
        <v>11880000</v>
      </c>
      <c r="X852" s="198">
        <f>IF(NOTA[[#This Row],[JUMLAH]]="","",NOTA[[#This Row],[JUMLAH]]*NOTA[[#This Row],[DISC 1]])</f>
        <v>297000</v>
      </c>
      <c r="Y852" s="198">
        <f>IF(NOTA[[#This Row],[JUMLAH]]="","",(NOTA[[#This Row],[JUMLAH]]-NOTA[[#This Row],[DISC 1-]])*NOTA[[#This Row],[DISC 2]])</f>
        <v>0</v>
      </c>
      <c r="Z852" s="198">
        <f>IF(NOTA[[#This Row],[JUMLAH]]="","",NOTA[[#This Row],[DISC 1-]]+NOTA[[#This Row],[DISC 2-]])</f>
        <v>297000</v>
      </c>
      <c r="AA852" s="198">
        <f>IF(NOTA[[#This Row],[JUMLAH]]="","",NOTA[[#This Row],[JUMLAH]]-NOTA[[#This Row],[DISC]])</f>
        <v>11583000</v>
      </c>
      <c r="AB852" s="198"/>
      <c r="AC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2" s="200">
        <f>IF(OR(NOTA[[#This Row],[QTY]]="",NOTA[[#This Row],[HARGA SATUAN]]="",),"",NOTA[[#This Row],[QTY]]*NOTA[[#This Row],[HARGA SATUAN]])</f>
        <v>11880000</v>
      </c>
      <c r="AG852" s="192">
        <f ca="1">IF(NOTA[ID_H]="","",INDEX(NOTA[TANGGAL],MATCH(,INDIRECT(ADDRESS(ROW(NOTA[TANGGAL]),COLUMN(NOTA[TANGGAL]))&amp;":"&amp;ADDRESS(ROW(),COLUMN(NOTA[TANGGAL]))),-1)))</f>
        <v>45075</v>
      </c>
      <c r="AH852" s="187" t="str">
        <f ca="1">IF(NOTA[[#This Row],[NAMA BARANG]]="","",INDEX(NOTA[SUPPLIER],MATCH(,INDIRECT(ADDRESS(ROW(NOTA[ID]),COLUMN(NOTA[ID]))&amp;":"&amp;ADDRESS(ROW(),COLUMN(NOTA[ID]))),-1)))</f>
        <v>DB STATIONERY</v>
      </c>
      <c r="AI852" s="187" t="str">
        <f ca="1">IF(NOTA[[#This Row],[ID_H]]="","",IF(NOTA[[#This Row],[FAKTUR]]="",INDIRECT(ADDRESS(ROW()-1,COLUMN())),NOTA[[#This Row],[FAKTUR]]))</f>
        <v>UNTANA</v>
      </c>
      <c r="AJ852" s="188" t="str">
        <f ca="1">IF(NOTA[[#This Row],[ID]]="","",COUNTIF(NOTA[ID_H],NOTA[[#This Row],[ID_H]]))</f>
        <v/>
      </c>
      <c r="AK852" s="188">
        <f ca="1">IF(NOTA[[#This Row],[TGL.NOTA]]="",IF(NOTA[[#This Row],[SUPPLIER_H]]="","",AK851),MONTH(NOTA[[#This Row],[TGL.NOTA]]))</f>
        <v>5</v>
      </c>
      <c r="AL852" s="188" t="str">
        <f>LOWER(SUBSTITUTE(SUBSTITUTE(SUBSTITUTE(SUBSTITUTE(SUBSTITUTE(SUBSTITUTE(SUBSTITUTE(SUBSTITUTE(SUBSTITUTE(NOTA[NAMA BARANG]," ",),".",""),"-",""),"(",""),")",""),",",""),"/",""),"""",""),"+",""))</f>
        <v>tpbdxlgbd806</v>
      </c>
      <c r="AM85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tpbdxlgbd80639600000.025</v>
      </c>
      <c r="AN85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tpbdxlgbd80639600000.025</v>
      </c>
      <c r="AO85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188" t="str">
        <f>IF(NOTA[[#This Row],[CONCAT4]]="","",_xlfn.IFNA(MATCH(NOTA[[#This Row],[CONCAT4]],[2]!RAW[CONCAT_H],0),FALSE))</f>
        <v/>
      </c>
      <c r="AQ852" s="188" t="e">
        <f>IF(NOTA[[#This Row],[CONCAT1]]="","",MATCH(NOTA[[#This Row],[CONCAT1]],[3]!db[NB NOTA_C],0)+1)</f>
        <v>#N/A</v>
      </c>
    </row>
    <row r="853" spans="1:43" ht="20.100000000000001" customHeight="1" x14ac:dyDescent="0.25">
      <c r="A85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188" t="str">
        <f>IF(NOTA[[#This Row],[ID_P]]="","",MATCH(NOTA[[#This Row],[ID_P]],[1]!B_MSK[N_ID],0))</f>
        <v/>
      </c>
      <c r="D853" s="188">
        <f ca="1">IF(NOTA[[#This Row],[NAMA BARANG]]="","",INDEX(NOTA[ID],MATCH(,INDIRECT(ADDRESS(ROW(NOTA[ID]),COLUMN(NOTA[ID]))&amp;":"&amp;ADDRESS(ROW(),COLUMN(NOTA[ID]))),-1)))</f>
        <v>145</v>
      </c>
      <c r="E853" s="189"/>
      <c r="F853" s="190"/>
      <c r="G853" s="190"/>
      <c r="H853" s="191"/>
      <c r="I853" s="190"/>
      <c r="J853" s="192"/>
      <c r="K853" s="190"/>
      <c r="L853" s="190" t="s">
        <v>1032</v>
      </c>
      <c r="M853" s="193">
        <v>3</v>
      </c>
      <c r="N853" s="188">
        <v>540</v>
      </c>
      <c r="O853" s="190" t="s">
        <v>160</v>
      </c>
      <c r="P853" s="202">
        <v>18500</v>
      </c>
      <c r="Q853" s="194"/>
      <c r="R853" s="195" t="s">
        <v>216</v>
      </c>
      <c r="S853" s="196">
        <v>2.5000000000000001E-2</v>
      </c>
      <c r="T853" s="197"/>
      <c r="U853" s="198"/>
      <c r="V853" s="199"/>
      <c r="W853" s="198">
        <f>IF(NOTA[[#This Row],[HARGA/ CTN]]="",NOTA[[#This Row],[JUMLAH_H]],NOTA[[#This Row],[HARGA/ CTN]]*IF(NOTA[[#This Row],[C]]="",0,NOTA[[#This Row],[C]]))</f>
        <v>9990000</v>
      </c>
      <c r="X853" s="198">
        <f>IF(NOTA[[#This Row],[JUMLAH]]="","",NOTA[[#This Row],[JUMLAH]]*NOTA[[#This Row],[DISC 1]])</f>
        <v>249750</v>
      </c>
      <c r="Y853" s="198">
        <f>IF(NOTA[[#This Row],[JUMLAH]]="","",(NOTA[[#This Row],[JUMLAH]]-NOTA[[#This Row],[DISC 1-]])*NOTA[[#This Row],[DISC 2]])</f>
        <v>0</v>
      </c>
      <c r="Z853" s="198">
        <f>IF(NOTA[[#This Row],[JUMLAH]]="","",NOTA[[#This Row],[DISC 1-]]+NOTA[[#This Row],[DISC 2-]])</f>
        <v>249750</v>
      </c>
      <c r="AA853" s="198">
        <f>IF(NOTA[[#This Row],[JUMLAH]]="","",NOTA[[#This Row],[JUMLAH]]-NOTA[[#This Row],[DISC]])</f>
        <v>9740250</v>
      </c>
      <c r="AB853" s="198"/>
      <c r="AC85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1641375</v>
      </c>
      <c r="AD85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94361625</v>
      </c>
      <c r="AE853" s="187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200">
        <f>IF(OR(NOTA[[#This Row],[QTY]]="",NOTA[[#This Row],[HARGA SATUAN]]="",),"",NOTA[[#This Row],[QTY]]*NOTA[[#This Row],[HARGA SATUAN]])</f>
        <v>9990000</v>
      </c>
      <c r="AG853" s="192">
        <f ca="1">IF(NOTA[ID_H]="","",INDEX(NOTA[TANGGAL],MATCH(,INDIRECT(ADDRESS(ROW(NOTA[TANGGAL]),COLUMN(NOTA[TANGGAL]))&amp;":"&amp;ADDRESS(ROW(),COLUMN(NOTA[TANGGAL]))),-1)))</f>
        <v>45075</v>
      </c>
      <c r="AH853" s="187" t="str">
        <f ca="1">IF(NOTA[[#This Row],[NAMA BARANG]]="","",INDEX(NOTA[SUPPLIER],MATCH(,INDIRECT(ADDRESS(ROW(NOTA[ID]),COLUMN(NOTA[ID]))&amp;":"&amp;ADDRESS(ROW(),COLUMN(NOTA[ID]))),-1)))</f>
        <v>DB STATIONERY</v>
      </c>
      <c r="AI853" s="187" t="str">
        <f ca="1">IF(NOTA[[#This Row],[ID_H]]="","",IF(NOTA[[#This Row],[FAKTUR]]="",INDIRECT(ADDRESS(ROW()-1,COLUMN())),NOTA[[#This Row],[FAKTUR]]))</f>
        <v>UNTANA</v>
      </c>
      <c r="AJ853" s="188" t="str">
        <f ca="1">IF(NOTA[[#This Row],[ID]]="","",COUNTIF(NOTA[ID_H],NOTA[[#This Row],[ID_H]]))</f>
        <v/>
      </c>
      <c r="AK853" s="188">
        <f ca="1">IF(NOTA[[#This Row],[TGL.NOTA]]="",IF(NOTA[[#This Row],[SUPPLIER_H]]="","",AK852),MONTH(NOTA[[#This Row],[TGL.NOTA]]))</f>
        <v>5</v>
      </c>
      <c r="AL853" s="188" t="str">
        <f>LOWER(SUBSTITUTE(SUBSTITUTE(SUBSTITUTE(SUBSTITUTE(SUBSTITUTE(SUBSTITUTE(SUBSTITUTE(SUBSTITUTE(SUBSTITUTE(NOTA[NAMA BARANG]," ",),".",""),"-",""),"(",""),")",""),",",""),"/",""),"""",""),"+",""))</f>
        <v>tppensilxlgbd828</v>
      </c>
      <c r="AM85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tppensilxlgbd82833300000.025</v>
      </c>
      <c r="AN85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tppensilxlgbd82833300000.025</v>
      </c>
      <c r="AO85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188" t="str">
        <f>IF(NOTA[[#This Row],[CONCAT4]]="","",_xlfn.IFNA(MATCH(NOTA[[#This Row],[CONCAT4]],[2]!RAW[CONCAT_H],0),FALSE))</f>
        <v/>
      </c>
      <c r="AQ853" s="188" t="e">
        <f>IF(NOTA[[#This Row],[CONCAT1]]="","",MATCH(NOTA[[#This Row],[CONCAT1]],[3]!db[NB NOTA_C],0)+1)</f>
        <v>#N/A</v>
      </c>
    </row>
    <row r="854" spans="1:43" ht="20.100000000000001" customHeight="1" x14ac:dyDescent="0.25">
      <c r="A85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188" t="str">
        <f>IF(NOTA[[#This Row],[ID_P]]="","",MATCH(NOTA[[#This Row],[ID_P]],[1]!B_MSK[N_ID],0))</f>
        <v/>
      </c>
      <c r="D854" s="188" t="str">
        <f ca="1">IF(NOTA[[#This Row],[NAMA BARANG]]="","",INDEX(NOTA[ID],MATCH(,INDIRECT(ADDRESS(ROW(NOTA[ID]),COLUMN(NOTA[ID]))&amp;":"&amp;ADDRESS(ROW(),COLUMN(NOTA[ID]))),-1)))</f>
        <v/>
      </c>
      <c r="E854" s="189"/>
      <c r="F854" s="190"/>
      <c r="G854" s="190"/>
      <c r="H854" s="191"/>
      <c r="I854" s="190"/>
      <c r="J854" s="192"/>
      <c r="K854" s="190"/>
      <c r="L854" s="190"/>
      <c r="M854" s="193"/>
      <c r="N854" s="188"/>
      <c r="O854" s="190"/>
      <c r="P854" s="187"/>
      <c r="Q854" s="194"/>
      <c r="R854" s="195"/>
      <c r="S854" s="196"/>
      <c r="T854" s="197"/>
      <c r="U854" s="198"/>
      <c r="V854" s="199"/>
      <c r="W854" s="198" t="str">
        <f>IF(NOTA[[#This Row],[HARGA/ CTN]]="",NOTA[[#This Row],[JUMLAH_H]],NOTA[[#This Row],[HARGA/ CTN]]*IF(NOTA[[#This Row],[C]]="",0,NOTA[[#This Row],[C]]))</f>
        <v/>
      </c>
      <c r="X854" s="198" t="str">
        <f>IF(NOTA[[#This Row],[JUMLAH]]="","",NOTA[[#This Row],[JUMLAH]]*NOTA[[#This Row],[DISC 1]])</f>
        <v/>
      </c>
      <c r="Y854" s="198" t="str">
        <f>IF(NOTA[[#This Row],[JUMLAH]]="","",(NOTA[[#This Row],[JUMLAH]]-NOTA[[#This Row],[DISC 1-]])*NOTA[[#This Row],[DISC 2]])</f>
        <v/>
      </c>
      <c r="Z854" s="198" t="str">
        <f>IF(NOTA[[#This Row],[JUMLAH]]="","",NOTA[[#This Row],[DISC 1-]]+NOTA[[#This Row],[DISC 2-]])</f>
        <v/>
      </c>
      <c r="AA854" s="198" t="str">
        <f>IF(NOTA[[#This Row],[JUMLAH]]="","",NOTA[[#This Row],[JUMLAH]]-NOTA[[#This Row],[DISC]])</f>
        <v/>
      </c>
      <c r="AB854" s="198"/>
      <c r="AC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200" t="str">
        <f>IF(OR(NOTA[[#This Row],[QTY]]="",NOTA[[#This Row],[HARGA SATUAN]]="",),"",NOTA[[#This Row],[QTY]]*NOTA[[#This Row],[HARGA SATUAN]])</f>
        <v/>
      </c>
      <c r="AG854" s="192" t="str">
        <f ca="1">IF(NOTA[ID_H]="","",INDEX(NOTA[TANGGAL],MATCH(,INDIRECT(ADDRESS(ROW(NOTA[TANGGAL]),COLUMN(NOTA[TANGGAL]))&amp;":"&amp;ADDRESS(ROW(),COLUMN(NOTA[TANGGAL]))),-1)))</f>
        <v/>
      </c>
      <c r="AH854" s="187" t="str">
        <f ca="1">IF(NOTA[[#This Row],[NAMA BARANG]]="","",INDEX(NOTA[SUPPLIER],MATCH(,INDIRECT(ADDRESS(ROW(NOTA[ID]),COLUMN(NOTA[ID]))&amp;":"&amp;ADDRESS(ROW(),COLUMN(NOTA[ID]))),-1)))</f>
        <v/>
      </c>
      <c r="AI854" s="187" t="str">
        <f ca="1">IF(NOTA[[#This Row],[ID_H]]="","",IF(NOTA[[#This Row],[FAKTUR]]="",INDIRECT(ADDRESS(ROW()-1,COLUMN())),NOTA[[#This Row],[FAKTUR]]))</f>
        <v/>
      </c>
      <c r="AJ854" s="188" t="str">
        <f ca="1">IF(NOTA[[#This Row],[ID]]="","",COUNTIF(NOTA[ID_H],NOTA[[#This Row],[ID_H]]))</f>
        <v/>
      </c>
      <c r="AK854" s="188" t="str">
        <f ca="1">IF(NOTA[[#This Row],[TGL.NOTA]]="",IF(NOTA[[#This Row],[SUPPLIER_H]]="","",AK853),MONTH(NOTA[[#This Row],[TGL.NOTA]]))</f>
        <v/>
      </c>
      <c r="AL854" s="188" t="str">
        <f>LOWER(SUBSTITUTE(SUBSTITUTE(SUBSTITUTE(SUBSTITUTE(SUBSTITUTE(SUBSTITUTE(SUBSTITUTE(SUBSTITUTE(SUBSTITUTE(NOTA[NAMA BARANG]," ",),".",""),"-",""),"(",""),")",""),",",""),"/",""),"""",""),"+",""))</f>
        <v/>
      </c>
      <c r="AM85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188" t="str">
        <f>IF(NOTA[[#This Row],[CONCAT4]]="","",_xlfn.IFNA(MATCH(NOTA[[#This Row],[CONCAT4]],[2]!RAW[CONCAT_H],0),FALSE))</f>
        <v/>
      </c>
      <c r="AQ854" s="188" t="str">
        <f>IF(NOTA[[#This Row],[CONCAT1]]="","",MATCH(NOTA[[#This Row],[CONCAT1]],[3]!db[NB NOTA_C],0)+1)</f>
        <v/>
      </c>
    </row>
    <row r="855" spans="1:43" ht="20.100000000000001" customHeight="1" x14ac:dyDescent="0.25">
      <c r="A855" s="187">
        <f ca="1">IF(INDIRECT(ADDRESS(ROW()-1,COLUMN(NOTA[[#Headers],[ID]])))="ID",1,IF(NOTA[[#This Row],[FAKTUR]]="","",COUNT(INDIRECT(ADDRESS(ROW(NOTA[ID]),COLUMN(NOTA[ID]))&amp;":"&amp;ADDRESS(ROW()-1,COLUMN(NOTA[ID]))))+1))</f>
        <v>146</v>
      </c>
      <c r="B85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DBS_2905_423-5</v>
      </c>
      <c r="C855" s="188" t="e">
        <f ca="1">IF(NOTA[[#This Row],[ID_P]]="","",MATCH(NOTA[[#This Row],[ID_P]],[1]!B_MSK[N_ID],0))</f>
        <v>#REF!</v>
      </c>
      <c r="D855" s="188">
        <f ca="1">IF(NOTA[[#This Row],[NAMA BARANG]]="","",INDEX(NOTA[ID],MATCH(,INDIRECT(ADDRESS(ROW(NOTA[ID]),COLUMN(NOTA[ID]))&amp;":"&amp;ADDRESS(ROW(),COLUMN(NOTA[ID]))),-1)))</f>
        <v>146</v>
      </c>
      <c r="E855" s="189"/>
      <c r="F855" s="27" t="s">
        <v>168</v>
      </c>
      <c r="G855" s="27" t="s">
        <v>112</v>
      </c>
      <c r="H855" s="54" t="s">
        <v>1035</v>
      </c>
      <c r="I855" s="190"/>
      <c r="J855" s="192">
        <v>45072</v>
      </c>
      <c r="K855" s="190"/>
      <c r="L855" s="27" t="s">
        <v>1036</v>
      </c>
      <c r="M855" s="193">
        <v>10</v>
      </c>
      <c r="N855" s="188">
        <v>1200</v>
      </c>
      <c r="O855" s="27" t="s">
        <v>125</v>
      </c>
      <c r="P855" s="187">
        <v>16250</v>
      </c>
      <c r="Q855" s="194"/>
      <c r="R855" s="42" t="s">
        <v>173</v>
      </c>
      <c r="S855" s="196"/>
      <c r="T855" s="197"/>
      <c r="U855" s="198"/>
      <c r="V855" s="199"/>
      <c r="W855" s="198">
        <f>IF(NOTA[[#This Row],[HARGA/ CTN]]="",NOTA[[#This Row],[JUMLAH_H]],NOTA[[#This Row],[HARGA/ CTN]]*IF(NOTA[[#This Row],[C]]="",0,NOTA[[#This Row],[C]]))</f>
        <v>19500000</v>
      </c>
      <c r="X855" s="198">
        <f>IF(NOTA[[#This Row],[JUMLAH]]="","",NOTA[[#This Row],[JUMLAH]]*NOTA[[#This Row],[DISC 1]])</f>
        <v>0</v>
      </c>
      <c r="Y855" s="198">
        <f>IF(NOTA[[#This Row],[JUMLAH]]="","",(NOTA[[#This Row],[JUMLAH]]-NOTA[[#This Row],[DISC 1-]])*NOTA[[#This Row],[DISC 2]])</f>
        <v>0</v>
      </c>
      <c r="Z855" s="198">
        <f>IF(NOTA[[#This Row],[JUMLAH]]="","",NOTA[[#This Row],[DISC 1-]]+NOTA[[#This Row],[DISC 2-]])</f>
        <v>0</v>
      </c>
      <c r="AA855" s="198">
        <f>IF(NOTA[[#This Row],[JUMLAH]]="","",NOTA[[#This Row],[JUMLAH]]-NOTA[[#This Row],[DISC]])</f>
        <v>19500000</v>
      </c>
      <c r="AB855" s="198"/>
      <c r="AC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187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855" s="200">
        <f>IF(OR(NOTA[[#This Row],[QTY]]="",NOTA[[#This Row],[HARGA SATUAN]]="",),"",NOTA[[#This Row],[QTY]]*NOTA[[#This Row],[HARGA SATUAN]])</f>
        <v>19500000</v>
      </c>
      <c r="AG855" s="192">
        <f ca="1">IF(NOTA[ID_H]="","",INDEX(NOTA[TANGGAL],MATCH(,INDIRECT(ADDRESS(ROW(NOTA[TANGGAL]),COLUMN(NOTA[TANGGAL]))&amp;":"&amp;ADDRESS(ROW(),COLUMN(NOTA[TANGGAL]))),-1)))</f>
        <v>45075</v>
      </c>
      <c r="AH855" s="187" t="str">
        <f ca="1">IF(NOTA[[#This Row],[NAMA BARANG]]="","",INDEX(NOTA[SUPPLIER],MATCH(,INDIRECT(ADDRESS(ROW(NOTA[ID]),COLUMN(NOTA[ID]))&amp;":"&amp;ADDRESS(ROW(),COLUMN(NOTA[ID]))),-1)))</f>
        <v>DB STATIONERY</v>
      </c>
      <c r="AI855" s="187" t="str">
        <f ca="1">IF(NOTA[[#This Row],[ID_H]]="","",IF(NOTA[[#This Row],[FAKTUR]]="",INDIRECT(ADDRESS(ROW()-1,COLUMN())),NOTA[[#This Row],[FAKTUR]]))</f>
        <v>UNTANA</v>
      </c>
      <c r="AJ855" s="188">
        <f ca="1">IF(NOTA[[#This Row],[ID]]="","",COUNTIF(NOTA[ID_H],NOTA[[#This Row],[ID_H]]))</f>
        <v>5</v>
      </c>
      <c r="AK855" s="188">
        <f>IF(NOTA[[#This Row],[TGL.NOTA]]="",IF(NOTA[[#This Row],[SUPPLIER_H]]="","",AK854),MONTH(NOTA[[#This Row],[TGL.NOTA]]))</f>
        <v>5</v>
      </c>
      <c r="AL855" s="188" t="str">
        <f>LOWER(SUBSTITUTE(SUBSTITUTE(SUBSTITUTE(SUBSTITUTE(SUBSTITUTE(SUBSTITUTE(SUBSTITUTE(SUBSTITUTE(SUBSTITUTE(NOTA[NAMA BARANG]," ",),".",""),"-",""),"(",""),")",""),",",""),"/",""),"""",""),"+",""))</f>
        <v>gelinkpenjl212isi</v>
      </c>
      <c r="AM85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gelinkpenjl212isi1950000</v>
      </c>
      <c r="AN85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gelinkpenjl212isi1950000</v>
      </c>
      <c r="AO855" s="18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STATIONERYUNTANAJUE664/2345072gelinkpenjl212isi</v>
      </c>
      <c r="AP855" s="188" t="e">
        <f>IF(NOTA[[#This Row],[CONCAT4]]="","",_xlfn.IFNA(MATCH(NOTA[[#This Row],[CONCAT4]],[2]!RAW[CONCAT_H],0),FALSE))</f>
        <v>#REF!</v>
      </c>
      <c r="AQ855" s="188" t="e">
        <f>IF(NOTA[[#This Row],[CONCAT1]]="","",MATCH(NOTA[[#This Row],[CONCAT1]],[3]!db[NB NOTA_C],0)+1)</f>
        <v>#N/A</v>
      </c>
    </row>
    <row r="856" spans="1:43" ht="20.100000000000001" customHeight="1" x14ac:dyDescent="0.25">
      <c r="A85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188" t="str">
        <f>IF(NOTA[[#This Row],[ID_P]]="","",MATCH(NOTA[[#This Row],[ID_P]],[1]!B_MSK[N_ID],0))</f>
        <v/>
      </c>
      <c r="D856" s="188">
        <f ca="1">IF(NOTA[[#This Row],[NAMA BARANG]]="","",INDEX(NOTA[ID],MATCH(,INDIRECT(ADDRESS(ROW(NOTA[ID]),COLUMN(NOTA[ID]))&amp;":"&amp;ADDRESS(ROW(),COLUMN(NOTA[ID]))),-1)))</f>
        <v>146</v>
      </c>
      <c r="E856" s="189"/>
      <c r="F856" s="190"/>
      <c r="G856" s="190"/>
      <c r="H856" s="191"/>
      <c r="I856" s="190"/>
      <c r="J856" s="192"/>
      <c r="K856" s="190"/>
      <c r="L856" s="27" t="s">
        <v>1037</v>
      </c>
      <c r="M856" s="193">
        <v>3</v>
      </c>
      <c r="N856" s="188">
        <v>540</v>
      </c>
      <c r="O856" s="27" t="s">
        <v>160</v>
      </c>
      <c r="P856" s="187">
        <v>18500</v>
      </c>
      <c r="Q856" s="194"/>
      <c r="R856" s="42" t="s">
        <v>216</v>
      </c>
      <c r="S856" s="196"/>
      <c r="T856" s="197"/>
      <c r="U856" s="198"/>
      <c r="V856" s="199"/>
      <c r="W856" s="198">
        <f>IF(NOTA[[#This Row],[HARGA/ CTN]]="",NOTA[[#This Row],[JUMLAH_H]],NOTA[[#This Row],[HARGA/ CTN]]*IF(NOTA[[#This Row],[C]]="",0,NOTA[[#This Row],[C]]))</f>
        <v>9990000</v>
      </c>
      <c r="X856" s="198">
        <f>IF(NOTA[[#This Row],[JUMLAH]]="","",NOTA[[#This Row],[JUMLAH]]*NOTA[[#This Row],[DISC 1]])</f>
        <v>0</v>
      </c>
      <c r="Y856" s="198">
        <f>IF(NOTA[[#This Row],[JUMLAH]]="","",(NOTA[[#This Row],[JUMLAH]]-NOTA[[#This Row],[DISC 1-]])*NOTA[[#This Row],[DISC 2]])</f>
        <v>0</v>
      </c>
      <c r="Z856" s="198">
        <f>IF(NOTA[[#This Row],[JUMLAH]]="","",NOTA[[#This Row],[DISC 1-]]+NOTA[[#This Row],[DISC 2-]])</f>
        <v>0</v>
      </c>
      <c r="AA856" s="198">
        <f>IF(NOTA[[#This Row],[JUMLAH]]="","",NOTA[[#This Row],[JUMLAH]]-NOTA[[#This Row],[DISC]])</f>
        <v>9990000</v>
      </c>
      <c r="AB856" s="198"/>
      <c r="AC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187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6" s="200">
        <f>IF(OR(NOTA[[#This Row],[QTY]]="",NOTA[[#This Row],[HARGA SATUAN]]="",),"",NOTA[[#This Row],[QTY]]*NOTA[[#This Row],[HARGA SATUAN]])</f>
        <v>9990000</v>
      </c>
      <c r="AG856" s="192">
        <f ca="1">IF(NOTA[ID_H]="","",INDEX(NOTA[TANGGAL],MATCH(,INDIRECT(ADDRESS(ROW(NOTA[TANGGAL]),COLUMN(NOTA[TANGGAL]))&amp;":"&amp;ADDRESS(ROW(),COLUMN(NOTA[TANGGAL]))),-1)))</f>
        <v>45075</v>
      </c>
      <c r="AH856" s="187" t="str">
        <f ca="1">IF(NOTA[[#This Row],[NAMA BARANG]]="","",INDEX(NOTA[SUPPLIER],MATCH(,INDIRECT(ADDRESS(ROW(NOTA[ID]),COLUMN(NOTA[ID]))&amp;":"&amp;ADDRESS(ROW(),COLUMN(NOTA[ID]))),-1)))</f>
        <v>DB STATIONERY</v>
      </c>
      <c r="AI856" s="187" t="str">
        <f ca="1">IF(NOTA[[#This Row],[ID_H]]="","",IF(NOTA[[#This Row],[FAKTUR]]="",INDIRECT(ADDRESS(ROW()-1,COLUMN())),NOTA[[#This Row],[FAKTUR]]))</f>
        <v>UNTANA</v>
      </c>
      <c r="AJ856" s="188" t="str">
        <f ca="1">IF(NOTA[[#This Row],[ID]]="","",COUNTIF(NOTA[ID_H],NOTA[[#This Row],[ID_H]]))</f>
        <v/>
      </c>
      <c r="AK856" s="188">
        <f ca="1">IF(NOTA[[#This Row],[TGL.NOTA]]="",IF(NOTA[[#This Row],[SUPPLIER_H]]="","",AK855),MONTH(NOTA[[#This Row],[TGL.NOTA]]))</f>
        <v>5</v>
      </c>
      <c r="AL856" s="188" t="str">
        <f>LOWER(SUBSTITUTE(SUBSTITUTE(SUBSTITUTE(SUBSTITUTE(SUBSTITUTE(SUBSTITUTE(SUBSTITUTE(SUBSTITUTE(SUBSTITUTE(NOTA[NAMA BARANG]," ",),".",""),"-",""),"(",""),")",""),",",""),"/",""),"""",""),"+",""))</f>
        <v>tpensilbdxlgbd691</v>
      </c>
      <c r="AM85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tpensilbdxlgbd6913330000</v>
      </c>
      <c r="AN85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tpensilbdxlgbd6913330000</v>
      </c>
      <c r="AO85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188" t="str">
        <f>IF(NOTA[[#This Row],[CONCAT4]]="","",_xlfn.IFNA(MATCH(NOTA[[#This Row],[CONCAT4]],[2]!RAW[CONCAT_H],0),FALSE))</f>
        <v/>
      </c>
      <c r="AQ856" s="188" t="e">
        <f>IF(NOTA[[#This Row],[CONCAT1]]="","",MATCH(NOTA[[#This Row],[CONCAT1]],[3]!db[NB NOTA_C],0)+1)</f>
        <v>#N/A</v>
      </c>
    </row>
    <row r="857" spans="1:43" ht="20.100000000000001" customHeight="1" x14ac:dyDescent="0.25">
      <c r="A85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188" t="str">
        <f>IF(NOTA[[#This Row],[ID_P]]="","",MATCH(NOTA[[#This Row],[ID_P]],[1]!B_MSK[N_ID],0))</f>
        <v/>
      </c>
      <c r="D857" s="188">
        <f ca="1">IF(NOTA[[#This Row],[NAMA BARANG]]="","",INDEX(NOTA[ID],MATCH(,INDIRECT(ADDRESS(ROW(NOTA[ID]),COLUMN(NOTA[ID]))&amp;":"&amp;ADDRESS(ROW(),COLUMN(NOTA[ID]))),-1)))</f>
        <v>146</v>
      </c>
      <c r="E857" s="189"/>
      <c r="F857" s="190"/>
      <c r="G857" s="190"/>
      <c r="H857" s="191"/>
      <c r="I857" s="190"/>
      <c r="J857" s="192"/>
      <c r="K857" s="190"/>
      <c r="L857" s="27" t="s">
        <v>1038</v>
      </c>
      <c r="M857" s="193">
        <v>3</v>
      </c>
      <c r="N857" s="188">
        <v>540</v>
      </c>
      <c r="O857" s="27" t="s">
        <v>160</v>
      </c>
      <c r="P857" s="187">
        <v>22000</v>
      </c>
      <c r="Q857" s="194"/>
      <c r="R857" s="42" t="s">
        <v>216</v>
      </c>
      <c r="S857" s="196"/>
      <c r="T857" s="197"/>
      <c r="U857" s="198"/>
      <c r="V857" s="199"/>
      <c r="W857" s="198">
        <f>IF(NOTA[[#This Row],[HARGA/ CTN]]="",NOTA[[#This Row],[JUMLAH_H]],NOTA[[#This Row],[HARGA/ CTN]]*IF(NOTA[[#This Row],[C]]="",0,NOTA[[#This Row],[C]]))</f>
        <v>11880000</v>
      </c>
      <c r="X857" s="198">
        <f>IF(NOTA[[#This Row],[JUMLAH]]="","",NOTA[[#This Row],[JUMLAH]]*NOTA[[#This Row],[DISC 1]])</f>
        <v>0</v>
      </c>
      <c r="Y857" s="198">
        <f>IF(NOTA[[#This Row],[JUMLAH]]="","",(NOTA[[#This Row],[JUMLAH]]-NOTA[[#This Row],[DISC 1-]])*NOTA[[#This Row],[DISC 2]])</f>
        <v>0</v>
      </c>
      <c r="Z857" s="198">
        <f>IF(NOTA[[#This Row],[JUMLAH]]="","",NOTA[[#This Row],[DISC 1-]]+NOTA[[#This Row],[DISC 2-]])</f>
        <v>0</v>
      </c>
      <c r="AA857" s="198">
        <f>IF(NOTA[[#This Row],[JUMLAH]]="","",NOTA[[#This Row],[JUMLAH]]-NOTA[[#This Row],[DISC]])</f>
        <v>11880000</v>
      </c>
      <c r="AB857" s="198"/>
      <c r="AC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200">
        <f>IF(OR(NOTA[[#This Row],[QTY]]="",NOTA[[#This Row],[HARGA SATUAN]]="",),"",NOTA[[#This Row],[QTY]]*NOTA[[#This Row],[HARGA SATUAN]])</f>
        <v>11880000</v>
      </c>
      <c r="AG857" s="192">
        <f ca="1">IF(NOTA[ID_H]="","",INDEX(NOTA[TANGGAL],MATCH(,INDIRECT(ADDRESS(ROW(NOTA[TANGGAL]),COLUMN(NOTA[TANGGAL]))&amp;":"&amp;ADDRESS(ROW(),COLUMN(NOTA[TANGGAL]))),-1)))</f>
        <v>45075</v>
      </c>
      <c r="AH857" s="187" t="str">
        <f ca="1">IF(NOTA[[#This Row],[NAMA BARANG]]="","",INDEX(NOTA[SUPPLIER],MATCH(,INDIRECT(ADDRESS(ROW(NOTA[ID]),COLUMN(NOTA[ID]))&amp;":"&amp;ADDRESS(ROW(),COLUMN(NOTA[ID]))),-1)))</f>
        <v>DB STATIONERY</v>
      </c>
      <c r="AI857" s="187" t="str">
        <f ca="1">IF(NOTA[[#This Row],[ID_H]]="","",IF(NOTA[[#This Row],[FAKTUR]]="",INDIRECT(ADDRESS(ROW()-1,COLUMN())),NOTA[[#This Row],[FAKTUR]]))</f>
        <v>UNTANA</v>
      </c>
      <c r="AJ857" s="188" t="str">
        <f ca="1">IF(NOTA[[#This Row],[ID]]="","",COUNTIF(NOTA[ID_H],NOTA[[#This Row],[ID_H]]))</f>
        <v/>
      </c>
      <c r="AK857" s="188">
        <f ca="1">IF(NOTA[[#This Row],[TGL.NOTA]]="",IF(NOTA[[#This Row],[SUPPLIER_H]]="","",AK856),MONTH(NOTA[[#This Row],[TGL.NOTA]]))</f>
        <v>5</v>
      </c>
      <c r="AL857" s="188" t="str">
        <f>LOWER(SUBSTITUTE(SUBSTITUTE(SUBSTITUTE(SUBSTITUTE(SUBSTITUTE(SUBSTITUTE(SUBSTITUTE(SUBSTITUTE(SUBSTITUTE(NOTA[NAMA BARANG]," ",),".",""),"-",""),"(",""),")",""),",",""),"/",""),"""",""),"+",""))</f>
        <v>tppensilbdxlgbd811</v>
      </c>
      <c r="AM85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tppensilbdxlgbd8113960000</v>
      </c>
      <c r="AN85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tppensilbdxlgbd8113960000</v>
      </c>
      <c r="AO85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188" t="str">
        <f>IF(NOTA[[#This Row],[CONCAT4]]="","",_xlfn.IFNA(MATCH(NOTA[[#This Row],[CONCAT4]],[2]!RAW[CONCAT_H],0),FALSE))</f>
        <v/>
      </c>
      <c r="AQ857" s="188" t="e">
        <f>IF(NOTA[[#This Row],[CONCAT1]]="","",MATCH(NOTA[[#This Row],[CONCAT1]],[3]!db[NB NOTA_C],0)+1)</f>
        <v>#N/A</v>
      </c>
    </row>
    <row r="858" spans="1:43" ht="20.100000000000001" customHeight="1" x14ac:dyDescent="0.25">
      <c r="A858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188" t="str">
        <f>IF(NOTA[[#This Row],[ID_P]]="","",MATCH(NOTA[[#This Row],[ID_P]],[1]!B_MSK[N_ID],0))</f>
        <v/>
      </c>
      <c r="D858" s="188">
        <f ca="1">IF(NOTA[[#This Row],[NAMA BARANG]]="","",INDEX(NOTA[ID],MATCH(,INDIRECT(ADDRESS(ROW(NOTA[ID]),COLUMN(NOTA[ID]))&amp;":"&amp;ADDRESS(ROW(),COLUMN(NOTA[ID]))),-1)))</f>
        <v>146</v>
      </c>
      <c r="E858" s="189"/>
      <c r="F858" s="190"/>
      <c r="G858" s="190"/>
      <c r="H858" s="191"/>
      <c r="I858" s="190"/>
      <c r="J858" s="192"/>
      <c r="K858" s="190"/>
      <c r="L858" s="27" t="s">
        <v>1039</v>
      </c>
      <c r="M858" s="193">
        <v>3</v>
      </c>
      <c r="N858" s="188">
        <v>540</v>
      </c>
      <c r="O858" s="27" t="s">
        <v>160</v>
      </c>
      <c r="P858" s="187">
        <v>18500</v>
      </c>
      <c r="Q858" s="194"/>
      <c r="R858" s="42" t="s">
        <v>216</v>
      </c>
      <c r="S858" s="196"/>
      <c r="T858" s="197"/>
      <c r="U858" s="198"/>
      <c r="V858" s="199"/>
      <c r="W858" s="198">
        <f>IF(NOTA[[#This Row],[HARGA/ CTN]]="",NOTA[[#This Row],[JUMLAH_H]],NOTA[[#This Row],[HARGA/ CTN]]*IF(NOTA[[#This Row],[C]]="",0,NOTA[[#This Row],[C]]))</f>
        <v>9990000</v>
      </c>
      <c r="X858" s="198">
        <f>IF(NOTA[[#This Row],[JUMLAH]]="","",NOTA[[#This Row],[JUMLAH]]*NOTA[[#This Row],[DISC 1]])</f>
        <v>0</v>
      </c>
      <c r="Y858" s="198">
        <f>IF(NOTA[[#This Row],[JUMLAH]]="","",(NOTA[[#This Row],[JUMLAH]]-NOTA[[#This Row],[DISC 1-]])*NOTA[[#This Row],[DISC 2]])</f>
        <v>0</v>
      </c>
      <c r="Z858" s="198">
        <f>IF(NOTA[[#This Row],[JUMLAH]]="","",NOTA[[#This Row],[DISC 1-]]+NOTA[[#This Row],[DISC 2-]])</f>
        <v>0</v>
      </c>
      <c r="AA858" s="198">
        <f>IF(NOTA[[#This Row],[JUMLAH]]="","",NOTA[[#This Row],[JUMLAH]]-NOTA[[#This Row],[DISC]])</f>
        <v>9990000</v>
      </c>
      <c r="AB858" s="198"/>
      <c r="AC8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187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200">
        <f>IF(OR(NOTA[[#This Row],[QTY]]="",NOTA[[#This Row],[HARGA SATUAN]]="",),"",NOTA[[#This Row],[QTY]]*NOTA[[#This Row],[HARGA SATUAN]])</f>
        <v>9990000</v>
      </c>
      <c r="AG858" s="192">
        <f ca="1">IF(NOTA[ID_H]="","",INDEX(NOTA[TANGGAL],MATCH(,INDIRECT(ADDRESS(ROW(NOTA[TANGGAL]),COLUMN(NOTA[TANGGAL]))&amp;":"&amp;ADDRESS(ROW(),COLUMN(NOTA[TANGGAL]))),-1)))</f>
        <v>45075</v>
      </c>
      <c r="AH858" s="187" t="str">
        <f ca="1">IF(NOTA[[#This Row],[NAMA BARANG]]="","",INDEX(NOTA[SUPPLIER],MATCH(,INDIRECT(ADDRESS(ROW(NOTA[ID]),COLUMN(NOTA[ID]))&amp;":"&amp;ADDRESS(ROW(),COLUMN(NOTA[ID]))),-1)))</f>
        <v>DB STATIONERY</v>
      </c>
      <c r="AI858" s="187" t="str">
        <f ca="1">IF(NOTA[[#This Row],[ID_H]]="","",IF(NOTA[[#This Row],[FAKTUR]]="",INDIRECT(ADDRESS(ROW()-1,COLUMN())),NOTA[[#This Row],[FAKTUR]]))</f>
        <v>UNTANA</v>
      </c>
      <c r="AJ858" s="188" t="str">
        <f ca="1">IF(NOTA[[#This Row],[ID]]="","",COUNTIF(NOTA[ID_H],NOTA[[#This Row],[ID_H]]))</f>
        <v/>
      </c>
      <c r="AK858" s="188">
        <f ca="1">IF(NOTA[[#This Row],[TGL.NOTA]]="",IF(NOTA[[#This Row],[SUPPLIER_H]]="","",AK857),MONTH(NOTA[[#This Row],[TGL.NOTA]]))</f>
        <v>5</v>
      </c>
      <c r="AL858" s="188" t="str">
        <f>LOWER(SUBSTITUTE(SUBSTITUTE(SUBSTITUTE(SUBSTITUTE(SUBSTITUTE(SUBSTITUTE(SUBSTITUTE(SUBSTITUTE(SUBSTITUTE(NOTA[NAMA BARANG]," ",),".",""),"-",""),"(",""),")",""),",",""),"/",""),"""",""),"+",""))</f>
        <v>tppensilbdxlgbd828</v>
      </c>
      <c r="AM85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tppensilbdxlgbd8283330000</v>
      </c>
      <c r="AN85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tppensilbdxlgbd8283330000</v>
      </c>
      <c r="AO858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188" t="str">
        <f>IF(NOTA[[#This Row],[CONCAT4]]="","",_xlfn.IFNA(MATCH(NOTA[[#This Row],[CONCAT4]],[2]!RAW[CONCAT_H],0),FALSE))</f>
        <v/>
      </c>
      <c r="AQ858" s="188" t="e">
        <f>IF(NOTA[[#This Row],[CONCAT1]]="","",MATCH(NOTA[[#This Row],[CONCAT1]],[3]!db[NB NOTA_C],0)+1)</f>
        <v>#N/A</v>
      </c>
    </row>
    <row r="859" spans="1:43" ht="20.100000000000001" customHeight="1" x14ac:dyDescent="0.25">
      <c r="A85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188" t="str">
        <f>IF(NOTA[[#This Row],[ID_P]]="","",MATCH(NOTA[[#This Row],[ID_P]],[1]!B_MSK[N_ID],0))</f>
        <v/>
      </c>
      <c r="D859" s="188">
        <f ca="1">IF(NOTA[[#This Row],[NAMA BARANG]]="","",INDEX(NOTA[ID],MATCH(,INDIRECT(ADDRESS(ROW(NOTA[ID]),COLUMN(NOTA[ID]))&amp;":"&amp;ADDRESS(ROW(),COLUMN(NOTA[ID]))),-1)))</f>
        <v>146</v>
      </c>
      <c r="E859" s="189"/>
      <c r="F859" s="190"/>
      <c r="G859" s="190"/>
      <c r="H859" s="191"/>
      <c r="I859" s="190"/>
      <c r="J859" s="192"/>
      <c r="K859" s="190"/>
      <c r="L859" s="27" t="s">
        <v>1040</v>
      </c>
      <c r="M859" s="193">
        <v>3</v>
      </c>
      <c r="N859" s="188">
        <v>540</v>
      </c>
      <c r="O859" s="27" t="s">
        <v>160</v>
      </c>
      <c r="P859" s="187">
        <v>22000</v>
      </c>
      <c r="Q859" s="194"/>
      <c r="R859" s="42" t="s">
        <v>216</v>
      </c>
      <c r="S859" s="196"/>
      <c r="T859" s="197"/>
      <c r="U859" s="198"/>
      <c r="V859" s="199"/>
      <c r="W859" s="198">
        <f>IF(NOTA[[#This Row],[HARGA/ CTN]]="",NOTA[[#This Row],[JUMLAH_H]],NOTA[[#This Row],[HARGA/ CTN]]*IF(NOTA[[#This Row],[C]]="",0,NOTA[[#This Row],[C]]))</f>
        <v>11880000</v>
      </c>
      <c r="X859" s="198">
        <f>IF(NOTA[[#This Row],[JUMLAH]]="","",NOTA[[#This Row],[JUMLAH]]*NOTA[[#This Row],[DISC 1]])</f>
        <v>0</v>
      </c>
      <c r="Y859" s="198">
        <f>IF(NOTA[[#This Row],[JUMLAH]]="","",(NOTA[[#This Row],[JUMLAH]]-NOTA[[#This Row],[DISC 1-]])*NOTA[[#This Row],[DISC 2]])</f>
        <v>0</v>
      </c>
      <c r="Z859" s="198">
        <f>IF(NOTA[[#This Row],[JUMLAH]]="","",NOTA[[#This Row],[DISC 1-]]+NOTA[[#This Row],[DISC 2-]])</f>
        <v>0</v>
      </c>
      <c r="AA859" s="198">
        <f>IF(NOTA[[#This Row],[JUMLAH]]="","",NOTA[[#This Row],[JUMLAH]]-NOTA[[#This Row],[DISC]])</f>
        <v>11880000</v>
      </c>
      <c r="AB859" s="198"/>
      <c r="AC85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59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63240000</v>
      </c>
      <c r="AE859" s="187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9" s="200">
        <f>IF(OR(NOTA[[#This Row],[QTY]]="",NOTA[[#This Row],[HARGA SATUAN]]="",),"",NOTA[[#This Row],[QTY]]*NOTA[[#This Row],[HARGA SATUAN]])</f>
        <v>11880000</v>
      </c>
      <c r="AG859" s="192">
        <f ca="1">IF(NOTA[ID_H]="","",INDEX(NOTA[TANGGAL],MATCH(,INDIRECT(ADDRESS(ROW(NOTA[TANGGAL]),COLUMN(NOTA[TANGGAL]))&amp;":"&amp;ADDRESS(ROW(),COLUMN(NOTA[TANGGAL]))),-1)))</f>
        <v>45075</v>
      </c>
      <c r="AH859" s="187" t="str">
        <f ca="1">IF(NOTA[[#This Row],[NAMA BARANG]]="","",INDEX(NOTA[SUPPLIER],MATCH(,INDIRECT(ADDRESS(ROW(NOTA[ID]),COLUMN(NOTA[ID]))&amp;":"&amp;ADDRESS(ROW(),COLUMN(NOTA[ID]))),-1)))</f>
        <v>DB STATIONERY</v>
      </c>
      <c r="AI859" s="187" t="str">
        <f ca="1">IF(NOTA[[#This Row],[ID_H]]="","",IF(NOTA[[#This Row],[FAKTUR]]="",INDIRECT(ADDRESS(ROW()-1,COLUMN())),NOTA[[#This Row],[FAKTUR]]))</f>
        <v>UNTANA</v>
      </c>
      <c r="AJ859" s="188" t="str">
        <f ca="1">IF(NOTA[[#This Row],[ID]]="","",COUNTIF(NOTA[ID_H],NOTA[[#This Row],[ID_H]]))</f>
        <v/>
      </c>
      <c r="AK859" s="188">
        <f ca="1">IF(NOTA[[#This Row],[TGL.NOTA]]="",IF(NOTA[[#This Row],[SUPPLIER_H]]="","",AK858),MONTH(NOTA[[#This Row],[TGL.NOTA]]))</f>
        <v>5</v>
      </c>
      <c r="AL859" s="188" t="str">
        <f>LOWER(SUBSTITUTE(SUBSTITUTE(SUBSTITUTE(SUBSTITUTE(SUBSTITUTE(SUBSTITUTE(SUBSTITUTE(SUBSTITUTE(SUBSTITUTE(NOTA[NAMA BARANG]," ",),".",""),"-",""),"(",""),")",""),",",""),"/",""),"""",""),"+",""))</f>
        <v>tppensilbdxlgbd861</v>
      </c>
      <c r="AM85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tppensilbdxlgbd8613960000</v>
      </c>
      <c r="AN85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tppensilbdxlgbd8613960000</v>
      </c>
      <c r="AO85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188" t="str">
        <f>IF(NOTA[[#This Row],[CONCAT4]]="","",_xlfn.IFNA(MATCH(NOTA[[#This Row],[CONCAT4]],[2]!RAW[CONCAT_H],0),FALSE))</f>
        <v/>
      </c>
      <c r="AQ859" s="188" t="e">
        <f>IF(NOTA[[#This Row],[CONCAT1]]="","",MATCH(NOTA[[#This Row],[CONCAT1]],[3]!db[NB NOTA_C],0)+1)</f>
        <v>#N/A</v>
      </c>
    </row>
    <row r="860" spans="1:43" ht="20.100000000000001" customHeight="1" x14ac:dyDescent="0.25">
      <c r="A86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188" t="str">
        <f>IF(NOTA[[#This Row],[ID_P]]="","",MATCH(NOTA[[#This Row],[ID_P]],[1]!B_MSK[N_ID],0))</f>
        <v/>
      </c>
      <c r="D860" s="188" t="str">
        <f ca="1">IF(NOTA[[#This Row],[NAMA BARANG]]="","",INDEX(NOTA[ID],MATCH(,INDIRECT(ADDRESS(ROW(NOTA[ID]),COLUMN(NOTA[ID]))&amp;":"&amp;ADDRESS(ROW(),COLUMN(NOTA[ID]))),-1)))</f>
        <v/>
      </c>
      <c r="E860" s="189"/>
      <c r="F860" s="190"/>
      <c r="G860" s="190"/>
      <c r="H860" s="191"/>
      <c r="I860" s="190"/>
      <c r="J860" s="192"/>
      <c r="K860" s="190"/>
      <c r="L860" s="190"/>
      <c r="M860" s="193"/>
      <c r="N860" s="188"/>
      <c r="O860" s="190"/>
      <c r="P860" s="187"/>
      <c r="Q860" s="194"/>
      <c r="R860" s="195"/>
      <c r="S860" s="196"/>
      <c r="T860" s="197"/>
      <c r="U860" s="198"/>
      <c r="V860" s="199"/>
      <c r="W860" s="198" t="str">
        <f>IF(NOTA[[#This Row],[HARGA/ CTN]]="",NOTA[[#This Row],[JUMLAH_H]],NOTA[[#This Row],[HARGA/ CTN]]*IF(NOTA[[#This Row],[C]]="",0,NOTA[[#This Row],[C]]))</f>
        <v/>
      </c>
      <c r="X860" s="198" t="str">
        <f>IF(NOTA[[#This Row],[JUMLAH]]="","",NOTA[[#This Row],[JUMLAH]]*NOTA[[#This Row],[DISC 1]])</f>
        <v/>
      </c>
      <c r="Y860" s="198" t="str">
        <f>IF(NOTA[[#This Row],[JUMLAH]]="","",(NOTA[[#This Row],[JUMLAH]]-NOTA[[#This Row],[DISC 1-]])*NOTA[[#This Row],[DISC 2]])</f>
        <v/>
      </c>
      <c r="Z860" s="198" t="str">
        <f>IF(NOTA[[#This Row],[JUMLAH]]="","",NOTA[[#This Row],[DISC 1-]]+NOTA[[#This Row],[DISC 2-]])</f>
        <v/>
      </c>
      <c r="AA860" s="198" t="str">
        <f>IF(NOTA[[#This Row],[JUMLAH]]="","",NOTA[[#This Row],[JUMLAH]]-NOTA[[#This Row],[DISC]])</f>
        <v/>
      </c>
      <c r="AB860" s="198"/>
      <c r="AC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200" t="str">
        <f>IF(OR(NOTA[[#This Row],[QTY]]="",NOTA[[#This Row],[HARGA SATUAN]]="",),"",NOTA[[#This Row],[QTY]]*NOTA[[#This Row],[HARGA SATUAN]])</f>
        <v/>
      </c>
      <c r="AG860" s="192" t="str">
        <f ca="1">IF(NOTA[ID_H]="","",INDEX(NOTA[TANGGAL],MATCH(,INDIRECT(ADDRESS(ROW(NOTA[TANGGAL]),COLUMN(NOTA[TANGGAL]))&amp;":"&amp;ADDRESS(ROW(),COLUMN(NOTA[TANGGAL]))),-1)))</f>
        <v/>
      </c>
      <c r="AH860" s="187" t="str">
        <f ca="1">IF(NOTA[[#This Row],[NAMA BARANG]]="","",INDEX(NOTA[SUPPLIER],MATCH(,INDIRECT(ADDRESS(ROW(NOTA[ID]),COLUMN(NOTA[ID]))&amp;":"&amp;ADDRESS(ROW(),COLUMN(NOTA[ID]))),-1)))</f>
        <v/>
      </c>
      <c r="AI860" s="187" t="str">
        <f ca="1">IF(NOTA[[#This Row],[ID_H]]="","",IF(NOTA[[#This Row],[FAKTUR]]="",INDIRECT(ADDRESS(ROW()-1,COLUMN())),NOTA[[#This Row],[FAKTUR]]))</f>
        <v/>
      </c>
      <c r="AJ860" s="188" t="str">
        <f ca="1">IF(NOTA[[#This Row],[ID]]="","",COUNTIF(NOTA[ID_H],NOTA[[#This Row],[ID_H]]))</f>
        <v/>
      </c>
      <c r="AK860" s="188" t="str">
        <f ca="1">IF(NOTA[[#This Row],[TGL.NOTA]]="",IF(NOTA[[#This Row],[SUPPLIER_H]]="","",AK859),MONTH(NOTA[[#This Row],[TGL.NOTA]]))</f>
        <v/>
      </c>
      <c r="AL860" s="188" t="str">
        <f>LOWER(SUBSTITUTE(SUBSTITUTE(SUBSTITUTE(SUBSTITUTE(SUBSTITUTE(SUBSTITUTE(SUBSTITUTE(SUBSTITUTE(SUBSTITUTE(NOTA[NAMA BARANG]," ",),".",""),"-",""),"(",""),")",""),",",""),"/",""),"""",""),"+",""))</f>
        <v/>
      </c>
      <c r="AM86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188" t="str">
        <f>IF(NOTA[[#This Row],[CONCAT4]]="","",_xlfn.IFNA(MATCH(NOTA[[#This Row],[CONCAT4]],[2]!RAW[CONCAT_H],0),FALSE))</f>
        <v/>
      </c>
      <c r="AQ860" s="188" t="str">
        <f>IF(NOTA[[#This Row],[CONCAT1]]="","",MATCH(NOTA[[#This Row],[CONCAT1]],[3]!db[NB NOTA_C],0)+1)</f>
        <v/>
      </c>
    </row>
    <row r="861" spans="1:43" ht="20.100000000000001" customHeight="1" x14ac:dyDescent="0.25">
      <c r="A861" s="187">
        <f ca="1">IF(INDIRECT(ADDRESS(ROW()-1,COLUMN(NOTA[[#Headers],[ID]])))="ID",1,IF(NOTA[[#This Row],[FAKTUR]]="","",COUNT(INDIRECT(ADDRESS(ROW(NOTA[ID]),COLUMN(NOTA[ID]))&amp;":"&amp;ADDRESS(ROW()-1,COLUMN(NOTA[ID]))))+1))</f>
        <v>147</v>
      </c>
      <c r="B861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D-R_2805_096-1</v>
      </c>
      <c r="C861" s="188" t="e">
        <f ca="1">IF(NOTA[[#This Row],[ID_P]]="","",MATCH(NOTA[[#This Row],[ID_P]],[1]!B_MSK[N_ID],0))</f>
        <v>#REF!</v>
      </c>
      <c r="D861" s="188">
        <f ca="1">IF(NOTA[[#This Row],[NAMA BARANG]]="","",INDEX(NOTA[ID],MATCH(,INDIRECT(ADDRESS(ROW(NOTA[ID]),COLUMN(NOTA[ID]))&amp;":"&amp;ADDRESS(ROW(),COLUMN(NOTA[ID]))),-1)))</f>
        <v>147</v>
      </c>
      <c r="E861" s="189">
        <v>45074</v>
      </c>
      <c r="F861" s="27" t="s">
        <v>1041</v>
      </c>
      <c r="G861" s="27" t="s">
        <v>112</v>
      </c>
      <c r="H861" s="54" t="s">
        <v>1042</v>
      </c>
      <c r="I861" s="190"/>
      <c r="J861" s="192">
        <v>45070</v>
      </c>
      <c r="K861" s="190"/>
      <c r="L861" s="27" t="s">
        <v>1043</v>
      </c>
      <c r="M861" s="193">
        <v>5</v>
      </c>
      <c r="N861" s="188">
        <v>120</v>
      </c>
      <c r="O861" s="27" t="s">
        <v>125</v>
      </c>
      <c r="P861" s="187">
        <v>101000</v>
      </c>
      <c r="Q861" s="194"/>
      <c r="R861" s="42" t="s">
        <v>1044</v>
      </c>
      <c r="S861" s="196">
        <v>0.15</v>
      </c>
      <c r="T861" s="197">
        <v>0.1</v>
      </c>
      <c r="U861" s="198"/>
      <c r="V861" s="199"/>
      <c r="W861" s="198">
        <f>IF(NOTA[[#This Row],[HARGA/ CTN]]="",NOTA[[#This Row],[JUMLAH_H]],NOTA[[#This Row],[HARGA/ CTN]]*IF(NOTA[[#This Row],[C]]="",0,NOTA[[#This Row],[C]]))</f>
        <v>12120000</v>
      </c>
      <c r="X861" s="198">
        <f>IF(NOTA[[#This Row],[JUMLAH]]="","",NOTA[[#This Row],[JUMLAH]]*NOTA[[#This Row],[DISC 1]])</f>
        <v>1818000</v>
      </c>
      <c r="Y861" s="198">
        <f>IF(NOTA[[#This Row],[JUMLAH]]="","",(NOTA[[#This Row],[JUMLAH]]-NOTA[[#This Row],[DISC 1-]])*NOTA[[#This Row],[DISC 2]])</f>
        <v>1030200</v>
      </c>
      <c r="Z861" s="198">
        <f>IF(NOTA[[#This Row],[JUMLAH]]="","",NOTA[[#This Row],[DISC 1-]]+NOTA[[#This Row],[DISC 2-]])</f>
        <v>2848200</v>
      </c>
      <c r="AA861" s="198">
        <f>IF(NOTA[[#This Row],[JUMLAH]]="","",NOTA[[#This Row],[JUMLAH]]-NOTA[[#This Row],[DISC]])</f>
        <v>9271800</v>
      </c>
      <c r="AB861" s="198"/>
      <c r="AC8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2848200</v>
      </c>
      <c r="AD861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9271800</v>
      </c>
      <c r="AE861" s="187">
        <f>IF(NOTA[[#This Row],[NAMA BARANG]]="","",IF(NOTA[[#This Row],[JUMLAH_H]]="",NOTA[[#This Row],[HARGA/ CTN]],NOTA[[#This Row],[QTY]]*NOTA[[#This Row],[HARGA SATUAN]]/IF(ISNUMBER(NOTA[[#This Row],[C]]),NOTA[[#This Row],[C]],1)))</f>
        <v>2424000</v>
      </c>
      <c r="AF861" s="200">
        <f>IF(OR(NOTA[[#This Row],[QTY]]="",NOTA[[#This Row],[HARGA SATUAN]]="",),"",NOTA[[#This Row],[QTY]]*NOTA[[#This Row],[HARGA SATUAN]])</f>
        <v>12120000</v>
      </c>
      <c r="AG861" s="192">
        <f ca="1">IF(NOTA[ID_H]="","",INDEX(NOTA[TANGGAL],MATCH(,INDIRECT(ADDRESS(ROW(NOTA[TANGGAL]),COLUMN(NOTA[TANGGAL]))&amp;":"&amp;ADDRESS(ROW(),COLUMN(NOTA[TANGGAL]))),-1)))</f>
        <v>45074</v>
      </c>
      <c r="AH861" s="187" t="str">
        <f ca="1">IF(NOTA[[#This Row],[NAMA BARANG]]="","",INDEX(NOTA[SUPPLIER],MATCH(,INDIRECT(ADDRESS(ROW(NOTA[ID]),COLUMN(NOTA[ID]))&amp;":"&amp;ADDRESS(ROW(),COLUMN(NOTA[ID]))),-1)))</f>
        <v>D-R STATIONERY</v>
      </c>
      <c r="AI861" s="187" t="str">
        <f ca="1">IF(NOTA[[#This Row],[ID_H]]="","",IF(NOTA[[#This Row],[FAKTUR]]="",INDIRECT(ADDRESS(ROW()-1,COLUMN())),NOTA[[#This Row],[FAKTUR]]))</f>
        <v>UNTANA</v>
      </c>
      <c r="AJ861" s="188">
        <f ca="1">IF(NOTA[[#This Row],[ID]]="","",COUNTIF(NOTA[ID_H],NOTA[[#This Row],[ID_H]]))</f>
        <v>1</v>
      </c>
      <c r="AK861" s="188">
        <f>IF(NOTA[[#This Row],[TGL.NOTA]]="",IF(NOTA[[#This Row],[SUPPLIER_H]]="","",AK860),MONTH(NOTA[[#This Row],[TGL.NOTA]]))</f>
        <v>5</v>
      </c>
      <c r="AL861" s="188" t="str">
        <f>LOWER(SUBSTITUTE(SUBSTITUTE(SUBSTITUTE(SUBSTITUTE(SUBSTITUTE(SUBSTITUTE(SUBSTITUTE(SUBSTITUTE(SUBSTITUTE(NOTA[NAMA BARANG]," ",),".",""),"-",""),"(",""),")",""),",",""),"/",""),"""",""),"+",""))</f>
        <v>seruling900trend</v>
      </c>
      <c r="AM86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seruling900trend24240000.150.1</v>
      </c>
      <c r="AN86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seruling900trend24240000.150.1</v>
      </c>
      <c r="AO861" s="18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STATIONERYUNTANACDS230509645070seruling900trend</v>
      </c>
      <c r="AP861" s="188" t="e">
        <f>IF(NOTA[[#This Row],[CONCAT4]]="","",_xlfn.IFNA(MATCH(NOTA[[#This Row],[CONCAT4]],[2]!RAW[CONCAT_H],0),FALSE))</f>
        <v>#REF!</v>
      </c>
      <c r="AQ861" s="188" t="e">
        <f>IF(NOTA[[#This Row],[CONCAT1]]="","",MATCH(NOTA[[#This Row],[CONCAT1]],[3]!db[NB NOTA_C],0)+1)</f>
        <v>#N/A</v>
      </c>
    </row>
    <row r="862" spans="1:43" ht="20.100000000000001" customHeight="1" x14ac:dyDescent="0.25">
      <c r="A86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188" t="str">
        <f>IF(NOTA[[#This Row],[ID_P]]="","",MATCH(NOTA[[#This Row],[ID_P]],[1]!B_MSK[N_ID],0))</f>
        <v/>
      </c>
      <c r="D862" s="188" t="str">
        <f ca="1">IF(NOTA[[#This Row],[NAMA BARANG]]="","",INDEX(NOTA[ID],MATCH(,INDIRECT(ADDRESS(ROW(NOTA[ID]),COLUMN(NOTA[ID]))&amp;":"&amp;ADDRESS(ROW(),COLUMN(NOTA[ID]))),-1)))</f>
        <v/>
      </c>
      <c r="E862" s="189"/>
      <c r="F862" s="190"/>
      <c r="G862" s="190"/>
      <c r="H862" s="191"/>
      <c r="I862" s="190"/>
      <c r="J862" s="192"/>
      <c r="K862" s="190"/>
      <c r="L862" s="190"/>
      <c r="M862" s="193"/>
      <c r="N862" s="188"/>
      <c r="O862" s="190"/>
      <c r="P862" s="187"/>
      <c r="Q862" s="194"/>
      <c r="R862" s="195"/>
      <c r="S862" s="196"/>
      <c r="T862" s="197"/>
      <c r="U862" s="198"/>
      <c r="V862" s="199"/>
      <c r="W862" s="198" t="str">
        <f>IF(NOTA[[#This Row],[HARGA/ CTN]]="",NOTA[[#This Row],[JUMLAH_H]],NOTA[[#This Row],[HARGA/ CTN]]*IF(NOTA[[#This Row],[C]]="",0,NOTA[[#This Row],[C]]))</f>
        <v/>
      </c>
      <c r="X862" s="198" t="str">
        <f>IF(NOTA[[#This Row],[JUMLAH]]="","",NOTA[[#This Row],[JUMLAH]]*NOTA[[#This Row],[DISC 1]])</f>
        <v/>
      </c>
      <c r="Y862" s="198" t="str">
        <f>IF(NOTA[[#This Row],[JUMLAH]]="","",(NOTA[[#This Row],[JUMLAH]]-NOTA[[#This Row],[DISC 1-]])*NOTA[[#This Row],[DISC 2]])</f>
        <v/>
      </c>
      <c r="Z862" s="198" t="str">
        <f>IF(NOTA[[#This Row],[JUMLAH]]="","",NOTA[[#This Row],[DISC 1-]]+NOTA[[#This Row],[DISC 2-]])</f>
        <v/>
      </c>
      <c r="AA862" s="198" t="str">
        <f>IF(NOTA[[#This Row],[JUMLAH]]="","",NOTA[[#This Row],[JUMLAH]]-NOTA[[#This Row],[DISC]])</f>
        <v/>
      </c>
      <c r="AB862" s="198"/>
      <c r="AC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200" t="str">
        <f>IF(OR(NOTA[[#This Row],[QTY]]="",NOTA[[#This Row],[HARGA SATUAN]]="",),"",NOTA[[#This Row],[QTY]]*NOTA[[#This Row],[HARGA SATUAN]])</f>
        <v/>
      </c>
      <c r="AG862" s="192" t="str">
        <f ca="1">IF(NOTA[ID_H]="","",INDEX(NOTA[TANGGAL],MATCH(,INDIRECT(ADDRESS(ROW(NOTA[TANGGAL]),COLUMN(NOTA[TANGGAL]))&amp;":"&amp;ADDRESS(ROW(),COLUMN(NOTA[TANGGAL]))),-1)))</f>
        <v/>
      </c>
      <c r="AH862" s="187" t="str">
        <f ca="1">IF(NOTA[[#This Row],[NAMA BARANG]]="","",INDEX(NOTA[SUPPLIER],MATCH(,INDIRECT(ADDRESS(ROW(NOTA[ID]),COLUMN(NOTA[ID]))&amp;":"&amp;ADDRESS(ROW(),COLUMN(NOTA[ID]))),-1)))</f>
        <v/>
      </c>
      <c r="AI862" s="187" t="str">
        <f ca="1">IF(NOTA[[#This Row],[ID_H]]="","",IF(NOTA[[#This Row],[FAKTUR]]="",INDIRECT(ADDRESS(ROW()-1,COLUMN())),NOTA[[#This Row],[FAKTUR]]))</f>
        <v/>
      </c>
      <c r="AJ862" s="188" t="str">
        <f ca="1">IF(NOTA[[#This Row],[ID]]="","",COUNTIF(NOTA[ID_H],NOTA[[#This Row],[ID_H]]))</f>
        <v/>
      </c>
      <c r="AK862" s="188" t="str">
        <f ca="1">IF(NOTA[[#This Row],[TGL.NOTA]]="",IF(NOTA[[#This Row],[SUPPLIER_H]]="","",AK861),MONTH(NOTA[[#This Row],[TGL.NOTA]]))</f>
        <v/>
      </c>
      <c r="AL862" s="188" t="str">
        <f>LOWER(SUBSTITUTE(SUBSTITUTE(SUBSTITUTE(SUBSTITUTE(SUBSTITUTE(SUBSTITUTE(SUBSTITUTE(SUBSTITUTE(SUBSTITUTE(NOTA[NAMA BARANG]," ",),".",""),"-",""),"(",""),")",""),",",""),"/",""),"""",""),"+",""))</f>
        <v/>
      </c>
      <c r="AM86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188" t="str">
        <f>IF(NOTA[[#This Row],[CONCAT4]]="","",_xlfn.IFNA(MATCH(NOTA[[#This Row],[CONCAT4]],[2]!RAW[CONCAT_H],0),FALSE))</f>
        <v/>
      </c>
      <c r="AQ862" s="188" t="str">
        <f>IF(NOTA[[#This Row],[CONCAT1]]="","",MATCH(NOTA[[#This Row],[CONCAT1]],[3]!db[NB NOTA_C],0)+1)</f>
        <v/>
      </c>
    </row>
    <row r="863" spans="1:43" ht="20.100000000000001" customHeight="1" x14ac:dyDescent="0.25">
      <c r="A863" s="187">
        <f ca="1">IF(INDIRECT(ADDRESS(ROW()-1,COLUMN(NOTA[[#Headers],[ID]])))="ID",1,IF(NOTA[[#This Row],[FAKTUR]]="","",COUNT(INDIRECT(ADDRESS(ROW(NOTA[ID]),COLUMN(NOTA[ID]))&amp;":"&amp;ADDRESS(ROW()-1,COLUMN(NOTA[ID]))))+1))</f>
        <v>148</v>
      </c>
      <c r="B863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GLO_3005_E37-2</v>
      </c>
      <c r="C863" s="188" t="e">
        <f ca="1">IF(NOTA[[#This Row],[ID_P]]="","",MATCH(NOTA[[#This Row],[ID_P]],[1]!B_MSK[N_ID],0))</f>
        <v>#REF!</v>
      </c>
      <c r="D863" s="188">
        <f ca="1">IF(NOTA[[#This Row],[NAMA BARANG]]="","",INDEX(NOTA[ID],MATCH(,INDIRECT(ADDRESS(ROW(NOTA[ID]),COLUMN(NOTA[ID]))&amp;":"&amp;ADDRESS(ROW(),COLUMN(NOTA[ID]))),-1)))</f>
        <v>148</v>
      </c>
      <c r="E863" s="189">
        <v>45076</v>
      </c>
      <c r="F863" s="27" t="s">
        <v>460</v>
      </c>
      <c r="G863" s="27" t="s">
        <v>112</v>
      </c>
      <c r="H863" s="54" t="s">
        <v>1045</v>
      </c>
      <c r="I863" s="190"/>
      <c r="J863" s="192">
        <v>45076</v>
      </c>
      <c r="K863" s="190"/>
      <c r="L863" s="27" t="s">
        <v>1046</v>
      </c>
      <c r="M863" s="193"/>
      <c r="N863" s="188">
        <v>120</v>
      </c>
      <c r="O863" s="27" t="s">
        <v>160</v>
      </c>
      <c r="P863" s="187">
        <v>13000</v>
      </c>
      <c r="Q863" s="194"/>
      <c r="R863" s="195"/>
      <c r="S863" s="196"/>
      <c r="T863" s="197"/>
      <c r="U863" s="198"/>
      <c r="V863" s="199"/>
      <c r="W863" s="198">
        <f>IF(NOTA[[#This Row],[HARGA/ CTN]]="",NOTA[[#This Row],[JUMLAH_H]],NOTA[[#This Row],[HARGA/ CTN]]*IF(NOTA[[#This Row],[C]]="",0,NOTA[[#This Row],[C]]))</f>
        <v>1560000</v>
      </c>
      <c r="X863" s="198">
        <f>IF(NOTA[[#This Row],[JUMLAH]]="","",NOTA[[#This Row],[JUMLAH]]*NOTA[[#This Row],[DISC 1]])</f>
        <v>0</v>
      </c>
      <c r="Y863" s="198">
        <f>IF(NOTA[[#This Row],[JUMLAH]]="","",(NOTA[[#This Row],[JUMLAH]]-NOTA[[#This Row],[DISC 1-]])*NOTA[[#This Row],[DISC 2]])</f>
        <v>0</v>
      </c>
      <c r="Z863" s="198">
        <f>IF(NOTA[[#This Row],[JUMLAH]]="","",NOTA[[#This Row],[DISC 1-]]+NOTA[[#This Row],[DISC 2-]])</f>
        <v>0</v>
      </c>
      <c r="AA863" s="198">
        <f>IF(NOTA[[#This Row],[JUMLAH]]="","",NOTA[[#This Row],[JUMLAH]]-NOTA[[#This Row],[DISC]])</f>
        <v>1560000</v>
      </c>
      <c r="AB863" s="198"/>
      <c r="AC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187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863" s="200">
        <f>IF(OR(NOTA[[#This Row],[QTY]]="",NOTA[[#This Row],[HARGA SATUAN]]="",),"",NOTA[[#This Row],[QTY]]*NOTA[[#This Row],[HARGA SATUAN]])</f>
        <v>1560000</v>
      </c>
      <c r="AG863" s="192">
        <f ca="1">IF(NOTA[ID_H]="","",INDEX(NOTA[TANGGAL],MATCH(,INDIRECT(ADDRESS(ROW(NOTA[TANGGAL]),COLUMN(NOTA[TANGGAL]))&amp;":"&amp;ADDRESS(ROW(),COLUMN(NOTA[TANGGAL]))),-1)))</f>
        <v>45076</v>
      </c>
      <c r="AH863" s="187" t="str">
        <f ca="1">IF(NOTA[[#This Row],[NAMA BARANG]]="","",INDEX(NOTA[SUPPLIER],MATCH(,INDIRECT(ADDRESS(ROW(NOTA[ID]),COLUMN(NOTA[ID]))&amp;":"&amp;ADDRESS(ROW(),COLUMN(NOTA[ID]))),-1)))</f>
        <v>GLORY</v>
      </c>
      <c r="AI863" s="187" t="str">
        <f ca="1">IF(NOTA[[#This Row],[ID_H]]="","",IF(NOTA[[#This Row],[FAKTUR]]="",INDIRECT(ADDRESS(ROW()-1,COLUMN())),NOTA[[#This Row],[FAKTUR]]))</f>
        <v>UNTANA</v>
      </c>
      <c r="AJ863" s="188">
        <f ca="1">IF(NOTA[[#This Row],[ID]]="","",COUNTIF(NOTA[ID_H],NOTA[[#This Row],[ID_H]]))</f>
        <v>2</v>
      </c>
      <c r="AK863" s="188">
        <f>IF(NOTA[[#This Row],[TGL.NOTA]]="",IF(NOTA[[#This Row],[SUPPLIER_H]]="","",AK862),MONTH(NOTA[[#This Row],[TGL.NOTA]]))</f>
        <v>5</v>
      </c>
      <c r="AL863" s="188" t="str">
        <f>LOWER(SUBSTITUTE(SUBSTITUTE(SUBSTITUTE(SUBSTITUTE(SUBSTITUTE(SUBSTITUTE(SUBSTITUTE(SUBSTITUTE(SUBSTITUTE(NOTA[NAMA BARANG]," ",),".",""),"-",""),"(",""),")",""),",",""),"/",""),"""",""),"+",""))</f>
        <v>agckpolos</v>
      </c>
      <c r="AM86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86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863" s="188" t="str">
        <f>IF(NOTA[[#This Row],[SUPPLIER]]="","",NOTA[[#This Row],[SUPPLIER]]&amp;NOTA[[#This Row],[FAKTUR]]&amp;NOTA[[#This Row],[NO.NOTA]]&amp;NOTA[[#This Row],[NO.SJ]]&amp;NOTA[[#This Row],[TGL.NOTA]]&amp;NOTA[[#This Row],[CONCAT1]])</f>
        <v>GLORYUNTANAE3745076agckpolos</v>
      </c>
      <c r="AP863" s="188" t="e">
        <f>IF(NOTA[[#This Row],[CONCAT4]]="","",_xlfn.IFNA(MATCH(NOTA[[#This Row],[CONCAT4]],[2]!RAW[CONCAT_H],0),FALSE))</f>
        <v>#REF!</v>
      </c>
      <c r="AQ863" s="188">
        <f>IF(NOTA[[#This Row],[CONCAT1]]="","",MATCH(NOTA[[#This Row],[CONCAT1]],[3]!db[NB NOTA_C],0)+1)</f>
        <v>46</v>
      </c>
    </row>
    <row r="864" spans="1:43" ht="20.100000000000001" customHeight="1" x14ac:dyDescent="0.25">
      <c r="A86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188" t="str">
        <f>IF(NOTA[[#This Row],[ID_P]]="","",MATCH(NOTA[[#This Row],[ID_P]],[1]!B_MSK[N_ID],0))</f>
        <v/>
      </c>
      <c r="D864" s="188">
        <f ca="1">IF(NOTA[[#This Row],[NAMA BARANG]]="","",INDEX(NOTA[ID],MATCH(,INDIRECT(ADDRESS(ROW(NOTA[ID]),COLUMN(NOTA[ID]))&amp;":"&amp;ADDRESS(ROW(),COLUMN(NOTA[ID]))),-1)))</f>
        <v>148</v>
      </c>
      <c r="E864" s="189"/>
      <c r="F864" s="190"/>
      <c r="G864" s="190"/>
      <c r="H864" s="191"/>
      <c r="I864" s="190"/>
      <c r="J864" s="192"/>
      <c r="K864" s="190"/>
      <c r="L864" s="27" t="s">
        <v>463</v>
      </c>
      <c r="M864" s="193"/>
      <c r="N864" s="188">
        <v>100</v>
      </c>
      <c r="O864" s="27" t="s">
        <v>160</v>
      </c>
      <c r="P864" s="187">
        <v>12800</v>
      </c>
      <c r="Q864" s="194"/>
      <c r="R864" s="195"/>
      <c r="S864" s="196"/>
      <c r="T864" s="197"/>
      <c r="U864" s="198">
        <v>142000</v>
      </c>
      <c r="V864" s="77" t="s">
        <v>1047</v>
      </c>
      <c r="W864" s="198">
        <f>IF(NOTA[[#This Row],[HARGA/ CTN]]="",NOTA[[#This Row],[JUMLAH_H]],NOTA[[#This Row],[HARGA/ CTN]]*IF(NOTA[[#This Row],[C]]="",0,NOTA[[#This Row],[C]]))</f>
        <v>1280000</v>
      </c>
      <c r="X864" s="198">
        <f>IF(NOTA[[#This Row],[JUMLAH]]="","",NOTA[[#This Row],[JUMLAH]]*NOTA[[#This Row],[DISC 1]])</f>
        <v>0</v>
      </c>
      <c r="Y864" s="198">
        <f>IF(NOTA[[#This Row],[JUMLAH]]="","",(NOTA[[#This Row],[JUMLAH]]-NOTA[[#This Row],[DISC 1-]])*NOTA[[#This Row],[DISC 2]])</f>
        <v>0</v>
      </c>
      <c r="Z864" s="198">
        <f>IF(NOTA[[#This Row],[JUMLAH]]="","",NOTA[[#This Row],[DISC 1-]]+NOTA[[#This Row],[DISC 2-]])</f>
        <v>0</v>
      </c>
      <c r="AA864" s="198">
        <f>IF(NOTA[[#This Row],[JUMLAH]]="","",NOTA[[#This Row],[JUMLAH]]-NOTA[[#This Row],[DISC]])</f>
        <v>1280000</v>
      </c>
      <c r="AB864" s="198"/>
      <c r="AC8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D864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E864" s="187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864" s="200">
        <f>IF(OR(NOTA[[#This Row],[QTY]]="",NOTA[[#This Row],[HARGA SATUAN]]="",),"",NOTA[[#This Row],[QTY]]*NOTA[[#This Row],[HARGA SATUAN]])</f>
        <v>1280000</v>
      </c>
      <c r="AG864" s="192">
        <f ca="1">IF(NOTA[ID_H]="","",INDEX(NOTA[TANGGAL],MATCH(,INDIRECT(ADDRESS(ROW(NOTA[TANGGAL]),COLUMN(NOTA[TANGGAL]))&amp;":"&amp;ADDRESS(ROW(),COLUMN(NOTA[TANGGAL]))),-1)))</f>
        <v>45076</v>
      </c>
      <c r="AH864" s="187" t="str">
        <f ca="1">IF(NOTA[[#This Row],[NAMA BARANG]]="","",INDEX(NOTA[SUPPLIER],MATCH(,INDIRECT(ADDRESS(ROW(NOTA[ID]),COLUMN(NOTA[ID]))&amp;":"&amp;ADDRESS(ROW(),COLUMN(NOTA[ID]))),-1)))</f>
        <v>GLORY</v>
      </c>
      <c r="AI864" s="187" t="str">
        <f ca="1">IF(NOTA[[#This Row],[ID_H]]="","",IF(NOTA[[#This Row],[FAKTUR]]="",INDIRECT(ADDRESS(ROW()-1,COLUMN())),NOTA[[#This Row],[FAKTUR]]))</f>
        <v>UNTANA</v>
      </c>
      <c r="AJ864" s="188" t="str">
        <f ca="1">IF(NOTA[[#This Row],[ID]]="","",COUNTIF(NOTA[ID_H],NOTA[[#This Row],[ID_H]]))</f>
        <v/>
      </c>
      <c r="AK864" s="188">
        <f ca="1">IF(NOTA[[#This Row],[TGL.NOTA]]="",IF(NOTA[[#This Row],[SUPPLIER_H]]="","",AK863),MONTH(NOTA[[#This Row],[TGL.NOTA]]))</f>
        <v>5</v>
      </c>
      <c r="AL864" s="188" t="str">
        <f>LOWER(SUBSTITUTE(SUBSTITUTE(SUBSTITUTE(SUBSTITUTE(SUBSTITUTE(SUBSTITUTE(SUBSTITUTE(SUBSTITUTE(SUBSTITUTE(NOTA[NAMA BARANG]," ",),".",""),"-",""),"(",""),")",""),",",""),"/",""),"""",""),"+",""))</f>
        <v>agbatik</v>
      </c>
      <c r="AM86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86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86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188" t="str">
        <f>IF(NOTA[[#This Row],[CONCAT4]]="","",_xlfn.IFNA(MATCH(NOTA[[#This Row],[CONCAT4]],[2]!RAW[CONCAT_H],0),FALSE))</f>
        <v/>
      </c>
      <c r="AQ864" s="188">
        <f>IF(NOTA[[#This Row],[CONCAT1]]="","",MATCH(NOTA[[#This Row],[CONCAT1]],[3]!db[NB NOTA_C],0)+1)</f>
        <v>44</v>
      </c>
    </row>
    <row r="865" spans="1:43" ht="20.100000000000001" customHeight="1" x14ac:dyDescent="0.25">
      <c r="A86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188" t="str">
        <f>IF(NOTA[[#This Row],[ID_P]]="","",MATCH(NOTA[[#This Row],[ID_P]],[1]!B_MSK[N_ID],0))</f>
        <v/>
      </c>
      <c r="D865" s="188" t="str">
        <f ca="1">IF(NOTA[[#This Row],[NAMA BARANG]]="","",INDEX(NOTA[ID],MATCH(,INDIRECT(ADDRESS(ROW(NOTA[ID]),COLUMN(NOTA[ID]))&amp;":"&amp;ADDRESS(ROW(),COLUMN(NOTA[ID]))),-1)))</f>
        <v/>
      </c>
      <c r="E865" s="189"/>
      <c r="F865" s="190"/>
      <c r="G865" s="190"/>
      <c r="H865" s="191"/>
      <c r="I865" s="190"/>
      <c r="J865" s="192"/>
      <c r="K865" s="190"/>
      <c r="L865" s="190"/>
      <c r="M865" s="193"/>
      <c r="N865" s="188"/>
      <c r="O865" s="190"/>
      <c r="P865" s="187"/>
      <c r="Q865" s="194"/>
      <c r="R865" s="195"/>
      <c r="S865" s="196"/>
      <c r="T865" s="197"/>
      <c r="U865" s="198"/>
      <c r="V865" s="199"/>
      <c r="W865" s="198" t="str">
        <f>IF(NOTA[[#This Row],[HARGA/ CTN]]="",NOTA[[#This Row],[JUMLAH_H]],NOTA[[#This Row],[HARGA/ CTN]]*IF(NOTA[[#This Row],[C]]="",0,NOTA[[#This Row],[C]]))</f>
        <v/>
      </c>
      <c r="X865" s="198" t="str">
        <f>IF(NOTA[[#This Row],[JUMLAH]]="","",NOTA[[#This Row],[JUMLAH]]*NOTA[[#This Row],[DISC 1]])</f>
        <v/>
      </c>
      <c r="Y865" s="198" t="str">
        <f>IF(NOTA[[#This Row],[JUMLAH]]="","",(NOTA[[#This Row],[JUMLAH]]-NOTA[[#This Row],[DISC 1-]])*NOTA[[#This Row],[DISC 2]])</f>
        <v/>
      </c>
      <c r="Z865" s="198" t="str">
        <f>IF(NOTA[[#This Row],[JUMLAH]]="","",NOTA[[#This Row],[DISC 1-]]+NOTA[[#This Row],[DISC 2-]])</f>
        <v/>
      </c>
      <c r="AA865" s="198" t="str">
        <f>IF(NOTA[[#This Row],[JUMLAH]]="","",NOTA[[#This Row],[JUMLAH]]-NOTA[[#This Row],[DISC]])</f>
        <v/>
      </c>
      <c r="AB865" s="198"/>
      <c r="AC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200" t="str">
        <f>IF(OR(NOTA[[#This Row],[QTY]]="",NOTA[[#This Row],[HARGA SATUAN]]="",),"",NOTA[[#This Row],[QTY]]*NOTA[[#This Row],[HARGA SATUAN]])</f>
        <v/>
      </c>
      <c r="AG865" s="192" t="str">
        <f ca="1">IF(NOTA[ID_H]="","",INDEX(NOTA[TANGGAL],MATCH(,INDIRECT(ADDRESS(ROW(NOTA[TANGGAL]),COLUMN(NOTA[TANGGAL]))&amp;":"&amp;ADDRESS(ROW(),COLUMN(NOTA[TANGGAL]))),-1)))</f>
        <v/>
      </c>
      <c r="AH865" s="187" t="str">
        <f ca="1">IF(NOTA[[#This Row],[NAMA BARANG]]="","",INDEX(NOTA[SUPPLIER],MATCH(,INDIRECT(ADDRESS(ROW(NOTA[ID]),COLUMN(NOTA[ID]))&amp;":"&amp;ADDRESS(ROW(),COLUMN(NOTA[ID]))),-1)))</f>
        <v/>
      </c>
      <c r="AI865" s="187" t="str">
        <f ca="1">IF(NOTA[[#This Row],[ID_H]]="","",IF(NOTA[[#This Row],[FAKTUR]]="",INDIRECT(ADDRESS(ROW()-1,COLUMN())),NOTA[[#This Row],[FAKTUR]]))</f>
        <v/>
      </c>
      <c r="AJ865" s="188" t="str">
        <f ca="1">IF(NOTA[[#This Row],[ID]]="","",COUNTIF(NOTA[ID_H],NOTA[[#This Row],[ID_H]]))</f>
        <v/>
      </c>
      <c r="AK865" s="188" t="str">
        <f ca="1">IF(NOTA[[#This Row],[TGL.NOTA]]="",IF(NOTA[[#This Row],[SUPPLIER_H]]="","",AK864),MONTH(NOTA[[#This Row],[TGL.NOTA]]))</f>
        <v/>
      </c>
      <c r="AL865" s="188" t="str">
        <f>LOWER(SUBSTITUTE(SUBSTITUTE(SUBSTITUTE(SUBSTITUTE(SUBSTITUTE(SUBSTITUTE(SUBSTITUTE(SUBSTITUTE(SUBSTITUTE(NOTA[NAMA BARANG]," ",),".",""),"-",""),"(",""),")",""),",",""),"/",""),"""",""),"+",""))</f>
        <v/>
      </c>
      <c r="AM86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188" t="str">
        <f>IF(NOTA[[#This Row],[CONCAT4]]="","",_xlfn.IFNA(MATCH(NOTA[[#This Row],[CONCAT4]],[2]!RAW[CONCAT_H],0),FALSE))</f>
        <v/>
      </c>
      <c r="AQ865" s="188" t="str">
        <f>IF(NOTA[[#This Row],[CONCAT1]]="","",MATCH(NOTA[[#This Row],[CONCAT1]],[3]!db[NB NOTA_C],0)+1)</f>
        <v/>
      </c>
    </row>
    <row r="866" spans="1:43" ht="20.100000000000001" customHeight="1" x14ac:dyDescent="0.25">
      <c r="A866" s="187">
        <f ca="1">IF(INDIRECT(ADDRESS(ROW()-1,COLUMN(NOTA[[#Headers],[ID]])))="ID",1,IF(NOTA[[#This Row],[FAKTUR]]="","",COUNT(INDIRECT(ADDRESS(ROW(NOTA[ID]),COLUMN(NOTA[ID]))&amp;":"&amp;ADDRESS(ROW()-1,COLUMN(NOTA[ID]))))+1))</f>
        <v>149</v>
      </c>
      <c r="B866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BIN_2905_914-1</v>
      </c>
      <c r="C866" s="188" t="e">
        <f ca="1">IF(NOTA[[#This Row],[ID_P]]="","",MATCH(NOTA[[#This Row],[ID_P]],[1]!B_MSK[N_ID],0))</f>
        <v>#REF!</v>
      </c>
      <c r="D866" s="188">
        <f ca="1">IF(NOTA[[#This Row],[NAMA BARANG]]="","",INDEX(NOTA[ID],MATCH(,INDIRECT(ADDRESS(ROW(NOTA[ID]),COLUMN(NOTA[ID]))&amp;":"&amp;ADDRESS(ROW(),COLUMN(NOTA[ID]))),-1)))</f>
        <v>149</v>
      </c>
      <c r="E866" s="189">
        <v>45075</v>
      </c>
      <c r="F866" s="27" t="s">
        <v>157</v>
      </c>
      <c r="G866" s="27" t="s">
        <v>112</v>
      </c>
      <c r="H866" s="54" t="s">
        <v>1048</v>
      </c>
      <c r="I866" s="190"/>
      <c r="J866" s="192">
        <v>45072</v>
      </c>
      <c r="K866" s="190"/>
      <c r="L866" s="27" t="s">
        <v>1049</v>
      </c>
      <c r="M866" s="193">
        <v>10</v>
      </c>
      <c r="N866" s="188">
        <f>72*10</f>
        <v>720</v>
      </c>
      <c r="O866" s="27" t="s">
        <v>160</v>
      </c>
      <c r="P866" s="187">
        <v>13800</v>
      </c>
      <c r="Q866" s="194"/>
      <c r="R866" s="42" t="s">
        <v>549</v>
      </c>
      <c r="S866" s="196"/>
      <c r="T866" s="197"/>
      <c r="U866" s="198"/>
      <c r="V866" s="199"/>
      <c r="W866" s="198">
        <f>IF(NOTA[[#This Row],[HARGA/ CTN]]="",NOTA[[#This Row],[JUMLAH_H]],NOTA[[#This Row],[HARGA/ CTN]]*IF(NOTA[[#This Row],[C]]="",0,NOTA[[#This Row],[C]]))</f>
        <v>9936000</v>
      </c>
      <c r="X866" s="198">
        <f>IF(NOTA[[#This Row],[JUMLAH]]="","",NOTA[[#This Row],[JUMLAH]]*NOTA[[#This Row],[DISC 1]])</f>
        <v>0</v>
      </c>
      <c r="Y866" s="198">
        <f>IF(NOTA[[#This Row],[JUMLAH]]="","",(NOTA[[#This Row],[JUMLAH]]-NOTA[[#This Row],[DISC 1-]])*NOTA[[#This Row],[DISC 2]])</f>
        <v>0</v>
      </c>
      <c r="Z866" s="198">
        <f>IF(NOTA[[#This Row],[JUMLAH]]="","",NOTA[[#This Row],[DISC 1-]]+NOTA[[#This Row],[DISC 2-]])</f>
        <v>0</v>
      </c>
      <c r="AA866" s="198">
        <f>IF(NOTA[[#This Row],[JUMLAH]]="","",NOTA[[#This Row],[JUMLAH]]-NOTA[[#This Row],[DISC]])</f>
        <v>9936000</v>
      </c>
      <c r="AB866" s="198"/>
      <c r="AC8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9936000</v>
      </c>
      <c r="AE866" s="187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866" s="200">
        <f>IF(OR(NOTA[[#This Row],[QTY]]="",NOTA[[#This Row],[HARGA SATUAN]]="",),"",NOTA[[#This Row],[QTY]]*NOTA[[#This Row],[HARGA SATUAN]])</f>
        <v>9936000</v>
      </c>
      <c r="AG866" s="192">
        <f ca="1">IF(NOTA[ID_H]="","",INDEX(NOTA[TANGGAL],MATCH(,INDIRECT(ADDRESS(ROW(NOTA[TANGGAL]),COLUMN(NOTA[TANGGAL]))&amp;":"&amp;ADDRESS(ROW(),COLUMN(NOTA[TANGGAL]))),-1)))</f>
        <v>45075</v>
      </c>
      <c r="AH866" s="187" t="str">
        <f ca="1">IF(NOTA[[#This Row],[NAMA BARANG]]="","",INDEX(NOTA[SUPPLIER],MATCH(,INDIRECT(ADDRESS(ROW(NOTA[ID]),COLUMN(NOTA[ID]))&amp;":"&amp;ADDRESS(ROW(),COLUMN(NOTA[ID]))),-1)))</f>
        <v>BINTANG JAYA</v>
      </c>
      <c r="AI866" s="187" t="str">
        <f ca="1">IF(NOTA[[#This Row],[ID_H]]="","",IF(NOTA[[#This Row],[FAKTUR]]="",INDIRECT(ADDRESS(ROW()-1,COLUMN())),NOTA[[#This Row],[FAKTUR]]))</f>
        <v>UNTANA</v>
      </c>
      <c r="AJ866" s="188">
        <f ca="1">IF(NOTA[[#This Row],[ID]]="","",COUNTIF(NOTA[ID_H],NOTA[[#This Row],[ID_H]]))</f>
        <v>1</v>
      </c>
      <c r="AK866" s="188">
        <f>IF(NOTA[[#This Row],[TGL.NOTA]]="",IF(NOTA[[#This Row],[SUPPLIER_H]]="","",AK865),MONTH(NOTA[[#This Row],[TGL.NOTA]]))</f>
        <v>5</v>
      </c>
      <c r="AL866" s="188" t="str">
        <f>LOWER(SUBSTITUTE(SUBSTITUTE(SUBSTITUTE(SUBSTITUTE(SUBSTITUTE(SUBSTITUTE(SUBSTITUTE(SUBSTITUTE(SUBSTITUTE(NOTA[NAMA BARANG]," ",),".",""),"-",""),"(",""),")",""),",",""),"/",""),"""",""),"+",""))</f>
        <v>oencilcasekalengwbisicc1008</v>
      </c>
      <c r="AM86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oencilcasekalengwbisicc1008993600</v>
      </c>
      <c r="AN86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oencilcasekalengwbisicc1008993600</v>
      </c>
      <c r="AO866" s="18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JAYAUNTANASI.203.05.0091445072oencilcasekalengwbisicc1008</v>
      </c>
      <c r="AP866" s="188" t="e">
        <f>IF(NOTA[[#This Row],[CONCAT4]]="","",_xlfn.IFNA(MATCH(NOTA[[#This Row],[CONCAT4]],[2]!RAW[CONCAT_H],0),FALSE))</f>
        <v>#REF!</v>
      </c>
      <c r="AQ866" s="188" t="e">
        <f>IF(NOTA[[#This Row],[CONCAT1]]="","",MATCH(NOTA[[#This Row],[CONCAT1]],[3]!db[NB NOTA_C],0)+1)</f>
        <v>#N/A</v>
      </c>
    </row>
    <row r="867" spans="1:43" ht="20.100000000000001" customHeight="1" x14ac:dyDescent="0.25">
      <c r="A86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188" t="str">
        <f>IF(NOTA[[#This Row],[ID_P]]="","",MATCH(NOTA[[#This Row],[ID_P]],[1]!B_MSK[N_ID],0))</f>
        <v/>
      </c>
      <c r="D867" s="188" t="str">
        <f ca="1">IF(NOTA[[#This Row],[NAMA BARANG]]="","",INDEX(NOTA[ID],MATCH(,INDIRECT(ADDRESS(ROW(NOTA[ID]),COLUMN(NOTA[ID]))&amp;":"&amp;ADDRESS(ROW(),COLUMN(NOTA[ID]))),-1)))</f>
        <v/>
      </c>
      <c r="E867" s="189"/>
      <c r="F867" s="190"/>
      <c r="G867" s="190"/>
      <c r="H867" s="191"/>
      <c r="I867" s="190"/>
      <c r="J867" s="192"/>
      <c r="K867" s="190"/>
      <c r="L867" s="190"/>
      <c r="M867" s="193"/>
      <c r="N867" s="188"/>
      <c r="O867" s="190"/>
      <c r="P867" s="187"/>
      <c r="Q867" s="194"/>
      <c r="R867" s="195"/>
      <c r="S867" s="196"/>
      <c r="T867" s="197"/>
      <c r="U867" s="198"/>
      <c r="V867" s="199"/>
      <c r="W867" s="198" t="str">
        <f>IF(NOTA[[#This Row],[HARGA/ CTN]]="",NOTA[[#This Row],[JUMLAH_H]],NOTA[[#This Row],[HARGA/ CTN]]*IF(NOTA[[#This Row],[C]]="",0,NOTA[[#This Row],[C]]))</f>
        <v/>
      </c>
      <c r="X867" s="198" t="str">
        <f>IF(NOTA[[#This Row],[JUMLAH]]="","",NOTA[[#This Row],[JUMLAH]]*NOTA[[#This Row],[DISC 1]])</f>
        <v/>
      </c>
      <c r="Y867" s="198" t="str">
        <f>IF(NOTA[[#This Row],[JUMLAH]]="","",(NOTA[[#This Row],[JUMLAH]]-NOTA[[#This Row],[DISC 1-]])*NOTA[[#This Row],[DISC 2]])</f>
        <v/>
      </c>
      <c r="Z867" s="198" t="str">
        <f>IF(NOTA[[#This Row],[JUMLAH]]="","",NOTA[[#This Row],[DISC 1-]]+NOTA[[#This Row],[DISC 2-]])</f>
        <v/>
      </c>
      <c r="AA867" s="198" t="str">
        <f>IF(NOTA[[#This Row],[JUMLAH]]="","",NOTA[[#This Row],[JUMLAH]]-NOTA[[#This Row],[DISC]])</f>
        <v/>
      </c>
      <c r="AB867" s="198"/>
      <c r="AC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200" t="str">
        <f>IF(OR(NOTA[[#This Row],[QTY]]="",NOTA[[#This Row],[HARGA SATUAN]]="",),"",NOTA[[#This Row],[QTY]]*NOTA[[#This Row],[HARGA SATUAN]])</f>
        <v/>
      </c>
      <c r="AG867" s="192" t="str">
        <f ca="1">IF(NOTA[ID_H]="","",INDEX(NOTA[TANGGAL],MATCH(,INDIRECT(ADDRESS(ROW(NOTA[TANGGAL]),COLUMN(NOTA[TANGGAL]))&amp;":"&amp;ADDRESS(ROW(),COLUMN(NOTA[TANGGAL]))),-1)))</f>
        <v/>
      </c>
      <c r="AH867" s="187" t="str">
        <f ca="1">IF(NOTA[[#This Row],[NAMA BARANG]]="","",INDEX(NOTA[SUPPLIER],MATCH(,INDIRECT(ADDRESS(ROW(NOTA[ID]),COLUMN(NOTA[ID]))&amp;":"&amp;ADDRESS(ROW(),COLUMN(NOTA[ID]))),-1)))</f>
        <v/>
      </c>
      <c r="AI867" s="187" t="str">
        <f ca="1">IF(NOTA[[#This Row],[ID_H]]="","",IF(NOTA[[#This Row],[FAKTUR]]="",INDIRECT(ADDRESS(ROW()-1,COLUMN())),NOTA[[#This Row],[FAKTUR]]))</f>
        <v/>
      </c>
      <c r="AJ867" s="188" t="str">
        <f ca="1">IF(NOTA[[#This Row],[ID]]="","",COUNTIF(NOTA[ID_H],NOTA[[#This Row],[ID_H]]))</f>
        <v/>
      </c>
      <c r="AK867" s="188" t="str">
        <f ca="1">IF(NOTA[[#This Row],[TGL.NOTA]]="",IF(NOTA[[#This Row],[SUPPLIER_H]]="","",AK866),MONTH(NOTA[[#This Row],[TGL.NOTA]]))</f>
        <v/>
      </c>
      <c r="AL867" s="188" t="str">
        <f>LOWER(SUBSTITUTE(SUBSTITUTE(SUBSTITUTE(SUBSTITUTE(SUBSTITUTE(SUBSTITUTE(SUBSTITUTE(SUBSTITUTE(SUBSTITUTE(NOTA[NAMA BARANG]," ",),".",""),"-",""),"(",""),")",""),",",""),"/",""),"""",""),"+",""))</f>
        <v/>
      </c>
      <c r="AM86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188" t="str">
        <f>IF(NOTA[[#This Row],[CONCAT4]]="","",_xlfn.IFNA(MATCH(NOTA[[#This Row],[CONCAT4]],[2]!RAW[CONCAT_H],0),FALSE))</f>
        <v/>
      </c>
      <c r="AQ867" s="188" t="str">
        <f>IF(NOTA[[#This Row],[CONCAT1]]="","",MATCH(NOTA[[#This Row],[CONCAT1]],[3]!db[NB NOTA_C],0)+1)</f>
        <v/>
      </c>
    </row>
    <row r="868" spans="1:43" ht="20.100000000000001" customHeight="1" x14ac:dyDescent="0.25">
      <c r="A868" s="187">
        <f ca="1">IF(INDIRECT(ADDRESS(ROW()-1,COLUMN(NOTA[[#Headers],[ID]])))="ID",1,IF(NOTA[[#This Row],[FAKTUR]]="","",COUNT(INDIRECT(ADDRESS(ROW(NOTA[ID]),COLUMN(NOTA[ID]))&amp;":"&amp;ADDRESS(ROW()-1,COLUMN(NOTA[ID]))))+1))</f>
        <v>150</v>
      </c>
      <c r="B86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GRA_2905_-3</v>
      </c>
      <c r="C868" s="188" t="e">
        <f ca="1">IF(NOTA[[#This Row],[ID_P]]="","",MATCH(NOTA[[#This Row],[ID_P]],[1]!B_MSK[N_ID],0))</f>
        <v>#REF!</v>
      </c>
      <c r="D868" s="188">
        <f ca="1">IF(NOTA[[#This Row],[NAMA BARANG]]="","",INDEX(NOTA[ID],MATCH(,INDIRECT(ADDRESS(ROW(NOTA[ID]),COLUMN(NOTA[ID]))&amp;":"&amp;ADDRESS(ROW(),COLUMN(NOTA[ID]))),-1)))</f>
        <v>150</v>
      </c>
      <c r="E868" s="189">
        <v>45075</v>
      </c>
      <c r="F868" s="27" t="s">
        <v>124</v>
      </c>
      <c r="G868" s="27" t="s">
        <v>112</v>
      </c>
      <c r="H868" s="191"/>
      <c r="I868" s="190"/>
      <c r="J868" s="192">
        <v>45075</v>
      </c>
      <c r="K868" s="190"/>
      <c r="L868" s="27" t="s">
        <v>1051</v>
      </c>
      <c r="M868" s="193">
        <v>6</v>
      </c>
      <c r="N868" s="188">
        <v>200</v>
      </c>
      <c r="O868" s="27" t="s">
        <v>125</v>
      </c>
      <c r="P868" s="187"/>
      <c r="Q868" s="194"/>
      <c r="R868" s="42" t="s">
        <v>137</v>
      </c>
      <c r="S868" s="196"/>
      <c r="T868" s="197"/>
      <c r="U868" s="198"/>
      <c r="V868" s="199"/>
      <c r="W868" s="198" t="str">
        <f>IF(NOTA[[#This Row],[HARGA/ CTN]]="",NOTA[[#This Row],[JUMLAH_H]],NOTA[[#This Row],[HARGA/ CTN]]*IF(NOTA[[#This Row],[C]]="",0,NOTA[[#This Row],[C]]))</f>
        <v/>
      </c>
      <c r="X868" s="198" t="str">
        <f>IF(NOTA[[#This Row],[JUMLAH]]="","",NOTA[[#This Row],[JUMLAH]]*NOTA[[#This Row],[DISC 1]])</f>
        <v/>
      </c>
      <c r="Y868" s="198" t="str">
        <f>IF(NOTA[[#This Row],[JUMLAH]]="","",(NOTA[[#This Row],[JUMLAH]]-NOTA[[#This Row],[DISC 1-]])*NOTA[[#This Row],[DISC 2]])</f>
        <v/>
      </c>
      <c r="Z868" s="198" t="str">
        <f>IF(NOTA[[#This Row],[JUMLAH]]="","",NOTA[[#This Row],[DISC 1-]]+NOTA[[#This Row],[DISC 2-]])</f>
        <v/>
      </c>
      <c r="AA868" s="198" t="str">
        <f>IF(NOTA[[#This Row],[JUMLAH]]="","",NOTA[[#This Row],[JUMLAH]]-NOTA[[#This Row],[DISC]])</f>
        <v/>
      </c>
      <c r="AB868" s="198"/>
      <c r="AC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8" s="200" t="str">
        <f>IF(OR(NOTA[[#This Row],[QTY]]="",NOTA[[#This Row],[HARGA SATUAN]]="",),"",NOTA[[#This Row],[QTY]]*NOTA[[#This Row],[HARGA SATUAN]])</f>
        <v/>
      </c>
      <c r="AG868" s="192">
        <f ca="1">IF(NOTA[ID_H]="","",INDEX(NOTA[TANGGAL],MATCH(,INDIRECT(ADDRESS(ROW(NOTA[TANGGAL]),COLUMN(NOTA[TANGGAL]))&amp;":"&amp;ADDRESS(ROW(),COLUMN(NOTA[TANGGAL]))),-1)))</f>
        <v>45075</v>
      </c>
      <c r="AH868" s="187" t="str">
        <f ca="1">IF(NOTA[[#This Row],[NAMA BARANG]]="","",INDEX(NOTA[SUPPLIER],MATCH(,INDIRECT(ADDRESS(ROW(NOTA[ID]),COLUMN(NOTA[ID]))&amp;":"&amp;ADDRESS(ROW(),COLUMN(NOTA[ID]))),-1)))</f>
        <v>GRAFINDO</v>
      </c>
      <c r="AI868" s="187" t="str">
        <f ca="1">IF(NOTA[[#This Row],[ID_H]]="","",IF(NOTA[[#This Row],[FAKTUR]]="",INDIRECT(ADDRESS(ROW()-1,COLUMN())),NOTA[[#This Row],[FAKTUR]]))</f>
        <v>UNTANA</v>
      </c>
      <c r="AJ868" s="188">
        <f ca="1">IF(NOTA[[#This Row],[ID]]="","",COUNTIF(NOTA[ID_H],NOTA[[#This Row],[ID_H]]))</f>
        <v>3</v>
      </c>
      <c r="AK868" s="188">
        <f>IF(NOTA[[#This Row],[TGL.NOTA]]="",IF(NOTA[[#This Row],[SUPPLIER_H]]="","",AK867),MONTH(NOTA[[#This Row],[TGL.NOTA]]))</f>
        <v>5</v>
      </c>
      <c r="AL868" s="188" t="str">
        <f>LOWER(SUBSTITUTE(SUBSTITUTE(SUBSTITUTE(SUBSTITUTE(SUBSTITUTE(SUBSTITUTE(SUBSTITUTE(SUBSTITUTE(SUBSTITUTE(NOTA[NAMA BARANG]," ",),".",""),"-",""),"(",""),")",""),",",""),"/",""),"""",""),"+",""))</f>
        <v>businessfilefoliosikaac106fputih</v>
      </c>
      <c r="AM86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businessfilefoliosikaac106fputih0</v>
      </c>
      <c r="AN86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businessfilefoliosikaac106fputih0</v>
      </c>
      <c r="AO868" s="18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GRAFINDOUNTANA45075businessfilefoliosikaac106fputih</v>
      </c>
      <c r="AP868" s="188" t="e">
        <f>IF(NOTA[[#This Row],[CONCAT4]]="","",_xlfn.IFNA(MATCH(NOTA[[#This Row],[CONCAT4]],[2]!RAW[CONCAT_H],0),FALSE))</f>
        <v>#REF!</v>
      </c>
      <c r="AQ868" s="188" t="e">
        <f>IF(NOTA[[#This Row],[CONCAT1]]="","",MATCH(NOTA[[#This Row],[CONCAT1]],[3]!db[NB NOTA_C],0)+1)</f>
        <v>#N/A</v>
      </c>
    </row>
    <row r="869" spans="1:43" ht="20.100000000000001" customHeight="1" x14ac:dyDescent="0.25">
      <c r="A86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188" t="str">
        <f>IF(NOTA[[#This Row],[ID_P]]="","",MATCH(NOTA[[#This Row],[ID_P]],[1]!B_MSK[N_ID],0))</f>
        <v/>
      </c>
      <c r="D869" s="188">
        <f ca="1">IF(NOTA[[#This Row],[NAMA BARANG]]="","",INDEX(NOTA[ID],MATCH(,INDIRECT(ADDRESS(ROW(NOTA[ID]),COLUMN(NOTA[ID]))&amp;":"&amp;ADDRESS(ROW(),COLUMN(NOTA[ID]))),-1)))</f>
        <v>150</v>
      </c>
      <c r="E869" s="189"/>
      <c r="F869" s="190"/>
      <c r="G869" s="190"/>
      <c r="H869" s="191"/>
      <c r="I869" s="190"/>
      <c r="J869" s="192"/>
      <c r="K869" s="190"/>
      <c r="L869" s="27" t="s">
        <v>1050</v>
      </c>
      <c r="M869" s="193">
        <v>15</v>
      </c>
      <c r="N869" s="188">
        <v>750</v>
      </c>
      <c r="O869" s="27" t="s">
        <v>125</v>
      </c>
      <c r="P869" s="187"/>
      <c r="Q869" s="194"/>
      <c r="R869" s="42" t="s">
        <v>137</v>
      </c>
      <c r="S869" s="196"/>
      <c r="T869" s="197"/>
      <c r="U869" s="198"/>
      <c r="V869" s="199"/>
      <c r="W869" s="198" t="str">
        <f>IF(NOTA[[#This Row],[HARGA/ CTN]]="",NOTA[[#This Row],[JUMLAH_H]],NOTA[[#This Row],[HARGA/ CTN]]*IF(NOTA[[#This Row],[C]]="",0,NOTA[[#This Row],[C]]))</f>
        <v/>
      </c>
      <c r="X869" s="198" t="str">
        <f>IF(NOTA[[#This Row],[JUMLAH]]="","",NOTA[[#This Row],[JUMLAH]]*NOTA[[#This Row],[DISC 1]])</f>
        <v/>
      </c>
      <c r="Y869" s="198" t="str">
        <f>IF(NOTA[[#This Row],[JUMLAH]]="","",(NOTA[[#This Row],[JUMLAH]]-NOTA[[#This Row],[DISC 1-]])*NOTA[[#This Row],[DISC 2]])</f>
        <v/>
      </c>
      <c r="Z869" s="198" t="str">
        <f>IF(NOTA[[#This Row],[JUMLAH]]="","",NOTA[[#This Row],[DISC 1-]]+NOTA[[#This Row],[DISC 2-]])</f>
        <v/>
      </c>
      <c r="AA869" s="198" t="str">
        <f>IF(NOTA[[#This Row],[JUMLAH]]="","",NOTA[[#This Row],[JUMLAH]]-NOTA[[#This Row],[DISC]])</f>
        <v/>
      </c>
      <c r="AB869" s="198"/>
      <c r="AC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9" s="200" t="str">
        <f>IF(OR(NOTA[[#This Row],[QTY]]="",NOTA[[#This Row],[HARGA SATUAN]]="",),"",NOTA[[#This Row],[QTY]]*NOTA[[#This Row],[HARGA SATUAN]])</f>
        <v/>
      </c>
      <c r="AG869" s="192">
        <f ca="1">IF(NOTA[ID_H]="","",INDEX(NOTA[TANGGAL],MATCH(,INDIRECT(ADDRESS(ROW(NOTA[TANGGAL]),COLUMN(NOTA[TANGGAL]))&amp;":"&amp;ADDRESS(ROW(),COLUMN(NOTA[TANGGAL]))),-1)))</f>
        <v>45075</v>
      </c>
      <c r="AH869" s="187" t="str">
        <f ca="1">IF(NOTA[[#This Row],[NAMA BARANG]]="","",INDEX(NOTA[SUPPLIER],MATCH(,INDIRECT(ADDRESS(ROW(NOTA[ID]),COLUMN(NOTA[ID]))&amp;":"&amp;ADDRESS(ROW(),COLUMN(NOTA[ID]))),-1)))</f>
        <v>GRAFINDO</v>
      </c>
      <c r="AI869" s="187" t="str">
        <f ca="1">IF(NOTA[[#This Row],[ID_H]]="","",IF(NOTA[[#This Row],[FAKTUR]]="",INDIRECT(ADDRESS(ROW()-1,COLUMN())),NOTA[[#This Row],[FAKTUR]]))</f>
        <v>UNTANA</v>
      </c>
      <c r="AJ869" s="188" t="str">
        <f ca="1">IF(NOTA[[#This Row],[ID]]="","",COUNTIF(NOTA[ID_H],NOTA[[#This Row],[ID_H]]))</f>
        <v/>
      </c>
      <c r="AK869" s="188">
        <f ca="1">IF(NOTA[[#This Row],[TGL.NOTA]]="",IF(NOTA[[#This Row],[SUPPLIER_H]]="","",AK868),MONTH(NOTA[[#This Row],[TGL.NOTA]]))</f>
        <v>5</v>
      </c>
      <c r="AL869" s="188" t="str">
        <f>LOWER(SUBSTITUTE(SUBSTITUTE(SUBSTITUTE(SUBSTITUTE(SUBSTITUTE(SUBSTITUTE(SUBSTITUTE(SUBSTITUTE(SUBSTITUTE(NOTA[NAMA BARANG]," ",),".",""),"-",""),"(",""),")",""),",",""),"/",""),"""",""),"+",""))</f>
        <v>businessfilefoliosikaac106fmerah</v>
      </c>
      <c r="AM86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businessfilefoliosikaac106fmerah0</v>
      </c>
      <c r="AN86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businessfilefoliosikaac106fmerah0</v>
      </c>
      <c r="AO86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188" t="str">
        <f>IF(NOTA[[#This Row],[CONCAT4]]="","",_xlfn.IFNA(MATCH(NOTA[[#This Row],[CONCAT4]],[2]!RAW[CONCAT_H],0),FALSE))</f>
        <v/>
      </c>
      <c r="AQ869" s="188" t="e">
        <f>IF(NOTA[[#This Row],[CONCAT1]]="","",MATCH(NOTA[[#This Row],[CONCAT1]],[3]!db[NB NOTA_C],0)+1)</f>
        <v>#N/A</v>
      </c>
    </row>
    <row r="870" spans="1:43" ht="20.100000000000001" customHeight="1" x14ac:dyDescent="0.25">
      <c r="A870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188" t="str">
        <f>IF(NOTA[[#This Row],[ID_P]]="","",MATCH(NOTA[[#This Row],[ID_P]],[1]!B_MSK[N_ID],0))</f>
        <v/>
      </c>
      <c r="D870" s="188">
        <f ca="1">IF(NOTA[[#This Row],[NAMA BARANG]]="","",INDEX(NOTA[ID],MATCH(,INDIRECT(ADDRESS(ROW(NOTA[ID]),COLUMN(NOTA[ID]))&amp;":"&amp;ADDRESS(ROW(),COLUMN(NOTA[ID]))),-1)))</f>
        <v>150</v>
      </c>
      <c r="E870" s="189"/>
      <c r="F870" s="190"/>
      <c r="G870" s="190"/>
      <c r="H870" s="191"/>
      <c r="I870" s="190"/>
      <c r="J870" s="192"/>
      <c r="K870" s="190"/>
      <c r="L870" s="27" t="s">
        <v>1052</v>
      </c>
      <c r="M870" s="193">
        <v>23</v>
      </c>
      <c r="N870" s="188">
        <v>1150</v>
      </c>
      <c r="O870" s="27" t="s">
        <v>125</v>
      </c>
      <c r="P870" s="187"/>
      <c r="Q870" s="194"/>
      <c r="R870" s="42" t="s">
        <v>137</v>
      </c>
      <c r="S870" s="196"/>
      <c r="T870" s="197"/>
      <c r="U870" s="198"/>
      <c r="V870" s="199"/>
      <c r="W870" s="198" t="str">
        <f>IF(NOTA[[#This Row],[HARGA/ CTN]]="",NOTA[[#This Row],[JUMLAH_H]],NOTA[[#This Row],[HARGA/ CTN]]*IF(NOTA[[#This Row],[C]]="",0,NOTA[[#This Row],[C]]))</f>
        <v/>
      </c>
      <c r="X870" s="198" t="str">
        <f>IF(NOTA[[#This Row],[JUMLAH]]="","",NOTA[[#This Row],[JUMLAH]]*NOTA[[#This Row],[DISC 1]])</f>
        <v/>
      </c>
      <c r="Y870" s="198" t="str">
        <f>IF(NOTA[[#This Row],[JUMLAH]]="","",(NOTA[[#This Row],[JUMLAH]]-NOTA[[#This Row],[DISC 1-]])*NOTA[[#This Row],[DISC 2]])</f>
        <v/>
      </c>
      <c r="Z870" s="198" t="str">
        <f>IF(NOTA[[#This Row],[JUMLAH]]="","",NOTA[[#This Row],[DISC 1-]]+NOTA[[#This Row],[DISC 2-]])</f>
        <v/>
      </c>
      <c r="AA870" s="198" t="str">
        <f>IF(NOTA[[#This Row],[JUMLAH]]="","",NOTA[[#This Row],[JUMLAH]]-NOTA[[#This Row],[DISC]])</f>
        <v/>
      </c>
      <c r="AB870" s="198"/>
      <c r="AC87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0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70" s="187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70" s="200" t="str">
        <f>IF(OR(NOTA[[#This Row],[QTY]]="",NOTA[[#This Row],[HARGA SATUAN]]="",),"",NOTA[[#This Row],[QTY]]*NOTA[[#This Row],[HARGA SATUAN]])</f>
        <v/>
      </c>
      <c r="AG870" s="192">
        <f ca="1">IF(NOTA[ID_H]="","",INDEX(NOTA[TANGGAL],MATCH(,INDIRECT(ADDRESS(ROW(NOTA[TANGGAL]),COLUMN(NOTA[TANGGAL]))&amp;":"&amp;ADDRESS(ROW(),COLUMN(NOTA[TANGGAL]))),-1)))</f>
        <v>45075</v>
      </c>
      <c r="AH870" s="187" t="str">
        <f ca="1">IF(NOTA[[#This Row],[NAMA BARANG]]="","",INDEX(NOTA[SUPPLIER],MATCH(,INDIRECT(ADDRESS(ROW(NOTA[ID]),COLUMN(NOTA[ID]))&amp;":"&amp;ADDRESS(ROW(),COLUMN(NOTA[ID]))),-1)))</f>
        <v>GRAFINDO</v>
      </c>
      <c r="AI870" s="187" t="str">
        <f ca="1">IF(NOTA[[#This Row],[ID_H]]="","",IF(NOTA[[#This Row],[FAKTUR]]="",INDIRECT(ADDRESS(ROW()-1,COLUMN())),NOTA[[#This Row],[FAKTUR]]))</f>
        <v>UNTANA</v>
      </c>
      <c r="AJ870" s="188" t="str">
        <f ca="1">IF(NOTA[[#This Row],[ID]]="","",COUNTIF(NOTA[ID_H],NOTA[[#This Row],[ID_H]]))</f>
        <v/>
      </c>
      <c r="AK870" s="188">
        <f ca="1">IF(NOTA[[#This Row],[TGL.NOTA]]="",IF(NOTA[[#This Row],[SUPPLIER_H]]="","",AK869),MONTH(NOTA[[#This Row],[TGL.NOTA]]))</f>
        <v>5</v>
      </c>
      <c r="AL870" s="188" t="str">
        <f>LOWER(SUBSTITUTE(SUBSTITUTE(SUBSTITUTE(SUBSTITUTE(SUBSTITUTE(SUBSTITUTE(SUBSTITUTE(SUBSTITUTE(SUBSTITUTE(NOTA[NAMA BARANG]," ",),".",""),"-",""),"(",""),")",""),",",""),"/",""),"""",""),"+",""))</f>
        <v>businessfilefoliosikaac106fkuning</v>
      </c>
      <c r="AM87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businessfilefoliosikaac106fkuning0</v>
      </c>
      <c r="AN87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businessfilefoliosikaac106fkuning0</v>
      </c>
      <c r="AO870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188" t="str">
        <f>IF(NOTA[[#This Row],[CONCAT4]]="","",_xlfn.IFNA(MATCH(NOTA[[#This Row],[CONCAT4]],[2]!RAW[CONCAT_H],0),FALSE))</f>
        <v/>
      </c>
      <c r="AQ870" s="188" t="e">
        <f>IF(NOTA[[#This Row],[CONCAT1]]="","",MATCH(NOTA[[#This Row],[CONCAT1]],[3]!db[NB NOTA_C],0)+1)</f>
        <v>#N/A</v>
      </c>
    </row>
    <row r="871" spans="1:43" ht="20.100000000000001" customHeight="1" x14ac:dyDescent="0.25">
      <c r="A87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188" t="str">
        <f>IF(NOTA[[#This Row],[ID_P]]="","",MATCH(NOTA[[#This Row],[ID_P]],[1]!B_MSK[N_ID],0))</f>
        <v/>
      </c>
      <c r="D871" s="188" t="str">
        <f ca="1">IF(NOTA[[#This Row],[NAMA BARANG]]="","",INDEX(NOTA[ID],MATCH(,INDIRECT(ADDRESS(ROW(NOTA[ID]),COLUMN(NOTA[ID]))&amp;":"&amp;ADDRESS(ROW(),COLUMN(NOTA[ID]))),-1)))</f>
        <v/>
      </c>
      <c r="E871" s="189"/>
      <c r="F871" s="190"/>
      <c r="G871" s="190"/>
      <c r="H871" s="191"/>
      <c r="I871" s="190"/>
      <c r="J871" s="192"/>
      <c r="K871" s="190"/>
      <c r="L871" s="190"/>
      <c r="M871" s="193"/>
      <c r="N871" s="188"/>
      <c r="O871" s="190"/>
      <c r="P871" s="187"/>
      <c r="Q871" s="194"/>
      <c r="R871" s="195"/>
      <c r="S871" s="196"/>
      <c r="T871" s="197"/>
      <c r="U871" s="198"/>
      <c r="V871" s="199"/>
      <c r="W871" s="198" t="str">
        <f>IF(NOTA[[#This Row],[HARGA/ CTN]]="",NOTA[[#This Row],[JUMLAH_H]],NOTA[[#This Row],[HARGA/ CTN]]*IF(NOTA[[#This Row],[C]]="",0,NOTA[[#This Row],[C]]))</f>
        <v/>
      </c>
      <c r="X871" s="198" t="str">
        <f>IF(NOTA[[#This Row],[JUMLAH]]="","",NOTA[[#This Row],[JUMLAH]]*NOTA[[#This Row],[DISC 1]])</f>
        <v/>
      </c>
      <c r="Y871" s="198" t="str">
        <f>IF(NOTA[[#This Row],[JUMLAH]]="","",(NOTA[[#This Row],[JUMLAH]]-NOTA[[#This Row],[DISC 1-]])*NOTA[[#This Row],[DISC 2]])</f>
        <v/>
      </c>
      <c r="Z871" s="198" t="str">
        <f>IF(NOTA[[#This Row],[JUMLAH]]="","",NOTA[[#This Row],[DISC 1-]]+NOTA[[#This Row],[DISC 2-]])</f>
        <v/>
      </c>
      <c r="AA871" s="198" t="str">
        <f>IF(NOTA[[#This Row],[JUMLAH]]="","",NOTA[[#This Row],[JUMLAH]]-NOTA[[#This Row],[DISC]])</f>
        <v/>
      </c>
      <c r="AB871" s="198"/>
      <c r="AC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200" t="str">
        <f>IF(OR(NOTA[[#This Row],[QTY]]="",NOTA[[#This Row],[HARGA SATUAN]]="",),"",NOTA[[#This Row],[QTY]]*NOTA[[#This Row],[HARGA SATUAN]])</f>
        <v/>
      </c>
      <c r="AG871" s="192" t="str">
        <f ca="1">IF(NOTA[ID_H]="","",INDEX(NOTA[TANGGAL],MATCH(,INDIRECT(ADDRESS(ROW(NOTA[TANGGAL]),COLUMN(NOTA[TANGGAL]))&amp;":"&amp;ADDRESS(ROW(),COLUMN(NOTA[TANGGAL]))),-1)))</f>
        <v/>
      </c>
      <c r="AH871" s="187" t="str">
        <f ca="1">IF(NOTA[[#This Row],[NAMA BARANG]]="","",INDEX(NOTA[SUPPLIER],MATCH(,INDIRECT(ADDRESS(ROW(NOTA[ID]),COLUMN(NOTA[ID]))&amp;":"&amp;ADDRESS(ROW(),COLUMN(NOTA[ID]))),-1)))</f>
        <v/>
      </c>
      <c r="AI871" s="187" t="str">
        <f ca="1">IF(NOTA[[#This Row],[ID_H]]="","",IF(NOTA[[#This Row],[FAKTUR]]="",INDIRECT(ADDRESS(ROW()-1,COLUMN())),NOTA[[#This Row],[FAKTUR]]))</f>
        <v/>
      </c>
      <c r="AJ871" s="188" t="str">
        <f ca="1">IF(NOTA[[#This Row],[ID]]="","",COUNTIF(NOTA[ID_H],NOTA[[#This Row],[ID_H]]))</f>
        <v/>
      </c>
      <c r="AK871" s="188" t="str">
        <f ca="1">IF(NOTA[[#This Row],[TGL.NOTA]]="",IF(NOTA[[#This Row],[SUPPLIER_H]]="","",AK870),MONTH(NOTA[[#This Row],[TGL.NOTA]]))</f>
        <v/>
      </c>
      <c r="AL871" s="188" t="str">
        <f>LOWER(SUBSTITUTE(SUBSTITUTE(SUBSTITUTE(SUBSTITUTE(SUBSTITUTE(SUBSTITUTE(SUBSTITUTE(SUBSTITUTE(SUBSTITUTE(NOTA[NAMA BARANG]," ",),".",""),"-",""),"(",""),")",""),",",""),"/",""),"""",""),"+",""))</f>
        <v/>
      </c>
      <c r="AM87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188" t="str">
        <f>IF(NOTA[[#This Row],[CONCAT4]]="","",_xlfn.IFNA(MATCH(NOTA[[#This Row],[CONCAT4]],[2]!RAW[CONCAT_H],0),FALSE))</f>
        <v/>
      </c>
      <c r="AQ871" s="188" t="str">
        <f>IF(NOTA[[#This Row],[CONCAT1]]="","",MATCH(NOTA[[#This Row],[CONCAT1]],[3]!db[NB NOTA_C],0)+1)</f>
        <v/>
      </c>
    </row>
    <row r="872" spans="1:43" ht="20.100000000000001" customHeight="1" x14ac:dyDescent="0.25">
      <c r="A872" s="187">
        <f ca="1">IF(INDIRECT(ADDRESS(ROW()-1,COLUMN(NOTA[[#Headers],[ID]])))="ID",1,IF(NOTA[[#This Row],[FAKTUR]]="","",COUNT(INDIRECT(ADDRESS(ROW(NOTA[ID]),COLUMN(NOTA[ID]))&amp;":"&amp;ADDRESS(ROW()-1,COLUMN(NOTA[ID]))))+1))</f>
        <v>151</v>
      </c>
      <c r="B872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872" s="188" t="e">
        <f ca="1">IF(NOTA[[#This Row],[ID_P]]="","",MATCH(NOTA[[#This Row],[ID_P]],[1]!B_MSK[N_ID],0))</f>
        <v>#REF!</v>
      </c>
      <c r="D872" s="188">
        <f ca="1">IF(NOTA[[#This Row],[NAMA BARANG]]="","",INDEX(NOTA[ID],MATCH(,INDIRECT(ADDRESS(ROW(NOTA[ID]),COLUMN(NOTA[ID]))&amp;":"&amp;ADDRESS(ROW(),COLUMN(NOTA[ID]))),-1)))</f>
        <v>151</v>
      </c>
      <c r="E872" s="189"/>
      <c r="F872" s="27" t="s">
        <v>249</v>
      </c>
      <c r="G872" s="27" t="s">
        <v>112</v>
      </c>
      <c r="H872" s="54" t="s">
        <v>1053</v>
      </c>
      <c r="I872" s="190"/>
      <c r="J872" s="53">
        <v>45072</v>
      </c>
      <c r="K872" s="190"/>
      <c r="L872" s="27" t="s">
        <v>1054</v>
      </c>
      <c r="M872" s="193">
        <v>7</v>
      </c>
      <c r="N872" s="188">
        <v>672</v>
      </c>
      <c r="O872" s="27" t="s">
        <v>160</v>
      </c>
      <c r="P872" s="187">
        <v>21000</v>
      </c>
      <c r="Q872" s="194"/>
      <c r="R872" s="42" t="s">
        <v>728</v>
      </c>
      <c r="S872" s="196">
        <v>2.5000000000000001E-2</v>
      </c>
      <c r="T872" s="197"/>
      <c r="U872" s="198"/>
      <c r="V872" s="199"/>
      <c r="W872" s="198">
        <f>IF(NOTA[[#This Row],[HARGA/ CTN]]="",NOTA[[#This Row],[JUMLAH_H]],NOTA[[#This Row],[HARGA/ CTN]]*IF(NOTA[[#This Row],[C]]="",0,NOTA[[#This Row],[C]]))</f>
        <v>14112000</v>
      </c>
      <c r="X872" s="198">
        <f>IF(NOTA[[#This Row],[JUMLAH]]="","",NOTA[[#This Row],[JUMLAH]]*NOTA[[#This Row],[DISC 1]])</f>
        <v>352800</v>
      </c>
      <c r="Y872" s="198">
        <f>IF(NOTA[[#This Row],[JUMLAH]]="","",(NOTA[[#This Row],[JUMLAH]]-NOTA[[#This Row],[DISC 1-]])*NOTA[[#This Row],[DISC 2]])</f>
        <v>0</v>
      </c>
      <c r="Z872" s="198">
        <f>IF(NOTA[[#This Row],[JUMLAH]]="","",NOTA[[#This Row],[DISC 1-]]+NOTA[[#This Row],[DISC 2-]])</f>
        <v>352800</v>
      </c>
      <c r="AA872" s="198">
        <f>IF(NOTA[[#This Row],[JUMLAH]]="","",NOTA[[#This Row],[JUMLAH]]-NOTA[[#This Row],[DISC]])</f>
        <v>13759200</v>
      </c>
      <c r="AB872" s="198"/>
      <c r="AC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72" s="200">
        <f>IF(OR(NOTA[[#This Row],[QTY]]="",NOTA[[#This Row],[HARGA SATUAN]]="",),"",NOTA[[#This Row],[QTY]]*NOTA[[#This Row],[HARGA SATUAN]])</f>
        <v>14112000</v>
      </c>
      <c r="AG872" s="192">
        <f ca="1">IF(NOTA[ID_H]="","",INDEX(NOTA[TANGGAL],MATCH(,INDIRECT(ADDRESS(ROW(NOTA[TANGGAL]),COLUMN(NOTA[TANGGAL]))&amp;":"&amp;ADDRESS(ROW(),COLUMN(NOTA[TANGGAL]))),-1)))</f>
        <v>45075</v>
      </c>
      <c r="AH872" s="187" t="str">
        <f ca="1">IF(NOTA[[#This Row],[NAMA BARANG]]="","",INDEX(NOTA[SUPPLIER],MATCH(,INDIRECT(ADDRESS(ROW(NOTA[ID]),COLUMN(NOTA[ID]))&amp;":"&amp;ADDRESS(ROW(),COLUMN(NOTA[ID]))),-1)))</f>
        <v>DUTA BUANA</v>
      </c>
      <c r="AI872" s="187" t="str">
        <f ca="1">IF(NOTA[[#This Row],[ID_H]]="","",IF(NOTA[[#This Row],[FAKTUR]]="",INDIRECT(ADDRESS(ROW()-1,COLUMN())),NOTA[[#This Row],[FAKTUR]]))</f>
        <v>UNTANA</v>
      </c>
      <c r="AJ872" s="188">
        <f ca="1">IF(NOTA[[#This Row],[ID]]="","",COUNTIF(NOTA[ID_H],NOTA[[#This Row],[ID_H]]))</f>
        <v>2</v>
      </c>
      <c r="AK872" s="188">
        <f>IF(NOTA[[#This Row],[TGL.NOTA]]="",IF(NOTA[[#This Row],[SUPPLIER_H]]="","",AK871),MONTH(NOTA[[#This Row],[TGL.NOTA]]))</f>
        <v>5</v>
      </c>
      <c r="AL872" s="188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M87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bindernotefphy002a56020160000.025</v>
      </c>
      <c r="AN87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bindernotefphy002a56020160000.025</v>
      </c>
      <c r="AO872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BUANAUNTANADHM/059/05-23C45072bindernotefphy002a560</v>
      </c>
      <c r="AP872" s="188" t="e">
        <f>IF(NOTA[[#This Row],[CONCAT4]]="","",_xlfn.IFNA(MATCH(NOTA[[#This Row],[CONCAT4]],[2]!RAW[CONCAT_H],0),FALSE))</f>
        <v>#REF!</v>
      </c>
      <c r="AQ872" s="188">
        <f>IF(NOTA[[#This Row],[CONCAT1]]="","",MATCH(NOTA[[#This Row],[CONCAT1]],[3]!db[NB NOTA_C],0)+1)</f>
        <v>272</v>
      </c>
    </row>
    <row r="873" spans="1:43" ht="20.100000000000001" customHeight="1" x14ac:dyDescent="0.25">
      <c r="A87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188" t="str">
        <f>IF(NOTA[[#This Row],[ID_P]]="","",MATCH(NOTA[[#This Row],[ID_P]],[1]!B_MSK[N_ID],0))</f>
        <v/>
      </c>
      <c r="D873" s="188">
        <f ca="1">IF(NOTA[[#This Row],[NAMA BARANG]]="","",INDEX(NOTA[ID],MATCH(,INDIRECT(ADDRESS(ROW(NOTA[ID]),COLUMN(NOTA[ID]))&amp;":"&amp;ADDRESS(ROW(),COLUMN(NOTA[ID]))),-1)))</f>
        <v>151</v>
      </c>
      <c r="E873" s="189"/>
      <c r="F873" s="190"/>
      <c r="G873" s="190"/>
      <c r="H873" s="191"/>
      <c r="I873" s="190"/>
      <c r="J873" s="192"/>
      <c r="K873" s="190"/>
      <c r="L873" s="27" t="s">
        <v>1055</v>
      </c>
      <c r="M873" s="193">
        <v>3</v>
      </c>
      <c r="N873" s="188">
        <v>216</v>
      </c>
      <c r="O873" s="27" t="s">
        <v>160</v>
      </c>
      <c r="P873" s="187">
        <v>28000</v>
      </c>
      <c r="Q873" s="194"/>
      <c r="R873" s="42" t="s">
        <v>549</v>
      </c>
      <c r="S873" s="196">
        <v>2.5000000000000001E-2</v>
      </c>
      <c r="T873" s="197"/>
      <c r="U873" s="198"/>
      <c r="V873" s="199"/>
      <c r="W873" s="198">
        <f>IF(NOTA[[#This Row],[HARGA/ CTN]]="",NOTA[[#This Row],[JUMLAH_H]],NOTA[[#This Row],[HARGA/ CTN]]*IF(NOTA[[#This Row],[C]]="",0,NOTA[[#This Row],[C]]))</f>
        <v>6048000</v>
      </c>
      <c r="X873" s="198">
        <f>IF(NOTA[[#This Row],[JUMLAH]]="","",NOTA[[#This Row],[JUMLAH]]*NOTA[[#This Row],[DISC 1]])</f>
        <v>151200</v>
      </c>
      <c r="Y873" s="198">
        <f>IF(NOTA[[#This Row],[JUMLAH]]="","",(NOTA[[#This Row],[JUMLAH]]-NOTA[[#This Row],[DISC 1-]])*NOTA[[#This Row],[DISC 2]])</f>
        <v>0</v>
      </c>
      <c r="Z873" s="198">
        <f>IF(NOTA[[#This Row],[JUMLAH]]="","",NOTA[[#This Row],[DISC 1-]]+NOTA[[#This Row],[DISC 2-]])</f>
        <v>151200</v>
      </c>
      <c r="AA873" s="198">
        <f>IF(NOTA[[#This Row],[JUMLAH]]="","",NOTA[[#This Row],[JUMLAH]]-NOTA[[#This Row],[DISC]])</f>
        <v>5896800</v>
      </c>
      <c r="AB873" s="198"/>
      <c r="AC8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873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873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73" s="200">
        <f>IF(OR(NOTA[[#This Row],[QTY]]="",NOTA[[#This Row],[HARGA SATUAN]]="",),"",NOTA[[#This Row],[QTY]]*NOTA[[#This Row],[HARGA SATUAN]])</f>
        <v>6048000</v>
      </c>
      <c r="AG873" s="192">
        <f ca="1">IF(NOTA[ID_H]="","",INDEX(NOTA[TANGGAL],MATCH(,INDIRECT(ADDRESS(ROW(NOTA[TANGGAL]),COLUMN(NOTA[TANGGAL]))&amp;":"&amp;ADDRESS(ROW(),COLUMN(NOTA[TANGGAL]))),-1)))</f>
        <v>45075</v>
      </c>
      <c r="AH873" s="187" t="str">
        <f ca="1">IF(NOTA[[#This Row],[NAMA BARANG]]="","",INDEX(NOTA[SUPPLIER],MATCH(,INDIRECT(ADDRESS(ROW(NOTA[ID]),COLUMN(NOTA[ID]))&amp;":"&amp;ADDRESS(ROW(),COLUMN(NOTA[ID]))),-1)))</f>
        <v>DUTA BUANA</v>
      </c>
      <c r="AI873" s="187" t="str">
        <f ca="1">IF(NOTA[[#This Row],[ID_H]]="","",IF(NOTA[[#This Row],[FAKTUR]]="",INDIRECT(ADDRESS(ROW()-1,COLUMN())),NOTA[[#This Row],[FAKTUR]]))</f>
        <v>UNTANA</v>
      </c>
      <c r="AJ873" s="188" t="str">
        <f ca="1">IF(NOTA[[#This Row],[ID]]="","",COUNTIF(NOTA[ID_H],NOTA[[#This Row],[ID_H]]))</f>
        <v/>
      </c>
      <c r="AK873" s="188">
        <f ca="1">IF(NOTA[[#This Row],[TGL.NOTA]]="",IF(NOTA[[#This Row],[SUPPLIER_H]]="","",AK872),MONTH(NOTA[[#This Row],[TGL.NOTA]]))</f>
        <v>5</v>
      </c>
      <c r="AL873" s="188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M87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bindernotefphy002b56020160000.025</v>
      </c>
      <c r="AN87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bindernotefphy002b56020160000.025</v>
      </c>
      <c r="AO87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188" t="str">
        <f>IF(NOTA[[#This Row],[CONCAT4]]="","",_xlfn.IFNA(MATCH(NOTA[[#This Row],[CONCAT4]],[2]!RAW[CONCAT_H],0),FALSE))</f>
        <v/>
      </c>
      <c r="AQ873" s="188">
        <f>IF(NOTA[[#This Row],[CONCAT1]]="","",MATCH(NOTA[[#This Row],[CONCAT1]],[3]!db[NB NOTA_C],0)+1)</f>
        <v>273</v>
      </c>
    </row>
    <row r="874" spans="1:43" ht="20.100000000000001" customHeight="1" x14ac:dyDescent="0.25">
      <c r="A87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188" t="str">
        <f>IF(NOTA[[#This Row],[ID_P]]="","",MATCH(NOTA[[#This Row],[ID_P]],[1]!B_MSK[N_ID],0))</f>
        <v/>
      </c>
      <c r="D874" s="188" t="str">
        <f ca="1">IF(NOTA[[#This Row],[NAMA BARANG]]="","",INDEX(NOTA[ID],MATCH(,INDIRECT(ADDRESS(ROW(NOTA[ID]),COLUMN(NOTA[ID]))&amp;":"&amp;ADDRESS(ROW(),COLUMN(NOTA[ID]))),-1)))</f>
        <v/>
      </c>
      <c r="E874" s="189"/>
      <c r="F874" s="190"/>
      <c r="G874" s="190"/>
      <c r="H874" s="191"/>
      <c r="I874" s="190"/>
      <c r="J874" s="192"/>
      <c r="K874" s="190"/>
      <c r="L874" s="190"/>
      <c r="M874" s="193"/>
      <c r="N874" s="188"/>
      <c r="O874" s="190"/>
      <c r="P874" s="187"/>
      <c r="Q874" s="194"/>
      <c r="R874" s="195"/>
      <c r="S874" s="196"/>
      <c r="T874" s="197"/>
      <c r="U874" s="198"/>
      <c r="V874" s="199"/>
      <c r="W874" s="198" t="str">
        <f>IF(NOTA[[#This Row],[HARGA/ CTN]]="",NOTA[[#This Row],[JUMLAH_H]],NOTA[[#This Row],[HARGA/ CTN]]*IF(NOTA[[#This Row],[C]]="",0,NOTA[[#This Row],[C]]))</f>
        <v/>
      </c>
      <c r="X874" s="198" t="str">
        <f>IF(NOTA[[#This Row],[JUMLAH]]="","",NOTA[[#This Row],[JUMLAH]]*NOTA[[#This Row],[DISC 1]])</f>
        <v/>
      </c>
      <c r="Y874" s="198" t="str">
        <f>IF(NOTA[[#This Row],[JUMLAH]]="","",(NOTA[[#This Row],[JUMLAH]]-NOTA[[#This Row],[DISC 1-]])*NOTA[[#This Row],[DISC 2]])</f>
        <v/>
      </c>
      <c r="Z874" s="198" t="str">
        <f>IF(NOTA[[#This Row],[JUMLAH]]="","",NOTA[[#This Row],[DISC 1-]]+NOTA[[#This Row],[DISC 2-]])</f>
        <v/>
      </c>
      <c r="AA874" s="198" t="str">
        <f>IF(NOTA[[#This Row],[JUMLAH]]="","",NOTA[[#This Row],[JUMLAH]]-NOTA[[#This Row],[DISC]])</f>
        <v/>
      </c>
      <c r="AB874" s="198"/>
      <c r="AC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200" t="str">
        <f>IF(OR(NOTA[[#This Row],[QTY]]="",NOTA[[#This Row],[HARGA SATUAN]]="",),"",NOTA[[#This Row],[QTY]]*NOTA[[#This Row],[HARGA SATUAN]])</f>
        <v/>
      </c>
      <c r="AG874" s="192" t="str">
        <f ca="1">IF(NOTA[ID_H]="","",INDEX(NOTA[TANGGAL],MATCH(,INDIRECT(ADDRESS(ROW(NOTA[TANGGAL]),COLUMN(NOTA[TANGGAL]))&amp;":"&amp;ADDRESS(ROW(),COLUMN(NOTA[TANGGAL]))),-1)))</f>
        <v/>
      </c>
      <c r="AH874" s="187" t="str">
        <f ca="1">IF(NOTA[[#This Row],[NAMA BARANG]]="","",INDEX(NOTA[SUPPLIER],MATCH(,INDIRECT(ADDRESS(ROW(NOTA[ID]),COLUMN(NOTA[ID]))&amp;":"&amp;ADDRESS(ROW(),COLUMN(NOTA[ID]))),-1)))</f>
        <v/>
      </c>
      <c r="AI874" s="187" t="str">
        <f ca="1">IF(NOTA[[#This Row],[ID_H]]="","",IF(NOTA[[#This Row],[FAKTUR]]="",INDIRECT(ADDRESS(ROW()-1,COLUMN())),NOTA[[#This Row],[FAKTUR]]))</f>
        <v/>
      </c>
      <c r="AJ874" s="188" t="str">
        <f ca="1">IF(NOTA[[#This Row],[ID]]="","",COUNTIF(NOTA[ID_H],NOTA[[#This Row],[ID_H]]))</f>
        <v/>
      </c>
      <c r="AK874" s="188" t="str">
        <f ca="1">IF(NOTA[[#This Row],[TGL.NOTA]]="",IF(NOTA[[#This Row],[SUPPLIER_H]]="","",AK873),MONTH(NOTA[[#This Row],[TGL.NOTA]]))</f>
        <v/>
      </c>
      <c r="AL874" s="188" t="str">
        <f>LOWER(SUBSTITUTE(SUBSTITUTE(SUBSTITUTE(SUBSTITUTE(SUBSTITUTE(SUBSTITUTE(SUBSTITUTE(SUBSTITUTE(SUBSTITUTE(NOTA[NAMA BARANG]," ",),".",""),"-",""),"(",""),")",""),",",""),"/",""),"""",""),"+",""))</f>
        <v/>
      </c>
      <c r="AM87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188" t="str">
        <f>IF(NOTA[[#This Row],[CONCAT4]]="","",_xlfn.IFNA(MATCH(NOTA[[#This Row],[CONCAT4]],[2]!RAW[CONCAT_H],0),FALSE))</f>
        <v/>
      </c>
      <c r="AQ874" s="188" t="str">
        <f>IF(NOTA[[#This Row],[CONCAT1]]="","",MATCH(NOTA[[#This Row],[CONCAT1]],[3]!db[NB NOTA_C],0)+1)</f>
        <v/>
      </c>
    </row>
    <row r="875" spans="1:43" ht="20.100000000000001" customHeight="1" x14ac:dyDescent="0.25">
      <c r="A875" s="187">
        <f ca="1">IF(INDIRECT(ADDRESS(ROW()-1,COLUMN(NOTA[[#Headers],[ID]])))="ID",1,IF(NOTA[[#This Row],[FAKTUR]]="","",COUNT(INDIRECT(ADDRESS(ROW(NOTA[ID]),COLUMN(NOTA[ID]))&amp;":"&amp;ADDRESS(ROW()-1,COLUMN(NOTA[ID]))))+1))</f>
        <v>152</v>
      </c>
      <c r="B875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DUT_2905_23C-2</v>
      </c>
      <c r="C875" s="188" t="e">
        <f ca="1">IF(NOTA[[#This Row],[ID_P]]="","",MATCH(NOTA[[#This Row],[ID_P]],[1]!B_MSK[N_ID],0))</f>
        <v>#REF!</v>
      </c>
      <c r="D875" s="188">
        <f ca="1">IF(NOTA[[#This Row],[NAMA BARANG]]="","",INDEX(NOTA[ID],MATCH(,INDIRECT(ADDRESS(ROW(NOTA[ID]),COLUMN(NOTA[ID]))&amp;":"&amp;ADDRESS(ROW(),COLUMN(NOTA[ID]))),-1)))</f>
        <v>152</v>
      </c>
      <c r="E875" s="189"/>
      <c r="F875" s="27" t="s">
        <v>249</v>
      </c>
      <c r="G875" s="27" t="s">
        <v>112</v>
      </c>
      <c r="H875" s="54" t="s">
        <v>1056</v>
      </c>
      <c r="I875" s="190"/>
      <c r="J875" s="53">
        <v>45072</v>
      </c>
      <c r="K875" s="190"/>
      <c r="L875" s="27" t="s">
        <v>1057</v>
      </c>
      <c r="M875" s="193">
        <v>7</v>
      </c>
      <c r="N875" s="188">
        <v>672</v>
      </c>
      <c r="O875" s="27" t="s">
        <v>160</v>
      </c>
      <c r="P875" s="187">
        <v>21000</v>
      </c>
      <c r="Q875" s="194"/>
      <c r="R875" s="42" t="s">
        <v>728</v>
      </c>
      <c r="S875" s="196">
        <v>2.5000000000000001E-2</v>
      </c>
      <c r="T875" s="197"/>
      <c r="U875" s="198"/>
      <c r="V875" s="199"/>
      <c r="W875" s="198">
        <f>IF(NOTA[[#This Row],[HARGA/ CTN]]="",NOTA[[#This Row],[JUMLAH_H]],NOTA[[#This Row],[HARGA/ CTN]]*IF(NOTA[[#This Row],[C]]="",0,NOTA[[#This Row],[C]]))</f>
        <v>14112000</v>
      </c>
      <c r="X875" s="198">
        <f>IF(NOTA[[#This Row],[JUMLAH]]="","",NOTA[[#This Row],[JUMLAH]]*NOTA[[#This Row],[DISC 1]])</f>
        <v>352800</v>
      </c>
      <c r="Y875" s="198">
        <f>IF(NOTA[[#This Row],[JUMLAH]]="","",(NOTA[[#This Row],[JUMLAH]]-NOTA[[#This Row],[DISC 1-]])*NOTA[[#This Row],[DISC 2]])</f>
        <v>0</v>
      </c>
      <c r="Z875" s="198">
        <f>IF(NOTA[[#This Row],[JUMLAH]]="","",NOTA[[#This Row],[DISC 1-]]+NOTA[[#This Row],[DISC 2-]])</f>
        <v>352800</v>
      </c>
      <c r="AA875" s="198">
        <f>IF(NOTA[[#This Row],[JUMLAH]]="","",NOTA[[#This Row],[JUMLAH]]-NOTA[[#This Row],[DISC]])</f>
        <v>13759200</v>
      </c>
      <c r="AB875" s="198"/>
      <c r="AC8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75" s="200">
        <f>IF(OR(NOTA[[#This Row],[QTY]]="",NOTA[[#This Row],[HARGA SATUAN]]="",),"",NOTA[[#This Row],[QTY]]*NOTA[[#This Row],[HARGA SATUAN]])</f>
        <v>14112000</v>
      </c>
      <c r="AG875" s="192">
        <f ca="1">IF(NOTA[ID_H]="","",INDEX(NOTA[TANGGAL],MATCH(,INDIRECT(ADDRESS(ROW(NOTA[TANGGAL]),COLUMN(NOTA[TANGGAL]))&amp;":"&amp;ADDRESS(ROW(),COLUMN(NOTA[TANGGAL]))),-1)))</f>
        <v>45075</v>
      </c>
      <c r="AH875" s="187" t="str">
        <f ca="1">IF(NOTA[[#This Row],[NAMA BARANG]]="","",INDEX(NOTA[SUPPLIER],MATCH(,INDIRECT(ADDRESS(ROW(NOTA[ID]),COLUMN(NOTA[ID]))&amp;":"&amp;ADDRESS(ROW(),COLUMN(NOTA[ID]))),-1)))</f>
        <v>DUTA BUANA</v>
      </c>
      <c r="AI875" s="187" t="str">
        <f ca="1">IF(NOTA[[#This Row],[ID_H]]="","",IF(NOTA[[#This Row],[FAKTUR]]="",INDIRECT(ADDRESS(ROW()-1,COLUMN())),NOTA[[#This Row],[FAKTUR]]))</f>
        <v>UNTANA</v>
      </c>
      <c r="AJ875" s="188">
        <f ca="1">IF(NOTA[[#This Row],[ID]]="","",COUNTIF(NOTA[ID_H],NOTA[[#This Row],[ID_H]]))</f>
        <v>2</v>
      </c>
      <c r="AK875" s="188">
        <f>IF(NOTA[[#This Row],[TGL.NOTA]]="",IF(NOTA[[#This Row],[SUPPLIER_H]]="","",AK874),MONTH(NOTA[[#This Row],[TGL.NOTA]]))</f>
        <v>5</v>
      </c>
      <c r="AL875" s="18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M87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N87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O875" s="18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BUANAUNTANADHM/058/05-23C45072bindernotefphy001a560</v>
      </c>
      <c r="AP875" s="188" t="e">
        <f>IF(NOTA[[#This Row],[CONCAT4]]="","",_xlfn.IFNA(MATCH(NOTA[[#This Row],[CONCAT4]],[2]!RAW[CONCAT_H],0),FALSE))</f>
        <v>#REF!</v>
      </c>
      <c r="AQ875" s="188">
        <f>IF(NOTA[[#This Row],[CONCAT1]]="","",MATCH(NOTA[[#This Row],[CONCAT1]],[3]!db[NB NOTA_C],0)+1)</f>
        <v>270</v>
      </c>
    </row>
    <row r="876" spans="1:43" ht="20.100000000000001" customHeight="1" x14ac:dyDescent="0.25">
      <c r="A87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188" t="str">
        <f>IF(NOTA[[#This Row],[ID_P]]="","",MATCH(NOTA[[#This Row],[ID_P]],[1]!B_MSK[N_ID],0))</f>
        <v/>
      </c>
      <c r="D876" s="188">
        <f ca="1">IF(NOTA[[#This Row],[NAMA BARANG]]="","",INDEX(NOTA[ID],MATCH(,INDIRECT(ADDRESS(ROW(NOTA[ID]),COLUMN(NOTA[ID]))&amp;":"&amp;ADDRESS(ROW(),COLUMN(NOTA[ID]))),-1)))</f>
        <v>152</v>
      </c>
      <c r="E876" s="189"/>
      <c r="F876" s="190"/>
      <c r="G876" s="190"/>
      <c r="H876" s="191"/>
      <c r="I876" s="190"/>
      <c r="J876" s="192"/>
      <c r="K876" s="190"/>
      <c r="L876" s="27" t="s">
        <v>1058</v>
      </c>
      <c r="M876" s="193">
        <v>3</v>
      </c>
      <c r="N876" s="188">
        <v>216</v>
      </c>
      <c r="O876" s="27" t="s">
        <v>160</v>
      </c>
      <c r="P876" s="187">
        <v>28000</v>
      </c>
      <c r="Q876" s="194"/>
      <c r="R876" s="42" t="s">
        <v>549</v>
      </c>
      <c r="S876" s="196">
        <v>2.5000000000000001E-2</v>
      </c>
      <c r="T876" s="197"/>
      <c r="U876" s="198"/>
      <c r="V876" s="199"/>
      <c r="W876" s="198">
        <f>IF(NOTA[[#This Row],[HARGA/ CTN]]="",NOTA[[#This Row],[JUMLAH_H]],NOTA[[#This Row],[HARGA/ CTN]]*IF(NOTA[[#This Row],[C]]="",0,NOTA[[#This Row],[C]]))</f>
        <v>6048000</v>
      </c>
      <c r="X876" s="198">
        <f>IF(NOTA[[#This Row],[JUMLAH]]="","",NOTA[[#This Row],[JUMLAH]]*NOTA[[#This Row],[DISC 1]])</f>
        <v>151200</v>
      </c>
      <c r="Y876" s="198">
        <f>IF(NOTA[[#This Row],[JUMLAH]]="","",(NOTA[[#This Row],[JUMLAH]]-NOTA[[#This Row],[DISC 1-]])*NOTA[[#This Row],[DISC 2]])</f>
        <v>0</v>
      </c>
      <c r="Z876" s="198">
        <f>IF(NOTA[[#This Row],[JUMLAH]]="","",NOTA[[#This Row],[DISC 1-]]+NOTA[[#This Row],[DISC 2-]])</f>
        <v>151200</v>
      </c>
      <c r="AA876" s="198">
        <f>IF(NOTA[[#This Row],[JUMLAH]]="","",NOTA[[#This Row],[JUMLAH]]-NOTA[[#This Row],[DISC]])</f>
        <v>5896800</v>
      </c>
      <c r="AB876" s="198"/>
      <c r="AC8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504000</v>
      </c>
      <c r="AD87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E876" s="187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876" s="200">
        <f>IF(OR(NOTA[[#This Row],[QTY]]="",NOTA[[#This Row],[HARGA SATUAN]]="",),"",NOTA[[#This Row],[QTY]]*NOTA[[#This Row],[HARGA SATUAN]])</f>
        <v>6048000</v>
      </c>
      <c r="AG876" s="192">
        <f ca="1">IF(NOTA[ID_H]="","",INDEX(NOTA[TANGGAL],MATCH(,INDIRECT(ADDRESS(ROW(NOTA[TANGGAL]),COLUMN(NOTA[TANGGAL]))&amp;":"&amp;ADDRESS(ROW(),COLUMN(NOTA[TANGGAL]))),-1)))</f>
        <v>45075</v>
      </c>
      <c r="AH876" s="187" t="str">
        <f ca="1">IF(NOTA[[#This Row],[NAMA BARANG]]="","",INDEX(NOTA[SUPPLIER],MATCH(,INDIRECT(ADDRESS(ROW(NOTA[ID]),COLUMN(NOTA[ID]))&amp;":"&amp;ADDRESS(ROW(),COLUMN(NOTA[ID]))),-1)))</f>
        <v>DUTA BUANA</v>
      </c>
      <c r="AI876" s="187" t="str">
        <f ca="1">IF(NOTA[[#This Row],[ID_H]]="","",IF(NOTA[[#This Row],[FAKTUR]]="",INDIRECT(ADDRESS(ROW()-1,COLUMN())),NOTA[[#This Row],[FAKTUR]]))</f>
        <v>UNTANA</v>
      </c>
      <c r="AJ876" s="188" t="str">
        <f ca="1">IF(NOTA[[#This Row],[ID]]="","",COUNTIF(NOTA[ID_H],NOTA[[#This Row],[ID_H]]))</f>
        <v/>
      </c>
      <c r="AK876" s="188">
        <f ca="1">IF(NOTA[[#This Row],[TGL.NOTA]]="",IF(NOTA[[#This Row],[SUPPLIER_H]]="","",AK875),MONTH(NOTA[[#This Row],[TGL.NOTA]]))</f>
        <v>5</v>
      </c>
      <c r="AL876" s="18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M87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bindernotefphy001b56020160000.025</v>
      </c>
      <c r="AN87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bindernotefphy001b56020160000.025</v>
      </c>
      <c r="AO87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188" t="str">
        <f>IF(NOTA[[#This Row],[CONCAT4]]="","",_xlfn.IFNA(MATCH(NOTA[[#This Row],[CONCAT4]],[2]!RAW[CONCAT_H],0),FALSE))</f>
        <v/>
      </c>
      <c r="AQ876" s="188">
        <f>IF(NOTA[[#This Row],[CONCAT1]]="","",MATCH(NOTA[[#This Row],[CONCAT1]],[3]!db[NB NOTA_C],0)+1)</f>
        <v>271</v>
      </c>
    </row>
    <row r="877" spans="1:43" ht="20.100000000000001" customHeight="1" x14ac:dyDescent="0.25">
      <c r="A87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188" t="str">
        <f>IF(NOTA[[#This Row],[ID_P]]="","",MATCH(NOTA[[#This Row],[ID_P]],[1]!B_MSK[N_ID],0))</f>
        <v/>
      </c>
      <c r="D877" s="188" t="str">
        <f ca="1">IF(NOTA[[#This Row],[NAMA BARANG]]="","",INDEX(NOTA[ID],MATCH(,INDIRECT(ADDRESS(ROW(NOTA[ID]),COLUMN(NOTA[ID]))&amp;":"&amp;ADDRESS(ROW(),COLUMN(NOTA[ID]))),-1)))</f>
        <v/>
      </c>
      <c r="E877" s="189"/>
      <c r="F877" s="190"/>
      <c r="G877" s="190"/>
      <c r="H877" s="191"/>
      <c r="I877" s="190"/>
      <c r="J877" s="192"/>
      <c r="K877" s="190"/>
      <c r="L877" s="190"/>
      <c r="M877" s="193"/>
      <c r="N877" s="188"/>
      <c r="O877" s="190"/>
      <c r="P877" s="187"/>
      <c r="Q877" s="194"/>
      <c r="R877" s="195"/>
      <c r="S877" s="196"/>
      <c r="T877" s="197"/>
      <c r="U877" s="198"/>
      <c r="V877" s="199"/>
      <c r="W877" s="198" t="str">
        <f>IF(NOTA[[#This Row],[HARGA/ CTN]]="",NOTA[[#This Row],[JUMLAH_H]],NOTA[[#This Row],[HARGA/ CTN]]*IF(NOTA[[#This Row],[C]]="",0,NOTA[[#This Row],[C]]))</f>
        <v/>
      </c>
      <c r="X877" s="198" t="str">
        <f>IF(NOTA[[#This Row],[JUMLAH]]="","",NOTA[[#This Row],[JUMLAH]]*NOTA[[#This Row],[DISC 1]])</f>
        <v/>
      </c>
      <c r="Y877" s="198" t="str">
        <f>IF(NOTA[[#This Row],[JUMLAH]]="","",(NOTA[[#This Row],[JUMLAH]]-NOTA[[#This Row],[DISC 1-]])*NOTA[[#This Row],[DISC 2]])</f>
        <v/>
      </c>
      <c r="Z877" s="198" t="str">
        <f>IF(NOTA[[#This Row],[JUMLAH]]="","",NOTA[[#This Row],[DISC 1-]]+NOTA[[#This Row],[DISC 2-]])</f>
        <v/>
      </c>
      <c r="AA877" s="198" t="str">
        <f>IF(NOTA[[#This Row],[JUMLAH]]="","",NOTA[[#This Row],[JUMLAH]]-NOTA[[#This Row],[DISC]])</f>
        <v/>
      </c>
      <c r="AB877" s="198"/>
      <c r="AC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200" t="str">
        <f>IF(OR(NOTA[[#This Row],[QTY]]="",NOTA[[#This Row],[HARGA SATUAN]]="",),"",NOTA[[#This Row],[QTY]]*NOTA[[#This Row],[HARGA SATUAN]])</f>
        <v/>
      </c>
      <c r="AG877" s="192" t="str">
        <f ca="1">IF(NOTA[ID_H]="","",INDEX(NOTA[TANGGAL],MATCH(,INDIRECT(ADDRESS(ROW(NOTA[TANGGAL]),COLUMN(NOTA[TANGGAL]))&amp;":"&amp;ADDRESS(ROW(),COLUMN(NOTA[TANGGAL]))),-1)))</f>
        <v/>
      </c>
      <c r="AH877" s="187" t="str">
        <f ca="1">IF(NOTA[[#This Row],[NAMA BARANG]]="","",INDEX(NOTA[SUPPLIER],MATCH(,INDIRECT(ADDRESS(ROW(NOTA[ID]),COLUMN(NOTA[ID]))&amp;":"&amp;ADDRESS(ROW(),COLUMN(NOTA[ID]))),-1)))</f>
        <v/>
      </c>
      <c r="AI877" s="187" t="str">
        <f ca="1">IF(NOTA[[#This Row],[ID_H]]="","",IF(NOTA[[#This Row],[FAKTUR]]="",INDIRECT(ADDRESS(ROW()-1,COLUMN())),NOTA[[#This Row],[FAKTUR]]))</f>
        <v/>
      </c>
      <c r="AJ877" s="188" t="str">
        <f ca="1">IF(NOTA[[#This Row],[ID]]="","",COUNTIF(NOTA[ID_H],NOTA[[#This Row],[ID_H]]))</f>
        <v/>
      </c>
      <c r="AK877" s="188" t="str">
        <f ca="1">IF(NOTA[[#This Row],[TGL.NOTA]]="",IF(NOTA[[#This Row],[SUPPLIER_H]]="","",AK876),MONTH(NOTA[[#This Row],[TGL.NOTA]]))</f>
        <v/>
      </c>
      <c r="AL877" s="188" t="str">
        <f>LOWER(SUBSTITUTE(SUBSTITUTE(SUBSTITUTE(SUBSTITUTE(SUBSTITUTE(SUBSTITUTE(SUBSTITUTE(SUBSTITUTE(SUBSTITUTE(NOTA[NAMA BARANG]," ",),".",""),"-",""),"(",""),")",""),",",""),"/",""),"""",""),"+",""))</f>
        <v/>
      </c>
      <c r="AM87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188" t="str">
        <f>IF(NOTA[[#This Row],[CONCAT4]]="","",_xlfn.IFNA(MATCH(NOTA[[#This Row],[CONCAT4]],[2]!RAW[CONCAT_H],0),FALSE))</f>
        <v/>
      </c>
      <c r="AQ877" s="188" t="str">
        <f>IF(NOTA[[#This Row],[CONCAT1]]="","",MATCH(NOTA[[#This Row],[CONCAT1]],[3]!db[NB NOTA_C],0)+1)</f>
        <v/>
      </c>
    </row>
    <row r="878" spans="1:43" ht="20.100000000000001" customHeight="1" x14ac:dyDescent="0.25">
      <c r="A878" s="187">
        <f ca="1">IF(INDIRECT(ADDRESS(ROW()-1,COLUMN(NOTA[[#Headers],[ID]])))="ID",1,IF(NOTA[[#This Row],[FAKTUR]]="","",COUNT(INDIRECT(ADDRESS(ROW(NOTA[ID]),COLUMN(NOTA[ID]))&amp;":"&amp;ADDRESS(ROW()-1,COLUMN(NOTA[ID]))))+1))</f>
        <v>153</v>
      </c>
      <c r="B87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BIN_2905_500-1</v>
      </c>
      <c r="C878" s="188" t="e">
        <f ca="1">IF(NOTA[[#This Row],[ID_P]]="","",MATCH(NOTA[[#This Row],[ID_P]],[1]!B_MSK[N_ID],0))</f>
        <v>#REF!</v>
      </c>
      <c r="D878" s="188">
        <f ca="1">IF(NOTA[[#This Row],[NAMA BARANG]]="","",INDEX(NOTA[ID],MATCH(,INDIRECT(ADDRESS(ROW(NOTA[ID]),COLUMN(NOTA[ID]))&amp;":"&amp;ADDRESS(ROW(),COLUMN(NOTA[ID]))),-1)))</f>
        <v>153</v>
      </c>
      <c r="E878" s="189"/>
      <c r="F878" s="27" t="s">
        <v>515</v>
      </c>
      <c r="G878" s="27" t="s">
        <v>112</v>
      </c>
      <c r="H878" s="54" t="s">
        <v>1059</v>
      </c>
      <c r="I878" s="190"/>
      <c r="J878" s="192">
        <v>45070</v>
      </c>
      <c r="K878" s="190"/>
      <c r="L878" s="27" t="s">
        <v>1060</v>
      </c>
      <c r="M878" s="193">
        <v>1</v>
      </c>
      <c r="N878" s="188">
        <v>60</v>
      </c>
      <c r="O878" s="27" t="s">
        <v>160</v>
      </c>
      <c r="P878" s="187">
        <v>27500</v>
      </c>
      <c r="Q878" s="194"/>
      <c r="R878" s="195"/>
      <c r="S878" s="196"/>
      <c r="T878" s="197"/>
      <c r="U878" s="198"/>
      <c r="V878" s="199"/>
      <c r="W878" s="198">
        <f>IF(NOTA[[#This Row],[HARGA/ CTN]]="",NOTA[[#This Row],[JUMLAH_H]],NOTA[[#This Row],[HARGA/ CTN]]*IF(NOTA[[#This Row],[C]]="",0,NOTA[[#This Row],[C]]))</f>
        <v>1650000</v>
      </c>
      <c r="X878" s="198">
        <f>IF(NOTA[[#This Row],[JUMLAH]]="","",NOTA[[#This Row],[JUMLAH]]*NOTA[[#This Row],[DISC 1]])</f>
        <v>0</v>
      </c>
      <c r="Y878" s="198">
        <f>IF(NOTA[[#This Row],[JUMLAH]]="","",(NOTA[[#This Row],[JUMLAH]]-NOTA[[#This Row],[DISC 1-]])*NOTA[[#This Row],[DISC 2]])</f>
        <v>0</v>
      </c>
      <c r="Z878" s="198">
        <f>IF(NOTA[[#This Row],[JUMLAH]]="","",NOTA[[#This Row],[DISC 1-]]+NOTA[[#This Row],[DISC 2-]])</f>
        <v>0</v>
      </c>
      <c r="AA878" s="198">
        <f>IF(NOTA[[#This Row],[JUMLAH]]="","",NOTA[[#This Row],[JUMLAH]]-NOTA[[#This Row],[DISC]])</f>
        <v>1650000</v>
      </c>
      <c r="AB878" s="198"/>
      <c r="AC8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78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</v>
      </c>
      <c r="AE878" s="187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878" s="200">
        <f>IF(OR(NOTA[[#This Row],[QTY]]="",NOTA[[#This Row],[HARGA SATUAN]]="",),"",NOTA[[#This Row],[QTY]]*NOTA[[#This Row],[HARGA SATUAN]])</f>
        <v>1650000</v>
      </c>
      <c r="AG878" s="192">
        <f ca="1">IF(NOTA[ID_H]="","",INDEX(NOTA[TANGGAL],MATCH(,INDIRECT(ADDRESS(ROW(NOTA[TANGGAL]),COLUMN(NOTA[TANGGAL]))&amp;":"&amp;ADDRESS(ROW(),COLUMN(NOTA[TANGGAL]))),-1)))</f>
        <v>45075</v>
      </c>
      <c r="AH878" s="187" t="str">
        <f ca="1">IF(NOTA[[#This Row],[NAMA BARANG]]="","",INDEX(NOTA[SUPPLIER],MATCH(,INDIRECT(ADDRESS(ROW(NOTA[ID]),COLUMN(NOTA[ID]))&amp;":"&amp;ADDRESS(ROW(),COLUMN(NOTA[ID]))),-1)))</f>
        <v>BINTANG SAUDARA</v>
      </c>
      <c r="AI878" s="187" t="str">
        <f ca="1">IF(NOTA[[#This Row],[ID_H]]="","",IF(NOTA[[#This Row],[FAKTUR]]="",INDIRECT(ADDRESS(ROW()-1,COLUMN())),NOTA[[#This Row],[FAKTUR]]))</f>
        <v>UNTANA</v>
      </c>
      <c r="AJ878" s="188">
        <f ca="1">IF(NOTA[[#This Row],[ID]]="","",COUNTIF(NOTA[ID_H],NOTA[[#This Row],[ID_H]]))</f>
        <v>1</v>
      </c>
      <c r="AK878" s="188">
        <f>IF(NOTA[[#This Row],[TGL.NOTA]]="",IF(NOTA[[#This Row],[SUPPLIER_H]]="","",AK877),MONTH(NOTA[[#This Row],[TGL.NOTA]]))</f>
        <v>5</v>
      </c>
      <c r="AL878" s="188" t="str">
        <f>LOWER(SUBSTITUTE(SUBSTITUTE(SUBSTITUTE(SUBSTITUTE(SUBSTITUTE(SUBSTITUTE(SUBSTITUTE(SUBSTITUTE(SUBSTITUTE(NOTA[NAMA BARANG]," ",),".",""),"-",""),"(",""),")",""),",",""),"/",""),"""",""),"+",""))</f>
        <v>acrylicsisipankertasa5t15x21cm</v>
      </c>
      <c r="AM87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acrylicsisipankertasa5t15x21cm1650000</v>
      </c>
      <c r="AN87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acrylicsisipankertasa5t15x21cm1650000</v>
      </c>
      <c r="AO878" s="18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SAUDARAUNTANASO202305008050045070acrylicsisipankertasa5t15x21cm</v>
      </c>
      <c r="AP878" s="188" t="e">
        <f>IF(NOTA[[#This Row],[CONCAT4]]="","",_xlfn.IFNA(MATCH(NOTA[[#This Row],[CONCAT4]],[2]!RAW[CONCAT_H],0),FALSE))</f>
        <v>#REF!</v>
      </c>
      <c r="AQ878" s="188">
        <f>IF(NOTA[[#This Row],[CONCAT1]]="","",MATCH(NOTA[[#This Row],[CONCAT1]],[3]!db[NB NOTA_C],0)+1)</f>
        <v>38</v>
      </c>
    </row>
    <row r="879" spans="1:43" ht="20.100000000000001" customHeight="1" x14ac:dyDescent="0.25">
      <c r="A87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188" t="str">
        <f>IF(NOTA[[#This Row],[ID_P]]="","",MATCH(NOTA[[#This Row],[ID_P]],[1]!B_MSK[N_ID],0))</f>
        <v/>
      </c>
      <c r="D879" s="188" t="str">
        <f ca="1">IF(NOTA[[#This Row],[NAMA BARANG]]="","",INDEX(NOTA[ID],MATCH(,INDIRECT(ADDRESS(ROW(NOTA[ID]),COLUMN(NOTA[ID]))&amp;":"&amp;ADDRESS(ROW(),COLUMN(NOTA[ID]))),-1)))</f>
        <v/>
      </c>
      <c r="E879" s="189"/>
      <c r="F879" s="190"/>
      <c r="G879" s="190"/>
      <c r="H879" s="191"/>
      <c r="I879" s="190"/>
      <c r="J879" s="192"/>
      <c r="K879" s="190"/>
      <c r="L879" s="190"/>
      <c r="M879" s="193"/>
      <c r="N879" s="188"/>
      <c r="O879" s="190"/>
      <c r="P879" s="187"/>
      <c r="Q879" s="194"/>
      <c r="R879" s="195"/>
      <c r="S879" s="196"/>
      <c r="T879" s="197"/>
      <c r="U879" s="198"/>
      <c r="V879" s="199"/>
      <c r="W879" s="198" t="str">
        <f>IF(NOTA[[#This Row],[HARGA/ CTN]]="",NOTA[[#This Row],[JUMLAH_H]],NOTA[[#This Row],[HARGA/ CTN]]*IF(NOTA[[#This Row],[C]]="",0,NOTA[[#This Row],[C]]))</f>
        <v/>
      </c>
      <c r="X879" s="198" t="str">
        <f>IF(NOTA[[#This Row],[JUMLAH]]="","",NOTA[[#This Row],[JUMLAH]]*NOTA[[#This Row],[DISC 1]])</f>
        <v/>
      </c>
      <c r="Y879" s="198" t="str">
        <f>IF(NOTA[[#This Row],[JUMLAH]]="","",(NOTA[[#This Row],[JUMLAH]]-NOTA[[#This Row],[DISC 1-]])*NOTA[[#This Row],[DISC 2]])</f>
        <v/>
      </c>
      <c r="Z879" s="198" t="str">
        <f>IF(NOTA[[#This Row],[JUMLAH]]="","",NOTA[[#This Row],[DISC 1-]]+NOTA[[#This Row],[DISC 2-]])</f>
        <v/>
      </c>
      <c r="AA879" s="198" t="str">
        <f>IF(NOTA[[#This Row],[JUMLAH]]="","",NOTA[[#This Row],[JUMLAH]]-NOTA[[#This Row],[DISC]])</f>
        <v/>
      </c>
      <c r="AB879" s="198"/>
      <c r="AC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200" t="str">
        <f>IF(OR(NOTA[[#This Row],[QTY]]="",NOTA[[#This Row],[HARGA SATUAN]]="",),"",NOTA[[#This Row],[QTY]]*NOTA[[#This Row],[HARGA SATUAN]])</f>
        <v/>
      </c>
      <c r="AG879" s="192" t="str">
        <f ca="1">IF(NOTA[ID_H]="","",INDEX(NOTA[TANGGAL],MATCH(,INDIRECT(ADDRESS(ROW(NOTA[TANGGAL]),COLUMN(NOTA[TANGGAL]))&amp;":"&amp;ADDRESS(ROW(),COLUMN(NOTA[TANGGAL]))),-1)))</f>
        <v/>
      </c>
      <c r="AH879" s="187" t="str">
        <f ca="1">IF(NOTA[[#This Row],[NAMA BARANG]]="","",INDEX(NOTA[SUPPLIER],MATCH(,INDIRECT(ADDRESS(ROW(NOTA[ID]),COLUMN(NOTA[ID]))&amp;":"&amp;ADDRESS(ROW(),COLUMN(NOTA[ID]))),-1)))</f>
        <v/>
      </c>
      <c r="AI879" s="187" t="str">
        <f ca="1">IF(NOTA[[#This Row],[ID_H]]="","",IF(NOTA[[#This Row],[FAKTUR]]="",INDIRECT(ADDRESS(ROW()-1,COLUMN())),NOTA[[#This Row],[FAKTUR]]))</f>
        <v/>
      </c>
      <c r="AJ879" s="188" t="str">
        <f ca="1">IF(NOTA[[#This Row],[ID]]="","",COUNTIF(NOTA[ID_H],NOTA[[#This Row],[ID_H]]))</f>
        <v/>
      </c>
      <c r="AK879" s="188" t="str">
        <f ca="1">IF(NOTA[[#This Row],[TGL.NOTA]]="",IF(NOTA[[#This Row],[SUPPLIER_H]]="","",AK878),MONTH(NOTA[[#This Row],[TGL.NOTA]]))</f>
        <v/>
      </c>
      <c r="AL879" s="188" t="str">
        <f>LOWER(SUBSTITUTE(SUBSTITUTE(SUBSTITUTE(SUBSTITUTE(SUBSTITUTE(SUBSTITUTE(SUBSTITUTE(SUBSTITUTE(SUBSTITUTE(NOTA[NAMA BARANG]," ",),".",""),"-",""),"(",""),")",""),",",""),"/",""),"""",""),"+",""))</f>
        <v/>
      </c>
      <c r="AM87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188" t="str">
        <f>IF(NOTA[[#This Row],[CONCAT4]]="","",_xlfn.IFNA(MATCH(NOTA[[#This Row],[CONCAT4]],[2]!RAW[CONCAT_H],0),FALSE))</f>
        <v/>
      </c>
      <c r="AQ879" s="188" t="str">
        <f>IF(NOTA[[#This Row],[CONCAT1]]="","",MATCH(NOTA[[#This Row],[CONCAT1]],[3]!db[NB NOTA_C],0)+1)</f>
        <v/>
      </c>
    </row>
    <row r="880" spans="1:43" ht="20.100000000000001" customHeight="1" x14ac:dyDescent="0.25">
      <c r="A880" s="187">
        <f ca="1">IF(INDIRECT(ADDRESS(ROW()-1,COLUMN(NOTA[[#Headers],[ID]])))="ID",1,IF(NOTA[[#This Row],[FAKTUR]]="","",COUNT(INDIRECT(ADDRESS(ROW(NOTA[ID]),COLUMN(NOTA[ID]))&amp;":"&amp;ADDRESS(ROW()-1,COLUMN(NOTA[ID]))))+1))</f>
        <v>154</v>
      </c>
      <c r="B880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PUT_2905_078-7</v>
      </c>
      <c r="C880" s="188" t="e">
        <f ca="1">IF(NOTA[[#This Row],[ID_P]]="","",MATCH(NOTA[[#This Row],[ID_P]],[1]!B_MSK[N_ID],0))</f>
        <v>#REF!</v>
      </c>
      <c r="D880" s="188">
        <f ca="1">IF(NOTA[[#This Row],[NAMA BARANG]]="","",INDEX(NOTA[ID],MATCH(,INDIRECT(ADDRESS(ROW(NOTA[ID]),COLUMN(NOTA[ID]))&amp;":"&amp;ADDRESS(ROW(),COLUMN(NOTA[ID]))),-1)))</f>
        <v>154</v>
      </c>
      <c r="E880" s="189"/>
      <c r="F880" s="27" t="s">
        <v>1061</v>
      </c>
      <c r="G880" s="27" t="s">
        <v>112</v>
      </c>
      <c r="H880" s="54" t="s">
        <v>1062</v>
      </c>
      <c r="I880" s="190"/>
      <c r="J880" s="192">
        <v>45071</v>
      </c>
      <c r="K880" s="190"/>
      <c r="L880" s="27" t="s">
        <v>1063</v>
      </c>
      <c r="M880" s="193">
        <v>1</v>
      </c>
      <c r="N880" s="188">
        <v>280</v>
      </c>
      <c r="O880" s="27" t="s">
        <v>457</v>
      </c>
      <c r="P880" s="187">
        <v>17000</v>
      </c>
      <c r="Q880" s="194"/>
      <c r="R880" s="42" t="s">
        <v>1064</v>
      </c>
      <c r="S880" s="196">
        <v>0.2</v>
      </c>
      <c r="T880" s="197"/>
      <c r="U880" s="198"/>
      <c r="V880" s="199"/>
      <c r="W880" s="198">
        <f>IF(NOTA[[#This Row],[HARGA/ CTN]]="",NOTA[[#This Row],[JUMLAH_H]],NOTA[[#This Row],[HARGA/ CTN]]*IF(NOTA[[#This Row],[C]]="",0,NOTA[[#This Row],[C]]))</f>
        <v>4760000</v>
      </c>
      <c r="X880" s="198">
        <f>IF(NOTA[[#This Row],[JUMLAH]]="","",NOTA[[#This Row],[JUMLAH]]*NOTA[[#This Row],[DISC 1]])</f>
        <v>952000</v>
      </c>
      <c r="Y880" s="198">
        <f>IF(NOTA[[#This Row],[JUMLAH]]="","",(NOTA[[#This Row],[JUMLAH]]-NOTA[[#This Row],[DISC 1-]])*NOTA[[#This Row],[DISC 2]])</f>
        <v>0</v>
      </c>
      <c r="Z880" s="198">
        <f>IF(NOTA[[#This Row],[JUMLAH]]="","",NOTA[[#This Row],[DISC 1-]]+NOTA[[#This Row],[DISC 2-]])</f>
        <v>952000</v>
      </c>
      <c r="AA880" s="198">
        <f>IF(NOTA[[#This Row],[JUMLAH]]="","",NOTA[[#This Row],[JUMLAH]]-NOTA[[#This Row],[DISC]])</f>
        <v>3808000</v>
      </c>
      <c r="AB880" s="198"/>
      <c r="AC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187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F880" s="200">
        <f>IF(OR(NOTA[[#This Row],[QTY]]="",NOTA[[#This Row],[HARGA SATUAN]]="",),"",NOTA[[#This Row],[QTY]]*NOTA[[#This Row],[HARGA SATUAN]])</f>
        <v>4760000</v>
      </c>
      <c r="AG880" s="192">
        <f ca="1">IF(NOTA[ID_H]="","",INDEX(NOTA[TANGGAL],MATCH(,INDIRECT(ADDRESS(ROW(NOTA[TANGGAL]),COLUMN(NOTA[TANGGAL]))&amp;":"&amp;ADDRESS(ROW(),COLUMN(NOTA[TANGGAL]))),-1)))</f>
        <v>45075</v>
      </c>
      <c r="AH880" s="187" t="str">
        <f ca="1">IF(NOTA[[#This Row],[NAMA BARANG]]="","",INDEX(NOTA[SUPPLIER],MATCH(,INDIRECT(ADDRESS(ROW(NOTA[ID]),COLUMN(NOTA[ID]))&amp;":"&amp;ADDRESS(ROW(),COLUMN(NOTA[ID]))),-1)))</f>
        <v>PUTRA SURYA MANDIRI</v>
      </c>
      <c r="AI880" s="187" t="str">
        <f ca="1">IF(NOTA[[#This Row],[ID_H]]="","",IF(NOTA[[#This Row],[FAKTUR]]="",INDIRECT(ADDRESS(ROW()-1,COLUMN())),NOTA[[#This Row],[FAKTUR]]))</f>
        <v>UNTANA</v>
      </c>
      <c r="AJ880" s="188">
        <f ca="1">IF(NOTA[[#This Row],[ID]]="","",COUNTIF(NOTA[ID_H],NOTA[[#This Row],[ID_H]]))</f>
        <v>7</v>
      </c>
      <c r="AK880" s="188">
        <f>IF(NOTA[[#This Row],[TGL.NOTA]]="",IF(NOTA[[#This Row],[SUPPLIER_H]]="","",AK879),MONTH(NOTA[[#This Row],[TGL.NOTA]]))</f>
        <v>5</v>
      </c>
      <c r="AL880" s="188" t="str">
        <f>LOWER(SUBSTITUTE(SUBSTITUTE(SUBSTITUTE(SUBSTITUTE(SUBSTITUTE(SUBSTITUTE(SUBSTITUTE(SUBSTITUTE(SUBSTITUTE(NOTA[NAMA BARANG]," ",),".",""),"-",""),"(",""),")",""),",",""),"/",""),"""",""),"+",""))</f>
        <v>baloncacing1022isi25pompakecilopk2225</v>
      </c>
      <c r="AM880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N880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baloncacing1022isi25pompakecilopk222547600000.2</v>
      </c>
      <c r="AO880" s="188" t="str">
        <f>IF(NOTA[[#This Row],[SUPPLIER]]="","",NOTA[[#This Row],[SUPPLIER]]&amp;NOTA[[#This Row],[FAKTUR]]&amp;NOTA[[#This Row],[NO.NOTA]]&amp;NOTA[[#This Row],[NO.SJ]]&amp;NOTA[[#This Row],[TGL.NOTA]]&amp;NOTA[[#This Row],[CONCAT1]])</f>
        <v>PUTRA SURYA MANDIRIUNTANAPSM-R230500007845071baloncacing1022isi25pompakecilopk2225</v>
      </c>
      <c r="AP880" s="188" t="e">
        <f>IF(NOTA[[#This Row],[CONCAT4]]="","",_xlfn.IFNA(MATCH(NOTA[[#This Row],[CONCAT4]],[2]!RAW[CONCAT_H],0),FALSE))</f>
        <v>#REF!</v>
      </c>
      <c r="AQ880" s="188" t="e">
        <f>IF(NOTA[[#This Row],[CONCAT1]]="","",MATCH(NOTA[[#This Row],[CONCAT1]],[3]!db[NB NOTA_C],0)+1)</f>
        <v>#N/A</v>
      </c>
    </row>
    <row r="881" spans="1:43" ht="20.100000000000001" customHeight="1" x14ac:dyDescent="0.25">
      <c r="A881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188" t="str">
        <f>IF(NOTA[[#This Row],[ID_P]]="","",MATCH(NOTA[[#This Row],[ID_P]],[1]!B_MSK[N_ID],0))</f>
        <v/>
      </c>
      <c r="D881" s="188">
        <f ca="1">IF(NOTA[[#This Row],[NAMA BARANG]]="","",INDEX(NOTA[ID],MATCH(,INDIRECT(ADDRESS(ROW(NOTA[ID]),COLUMN(NOTA[ID]))&amp;":"&amp;ADDRESS(ROW(),COLUMN(NOTA[ID]))),-1)))</f>
        <v>154</v>
      </c>
      <c r="E881" s="189"/>
      <c r="F881" s="190"/>
      <c r="G881" s="190"/>
      <c r="H881" s="191"/>
      <c r="I881" s="190"/>
      <c r="J881" s="192"/>
      <c r="K881" s="190"/>
      <c r="L881" s="27" t="s">
        <v>1065</v>
      </c>
      <c r="M881" s="193">
        <v>2</v>
      </c>
      <c r="N881" s="188">
        <v>80</v>
      </c>
      <c r="O881" s="27" t="s">
        <v>1066</v>
      </c>
      <c r="P881" s="187">
        <v>125000</v>
      </c>
      <c r="Q881" s="194"/>
      <c r="R881" s="42" t="s">
        <v>1067</v>
      </c>
      <c r="S881" s="196">
        <v>0.2</v>
      </c>
      <c r="T881" s="197"/>
      <c r="U881" s="198"/>
      <c r="V881" s="199"/>
      <c r="W881" s="198">
        <f>IF(NOTA[[#This Row],[HARGA/ CTN]]="",NOTA[[#This Row],[JUMLAH_H]],NOTA[[#This Row],[HARGA/ CTN]]*IF(NOTA[[#This Row],[C]]="",0,NOTA[[#This Row],[C]]))</f>
        <v>10000000</v>
      </c>
      <c r="X881" s="198">
        <f>IF(NOTA[[#This Row],[JUMLAH]]="","",NOTA[[#This Row],[JUMLAH]]*NOTA[[#This Row],[DISC 1]])</f>
        <v>2000000</v>
      </c>
      <c r="Y881" s="198">
        <f>IF(NOTA[[#This Row],[JUMLAH]]="","",(NOTA[[#This Row],[JUMLAH]]-NOTA[[#This Row],[DISC 1-]])*NOTA[[#This Row],[DISC 2]])</f>
        <v>0</v>
      </c>
      <c r="Z881" s="198">
        <f>IF(NOTA[[#This Row],[JUMLAH]]="","",NOTA[[#This Row],[DISC 1-]]+NOTA[[#This Row],[DISC 2-]])</f>
        <v>2000000</v>
      </c>
      <c r="AA881" s="198">
        <f>IF(NOTA[[#This Row],[JUMLAH]]="","",NOTA[[#This Row],[JUMLAH]]-NOTA[[#This Row],[DISC]])</f>
        <v>8000000</v>
      </c>
      <c r="AB881" s="198"/>
      <c r="AC8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187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881" s="200">
        <f>IF(OR(NOTA[[#This Row],[QTY]]="",NOTA[[#This Row],[HARGA SATUAN]]="",),"",NOTA[[#This Row],[QTY]]*NOTA[[#This Row],[HARGA SATUAN]])</f>
        <v>10000000</v>
      </c>
      <c r="AG881" s="192">
        <f ca="1">IF(NOTA[ID_H]="","",INDEX(NOTA[TANGGAL],MATCH(,INDIRECT(ADDRESS(ROW(NOTA[TANGGAL]),COLUMN(NOTA[TANGGAL]))&amp;":"&amp;ADDRESS(ROW(),COLUMN(NOTA[TANGGAL]))),-1)))</f>
        <v>45075</v>
      </c>
      <c r="AH881" s="187" t="str">
        <f ca="1">IF(NOTA[[#This Row],[NAMA BARANG]]="","",INDEX(NOTA[SUPPLIER],MATCH(,INDIRECT(ADDRESS(ROW(NOTA[ID]),COLUMN(NOTA[ID]))&amp;":"&amp;ADDRESS(ROW(),COLUMN(NOTA[ID]))),-1)))</f>
        <v>PUTRA SURYA MANDIRI</v>
      </c>
      <c r="AI881" s="187" t="str">
        <f ca="1">IF(NOTA[[#This Row],[ID_H]]="","",IF(NOTA[[#This Row],[FAKTUR]]="",INDIRECT(ADDRESS(ROW()-1,COLUMN())),NOTA[[#This Row],[FAKTUR]]))</f>
        <v>UNTANA</v>
      </c>
      <c r="AJ881" s="188" t="str">
        <f ca="1">IF(NOTA[[#This Row],[ID]]="","",COUNTIF(NOTA[ID_H],NOTA[[#This Row],[ID_H]]))</f>
        <v/>
      </c>
      <c r="AK881" s="188">
        <f ca="1">IF(NOTA[[#This Row],[TGL.NOTA]]="",IF(NOTA[[#This Row],[SUPPLIER_H]]="","",AK880),MONTH(NOTA[[#This Row],[TGL.NOTA]]))</f>
        <v>5</v>
      </c>
      <c r="AL881" s="188" t="str">
        <f>LOWER(SUBSTITUTE(SUBSTITUTE(SUBSTITUTE(SUBSTITUTE(SUBSTITUTE(SUBSTITUTE(SUBSTITUTE(SUBSTITUTE(SUBSTITUTE(NOTA[NAMA BARANG]," ",),".",""),"-",""),"(",""),")",""),",",""),"/",""),"""",""),"+",""))</f>
        <v>balonfs5motif20x5lkf3200m</v>
      </c>
      <c r="AM881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balonfs5motif20x5lkf3200m50000000.2</v>
      </c>
      <c r="AN881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balonfs5motif20x5lkf3200m50000000.2</v>
      </c>
      <c r="AO881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188" t="str">
        <f>IF(NOTA[[#This Row],[CONCAT4]]="","",_xlfn.IFNA(MATCH(NOTA[[#This Row],[CONCAT4]],[2]!RAW[CONCAT_H],0),FALSE))</f>
        <v/>
      </c>
      <c r="AQ881" s="188">
        <f>IF(NOTA[[#This Row],[CONCAT1]]="","",MATCH(NOTA[[#This Row],[CONCAT1]],[3]!db[NB NOTA_C],0)+1)</f>
        <v>126</v>
      </c>
    </row>
    <row r="882" spans="1:43" ht="20.100000000000001" customHeight="1" x14ac:dyDescent="0.25">
      <c r="A882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188" t="str">
        <f>IF(NOTA[[#This Row],[ID_P]]="","",MATCH(NOTA[[#This Row],[ID_P]],[1]!B_MSK[N_ID],0))</f>
        <v/>
      </c>
      <c r="D882" s="188">
        <f ca="1">IF(NOTA[[#This Row],[NAMA BARANG]]="","",INDEX(NOTA[ID],MATCH(,INDIRECT(ADDRESS(ROW(NOTA[ID]),COLUMN(NOTA[ID]))&amp;":"&amp;ADDRESS(ROW(),COLUMN(NOTA[ID]))),-1)))</f>
        <v>154</v>
      </c>
      <c r="E882" s="189"/>
      <c r="F882" s="190"/>
      <c r="G882" s="190"/>
      <c r="H882" s="191"/>
      <c r="I882" s="190"/>
      <c r="J882" s="192"/>
      <c r="K882" s="190"/>
      <c r="L882" s="27" t="s">
        <v>1068</v>
      </c>
      <c r="M882" s="193">
        <v>2</v>
      </c>
      <c r="N882" s="188">
        <v>80</v>
      </c>
      <c r="O882" s="27" t="s">
        <v>1066</v>
      </c>
      <c r="P882" s="187">
        <v>125000</v>
      </c>
      <c r="Q882" s="194"/>
      <c r="R882" s="42" t="s">
        <v>1067</v>
      </c>
      <c r="S882" s="196">
        <v>0.2</v>
      </c>
      <c r="T882" s="197"/>
      <c r="U882" s="198"/>
      <c r="V882" s="199"/>
      <c r="W882" s="198">
        <f>IF(NOTA[[#This Row],[HARGA/ CTN]]="",NOTA[[#This Row],[JUMLAH_H]],NOTA[[#This Row],[HARGA/ CTN]]*IF(NOTA[[#This Row],[C]]="",0,NOTA[[#This Row],[C]]))</f>
        <v>10000000</v>
      </c>
      <c r="X882" s="198">
        <f>IF(NOTA[[#This Row],[JUMLAH]]="","",NOTA[[#This Row],[JUMLAH]]*NOTA[[#This Row],[DISC 1]])</f>
        <v>2000000</v>
      </c>
      <c r="Y882" s="198">
        <f>IF(NOTA[[#This Row],[JUMLAH]]="","",(NOTA[[#This Row],[JUMLAH]]-NOTA[[#This Row],[DISC 1-]])*NOTA[[#This Row],[DISC 2]])</f>
        <v>0</v>
      </c>
      <c r="Z882" s="198">
        <f>IF(NOTA[[#This Row],[JUMLAH]]="","",NOTA[[#This Row],[DISC 1-]]+NOTA[[#This Row],[DISC 2-]])</f>
        <v>2000000</v>
      </c>
      <c r="AA882" s="198">
        <f>IF(NOTA[[#This Row],[JUMLAH]]="","",NOTA[[#This Row],[JUMLAH]]-NOTA[[#This Row],[DISC]])</f>
        <v>8000000</v>
      </c>
      <c r="AB882" s="198"/>
      <c r="AC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187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F882" s="200">
        <f>IF(OR(NOTA[[#This Row],[QTY]]="",NOTA[[#This Row],[HARGA SATUAN]]="",),"",NOTA[[#This Row],[QTY]]*NOTA[[#This Row],[HARGA SATUAN]])</f>
        <v>10000000</v>
      </c>
      <c r="AG882" s="192">
        <f ca="1">IF(NOTA[ID_H]="","",INDEX(NOTA[TANGGAL],MATCH(,INDIRECT(ADDRESS(ROW(NOTA[TANGGAL]),COLUMN(NOTA[TANGGAL]))&amp;":"&amp;ADDRESS(ROW(),COLUMN(NOTA[TANGGAL]))),-1)))</f>
        <v>45075</v>
      </c>
      <c r="AH882" s="187" t="str">
        <f ca="1">IF(NOTA[[#This Row],[NAMA BARANG]]="","",INDEX(NOTA[SUPPLIER],MATCH(,INDIRECT(ADDRESS(ROW(NOTA[ID]),COLUMN(NOTA[ID]))&amp;":"&amp;ADDRESS(ROW(),COLUMN(NOTA[ID]))),-1)))</f>
        <v>PUTRA SURYA MANDIRI</v>
      </c>
      <c r="AI882" s="187" t="str">
        <f ca="1">IF(NOTA[[#This Row],[ID_H]]="","",IF(NOTA[[#This Row],[FAKTUR]]="",INDIRECT(ADDRESS(ROW()-1,COLUMN())),NOTA[[#This Row],[FAKTUR]]))</f>
        <v>UNTANA</v>
      </c>
      <c r="AJ882" s="188" t="str">
        <f ca="1">IF(NOTA[[#This Row],[ID]]="","",COUNTIF(NOTA[ID_H],NOTA[[#This Row],[ID_H]]))</f>
        <v/>
      </c>
      <c r="AK882" s="188">
        <f ca="1">IF(NOTA[[#This Row],[TGL.NOTA]]="",IF(NOTA[[#This Row],[SUPPLIER_H]]="","",AK881),MONTH(NOTA[[#This Row],[TGL.NOTA]]))</f>
        <v>5</v>
      </c>
      <c r="AL882" s="188" t="str">
        <f>LOWER(SUBSTITUTE(SUBSTITUTE(SUBSTITUTE(SUBSTITUTE(SUBSTITUTE(SUBSTITUTE(SUBSTITUTE(SUBSTITUTE(SUBSTITUTE(NOTA[NAMA BARANG]," ",),".",""),"-",""),"(",""),")",""),",",""),"/",""),"""",""),"+",""))</f>
        <v>balonfsmickey20x5lkf3200m3</v>
      </c>
      <c r="AM882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balonfsmickey20x5lkf3200m350000000.2</v>
      </c>
      <c r="AN882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balonfsmickey20x5lkf3200m350000000.2</v>
      </c>
      <c r="AO882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188" t="str">
        <f>IF(NOTA[[#This Row],[CONCAT4]]="","",_xlfn.IFNA(MATCH(NOTA[[#This Row],[CONCAT4]],[2]!RAW[CONCAT_H],0),FALSE))</f>
        <v/>
      </c>
      <c r="AQ882" s="188">
        <f>IF(NOTA[[#This Row],[CONCAT1]]="","",MATCH(NOTA[[#This Row],[CONCAT1]],[3]!db[NB NOTA_C],0)+1)</f>
        <v>130</v>
      </c>
    </row>
    <row r="883" spans="1:43" ht="20.100000000000001" customHeight="1" x14ac:dyDescent="0.25">
      <c r="A883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188" t="str">
        <f>IF(NOTA[[#This Row],[ID_P]]="","",MATCH(NOTA[[#This Row],[ID_P]],[1]!B_MSK[N_ID],0))</f>
        <v/>
      </c>
      <c r="D883" s="188">
        <f ca="1">IF(NOTA[[#This Row],[NAMA BARANG]]="","",INDEX(NOTA[ID],MATCH(,INDIRECT(ADDRESS(ROW(NOTA[ID]),COLUMN(NOTA[ID]))&amp;":"&amp;ADDRESS(ROW(),COLUMN(NOTA[ID]))),-1)))</f>
        <v>154</v>
      </c>
      <c r="E883" s="189"/>
      <c r="F883" s="190"/>
      <c r="G883" s="190"/>
      <c r="H883" s="191"/>
      <c r="I883" s="190"/>
      <c r="J883" s="192"/>
      <c r="K883" s="190"/>
      <c r="L883" s="27" t="s">
        <v>1069</v>
      </c>
      <c r="M883" s="193">
        <v>1</v>
      </c>
      <c r="N883" s="188">
        <v>48</v>
      </c>
      <c r="O883" s="27" t="s">
        <v>1066</v>
      </c>
      <c r="P883" s="187">
        <v>100000</v>
      </c>
      <c r="Q883" s="194"/>
      <c r="R883" s="42" t="s">
        <v>1070</v>
      </c>
      <c r="S883" s="196">
        <v>0.2</v>
      </c>
      <c r="T883" s="197"/>
      <c r="U883" s="198"/>
      <c r="V883" s="199"/>
      <c r="W883" s="198">
        <f>IF(NOTA[[#This Row],[HARGA/ CTN]]="",NOTA[[#This Row],[JUMLAH_H]],NOTA[[#This Row],[HARGA/ CTN]]*IF(NOTA[[#This Row],[C]]="",0,NOTA[[#This Row],[C]]))</f>
        <v>4800000</v>
      </c>
      <c r="X883" s="198">
        <f>IF(NOTA[[#This Row],[JUMLAH]]="","",NOTA[[#This Row],[JUMLAH]]*NOTA[[#This Row],[DISC 1]])</f>
        <v>960000</v>
      </c>
      <c r="Y883" s="198">
        <f>IF(NOTA[[#This Row],[JUMLAH]]="","",(NOTA[[#This Row],[JUMLAH]]-NOTA[[#This Row],[DISC 1-]])*NOTA[[#This Row],[DISC 2]])</f>
        <v>0</v>
      </c>
      <c r="Z883" s="198">
        <f>IF(NOTA[[#This Row],[JUMLAH]]="","",NOTA[[#This Row],[DISC 1-]]+NOTA[[#This Row],[DISC 2-]])</f>
        <v>960000</v>
      </c>
      <c r="AA883" s="198">
        <f>IF(NOTA[[#This Row],[JUMLAH]]="","",NOTA[[#This Row],[JUMLAH]]-NOTA[[#This Row],[DISC]])</f>
        <v>3840000</v>
      </c>
      <c r="AB883" s="198"/>
      <c r="AC8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187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883" s="200">
        <f>IF(OR(NOTA[[#This Row],[QTY]]="",NOTA[[#This Row],[HARGA SATUAN]]="",),"",NOTA[[#This Row],[QTY]]*NOTA[[#This Row],[HARGA SATUAN]])</f>
        <v>4800000</v>
      </c>
      <c r="AG883" s="192">
        <f ca="1">IF(NOTA[ID_H]="","",INDEX(NOTA[TANGGAL],MATCH(,INDIRECT(ADDRESS(ROW(NOTA[TANGGAL]),COLUMN(NOTA[TANGGAL]))&amp;":"&amp;ADDRESS(ROW(),COLUMN(NOTA[TANGGAL]))),-1)))</f>
        <v>45075</v>
      </c>
      <c r="AH883" s="187" t="str">
        <f ca="1">IF(NOTA[[#This Row],[NAMA BARANG]]="","",INDEX(NOTA[SUPPLIER],MATCH(,INDIRECT(ADDRESS(ROW(NOTA[ID]),COLUMN(NOTA[ID]))&amp;":"&amp;ADDRESS(ROW(),COLUMN(NOTA[ID]))),-1)))</f>
        <v>PUTRA SURYA MANDIRI</v>
      </c>
      <c r="AI883" s="187" t="str">
        <f ca="1">IF(NOTA[[#This Row],[ID_H]]="","",IF(NOTA[[#This Row],[FAKTUR]]="",INDIRECT(ADDRESS(ROW()-1,COLUMN())),NOTA[[#This Row],[FAKTUR]]))</f>
        <v>UNTANA</v>
      </c>
      <c r="AJ883" s="188" t="str">
        <f ca="1">IF(NOTA[[#This Row],[ID]]="","",COUNTIF(NOTA[ID_H],NOTA[[#This Row],[ID_H]]))</f>
        <v/>
      </c>
      <c r="AK883" s="188">
        <f ca="1">IF(NOTA[[#This Row],[TGL.NOTA]]="",IF(NOTA[[#This Row],[SUPPLIER_H]]="","",AK882),MONTH(NOTA[[#This Row],[TGL.NOTA]]))</f>
        <v>5</v>
      </c>
      <c r="AL883" s="188" t="str">
        <f>LOWER(SUBSTITUTE(SUBSTITUTE(SUBSTITUTE(SUBSTITUTE(SUBSTITUTE(SUBSTITUTE(SUBSTITUTE(SUBSTITUTE(SUBSTITUTE(NOTA[NAMA BARANG]," ",),".",""),"-",""),"(",""),")",""),",",""),"/",""),"""",""),"+",""))</f>
        <v>balonmetalikhb122820x5lms2800hb</v>
      </c>
      <c r="AM883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balonmetalikhb122820x5lms2800hb48000000.2</v>
      </c>
      <c r="AN883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balonmetalikhb122820x5lms2800hb48000000.2</v>
      </c>
      <c r="AO883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188" t="str">
        <f>IF(NOTA[[#This Row],[CONCAT4]]="","",_xlfn.IFNA(MATCH(NOTA[[#This Row],[CONCAT4]],[2]!RAW[CONCAT_H],0),FALSE))</f>
        <v/>
      </c>
      <c r="AQ883" s="188">
        <f>IF(NOTA[[#This Row],[CONCAT1]]="","",MATCH(NOTA[[#This Row],[CONCAT1]],[3]!db[NB NOTA_C],0)+1)</f>
        <v>142</v>
      </c>
    </row>
    <row r="884" spans="1:43" ht="20.100000000000001" customHeight="1" x14ac:dyDescent="0.25">
      <c r="A884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188" t="str">
        <f>IF(NOTA[[#This Row],[ID_P]]="","",MATCH(NOTA[[#This Row],[ID_P]],[1]!B_MSK[N_ID],0))</f>
        <v/>
      </c>
      <c r="D884" s="188">
        <f ca="1">IF(NOTA[[#This Row],[NAMA BARANG]]="","",INDEX(NOTA[ID],MATCH(,INDIRECT(ADDRESS(ROW(NOTA[ID]),COLUMN(NOTA[ID]))&amp;":"&amp;ADDRESS(ROW(),COLUMN(NOTA[ID]))),-1)))</f>
        <v>154</v>
      </c>
      <c r="E884" s="189"/>
      <c r="F884" s="190"/>
      <c r="G884" s="190"/>
      <c r="H884" s="191"/>
      <c r="I884" s="190"/>
      <c r="J884" s="192"/>
      <c r="K884" s="190"/>
      <c r="L884" s="27" t="s">
        <v>1071</v>
      </c>
      <c r="M884" s="193">
        <v>2</v>
      </c>
      <c r="N884" s="188">
        <v>96</v>
      </c>
      <c r="O884" s="27" t="s">
        <v>1066</v>
      </c>
      <c r="P884" s="187">
        <v>110000</v>
      </c>
      <c r="Q884" s="194"/>
      <c r="R884" s="42" t="s">
        <v>1070</v>
      </c>
      <c r="S884" s="196">
        <v>0.2</v>
      </c>
      <c r="T884" s="197"/>
      <c r="U884" s="198"/>
      <c r="V884" s="199"/>
      <c r="W884" s="198">
        <f>IF(NOTA[[#This Row],[HARGA/ CTN]]="",NOTA[[#This Row],[JUMLAH_H]],NOTA[[#This Row],[HARGA/ CTN]]*IF(NOTA[[#This Row],[C]]="",0,NOTA[[#This Row],[C]]))</f>
        <v>10560000</v>
      </c>
      <c r="X884" s="198">
        <f>IF(NOTA[[#This Row],[JUMLAH]]="","",NOTA[[#This Row],[JUMLAH]]*NOTA[[#This Row],[DISC 1]])</f>
        <v>2112000</v>
      </c>
      <c r="Y884" s="198">
        <f>IF(NOTA[[#This Row],[JUMLAH]]="","",(NOTA[[#This Row],[JUMLAH]]-NOTA[[#This Row],[DISC 1-]])*NOTA[[#This Row],[DISC 2]])</f>
        <v>0</v>
      </c>
      <c r="Z884" s="198">
        <f>IF(NOTA[[#This Row],[JUMLAH]]="","",NOTA[[#This Row],[DISC 1-]]+NOTA[[#This Row],[DISC 2-]])</f>
        <v>2112000</v>
      </c>
      <c r="AA884" s="198">
        <f>IF(NOTA[[#This Row],[JUMLAH]]="","",NOTA[[#This Row],[JUMLAH]]-NOTA[[#This Row],[DISC]])</f>
        <v>8448000</v>
      </c>
      <c r="AB884" s="198"/>
      <c r="AC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187">
        <f>IF(NOTA[[#This Row],[NAMA BARANG]]="","",IF(NOTA[[#This Row],[JUMLAH_H]]="",NOTA[[#This Row],[HARGA/ CTN]],NOTA[[#This Row],[QTY]]*NOTA[[#This Row],[HARGA SATUAN]]/IF(ISNUMBER(NOTA[[#This Row],[C]]),NOTA[[#This Row],[C]],1)))</f>
        <v>5280000</v>
      </c>
      <c r="AF884" s="200">
        <f>IF(OR(NOTA[[#This Row],[QTY]]="",NOTA[[#This Row],[HARGA SATUAN]]="",),"",NOTA[[#This Row],[QTY]]*NOTA[[#This Row],[HARGA SATUAN]])</f>
        <v>10560000</v>
      </c>
      <c r="AG884" s="192">
        <f ca="1">IF(NOTA[ID_H]="","",INDEX(NOTA[TANGGAL],MATCH(,INDIRECT(ADDRESS(ROW(NOTA[TANGGAL]),COLUMN(NOTA[TANGGAL]))&amp;":"&amp;ADDRESS(ROW(),COLUMN(NOTA[TANGGAL]))),-1)))</f>
        <v>45075</v>
      </c>
      <c r="AH884" s="187" t="str">
        <f ca="1">IF(NOTA[[#This Row],[NAMA BARANG]]="","",INDEX(NOTA[SUPPLIER],MATCH(,INDIRECT(ADDRESS(ROW(NOTA[ID]),COLUMN(NOTA[ID]))&amp;":"&amp;ADDRESS(ROW(),COLUMN(NOTA[ID]))),-1)))</f>
        <v>PUTRA SURYA MANDIRI</v>
      </c>
      <c r="AI884" s="187" t="str">
        <f ca="1">IF(NOTA[[#This Row],[ID_H]]="","",IF(NOTA[[#This Row],[FAKTUR]]="",INDIRECT(ADDRESS(ROW()-1,COLUMN())),NOTA[[#This Row],[FAKTUR]]))</f>
        <v>UNTANA</v>
      </c>
      <c r="AJ884" s="188" t="str">
        <f ca="1">IF(NOTA[[#This Row],[ID]]="","",COUNTIF(NOTA[ID_H],NOTA[[#This Row],[ID_H]]))</f>
        <v/>
      </c>
      <c r="AK884" s="188">
        <f ca="1">IF(NOTA[[#This Row],[TGL.NOTA]]="",IF(NOTA[[#This Row],[SUPPLIER_H]]="","",AK883),MONTH(NOTA[[#This Row],[TGL.NOTA]]))</f>
        <v>5</v>
      </c>
      <c r="AL884" s="188" t="str">
        <f>LOWER(SUBSTITUTE(SUBSTITUTE(SUBSTITUTE(SUBSTITUTE(SUBSTITUTE(SUBSTITUTE(SUBSTITUTE(SUBSTITUTE(SUBSTITUTE(NOTA[NAMA BARANG]," ",),".",""),"-",""),"(",""),")",""),",",""),"/",""),"""",""),"+",""))</f>
        <v>balonsmilekuning20x5lks3200sk</v>
      </c>
      <c r="AM884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balonsmilekuning20x5lks3200sk52800000.2</v>
      </c>
      <c r="AN884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balonsmilekuning20x5lks3200sk52800000.2</v>
      </c>
      <c r="AO884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188" t="str">
        <f>IF(NOTA[[#This Row],[CONCAT4]]="","",_xlfn.IFNA(MATCH(NOTA[[#This Row],[CONCAT4]],[2]!RAW[CONCAT_H],0),FALSE))</f>
        <v/>
      </c>
      <c r="AQ884" s="188" t="e">
        <f>IF(NOTA[[#This Row],[CONCAT1]]="","",MATCH(NOTA[[#This Row],[CONCAT1]],[3]!db[NB NOTA_C],0)+1)</f>
        <v>#N/A</v>
      </c>
    </row>
    <row r="885" spans="1:43" ht="20.100000000000001" customHeight="1" x14ac:dyDescent="0.25">
      <c r="A885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188" t="str">
        <f>IF(NOTA[[#This Row],[ID_P]]="","",MATCH(NOTA[[#This Row],[ID_P]],[1]!B_MSK[N_ID],0))</f>
        <v/>
      </c>
      <c r="D885" s="188">
        <f ca="1">IF(NOTA[[#This Row],[NAMA BARANG]]="","",INDEX(NOTA[ID],MATCH(,INDIRECT(ADDRESS(ROW(NOTA[ID]),COLUMN(NOTA[ID]))&amp;":"&amp;ADDRESS(ROW(),COLUMN(NOTA[ID]))),-1)))</f>
        <v>154</v>
      </c>
      <c r="E885" s="189"/>
      <c r="F885" s="190"/>
      <c r="G885" s="190"/>
      <c r="H885" s="191"/>
      <c r="I885" s="190"/>
      <c r="J885" s="192"/>
      <c r="K885" s="190"/>
      <c r="L885" s="27" t="s">
        <v>1072</v>
      </c>
      <c r="M885" s="193">
        <v>2</v>
      </c>
      <c r="N885" s="188">
        <v>100</v>
      </c>
      <c r="O885" s="27" t="s">
        <v>1066</v>
      </c>
      <c r="P885" s="187">
        <v>85000</v>
      </c>
      <c r="Q885" s="194"/>
      <c r="R885" s="42" t="s">
        <v>1073</v>
      </c>
      <c r="S885" s="196">
        <v>0.2</v>
      </c>
      <c r="T885" s="197"/>
      <c r="U885" s="198"/>
      <c r="V885" s="199"/>
      <c r="W885" s="198">
        <f>IF(NOTA[[#This Row],[HARGA/ CTN]]="",NOTA[[#This Row],[JUMLAH_H]],NOTA[[#This Row],[HARGA/ CTN]]*IF(NOTA[[#This Row],[C]]="",0,NOTA[[#This Row],[C]]))</f>
        <v>8500000</v>
      </c>
      <c r="X885" s="198">
        <f>IF(NOTA[[#This Row],[JUMLAH]]="","",NOTA[[#This Row],[JUMLAH]]*NOTA[[#This Row],[DISC 1]])</f>
        <v>1700000</v>
      </c>
      <c r="Y885" s="198">
        <f>IF(NOTA[[#This Row],[JUMLAH]]="","",(NOTA[[#This Row],[JUMLAH]]-NOTA[[#This Row],[DISC 1-]])*NOTA[[#This Row],[DISC 2]])</f>
        <v>0</v>
      </c>
      <c r="Z885" s="198">
        <f>IF(NOTA[[#This Row],[JUMLAH]]="","",NOTA[[#This Row],[DISC 1-]]+NOTA[[#This Row],[DISC 2-]])</f>
        <v>1700000</v>
      </c>
      <c r="AA885" s="198">
        <f>IF(NOTA[[#This Row],[JUMLAH]]="","",NOTA[[#This Row],[JUMLAH]]-NOTA[[#This Row],[DISC]])</f>
        <v>6800000</v>
      </c>
      <c r="AB885" s="198"/>
      <c r="AC8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187">
        <f>IF(NOTA[[#This Row],[NAMA BARANG]]="","",IF(NOTA[[#This Row],[JUMLAH_H]]="",NOTA[[#This Row],[HARGA/ CTN]],NOTA[[#This Row],[QTY]]*NOTA[[#This Row],[HARGA SATUAN]]/IF(ISNUMBER(NOTA[[#This Row],[C]]),NOTA[[#This Row],[C]],1)))</f>
        <v>4250000</v>
      </c>
      <c r="AF885" s="200">
        <f>IF(OR(NOTA[[#This Row],[QTY]]="",NOTA[[#This Row],[HARGA SATUAN]]="",),"",NOTA[[#This Row],[QTY]]*NOTA[[#This Row],[HARGA SATUAN]])</f>
        <v>8500000</v>
      </c>
      <c r="AG885" s="192">
        <f ca="1">IF(NOTA[ID_H]="","",INDEX(NOTA[TANGGAL],MATCH(,INDIRECT(ADDRESS(ROW(NOTA[TANGGAL]),COLUMN(NOTA[TANGGAL]))&amp;":"&amp;ADDRESS(ROW(),COLUMN(NOTA[TANGGAL]))),-1)))</f>
        <v>45075</v>
      </c>
      <c r="AH885" s="187" t="str">
        <f ca="1">IF(NOTA[[#This Row],[NAMA BARANG]]="","",INDEX(NOTA[SUPPLIER],MATCH(,INDIRECT(ADDRESS(ROW(NOTA[ID]),COLUMN(NOTA[ID]))&amp;":"&amp;ADDRESS(ROW(),COLUMN(NOTA[ID]))),-1)))</f>
        <v>PUTRA SURYA MANDIRI</v>
      </c>
      <c r="AI885" s="187" t="str">
        <f ca="1">IF(NOTA[[#This Row],[ID_H]]="","",IF(NOTA[[#This Row],[FAKTUR]]="",INDIRECT(ADDRESS(ROW()-1,COLUMN())),NOTA[[#This Row],[FAKTUR]]))</f>
        <v>UNTANA</v>
      </c>
      <c r="AJ885" s="188" t="str">
        <f ca="1">IF(NOTA[[#This Row],[ID]]="","",COUNTIF(NOTA[ID_H],NOTA[[#This Row],[ID_H]]))</f>
        <v/>
      </c>
      <c r="AK885" s="188">
        <f ca="1">IF(NOTA[[#This Row],[TGL.NOTA]]="",IF(NOTA[[#This Row],[SUPPLIER_H]]="","",AK884),MONTH(NOTA[[#This Row],[TGL.NOTA]]))</f>
        <v>5</v>
      </c>
      <c r="AL885" s="188" t="str">
        <f>LOWER(SUBSTITUTE(SUBSTITUTE(SUBSTITUTE(SUBSTITUTE(SUBSTITUTE(SUBSTITUTE(SUBSTITUTE(SUBSTITUTE(SUBSTITUTE(NOTA[NAMA BARANG]," ",),".",""),"-",""),"(",""),")",""),",",""),"/",""),"""",""),"+",""))</f>
        <v>balonkilap123220x5lkp3200</v>
      </c>
      <c r="AM885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balonkilap123220x5lkp320042500000.2</v>
      </c>
      <c r="AN885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balonkilap123220x5lkp320042500000.2</v>
      </c>
      <c r="AO885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188" t="str">
        <f>IF(NOTA[[#This Row],[CONCAT4]]="","",_xlfn.IFNA(MATCH(NOTA[[#This Row],[CONCAT4]],[2]!RAW[CONCAT_H],0),FALSE))</f>
        <v/>
      </c>
      <c r="AQ885" s="188" t="e">
        <f>IF(NOTA[[#This Row],[CONCAT1]]="","",MATCH(NOTA[[#This Row],[CONCAT1]],[3]!db[NB NOTA_C],0)+1)</f>
        <v>#N/A</v>
      </c>
    </row>
    <row r="886" spans="1:43" ht="20.100000000000001" customHeight="1" x14ac:dyDescent="0.25">
      <c r="A886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188" t="str">
        <f>IF(NOTA[[#This Row],[ID_P]]="","",MATCH(NOTA[[#This Row],[ID_P]],[1]!B_MSK[N_ID],0))</f>
        <v/>
      </c>
      <c r="D886" s="188">
        <f ca="1">IF(NOTA[[#This Row],[NAMA BARANG]]="","",INDEX(NOTA[ID],MATCH(,INDIRECT(ADDRESS(ROW(NOTA[ID]),COLUMN(NOTA[ID]))&amp;":"&amp;ADDRESS(ROW(),COLUMN(NOTA[ID]))),-1)))</f>
        <v>154</v>
      </c>
      <c r="E886" s="189"/>
      <c r="F886" s="190"/>
      <c r="G886" s="190"/>
      <c r="H886" s="191"/>
      <c r="I886" s="190"/>
      <c r="J886" s="192"/>
      <c r="K886" s="190"/>
      <c r="L886" s="27" t="s">
        <v>1074</v>
      </c>
      <c r="M886" s="193">
        <v>2</v>
      </c>
      <c r="N886" s="188">
        <v>120</v>
      </c>
      <c r="O886" s="27" t="s">
        <v>1066</v>
      </c>
      <c r="P886" s="187">
        <v>67500</v>
      </c>
      <c r="Q886" s="194"/>
      <c r="R886" s="42" t="s">
        <v>1075</v>
      </c>
      <c r="S886" s="196">
        <v>0.2</v>
      </c>
      <c r="T886" s="197"/>
      <c r="U886" s="198"/>
      <c r="V886" s="199"/>
      <c r="W886" s="198">
        <f>IF(NOTA[[#This Row],[HARGA/ CTN]]="",NOTA[[#This Row],[JUMLAH_H]],NOTA[[#This Row],[HARGA/ CTN]]*IF(NOTA[[#This Row],[C]]="",0,NOTA[[#This Row],[C]]))</f>
        <v>8100000</v>
      </c>
      <c r="X886" s="198">
        <f>IF(NOTA[[#This Row],[JUMLAH]]="","",NOTA[[#This Row],[JUMLAH]]*NOTA[[#This Row],[DISC 1]])</f>
        <v>1620000</v>
      </c>
      <c r="Y886" s="198">
        <f>IF(NOTA[[#This Row],[JUMLAH]]="","",(NOTA[[#This Row],[JUMLAH]]-NOTA[[#This Row],[DISC 1-]])*NOTA[[#This Row],[DISC 2]])</f>
        <v>0</v>
      </c>
      <c r="Z886" s="198">
        <f>IF(NOTA[[#This Row],[JUMLAH]]="","",NOTA[[#This Row],[DISC 1-]]+NOTA[[#This Row],[DISC 2-]])</f>
        <v>1620000</v>
      </c>
      <c r="AA886" s="198">
        <f>IF(NOTA[[#This Row],[JUMLAH]]="","",NOTA[[#This Row],[JUMLAH]]-NOTA[[#This Row],[DISC]])</f>
        <v>6480000</v>
      </c>
      <c r="AB886" s="198"/>
      <c r="AC8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11344000</v>
      </c>
      <c r="AD886" s="19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45376000</v>
      </c>
      <c r="AE886" s="187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86" s="200">
        <f>IF(OR(NOTA[[#This Row],[QTY]]="",NOTA[[#This Row],[HARGA SATUAN]]="",),"",NOTA[[#This Row],[QTY]]*NOTA[[#This Row],[HARGA SATUAN]])</f>
        <v>8100000</v>
      </c>
      <c r="AG886" s="192">
        <f ca="1">IF(NOTA[ID_H]="","",INDEX(NOTA[TANGGAL],MATCH(,INDIRECT(ADDRESS(ROW(NOTA[TANGGAL]),COLUMN(NOTA[TANGGAL]))&amp;":"&amp;ADDRESS(ROW(),COLUMN(NOTA[TANGGAL]))),-1)))</f>
        <v>45075</v>
      </c>
      <c r="AH886" s="187" t="str">
        <f ca="1">IF(NOTA[[#This Row],[NAMA BARANG]]="","",INDEX(NOTA[SUPPLIER],MATCH(,INDIRECT(ADDRESS(ROW(NOTA[ID]),COLUMN(NOTA[ID]))&amp;":"&amp;ADDRESS(ROW(),COLUMN(NOTA[ID]))),-1)))</f>
        <v>PUTRA SURYA MANDIRI</v>
      </c>
      <c r="AI886" s="187" t="str">
        <f ca="1">IF(NOTA[[#This Row],[ID_H]]="","",IF(NOTA[[#This Row],[FAKTUR]]="",INDIRECT(ADDRESS(ROW()-1,COLUMN())),NOTA[[#This Row],[FAKTUR]]))</f>
        <v>UNTANA</v>
      </c>
      <c r="AJ886" s="188" t="str">
        <f ca="1">IF(NOTA[[#This Row],[ID]]="","",COUNTIF(NOTA[ID_H],NOTA[[#This Row],[ID_H]]))</f>
        <v/>
      </c>
      <c r="AK886" s="188">
        <f ca="1">IF(NOTA[[#This Row],[TGL.NOTA]]="",IF(NOTA[[#This Row],[SUPPLIER_H]]="","",AK885),MONTH(NOTA[[#This Row],[TGL.NOTA]]))</f>
        <v>5</v>
      </c>
      <c r="AL886" s="188" t="str">
        <f>LOWER(SUBSTITUTE(SUBSTITUTE(SUBSTITUTE(SUBSTITUTE(SUBSTITUTE(SUBSTITUTE(SUBSTITUTE(SUBSTITUTE(SUBSTITUTE(NOTA[NAMA BARANG]," ",),".",""),"-",""),"(",""),")",""),",",""),"/",""),"""",""),"+",""))</f>
        <v>balonmacaron102220x5lkm2200</v>
      </c>
      <c r="AM886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balonmacaron102220x5lkm220040500000.2</v>
      </c>
      <c r="AN886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balonmacaron102220x5lkm220040500000.2</v>
      </c>
      <c r="AO886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188" t="str">
        <f>IF(NOTA[[#This Row],[CONCAT4]]="","",_xlfn.IFNA(MATCH(NOTA[[#This Row],[CONCAT4]],[2]!RAW[CONCAT_H],0),FALSE))</f>
        <v/>
      </c>
      <c r="AQ886" s="188">
        <f>IF(NOTA[[#This Row],[CONCAT1]]="","",MATCH(NOTA[[#This Row],[CONCAT1]],[3]!db[NB NOTA_C],0)+1)</f>
        <v>137</v>
      </c>
    </row>
    <row r="887" spans="1:43" ht="20.100000000000001" customHeight="1" x14ac:dyDescent="0.25">
      <c r="A887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188" t="str">
        <f>IF(NOTA[[#This Row],[ID_P]]="","",MATCH(NOTA[[#This Row],[ID_P]],[1]!B_MSK[N_ID],0))</f>
        <v/>
      </c>
      <c r="D887" s="188" t="str">
        <f ca="1">IF(NOTA[[#This Row],[NAMA BARANG]]="","",INDEX(NOTA[ID],MATCH(,INDIRECT(ADDRESS(ROW(NOTA[ID]),COLUMN(NOTA[ID]))&amp;":"&amp;ADDRESS(ROW(),COLUMN(NOTA[ID]))),-1)))</f>
        <v/>
      </c>
      <c r="E887" s="189"/>
      <c r="F887" s="190"/>
      <c r="G887" s="190"/>
      <c r="H887" s="191"/>
      <c r="I887" s="190"/>
      <c r="J887" s="192"/>
      <c r="K887" s="190"/>
      <c r="L887" s="190"/>
      <c r="M887" s="193"/>
      <c r="N887" s="188"/>
      <c r="O887" s="190"/>
      <c r="P887" s="187"/>
      <c r="Q887" s="194"/>
      <c r="R887" s="195"/>
      <c r="S887" s="196"/>
      <c r="T887" s="197"/>
      <c r="U887" s="198"/>
      <c r="V887" s="199"/>
      <c r="W887" s="198" t="str">
        <f>IF(NOTA[[#This Row],[HARGA/ CTN]]="",NOTA[[#This Row],[JUMLAH_H]],NOTA[[#This Row],[HARGA/ CTN]]*IF(NOTA[[#This Row],[C]]="",0,NOTA[[#This Row],[C]]))</f>
        <v/>
      </c>
      <c r="X887" s="198" t="str">
        <f>IF(NOTA[[#This Row],[JUMLAH]]="","",NOTA[[#This Row],[JUMLAH]]*NOTA[[#This Row],[DISC 1]])</f>
        <v/>
      </c>
      <c r="Y887" s="198" t="str">
        <f>IF(NOTA[[#This Row],[JUMLAH]]="","",(NOTA[[#This Row],[JUMLAH]]-NOTA[[#This Row],[DISC 1-]])*NOTA[[#This Row],[DISC 2]])</f>
        <v/>
      </c>
      <c r="Z887" s="198" t="str">
        <f>IF(NOTA[[#This Row],[JUMLAH]]="","",NOTA[[#This Row],[DISC 1-]]+NOTA[[#This Row],[DISC 2-]])</f>
        <v/>
      </c>
      <c r="AA887" s="198" t="str">
        <f>IF(NOTA[[#This Row],[JUMLAH]]="","",NOTA[[#This Row],[JUMLAH]]-NOTA[[#This Row],[DISC]])</f>
        <v/>
      </c>
      <c r="AB887" s="198"/>
      <c r="AC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18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200" t="str">
        <f>IF(OR(NOTA[[#This Row],[QTY]]="",NOTA[[#This Row],[HARGA SATUAN]]="",),"",NOTA[[#This Row],[QTY]]*NOTA[[#This Row],[HARGA SATUAN]])</f>
        <v/>
      </c>
      <c r="AG887" s="192" t="str">
        <f ca="1">IF(NOTA[ID_H]="","",INDEX(NOTA[TANGGAL],MATCH(,INDIRECT(ADDRESS(ROW(NOTA[TANGGAL]),COLUMN(NOTA[TANGGAL]))&amp;":"&amp;ADDRESS(ROW(),COLUMN(NOTA[TANGGAL]))),-1)))</f>
        <v/>
      </c>
      <c r="AH887" s="187" t="str">
        <f ca="1">IF(NOTA[[#This Row],[NAMA BARANG]]="","",INDEX(NOTA[SUPPLIER],MATCH(,INDIRECT(ADDRESS(ROW(NOTA[ID]),COLUMN(NOTA[ID]))&amp;":"&amp;ADDRESS(ROW(),COLUMN(NOTA[ID]))),-1)))</f>
        <v/>
      </c>
      <c r="AI887" s="187" t="str">
        <f ca="1">IF(NOTA[[#This Row],[ID_H]]="","",IF(NOTA[[#This Row],[FAKTUR]]="",INDIRECT(ADDRESS(ROW()-1,COLUMN())),NOTA[[#This Row],[FAKTUR]]))</f>
        <v/>
      </c>
      <c r="AJ887" s="188" t="str">
        <f ca="1">IF(NOTA[[#This Row],[ID]]="","",COUNTIF(NOTA[ID_H],NOTA[[#This Row],[ID_H]]))</f>
        <v/>
      </c>
      <c r="AK887" s="188" t="str">
        <f ca="1">IF(NOTA[[#This Row],[TGL.NOTA]]="",IF(NOTA[[#This Row],[SUPPLIER_H]]="","",AK886),MONTH(NOTA[[#This Row],[TGL.NOTA]]))</f>
        <v/>
      </c>
      <c r="AL887" s="188" t="str">
        <f>LOWER(SUBSTITUTE(SUBSTITUTE(SUBSTITUTE(SUBSTITUTE(SUBSTITUTE(SUBSTITUTE(SUBSTITUTE(SUBSTITUTE(SUBSTITUTE(NOTA[NAMA BARANG]," ",),".",""),"-",""),"(",""),")",""),",",""),"/",""),"""",""),"+",""))</f>
        <v/>
      </c>
      <c r="AM887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18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188" t="str">
        <f>IF(NOTA[[#This Row],[CONCAT4]]="","",_xlfn.IFNA(MATCH(NOTA[[#This Row],[CONCAT4]],[2]!RAW[CONCAT_H],0),FALSE))</f>
        <v/>
      </c>
      <c r="AQ887" s="188" t="str">
        <f>IF(NOTA[[#This Row],[CONCAT1]]="","",MATCH(NOTA[[#This Row],[CONCAT1]],[3]!db[NB NOTA_C],0)+1)</f>
        <v/>
      </c>
    </row>
    <row r="888" spans="1:43" ht="20.100000000000001" customHeight="1" x14ac:dyDescent="0.25">
      <c r="A888" s="187">
        <f ca="1">IF(INDIRECT(ADDRESS(ROW()-1,COLUMN(NOTA[[#Headers],[ID]])))="ID",1,IF(NOTA[[#This Row],[FAKTUR]]="","",COUNT(INDIRECT(ADDRESS(ROW(NOTA[ID]),COLUMN(NOTA[ID]))&amp;":"&amp;ADDRESS(ROW()-1,COLUMN(NOTA[ID]))))+1))</f>
        <v>155</v>
      </c>
      <c r="B888" s="18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ETJ_2905_723-5</v>
      </c>
      <c r="C888" s="188" t="e">
        <f ca="1">IF(NOTA[[#This Row],[ID_P]]="","",MATCH(NOTA[[#This Row],[ID_P]],[1]!B_MSK[N_ID],0))</f>
        <v>#REF!</v>
      </c>
      <c r="D888" s="188">
        <f ca="1">IF(NOTA[[#This Row],[NAMA BARANG]]="","",INDEX(NOTA[ID],MATCH(,INDIRECT(ADDRESS(ROW(NOTA[ID]),COLUMN(NOTA[ID]))&amp;":"&amp;ADDRESS(ROW(),COLUMN(NOTA[ID]))),-1)))</f>
        <v>155</v>
      </c>
      <c r="E888" s="189"/>
      <c r="F888" s="27" t="s">
        <v>331</v>
      </c>
      <c r="G888" s="27" t="s">
        <v>112</v>
      </c>
      <c r="H888" s="54" t="s">
        <v>1076</v>
      </c>
      <c r="I888" s="190"/>
      <c r="J888" s="192">
        <v>45071</v>
      </c>
      <c r="K888" s="190"/>
      <c r="L888" s="27" t="s">
        <v>1077</v>
      </c>
      <c r="M888" s="193">
        <v>5</v>
      </c>
      <c r="N888" s="188">
        <v>80</v>
      </c>
      <c r="O888" s="27" t="s">
        <v>146</v>
      </c>
      <c r="P888" s="187">
        <v>55000</v>
      </c>
      <c r="Q888" s="194"/>
      <c r="R888" s="42" t="s">
        <v>355</v>
      </c>
      <c r="S888" s="196"/>
      <c r="T888" s="197"/>
      <c r="U888" s="198"/>
      <c r="V888" s="199"/>
      <c r="W888" s="198">
        <f>IF(NOTA[[#This Row],[HARGA/ CTN]]="",NOTA[[#This Row],[JUMLAH_H]],NOTA[[#This Row],[HARGA/ CTN]]*IF(NOTA[[#This Row],[C]]="",0,NOTA[[#This Row],[C]]))</f>
        <v>4400000</v>
      </c>
      <c r="X888" s="198">
        <f>IF(NOTA[[#This Row],[JUMLAH]]="","",NOTA[[#This Row],[JUMLAH]]*NOTA[[#This Row],[DISC 1]])</f>
        <v>0</v>
      </c>
      <c r="Y888" s="198">
        <f>IF(NOTA[[#This Row],[JUMLAH]]="","",(NOTA[[#This Row],[JUMLAH]]-NOTA[[#This Row],[DISC 1-]])*NOTA[[#This Row],[DISC 2]])</f>
        <v>0</v>
      </c>
      <c r="Z888" s="198">
        <f>IF(NOTA[[#This Row],[JUMLAH]]="","",NOTA[[#This Row],[DISC 1-]]+NOTA[[#This Row],[DISC 2-]])</f>
        <v>0</v>
      </c>
      <c r="AA888" s="198">
        <f>IF(NOTA[[#This Row],[JUMLAH]]="","",NOTA[[#This Row],[JUMLAH]]-NOTA[[#This Row],[DISC]])</f>
        <v>4400000</v>
      </c>
      <c r="AB888" s="198"/>
      <c r="AC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888" s="200">
        <f>IF(OR(NOTA[[#This Row],[QTY]]="",NOTA[[#This Row],[HARGA SATUAN]]="",),"",NOTA[[#This Row],[QTY]]*NOTA[[#This Row],[HARGA SATUAN]])</f>
        <v>4400000</v>
      </c>
      <c r="AG888" s="192">
        <f ca="1">IF(NOTA[ID_H]="","",INDEX(NOTA[TANGGAL],MATCH(,INDIRECT(ADDRESS(ROW(NOTA[TANGGAL]),COLUMN(NOTA[TANGGAL]))&amp;":"&amp;ADDRESS(ROW(),COLUMN(NOTA[TANGGAL]))),-1)))</f>
        <v>45075</v>
      </c>
      <c r="AH888" s="187" t="str">
        <f ca="1">IF(NOTA[[#This Row],[NAMA BARANG]]="","",INDEX(NOTA[SUPPLIER],MATCH(,INDIRECT(ADDRESS(ROW(NOTA[ID]),COLUMN(NOTA[ID]))&amp;":"&amp;ADDRESS(ROW(),COLUMN(NOTA[ID]))),-1)))</f>
        <v>ETJ</v>
      </c>
      <c r="AI888" s="187" t="str">
        <f ca="1">IF(NOTA[[#This Row],[ID_H]]="","",IF(NOTA[[#This Row],[FAKTUR]]="",INDIRECT(ADDRESS(ROW()-1,COLUMN())),NOTA[[#This Row],[FAKTUR]]))</f>
        <v>UNTANA</v>
      </c>
      <c r="AJ888" s="188">
        <f ca="1">IF(NOTA[[#This Row],[ID]]="","",COUNTIF(NOTA[ID_H],NOTA[[#This Row],[ID_H]]))</f>
        <v>5</v>
      </c>
      <c r="AK888" s="188">
        <f>IF(NOTA[[#This Row],[TGL.NOTA]]="",IF(NOTA[[#This Row],[SUPPLIER_H]]="","",AK887),MONTH(NOTA[[#This Row],[TGL.NOTA]]))</f>
        <v>5</v>
      </c>
      <c r="AL888" s="188" t="str">
        <f>LOWER(SUBSTITUTE(SUBSTITUTE(SUBSTITUTE(SUBSTITUTE(SUBSTITUTE(SUBSTITUTE(SUBSTITUTE(SUBSTITUTE(SUBSTITUTE(NOTA[NAMA BARANG]," ",),".",""),"-",""),"(",""),")",""),",",""),"/",""),"""",""),"+",""))</f>
        <v>enterbtamubatik</v>
      </c>
      <c r="AM888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enterbtamubatik880000</v>
      </c>
      <c r="AN888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enterbtamubatik880000</v>
      </c>
      <c r="AO888" s="188" t="str">
        <f>IF(NOTA[[#This Row],[SUPPLIER]]="","",NOTA[[#This Row],[SUPPLIER]]&amp;NOTA[[#This Row],[FAKTUR]]&amp;NOTA[[#This Row],[NO.NOTA]]&amp;NOTA[[#This Row],[NO.SJ]]&amp;NOTA[[#This Row],[TGL.NOTA]]&amp;NOTA[[#This Row],[CONCAT1]])</f>
        <v>ETJUNTANAHX7.2345071enterbtamubatik</v>
      </c>
      <c r="AP888" s="188" t="e">
        <f>IF(NOTA[[#This Row],[CONCAT4]]="","",_xlfn.IFNA(MATCH(NOTA[[#This Row],[CONCAT4]],[2]!RAW[CONCAT_H],0),FALSE))</f>
        <v>#REF!</v>
      </c>
      <c r="AQ888" s="188">
        <f>IF(NOTA[[#This Row],[CONCAT1]]="","",MATCH(NOTA[[#This Row],[CONCAT1]],[3]!db[NB NOTA_C],0)+1)</f>
        <v>712</v>
      </c>
    </row>
    <row r="889" spans="1:43" ht="20.100000000000001" customHeight="1" x14ac:dyDescent="0.25">
      <c r="A889" s="18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18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188" t="str">
        <f>IF(NOTA[[#This Row],[ID_P]]="","",MATCH(NOTA[[#This Row],[ID_P]],[1]!B_MSK[N_ID],0))</f>
        <v/>
      </c>
      <c r="D889" s="188">
        <f ca="1">IF(NOTA[[#This Row],[NAMA BARANG]]="","",INDEX(NOTA[ID],MATCH(,INDIRECT(ADDRESS(ROW(NOTA[ID]),COLUMN(NOTA[ID]))&amp;":"&amp;ADDRESS(ROW(),COLUMN(NOTA[ID]))),-1)))</f>
        <v>155</v>
      </c>
      <c r="E889" s="189"/>
      <c r="F889" s="190" t="s">
        <v>844</v>
      </c>
      <c r="G889" s="190"/>
      <c r="H889" s="191"/>
      <c r="I889" s="190"/>
      <c r="J889" s="192"/>
      <c r="K889" s="190"/>
      <c r="L889" s="27" t="s">
        <v>1078</v>
      </c>
      <c r="M889" s="193">
        <v>5</v>
      </c>
      <c r="N889" s="188">
        <v>80</v>
      </c>
      <c r="O889" s="27" t="s">
        <v>146</v>
      </c>
      <c r="P889" s="187">
        <v>55000</v>
      </c>
      <c r="Q889" s="194"/>
      <c r="R889" s="42" t="s">
        <v>355</v>
      </c>
      <c r="S889" s="196"/>
      <c r="T889" s="197"/>
      <c r="U889" s="198"/>
      <c r="V889" s="199"/>
      <c r="W889" s="198">
        <f>IF(NOTA[[#This Row],[HARGA/ CTN]]="",NOTA[[#This Row],[JUMLAH_H]],NOTA[[#This Row],[HARGA/ CTN]]*IF(NOTA[[#This Row],[C]]="",0,NOTA[[#This Row],[C]]))</f>
        <v>4400000</v>
      </c>
      <c r="X889" s="198">
        <f>IF(NOTA[[#This Row],[JUMLAH]]="","",NOTA[[#This Row],[JUMLAH]]*NOTA[[#This Row],[DISC 1]])</f>
        <v>0</v>
      </c>
      <c r="Y889" s="198">
        <f>IF(NOTA[[#This Row],[JUMLAH]]="","",(NOTA[[#This Row],[JUMLAH]]-NOTA[[#This Row],[DISC 1-]])*NOTA[[#This Row],[DISC 2]])</f>
        <v>0</v>
      </c>
      <c r="Z889" s="198">
        <f>IF(NOTA[[#This Row],[JUMLAH]]="","",NOTA[[#This Row],[DISC 1-]]+NOTA[[#This Row],[DISC 2-]])</f>
        <v>0</v>
      </c>
      <c r="AA889" s="198">
        <f>IF(NOTA[[#This Row],[JUMLAH]]="","",NOTA[[#This Row],[JUMLAH]]-NOTA[[#This Row],[DISC]])</f>
        <v>4400000</v>
      </c>
      <c r="AB889" s="198"/>
      <c r="AC8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19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187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889" s="200">
        <f>IF(OR(NOTA[[#This Row],[QTY]]="",NOTA[[#This Row],[HARGA SATUAN]]="",),"",NOTA[[#This Row],[QTY]]*NOTA[[#This Row],[HARGA SATUAN]])</f>
        <v>4400000</v>
      </c>
      <c r="AG889" s="192">
        <f ca="1">IF(NOTA[ID_H]="","",INDEX(NOTA[TANGGAL],MATCH(,INDIRECT(ADDRESS(ROW(NOTA[TANGGAL]),COLUMN(NOTA[TANGGAL]))&amp;":"&amp;ADDRESS(ROW(),COLUMN(NOTA[TANGGAL]))),-1)))</f>
        <v>45075</v>
      </c>
      <c r="AH889" s="187" t="str">
        <f ca="1">IF(NOTA[[#This Row],[NAMA BARANG]]="","",INDEX(NOTA[SUPPLIER],MATCH(,INDIRECT(ADDRESS(ROW(NOTA[ID]),COLUMN(NOTA[ID]))&amp;":"&amp;ADDRESS(ROW(),COLUMN(NOTA[ID]))),-1)))</f>
        <v>ETJ</v>
      </c>
      <c r="AI889" s="187" t="str">
        <f ca="1">IF(NOTA[[#This Row],[ID_H]]="","",IF(NOTA[[#This Row],[FAKTUR]]="",INDIRECT(ADDRESS(ROW()-1,COLUMN())),NOTA[[#This Row],[FAKTUR]]))</f>
        <v>UNTANA</v>
      </c>
      <c r="AJ889" s="188" t="str">
        <f ca="1">IF(NOTA[[#This Row],[ID]]="","",COUNTIF(NOTA[ID_H],NOTA[[#This Row],[ID_H]]))</f>
        <v/>
      </c>
      <c r="AK889" s="188">
        <f ca="1">IF(NOTA[[#This Row],[TGL.NOTA]]="",IF(NOTA[[#This Row],[SUPPLIER_H]]="","",AK638),MONTH(NOTA[[#This Row],[TGL.NOTA]]))</f>
        <v>5</v>
      </c>
      <c r="AL889" s="188" t="str">
        <f>LOWER(SUBSTITUTE(SUBSTITUTE(SUBSTITUTE(SUBSTITUTE(SUBSTITUTE(SUBSTITUTE(SUBSTITUTE(SUBSTITUTE(SUBSTITUTE(NOTA[NAMA BARANG]," ",),".",""),"-",""),"(",""),")",""),",",""),"/",""),"""",""),"+",""))</f>
        <v>enterbtamukembang</v>
      </c>
      <c r="AM889" s="18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enterbtamukembang880000</v>
      </c>
      <c r="AN889" s="18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enterbtamukembang880000</v>
      </c>
      <c r="AO889" s="188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enterbtamukembang</v>
      </c>
      <c r="AP889" s="188" t="e">
        <f>IF(NOTA[[#This Row],[CONCAT4]]="","",_xlfn.IFNA(MATCH(NOTA[[#This Row],[CONCAT4]],[2]!RAW[CONCAT_H],0),FALSE))</f>
        <v>#REF!</v>
      </c>
      <c r="AQ889" s="188">
        <f>IF(NOTA[[#This Row],[CONCAT1]]="","",MATCH(NOTA[[#This Row],[CONCAT1]],[3]!db[NB NOTA_C],0)+1)</f>
        <v>713</v>
      </c>
    </row>
    <row r="890" spans="1:43" ht="20.100000000000001" customHeight="1" x14ac:dyDescent="0.25">
      <c r="A8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155</v>
      </c>
      <c r="E890" s="113"/>
      <c r="H890" s="54"/>
      <c r="L890" s="27" t="s">
        <v>1079</v>
      </c>
      <c r="M890" s="114">
        <v>8</v>
      </c>
      <c r="N890" s="66">
        <v>1600</v>
      </c>
      <c r="O890" s="27" t="s">
        <v>146</v>
      </c>
      <c r="P890" s="64">
        <v>8750</v>
      </c>
      <c r="Q890" s="79"/>
      <c r="R890" s="42" t="s">
        <v>840</v>
      </c>
      <c r="S890" s="80"/>
      <c r="U890" s="52"/>
      <c r="V890" s="77"/>
      <c r="W890" s="52">
        <f>IF(NOTA[[#This Row],[HARGA/ CTN]]="",NOTA[[#This Row],[JUMLAH_H]],NOTA[[#This Row],[HARGA/ CTN]]*IF(NOTA[[#This Row],[C]]="",0,NOTA[[#This Row],[C]]))</f>
        <v>14000000</v>
      </c>
      <c r="X890" s="52">
        <f>IF(NOTA[[#This Row],[JUMLAH]]="","",NOTA[[#This Row],[JUMLAH]]*NOTA[[#This Row],[DISC 1]])</f>
        <v>0</v>
      </c>
      <c r="Y890" s="52">
        <f>IF(NOTA[[#This Row],[JUMLAH]]="","",(NOTA[[#This Row],[JUMLAH]]-NOTA[[#This Row],[DISC 1-]])*NOTA[[#This Row],[DISC 2]])</f>
        <v>0</v>
      </c>
      <c r="Z890" s="52">
        <f>IF(NOTA[[#This Row],[JUMLAH]]="","",NOTA[[#This Row],[DISC 1-]]+NOTA[[#This Row],[DISC 2-]])</f>
        <v>0</v>
      </c>
      <c r="AA890" s="52">
        <f>IF(NOTA[[#This Row],[JUMLAH]]="","",NOTA[[#This Row],[JUMLAH]]-NOTA[[#This Row],[DISC]])</f>
        <v>14000000</v>
      </c>
      <c r="AB890" s="52"/>
      <c r="AC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64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890" s="203">
        <f>IF(OR(NOTA[[#This Row],[QTY]]="",NOTA[[#This Row],[HARGA SATUAN]]="",),"",NOTA[[#This Row],[QTY]]*NOTA[[#This Row],[HARGA SATUAN]])</f>
        <v>14000000</v>
      </c>
      <c r="AG890" s="53">
        <f ca="1">IF(NOTA[ID_H]="","",INDEX(NOTA[TANGGAL],MATCH(,INDIRECT(ADDRESS(ROW(NOTA[TANGGAL]),COLUMN(NOTA[TANGGAL]))&amp;":"&amp;ADDRESS(ROW(),COLUMN(NOTA[TANGGAL]))),-1)))</f>
        <v>45075</v>
      </c>
      <c r="AH890" s="64" t="str">
        <f ca="1">IF(NOTA[[#This Row],[NAMA BARANG]]="","",INDEX(NOTA[SUPPLIER],MATCH(,INDIRECT(ADDRESS(ROW(NOTA[ID]),COLUMN(NOTA[ID]))&amp;":"&amp;ADDRESS(ROW(),COLUMN(NOTA[ID]))),-1)))</f>
        <v>ETJ</v>
      </c>
      <c r="AI890" s="64" t="str">
        <f ca="1">IF(NOTA[[#This Row],[ID_H]]="","",IF(NOTA[[#This Row],[FAKTUR]]="",INDIRECT(ADDRESS(ROW()-1,COLUMN())),NOTA[[#This Row],[FAKTUR]]))</f>
        <v>UNTANA</v>
      </c>
      <c r="AJ890" s="66" t="str">
        <f ca="1">IF(NOTA[[#This Row],[ID]]="","",COUNTIF(NOTA[ID_H],NOTA[[#This Row],[ID_H]]))</f>
        <v/>
      </c>
      <c r="AK890" s="66">
        <f ca="1">IF(NOTA[[#This Row],[TGL.NOTA]]="",IF(NOTA[[#This Row],[SUPPLIER_H]]="","",AK889),MONTH(NOTA[[#This Row],[TGL.NOTA]]))</f>
        <v>5</v>
      </c>
      <c r="AL89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M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N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O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66" t="str">
        <f>IF(NOTA[[#This Row],[CONCAT4]]="","",_xlfn.IFNA(MATCH(NOTA[[#This Row],[CONCAT4]],[2]!RAW[CONCAT_H],0),FALSE))</f>
        <v/>
      </c>
      <c r="AQ890" s="66">
        <f>IF(NOTA[[#This Row],[CONCAT1]]="","",MATCH(NOTA[[#This Row],[CONCAT1]],[3]!db[NB NOTA_C],0)+1)</f>
        <v>710</v>
      </c>
    </row>
    <row r="891" spans="1:43" ht="20.100000000000001" customHeight="1" x14ac:dyDescent="0.25">
      <c r="A8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66" t="str">
        <f>IF(NOTA[[#This Row],[ID_P]]="","",MATCH(NOTA[[#This Row],[ID_P]],[1]!B_MSK[N_ID],0))</f>
        <v/>
      </c>
      <c r="D891" s="66">
        <f ca="1">IF(NOTA[[#This Row],[NAMA BARANG]]="","",INDEX(NOTA[ID],MATCH(,INDIRECT(ADDRESS(ROW(NOTA[ID]),COLUMN(NOTA[ID]))&amp;":"&amp;ADDRESS(ROW(),COLUMN(NOTA[ID]))),-1)))</f>
        <v>155</v>
      </c>
      <c r="E891" s="113"/>
      <c r="H891" s="54"/>
      <c r="L891" s="27" t="s">
        <v>363</v>
      </c>
      <c r="M891" s="114">
        <v>2</v>
      </c>
      <c r="N891" s="66">
        <v>600</v>
      </c>
      <c r="O891" s="27" t="s">
        <v>160</v>
      </c>
      <c r="P891" s="64">
        <v>9000</v>
      </c>
      <c r="Q891" s="79"/>
      <c r="R891" s="42" t="s">
        <v>364</v>
      </c>
      <c r="S891" s="80"/>
      <c r="U891" s="52"/>
      <c r="V891" s="77"/>
      <c r="W891" s="52">
        <f>IF(NOTA[[#This Row],[HARGA/ CTN]]="",NOTA[[#This Row],[JUMLAH_H]],NOTA[[#This Row],[HARGA/ CTN]]*IF(NOTA[[#This Row],[C]]="",0,NOTA[[#This Row],[C]]))</f>
        <v>5400000</v>
      </c>
      <c r="X891" s="52">
        <f>IF(NOTA[[#This Row],[JUMLAH]]="","",NOTA[[#This Row],[JUMLAH]]*NOTA[[#This Row],[DISC 1]])</f>
        <v>0</v>
      </c>
      <c r="Y891" s="52">
        <f>IF(NOTA[[#This Row],[JUMLAH]]="","",(NOTA[[#This Row],[JUMLAH]]-NOTA[[#This Row],[DISC 1-]])*NOTA[[#This Row],[DISC 2]])</f>
        <v>0</v>
      </c>
      <c r="Z891" s="52">
        <f>IF(NOTA[[#This Row],[JUMLAH]]="","",NOTA[[#This Row],[DISC 1-]]+NOTA[[#This Row],[DISC 2-]])</f>
        <v>0</v>
      </c>
      <c r="AA891" s="52">
        <f>IF(NOTA[[#This Row],[JUMLAH]]="","",NOTA[[#This Row],[JUMLAH]]-NOTA[[#This Row],[DISC]])</f>
        <v>5400000</v>
      </c>
      <c r="AB891" s="52"/>
      <c r="AC8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64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891" s="203">
        <f>IF(OR(NOTA[[#This Row],[QTY]]="",NOTA[[#This Row],[HARGA SATUAN]]="",),"",NOTA[[#This Row],[QTY]]*NOTA[[#This Row],[HARGA SATUAN]])</f>
        <v>5400000</v>
      </c>
      <c r="AG891" s="53">
        <f ca="1">IF(NOTA[ID_H]="","",INDEX(NOTA[TANGGAL],MATCH(,INDIRECT(ADDRESS(ROW(NOTA[TANGGAL]),COLUMN(NOTA[TANGGAL]))&amp;":"&amp;ADDRESS(ROW(),COLUMN(NOTA[TANGGAL]))),-1)))</f>
        <v>45075</v>
      </c>
      <c r="AH891" s="64" t="str">
        <f ca="1">IF(NOTA[[#This Row],[NAMA BARANG]]="","",INDEX(NOTA[SUPPLIER],MATCH(,INDIRECT(ADDRESS(ROW(NOTA[ID]),COLUMN(NOTA[ID]))&amp;":"&amp;ADDRESS(ROW(),COLUMN(NOTA[ID]))),-1)))</f>
        <v>ETJ</v>
      </c>
      <c r="AI891" s="64" t="str">
        <f ca="1">IF(NOTA[[#This Row],[ID_H]]="","",IF(NOTA[[#This Row],[FAKTUR]]="",INDIRECT(ADDRESS(ROW()-1,COLUMN())),NOTA[[#This Row],[FAKTUR]]))</f>
        <v>UNTANA</v>
      </c>
      <c r="AJ891" s="66" t="str">
        <f ca="1">IF(NOTA[[#This Row],[ID]]="","",COUNTIF(NOTA[ID_H],NOTA[[#This Row],[ID_H]]))</f>
        <v/>
      </c>
      <c r="AK891" s="66">
        <f ca="1">IF(NOTA[[#This Row],[TGL.NOTA]]="",IF(NOTA[[#This Row],[SUPPLIER_H]]="","",AK890),MONTH(NOTA[[#This Row],[TGL.NOTA]]))</f>
        <v>5</v>
      </c>
      <c r="AL891" s="66" t="str">
        <f>LOWER(SUBSTITUTE(SUBSTITUTE(SUBSTITUTE(SUBSTITUTE(SUBSTITUTE(SUBSTITUTE(SUBSTITUTE(SUBSTITUTE(SUBSTITUTE(NOTA[NAMA BARANG]," ",),".",""),"-",""),"(",""),")",""),",",""),"/",""),"""",""),"+",""))</f>
        <v>sempoa13t</v>
      </c>
      <c r="AM8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sempoa13t2700000</v>
      </c>
      <c r="AN8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sempoa13t2700000</v>
      </c>
      <c r="AO8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66" t="str">
        <f>IF(NOTA[[#This Row],[CONCAT4]]="","",_xlfn.IFNA(MATCH(NOTA[[#This Row],[CONCAT4]],[2]!RAW[CONCAT_H],0),FALSE))</f>
        <v/>
      </c>
      <c r="AQ891" s="66" t="e">
        <f>IF(NOTA[[#This Row],[CONCAT1]]="","",MATCH(NOTA[[#This Row],[CONCAT1]],[3]!db[NB NOTA_C],0)+1)</f>
        <v>#N/A</v>
      </c>
    </row>
    <row r="892" spans="1:43" ht="20.100000000000001" customHeight="1" x14ac:dyDescent="0.25">
      <c r="A8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66" t="str">
        <f>IF(NOTA[[#This Row],[ID_P]]="","",MATCH(NOTA[[#This Row],[ID_P]],[1]!B_MSK[N_ID],0))</f>
        <v/>
      </c>
      <c r="D892" s="66">
        <f ca="1">IF(NOTA[[#This Row],[NAMA BARANG]]="","",INDEX(NOTA[ID],MATCH(,INDIRECT(ADDRESS(ROW(NOTA[ID]),COLUMN(NOTA[ID]))&amp;":"&amp;ADDRESS(ROW(),COLUMN(NOTA[ID]))),-1)))</f>
        <v>155</v>
      </c>
      <c r="E892" s="113"/>
      <c r="H892" s="54"/>
      <c r="L892" s="27" t="s">
        <v>1080</v>
      </c>
      <c r="M892" s="114">
        <v>2</v>
      </c>
      <c r="N892" s="66">
        <v>600</v>
      </c>
      <c r="O892" s="27" t="s">
        <v>160</v>
      </c>
      <c r="P892" s="64">
        <v>9250</v>
      </c>
      <c r="Q892" s="79"/>
      <c r="R892" s="42" t="s">
        <v>364</v>
      </c>
      <c r="S892" s="80"/>
      <c r="U892" s="52"/>
      <c r="V892" s="77"/>
      <c r="W892" s="52">
        <f>IF(NOTA[[#This Row],[HARGA/ CTN]]="",NOTA[[#This Row],[JUMLAH_H]],NOTA[[#This Row],[HARGA/ CTN]]*IF(NOTA[[#This Row],[C]]="",0,NOTA[[#This Row],[C]]))</f>
        <v>5550000</v>
      </c>
      <c r="X892" s="52">
        <f>IF(NOTA[[#This Row],[JUMLAH]]="","",NOTA[[#This Row],[JUMLAH]]*NOTA[[#This Row],[DISC 1]])</f>
        <v>0</v>
      </c>
      <c r="Y892" s="52">
        <f>IF(NOTA[[#This Row],[JUMLAH]]="","",(NOTA[[#This Row],[JUMLAH]]-NOTA[[#This Row],[DISC 1-]])*NOTA[[#This Row],[DISC 2]])</f>
        <v>0</v>
      </c>
      <c r="Z892" s="52">
        <f>IF(NOTA[[#This Row],[JUMLAH]]="","",NOTA[[#This Row],[DISC 1-]]+NOTA[[#This Row],[DISC 2-]])</f>
        <v>0</v>
      </c>
      <c r="AA892" s="52">
        <f>IF(NOTA[[#This Row],[JUMLAH]]="","",NOTA[[#This Row],[JUMLAH]]-NOTA[[#This Row],[DISC]])</f>
        <v>5550000</v>
      </c>
      <c r="AB892" s="52"/>
      <c r="AC8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33750000</v>
      </c>
      <c r="AE892" s="64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892" s="203">
        <f>IF(OR(NOTA[[#This Row],[QTY]]="",NOTA[[#This Row],[HARGA SATUAN]]="",),"",NOTA[[#This Row],[QTY]]*NOTA[[#This Row],[HARGA SATUAN]])</f>
        <v>5550000</v>
      </c>
      <c r="AG892" s="53">
        <f ca="1">IF(NOTA[ID_H]="","",INDEX(NOTA[TANGGAL],MATCH(,INDIRECT(ADDRESS(ROW(NOTA[TANGGAL]),COLUMN(NOTA[TANGGAL]))&amp;":"&amp;ADDRESS(ROW(),COLUMN(NOTA[TANGGAL]))),-1)))</f>
        <v>45075</v>
      </c>
      <c r="AH892" s="64" t="str">
        <f ca="1">IF(NOTA[[#This Row],[NAMA BARANG]]="","",INDEX(NOTA[SUPPLIER],MATCH(,INDIRECT(ADDRESS(ROW(NOTA[ID]),COLUMN(NOTA[ID]))&amp;":"&amp;ADDRESS(ROW(),COLUMN(NOTA[ID]))),-1)))</f>
        <v>ETJ</v>
      </c>
      <c r="AI892" s="64" t="str">
        <f ca="1">IF(NOTA[[#This Row],[ID_H]]="","",IF(NOTA[[#This Row],[FAKTUR]]="",INDIRECT(ADDRESS(ROW()-1,COLUMN())),NOTA[[#This Row],[FAKTUR]]))</f>
        <v>UNTANA</v>
      </c>
      <c r="AJ892" s="66" t="str">
        <f ca="1">IF(NOTA[[#This Row],[ID]]="","",COUNTIF(NOTA[ID_H],NOTA[[#This Row],[ID_H]]))</f>
        <v/>
      </c>
      <c r="AK892" s="66">
        <f ca="1">IF(NOTA[[#This Row],[TGL.NOTA]]="",IF(NOTA[[#This Row],[SUPPLIER_H]]="","",AK891),MONTH(NOTA[[#This Row],[TGL.NOTA]]))</f>
        <v>5</v>
      </c>
      <c r="AL892" s="66" t="str">
        <f>LOWER(SUBSTITUTE(SUBSTITUTE(SUBSTITUTE(SUBSTITUTE(SUBSTITUTE(SUBSTITUTE(SUBSTITUTE(SUBSTITUTE(SUBSTITUTE(NOTA[NAMA BARANG]," ",),".",""),"-",""),"(",""),")",""),",",""),"/",""),"""",""),"+",""))</f>
        <v>sempoa17t</v>
      </c>
      <c r="AM8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N8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O8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66" t="str">
        <f>IF(NOTA[[#This Row],[CONCAT4]]="","",_xlfn.IFNA(MATCH(NOTA[[#This Row],[CONCAT4]],[2]!RAW[CONCAT_H],0),FALSE))</f>
        <v/>
      </c>
      <c r="AQ892" s="66" t="e">
        <f>IF(NOTA[[#This Row],[CONCAT1]]="","",MATCH(NOTA[[#This Row],[CONCAT1]],[3]!db[NB NOTA_C],0)+1)</f>
        <v>#N/A</v>
      </c>
    </row>
    <row r="893" spans="1:43" ht="20.100000000000001" customHeight="1" x14ac:dyDescent="0.25">
      <c r="A8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66" t="str">
        <f>IF(NOTA[[#This Row],[ID_P]]="","",MATCH(NOTA[[#This Row],[ID_P]],[1]!B_MSK[N_ID],0))</f>
        <v/>
      </c>
      <c r="D893" s="66" t="str">
        <f ca="1">IF(NOTA[[#This Row],[NAMA BARANG]]="","",INDEX(NOTA[ID],MATCH(,INDIRECT(ADDRESS(ROW(NOTA[ID]),COLUMN(NOTA[ID]))&amp;":"&amp;ADDRESS(ROW(),COLUMN(NOTA[ID]))),-1)))</f>
        <v/>
      </c>
      <c r="E893" s="113"/>
      <c r="F893" s="27" t="s">
        <v>844</v>
      </c>
      <c r="H893" s="54"/>
      <c r="N893" s="66"/>
      <c r="Q893" s="79"/>
      <c r="R893" s="42"/>
      <c r="S893" s="80"/>
      <c r="U893" s="52"/>
      <c r="V893" s="77"/>
      <c r="W893" s="52" t="str">
        <f>IF(NOTA[[#This Row],[HARGA/ CTN]]="",NOTA[[#This Row],[JUMLAH_H]],NOTA[[#This Row],[HARGA/ CTN]]*IF(NOTA[[#This Row],[C]]="",0,NOTA[[#This Row],[C]]))</f>
        <v/>
      </c>
      <c r="X893" s="52" t="str">
        <f>IF(NOTA[[#This Row],[JUMLAH]]="","",NOTA[[#This Row],[JUMLAH]]*NOTA[[#This Row],[DISC 1]])</f>
        <v/>
      </c>
      <c r="Y893" s="52" t="str">
        <f>IF(NOTA[[#This Row],[JUMLAH]]="","",(NOTA[[#This Row],[JUMLAH]]-NOTA[[#This Row],[DISC 1-]])*NOTA[[#This Row],[DISC 2]])</f>
        <v/>
      </c>
      <c r="Z893" s="52" t="str">
        <f>IF(NOTA[[#This Row],[JUMLAH]]="","",NOTA[[#This Row],[DISC 1-]]+NOTA[[#This Row],[DISC 2-]])</f>
        <v/>
      </c>
      <c r="AA893" s="52" t="str">
        <f>IF(NOTA[[#This Row],[JUMLAH]]="","",NOTA[[#This Row],[JUMLAH]]-NOTA[[#This Row],[DISC]])</f>
        <v/>
      </c>
      <c r="AB893" s="52"/>
      <c r="AC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203" t="str">
        <f>IF(OR(NOTA[[#This Row],[QTY]]="",NOTA[[#This Row],[HARGA SATUAN]]="",),"",NOTA[[#This Row],[QTY]]*NOTA[[#This Row],[HARGA SATUAN]])</f>
        <v/>
      </c>
      <c r="AG893" s="53" t="str">
        <f ca="1">IF(NOTA[ID_H]="","",INDEX(NOTA[TANGGAL],MATCH(,INDIRECT(ADDRESS(ROW(NOTA[TANGGAL]),COLUMN(NOTA[TANGGAL]))&amp;":"&amp;ADDRESS(ROW(),COLUMN(NOTA[TANGGAL]))),-1)))</f>
        <v/>
      </c>
      <c r="AH893" s="64" t="str">
        <f ca="1">IF(NOTA[[#This Row],[NAMA BARANG]]="","",INDEX(NOTA[SUPPLIER],MATCH(,INDIRECT(ADDRESS(ROW(NOTA[ID]),COLUMN(NOTA[ID]))&amp;":"&amp;ADDRESS(ROW(),COLUMN(NOTA[ID]))),-1)))</f>
        <v/>
      </c>
      <c r="AI893" s="64" t="str">
        <f ca="1">IF(NOTA[[#This Row],[ID_H]]="","",IF(NOTA[[#This Row],[FAKTUR]]="",INDIRECT(ADDRESS(ROW()-1,COLUMN())),NOTA[[#This Row],[FAKTUR]]))</f>
        <v/>
      </c>
      <c r="AJ893" s="66" t="str">
        <f ca="1">IF(NOTA[[#This Row],[ID]]="","",COUNTIF(NOTA[ID_H],NOTA[[#This Row],[ID_H]]))</f>
        <v/>
      </c>
      <c r="AK893" s="66" t="str">
        <f ca="1">IF(NOTA[[#This Row],[TGL.NOTA]]="",IF(NOTA[[#This Row],[SUPPLIER_H]]="","",AK892),MONTH(NOTA[[#This Row],[TGL.NOTA]]))</f>
        <v/>
      </c>
      <c r="AL893" s="66" t="str">
        <f>LOWER(SUBSTITUTE(SUBSTITUTE(SUBSTITUTE(SUBSTITUTE(SUBSTITUTE(SUBSTITUTE(SUBSTITUTE(SUBSTITUTE(SUBSTITUTE(NOTA[NAMA BARANG]," ",),".",""),"-",""),"(",""),")",""),",",""),"/",""),"""",""),"+",""))</f>
        <v/>
      </c>
      <c r="AM8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3" s="66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P893" s="66" t="e">
        <f>IF(NOTA[[#This Row],[CONCAT4]]="","",_xlfn.IFNA(MATCH(NOTA[[#This Row],[CONCAT4]],[2]!RAW[CONCAT_H],0),FALSE))</f>
        <v>#REF!</v>
      </c>
      <c r="AQ893" s="66" t="str">
        <f>IF(NOTA[[#This Row],[CONCAT1]]="","",MATCH(NOTA[[#This Row],[CONCAT1]],[3]!db[NB NOTA_C],0)+1)</f>
        <v/>
      </c>
    </row>
    <row r="894" spans="1:43" ht="20.100000000000001" customHeight="1" x14ac:dyDescent="0.25">
      <c r="A894" s="64">
        <f ca="1">IF(INDIRECT(ADDRESS(ROW()-1,COLUMN(NOTA[[#Headers],[ID]])))="ID",1,IF(NOTA[[#This Row],[FAKTUR]]="","",COUNT(INDIRECT(ADDRESS(ROW(NOTA[ID]),COLUMN(NOTA[ID]))&amp;":"&amp;ADDRESS(ROW()-1,COLUMN(NOTA[ID]))))+1))</f>
        <v>156</v>
      </c>
      <c r="B89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LAU_2705_138-1</v>
      </c>
      <c r="C894" s="66" t="e">
        <f ca="1">IF(NOTA[[#This Row],[ID_P]]="","",MATCH(NOTA[[#This Row],[ID_P]],[1]!B_MSK[N_ID],0))</f>
        <v>#REF!</v>
      </c>
      <c r="D894" s="66">
        <f ca="1">IF(NOTA[[#This Row],[NAMA BARANG]]="","",INDEX(NOTA[ID],MATCH(,INDIRECT(ADDRESS(ROW(NOTA[ID]),COLUMN(NOTA[ID]))&amp;":"&amp;ADDRESS(ROW(),COLUMN(NOTA[ID]))),-1)))</f>
        <v>156</v>
      </c>
      <c r="E894" s="113">
        <v>45073</v>
      </c>
      <c r="F894" s="27" t="s">
        <v>56</v>
      </c>
      <c r="G894" s="27" t="s">
        <v>24</v>
      </c>
      <c r="H894" s="54" t="s">
        <v>1083</v>
      </c>
      <c r="J894" s="53">
        <v>45071</v>
      </c>
      <c r="L894" s="27" t="s">
        <v>1081</v>
      </c>
      <c r="M894" s="114">
        <v>10</v>
      </c>
      <c r="N894" s="66">
        <v>10</v>
      </c>
      <c r="O894" s="27" t="s">
        <v>183</v>
      </c>
      <c r="P894" s="64">
        <v>630631</v>
      </c>
      <c r="Q894" s="79"/>
      <c r="R894" s="42" t="s">
        <v>1082</v>
      </c>
      <c r="S894" s="80"/>
      <c r="U894" s="52"/>
      <c r="V894" s="77"/>
      <c r="W894" s="52">
        <f>IF(NOTA[[#This Row],[HARGA/ CTN]]="",NOTA[[#This Row],[JUMLAH_H]],NOTA[[#This Row],[HARGA/ CTN]]*IF(NOTA[[#This Row],[C]]="",0,NOTA[[#This Row],[C]]))</f>
        <v>6306310</v>
      </c>
      <c r="X894" s="52">
        <f>IF(NOTA[[#This Row],[JUMLAH]]="","",NOTA[[#This Row],[JUMLAH]]*NOTA[[#This Row],[DISC 1]])</f>
        <v>0</v>
      </c>
      <c r="Y894" s="52">
        <f>IF(NOTA[[#This Row],[JUMLAH]]="","",(NOTA[[#This Row],[JUMLAH]]-NOTA[[#This Row],[DISC 1-]])*NOTA[[#This Row],[DISC 2]])</f>
        <v>0</v>
      </c>
      <c r="Z894" s="52">
        <f>IF(NOTA[[#This Row],[JUMLAH]]="","",NOTA[[#This Row],[DISC 1-]]+NOTA[[#This Row],[DISC 2-]])</f>
        <v>0</v>
      </c>
      <c r="AA894" s="52">
        <f>IF(NOTA[[#This Row],[JUMLAH]]="","",NOTA[[#This Row],[JUMLAH]]-NOTA[[#This Row],[DISC]])</f>
        <v>6306310</v>
      </c>
      <c r="AB894" s="52"/>
      <c r="AC8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6306310</v>
      </c>
      <c r="AE894" s="64">
        <f>IF(NOTA[[#This Row],[NAMA BARANG]]="","",IF(NOTA[[#This Row],[JUMLAH_H]]="",NOTA[[#This Row],[HARGA/ CTN]],NOTA[[#This Row],[QTY]]*NOTA[[#This Row],[HARGA SATUAN]]/IF(ISNUMBER(NOTA[[#This Row],[C]]),NOTA[[#This Row],[C]],1)))</f>
        <v>630631</v>
      </c>
      <c r="AF894" s="203">
        <f>IF(OR(NOTA[[#This Row],[QTY]]="",NOTA[[#This Row],[HARGA SATUAN]]="",),"",NOTA[[#This Row],[QTY]]*NOTA[[#This Row],[HARGA SATUAN]])</f>
        <v>6306310</v>
      </c>
      <c r="AG894" s="53">
        <f ca="1">IF(NOTA[ID_H]="","",INDEX(NOTA[TANGGAL],MATCH(,INDIRECT(ADDRESS(ROW(NOTA[TANGGAL]),COLUMN(NOTA[TANGGAL]))&amp;":"&amp;ADDRESS(ROW(),COLUMN(NOTA[TANGGAL]))),-1)))</f>
        <v>45073</v>
      </c>
      <c r="AH894" s="64" t="str">
        <f ca="1">IF(NOTA[[#This Row],[NAMA BARANG]]="","",INDEX(NOTA[SUPPLIER],MATCH(,INDIRECT(ADDRESS(ROW(NOTA[ID]),COLUMN(NOTA[ID]))&amp;":"&amp;ADDRESS(ROW(),COLUMN(NOTA[ID]))),-1)))</f>
        <v>LAUTAN MAS ASIA</v>
      </c>
      <c r="AI894" s="64" t="str">
        <f ca="1">IF(NOTA[[#This Row],[ID_H]]="","",IF(NOTA[[#This Row],[FAKTUR]]="",INDIRECT(ADDRESS(ROW()-1,COLUMN())),NOTA[[#This Row],[FAKTUR]]))</f>
        <v>ARTO MORO</v>
      </c>
      <c r="AJ894" s="66">
        <f ca="1">IF(NOTA[[#This Row],[ID]]="","",COUNTIF(NOTA[ID_H],NOTA[[#This Row],[ID_H]]))</f>
        <v>1</v>
      </c>
      <c r="AK894" s="66">
        <f>IF(NOTA[[#This Row],[TGL.NOTA]]="",IF(NOTA[[#This Row],[SUPPLIER_H]]="","",AK893),MONTH(NOTA[[#This Row],[TGL.NOTA]]))</f>
        <v>5</v>
      </c>
      <c r="AL894" s="66" t="str">
        <f>LOWER(SUBSTITUTE(SUBSTITUTE(SUBSTITUTE(SUBSTITUTE(SUBSTITUTE(SUBSTITUTE(SUBSTITUTE(SUBSTITUTE(SUBSTITUTE(NOTA[NAMA BARANG]," ",),".",""),"-",""),"(",""),")",""),",",""),"/",""),"""",""),"+",""))</f>
        <v>tintak1054</v>
      </c>
      <c r="AM8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tintak1054630631</v>
      </c>
      <c r="AN8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tintak1054630631</v>
      </c>
      <c r="AO894" s="66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2023-05-13845071tintak1054</v>
      </c>
      <c r="AP894" s="66" t="e">
        <f>IF(NOTA[[#This Row],[CONCAT4]]="","",_xlfn.IFNA(MATCH(NOTA[[#This Row],[CONCAT4]],[2]!RAW[CONCAT_H],0),FALSE))</f>
        <v>#REF!</v>
      </c>
      <c r="AQ894" s="66">
        <f>IF(NOTA[[#This Row],[CONCAT1]]="","",MATCH(NOTA[[#This Row],[CONCAT1]],[3]!db[NB NOTA_C],0)+1)</f>
        <v>2260</v>
      </c>
    </row>
    <row r="895" spans="1:43" ht="20.100000000000001" customHeight="1" x14ac:dyDescent="0.25">
      <c r="A8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66" t="str">
        <f>IF(NOTA[[#This Row],[ID_P]]="","",MATCH(NOTA[[#This Row],[ID_P]],[1]!B_MSK[N_ID],0))</f>
        <v/>
      </c>
      <c r="D895" s="66" t="str">
        <f ca="1">IF(NOTA[[#This Row],[NAMA BARANG]]="","",INDEX(NOTA[ID],MATCH(,INDIRECT(ADDRESS(ROW(NOTA[ID]),COLUMN(NOTA[ID]))&amp;":"&amp;ADDRESS(ROW(),COLUMN(NOTA[ID]))),-1)))</f>
        <v/>
      </c>
      <c r="E895" s="113"/>
      <c r="H895" s="54"/>
      <c r="N895" s="66"/>
      <c r="Q895" s="79"/>
      <c r="R895" s="42"/>
      <c r="S895" s="80"/>
      <c r="U895" s="52"/>
      <c r="V895" s="77"/>
      <c r="W895" s="52" t="str">
        <f>IF(NOTA[[#This Row],[HARGA/ CTN]]="",NOTA[[#This Row],[JUMLAH_H]],NOTA[[#This Row],[HARGA/ CTN]]*IF(NOTA[[#This Row],[C]]="",0,NOTA[[#This Row],[C]]))</f>
        <v/>
      </c>
      <c r="X895" s="52" t="str">
        <f>IF(NOTA[[#This Row],[JUMLAH]]="","",NOTA[[#This Row],[JUMLAH]]*NOTA[[#This Row],[DISC 1]])</f>
        <v/>
      </c>
      <c r="Y895" s="52" t="str">
        <f>IF(NOTA[[#This Row],[JUMLAH]]="","",(NOTA[[#This Row],[JUMLAH]]-NOTA[[#This Row],[DISC 1-]])*NOTA[[#This Row],[DISC 2]])</f>
        <v/>
      </c>
      <c r="Z895" s="52" t="str">
        <f>IF(NOTA[[#This Row],[JUMLAH]]="","",NOTA[[#This Row],[DISC 1-]]+NOTA[[#This Row],[DISC 2-]])</f>
        <v/>
      </c>
      <c r="AA895" s="52" t="str">
        <f>IF(NOTA[[#This Row],[JUMLAH]]="","",NOTA[[#This Row],[JUMLAH]]-NOTA[[#This Row],[DISC]])</f>
        <v/>
      </c>
      <c r="AB895" s="52"/>
      <c r="AC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203" t="str">
        <f>IF(OR(NOTA[[#This Row],[QTY]]="",NOTA[[#This Row],[HARGA SATUAN]]="",),"",NOTA[[#This Row],[QTY]]*NOTA[[#This Row],[HARGA SATUAN]])</f>
        <v/>
      </c>
      <c r="AG895" s="53" t="str">
        <f ca="1">IF(NOTA[ID_H]="","",INDEX(NOTA[TANGGAL],MATCH(,INDIRECT(ADDRESS(ROW(NOTA[TANGGAL]),COLUMN(NOTA[TANGGAL]))&amp;":"&amp;ADDRESS(ROW(),COLUMN(NOTA[TANGGAL]))),-1)))</f>
        <v/>
      </c>
      <c r="AH895" s="64" t="str">
        <f ca="1">IF(NOTA[[#This Row],[NAMA BARANG]]="","",INDEX(NOTA[SUPPLIER],MATCH(,INDIRECT(ADDRESS(ROW(NOTA[ID]),COLUMN(NOTA[ID]))&amp;":"&amp;ADDRESS(ROW(),COLUMN(NOTA[ID]))),-1)))</f>
        <v/>
      </c>
      <c r="AI895" s="64" t="str">
        <f ca="1">IF(NOTA[[#This Row],[ID_H]]="","",IF(NOTA[[#This Row],[FAKTUR]]="",INDIRECT(ADDRESS(ROW()-1,COLUMN())),NOTA[[#This Row],[FAKTUR]]))</f>
        <v/>
      </c>
      <c r="AJ895" s="66" t="str">
        <f ca="1">IF(NOTA[[#This Row],[ID]]="","",COUNTIF(NOTA[ID_H],NOTA[[#This Row],[ID_H]]))</f>
        <v/>
      </c>
      <c r="AK895" s="66" t="str">
        <f ca="1">IF(NOTA[[#This Row],[TGL.NOTA]]="",IF(NOTA[[#This Row],[SUPPLIER_H]]="","",AK894),MONTH(NOTA[[#This Row],[TGL.NOTA]]))</f>
        <v/>
      </c>
      <c r="AL895" s="66" t="str">
        <f>LOWER(SUBSTITUTE(SUBSTITUTE(SUBSTITUTE(SUBSTITUTE(SUBSTITUTE(SUBSTITUTE(SUBSTITUTE(SUBSTITUTE(SUBSTITUTE(NOTA[NAMA BARANG]," ",),".",""),"-",""),"(",""),")",""),",",""),"/",""),"""",""),"+",""))</f>
        <v/>
      </c>
      <c r="AM8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66" t="str">
        <f>IF(NOTA[[#This Row],[CONCAT4]]="","",_xlfn.IFNA(MATCH(NOTA[[#This Row],[CONCAT4]],[2]!RAW[CONCAT_H],0),FALSE))</f>
        <v/>
      </c>
      <c r="AQ895" s="66" t="str">
        <f>IF(NOTA[[#This Row],[CONCAT1]]="","",MATCH(NOTA[[#This Row],[CONCAT1]],[3]!db[NB NOTA_C],0)+1)</f>
        <v/>
      </c>
    </row>
    <row r="896" spans="1:43" ht="20.100000000000001" customHeight="1" x14ac:dyDescent="0.25">
      <c r="A896" s="64">
        <f ca="1">IF(INDIRECT(ADDRESS(ROW()-1,COLUMN(NOTA[[#Headers],[ID]])))="ID",1,IF(NOTA[[#This Row],[FAKTUR]]="","",COUNT(INDIRECT(ADDRESS(ROW(NOTA[ID]),COLUMN(NOTA[ID]))&amp;":"&amp;ADDRESS(ROW()-1,COLUMN(NOTA[ID]))))+1))</f>
        <v>157</v>
      </c>
      <c r="B89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ATA_2705_112-10</v>
      </c>
      <c r="C896" s="66" t="e">
        <f ca="1">IF(NOTA[[#This Row],[ID_P]]="","",MATCH(NOTA[[#This Row],[ID_P]],[1]!B_MSK[N_ID],0))</f>
        <v>#REF!</v>
      </c>
      <c r="D896" s="66">
        <f ca="1">IF(NOTA[[#This Row],[NAMA BARANG]]="","",INDEX(NOTA[ID],MATCH(,INDIRECT(ADDRESS(ROW(NOTA[ID]),COLUMN(NOTA[ID]))&amp;":"&amp;ADDRESS(ROW(),COLUMN(NOTA[ID]))),-1)))</f>
        <v>157</v>
      </c>
      <c r="E896" s="113"/>
      <c r="F896" s="27" t="s">
        <v>25</v>
      </c>
      <c r="G896" s="27" t="s">
        <v>24</v>
      </c>
      <c r="H896" s="54" t="s">
        <v>1084</v>
      </c>
      <c r="J896" s="53">
        <v>45068</v>
      </c>
      <c r="L896" s="27" t="s">
        <v>1093</v>
      </c>
      <c r="M896" s="114">
        <v>2</v>
      </c>
      <c r="N896" s="66">
        <v>480</v>
      </c>
      <c r="O896" s="27" t="s">
        <v>160</v>
      </c>
      <c r="P896" s="64">
        <v>7000</v>
      </c>
      <c r="Q896" s="79"/>
      <c r="R896" s="42" t="s">
        <v>1085</v>
      </c>
      <c r="S896" s="80">
        <v>0.125</v>
      </c>
      <c r="T896" s="115">
        <v>0.05</v>
      </c>
      <c r="U896" s="52"/>
      <c r="V896" s="77"/>
      <c r="W896" s="52">
        <f>IF(NOTA[[#This Row],[HARGA/ CTN]]="",NOTA[[#This Row],[JUMLAH_H]],NOTA[[#This Row],[HARGA/ CTN]]*IF(NOTA[[#This Row],[C]]="",0,NOTA[[#This Row],[C]]))</f>
        <v>3360000</v>
      </c>
      <c r="X896" s="52">
        <f>IF(NOTA[[#This Row],[JUMLAH]]="","",NOTA[[#This Row],[JUMLAH]]*NOTA[[#This Row],[DISC 1]])</f>
        <v>420000</v>
      </c>
      <c r="Y896" s="52">
        <f>IF(NOTA[[#This Row],[JUMLAH]]="","",(NOTA[[#This Row],[JUMLAH]]-NOTA[[#This Row],[DISC 1-]])*NOTA[[#This Row],[DISC 2]])</f>
        <v>147000</v>
      </c>
      <c r="Z896" s="52">
        <f>IF(NOTA[[#This Row],[JUMLAH]]="","",NOTA[[#This Row],[DISC 1-]]+NOTA[[#This Row],[DISC 2-]])</f>
        <v>567000</v>
      </c>
      <c r="AA896" s="52">
        <f>IF(NOTA[[#This Row],[JUMLAH]]="","",NOTA[[#This Row],[JUMLAH]]-NOTA[[#This Row],[DISC]])</f>
        <v>2793000</v>
      </c>
      <c r="AB896" s="52"/>
      <c r="AC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6" s="203">
        <f>IF(OR(NOTA[[#This Row],[QTY]]="",NOTA[[#This Row],[HARGA SATUAN]]="",),"",NOTA[[#This Row],[QTY]]*NOTA[[#This Row],[HARGA SATUAN]])</f>
        <v>3360000</v>
      </c>
      <c r="AG896" s="53">
        <f ca="1">IF(NOTA[ID_H]="","",INDEX(NOTA[TANGGAL],MATCH(,INDIRECT(ADDRESS(ROW(NOTA[TANGGAL]),COLUMN(NOTA[TANGGAL]))&amp;":"&amp;ADDRESS(ROW(),COLUMN(NOTA[TANGGAL]))),-1)))</f>
        <v>45073</v>
      </c>
      <c r="AH896" s="64" t="str">
        <f ca="1">IF(NOTA[[#This Row],[NAMA BARANG]]="","",INDEX(NOTA[SUPPLIER],MATCH(,INDIRECT(ADDRESS(ROW(NOTA[ID]),COLUMN(NOTA[ID]))&amp;":"&amp;ADDRESS(ROW(),COLUMN(NOTA[ID]))),-1)))</f>
        <v>ATALI MAKMUR</v>
      </c>
      <c r="AI896" s="64" t="str">
        <f ca="1">IF(NOTA[[#This Row],[ID_H]]="","",IF(NOTA[[#This Row],[FAKTUR]]="",INDIRECT(ADDRESS(ROW()-1,COLUMN())),NOTA[[#This Row],[FAKTUR]]))</f>
        <v>ARTO MORO</v>
      </c>
      <c r="AJ896" s="66">
        <f ca="1">IF(NOTA[[#This Row],[ID]]="","",COUNTIF(NOTA[ID_H],NOTA[[#This Row],[ID_H]]))</f>
        <v>10</v>
      </c>
      <c r="AK896" s="66">
        <f>IF(NOTA[[#This Row],[TGL.NOTA]]="",IF(NOTA[[#This Row],[SUPPLIER_H]]="","",AK895),MONTH(NOTA[[#This Row],[TGL.NOTA]]))</f>
        <v>5</v>
      </c>
      <c r="AL896" s="66" t="str">
        <f>LOWER(SUBSTITUTE(SUBSTITUTE(SUBSTITUTE(SUBSTITUTE(SUBSTITUTE(SUBSTITUTE(SUBSTITUTE(SUBSTITUTE(SUBSTITUTE(NOTA[NAMA BARANG]," ",),".",""),"-",""),"(",""),")",""),",",""),"/",""),"""",""),"+",""))</f>
        <v>staplerhd10cljk</v>
      </c>
      <c r="AM8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MOROSA23050811245068staplerhd10cljk</v>
      </c>
      <c r="AP896" s="66" t="e">
        <f>IF(NOTA[[#This Row],[CONCAT4]]="","",_xlfn.IFNA(MATCH(NOTA[[#This Row],[CONCAT4]],[2]!RAW[CONCAT_H],0),FALSE))</f>
        <v>#REF!</v>
      </c>
      <c r="AQ896" s="66">
        <f>IF(NOTA[[#This Row],[CONCAT1]]="","",MATCH(NOTA[[#This Row],[CONCAT1]],[3]!db[NB NOTA_C],0)+1)</f>
        <v>2177</v>
      </c>
    </row>
    <row r="897" spans="1:43" ht="20.100000000000001" customHeight="1" x14ac:dyDescent="0.25">
      <c r="A8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66" t="str">
        <f>IF(NOTA[[#This Row],[ID_P]]="","",MATCH(NOTA[[#This Row],[ID_P]],[1]!B_MSK[N_ID],0))</f>
        <v/>
      </c>
      <c r="D897" s="66">
        <f ca="1">IF(NOTA[[#This Row],[NAMA BARANG]]="","",INDEX(NOTA[ID],MATCH(,INDIRECT(ADDRESS(ROW(NOTA[ID]),COLUMN(NOTA[ID]))&amp;":"&amp;ADDRESS(ROW(),COLUMN(NOTA[ID]))),-1)))</f>
        <v>157</v>
      </c>
      <c r="E897" s="113"/>
      <c r="H897" s="54"/>
      <c r="L897" s="27" t="s">
        <v>1086</v>
      </c>
      <c r="M897" s="114">
        <v>1</v>
      </c>
      <c r="N897" s="66">
        <v>144</v>
      </c>
      <c r="O897" s="27" t="s">
        <v>160</v>
      </c>
      <c r="P897" s="64">
        <v>4350</v>
      </c>
      <c r="Q897" s="79"/>
      <c r="R897" s="42"/>
      <c r="S897" s="80">
        <v>0.125</v>
      </c>
      <c r="T897" s="115">
        <v>0.05</v>
      </c>
      <c r="U897" s="52"/>
      <c r="V897" s="77"/>
      <c r="W897" s="52">
        <f>IF(NOTA[[#This Row],[HARGA/ CTN]]="",NOTA[[#This Row],[JUMLAH_H]],NOTA[[#This Row],[HARGA/ CTN]]*IF(NOTA[[#This Row],[C]]="",0,NOTA[[#This Row],[C]]))</f>
        <v>626400</v>
      </c>
      <c r="X897" s="52">
        <f>IF(NOTA[[#This Row],[JUMLAH]]="","",NOTA[[#This Row],[JUMLAH]]*NOTA[[#This Row],[DISC 1]])</f>
        <v>78300</v>
      </c>
      <c r="Y897" s="52">
        <f>IF(NOTA[[#This Row],[JUMLAH]]="","",(NOTA[[#This Row],[JUMLAH]]-NOTA[[#This Row],[DISC 1-]])*NOTA[[#This Row],[DISC 2]])</f>
        <v>27405</v>
      </c>
      <c r="Z897" s="52">
        <f>IF(NOTA[[#This Row],[JUMLAH]]="","",NOTA[[#This Row],[DISC 1-]]+NOTA[[#This Row],[DISC 2-]])</f>
        <v>105705</v>
      </c>
      <c r="AA897" s="52">
        <f>IF(NOTA[[#This Row],[JUMLAH]]="","",NOTA[[#This Row],[JUMLAH]]-NOTA[[#This Row],[DISC]])</f>
        <v>520695</v>
      </c>
      <c r="AB897" s="52"/>
      <c r="AC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64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97" s="203">
        <f>IF(OR(NOTA[[#This Row],[QTY]]="",NOTA[[#This Row],[HARGA SATUAN]]="",),"",NOTA[[#This Row],[QTY]]*NOTA[[#This Row],[HARGA SATUAN]])</f>
        <v>626400</v>
      </c>
      <c r="AG897" s="53">
        <f ca="1">IF(NOTA[ID_H]="","",INDEX(NOTA[TANGGAL],MATCH(,INDIRECT(ADDRESS(ROW(NOTA[TANGGAL]),COLUMN(NOTA[TANGGAL]))&amp;":"&amp;ADDRESS(ROW(),COLUMN(NOTA[TANGGAL]))),-1)))</f>
        <v>45073</v>
      </c>
      <c r="AH897" s="64" t="str">
        <f ca="1">IF(NOTA[[#This Row],[NAMA BARANG]]="","",INDEX(NOTA[SUPPLIER],MATCH(,INDIRECT(ADDRESS(ROW(NOTA[ID]),COLUMN(NOTA[ID]))&amp;":"&amp;ADDRESS(ROW(),COLUMN(NOTA[ID]))),-1)))</f>
        <v>ATALI MAKMUR</v>
      </c>
      <c r="AI897" s="64" t="str">
        <f ca="1">IF(NOTA[[#This Row],[ID_H]]="","",IF(NOTA[[#This Row],[FAKTUR]]="",INDIRECT(ADDRESS(ROW()-1,COLUMN())),NOTA[[#This Row],[FAKTUR]]))</f>
        <v>ARTO MORO</v>
      </c>
      <c r="AJ897" s="66" t="str">
        <f ca="1">IF(NOTA[[#This Row],[ID]]="","",COUNTIF(NOTA[ID_H],NOTA[[#This Row],[ID_H]]))</f>
        <v/>
      </c>
      <c r="AK897" s="66">
        <f ca="1">IF(NOTA[[#This Row],[TGL.NOTA]]="",IF(NOTA[[#This Row],[SUPPLIER_H]]="","",AK896),MONTH(NOTA[[#This Row],[TGL.NOTA]]))</f>
        <v>5</v>
      </c>
      <c r="AL897" s="66" t="str">
        <f>LOWER(SUBSTITUTE(SUBSTITUTE(SUBSTITUTE(SUBSTITUTE(SUBSTITUTE(SUBSTITUTE(SUBSTITUTE(SUBSTITUTE(SUBSTITUTE(NOTA[NAMA BARANG]," ",),".",""),"-",""),"(",""),")",""),",",""),"/",""),"""",""),"+",""))</f>
        <v>scissorsc828jk</v>
      </c>
      <c r="AM8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scissorsc828jk6264000.1250.05</v>
      </c>
      <c r="AN8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scissorsc828jk6264000.1250.05</v>
      </c>
      <c r="AO8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66" t="str">
        <f>IF(NOTA[[#This Row],[CONCAT4]]="","",_xlfn.IFNA(MATCH(NOTA[[#This Row],[CONCAT4]],[2]!RAW[CONCAT_H],0),FALSE))</f>
        <v/>
      </c>
      <c r="AQ897" s="66">
        <f>IF(NOTA[[#This Row],[CONCAT1]]="","",MATCH(NOTA[[#This Row],[CONCAT1]],[3]!db[NB NOTA_C],0)+1)</f>
        <v>2103</v>
      </c>
    </row>
    <row r="898" spans="1:43" ht="20.100000000000001" customHeight="1" x14ac:dyDescent="0.25">
      <c r="A8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66" t="str">
        <f>IF(NOTA[[#This Row],[ID_P]]="","",MATCH(NOTA[[#This Row],[ID_P]],[1]!B_MSK[N_ID],0))</f>
        <v/>
      </c>
      <c r="D898" s="66">
        <f ca="1">IF(NOTA[[#This Row],[NAMA BARANG]]="","",INDEX(NOTA[ID],MATCH(,INDIRECT(ADDRESS(ROW(NOTA[ID]),COLUMN(NOTA[ID]))&amp;":"&amp;ADDRESS(ROW(),COLUMN(NOTA[ID]))),-1)))</f>
        <v>157</v>
      </c>
      <c r="E898" s="113"/>
      <c r="H898" s="54"/>
      <c r="L898" s="27" t="s">
        <v>306</v>
      </c>
      <c r="M898" s="114">
        <v>5</v>
      </c>
      <c r="N898" s="66">
        <v>250</v>
      </c>
      <c r="O898" s="27" t="s">
        <v>262</v>
      </c>
      <c r="P898" s="64">
        <v>34100</v>
      </c>
      <c r="Q898" s="79"/>
      <c r="R898" s="42"/>
      <c r="S898" s="80">
        <v>0.125</v>
      </c>
      <c r="T898" s="115">
        <v>0.05</v>
      </c>
      <c r="U898" s="52"/>
      <c r="V898" s="77"/>
      <c r="W898" s="52">
        <f>IF(NOTA[[#This Row],[HARGA/ CTN]]="",NOTA[[#This Row],[JUMLAH_H]],NOTA[[#This Row],[HARGA/ CTN]]*IF(NOTA[[#This Row],[C]]="",0,NOTA[[#This Row],[C]]))</f>
        <v>8525000</v>
      </c>
      <c r="X898" s="52">
        <f>IF(NOTA[[#This Row],[JUMLAH]]="","",NOTA[[#This Row],[JUMLAH]]*NOTA[[#This Row],[DISC 1]])</f>
        <v>1065625</v>
      </c>
      <c r="Y898" s="52">
        <f>IF(NOTA[[#This Row],[JUMLAH]]="","",(NOTA[[#This Row],[JUMLAH]]-NOTA[[#This Row],[DISC 1-]])*NOTA[[#This Row],[DISC 2]])</f>
        <v>372968.75</v>
      </c>
      <c r="Z898" s="52">
        <f>IF(NOTA[[#This Row],[JUMLAH]]="","",NOTA[[#This Row],[DISC 1-]]+NOTA[[#This Row],[DISC 2-]])</f>
        <v>1438593.75</v>
      </c>
      <c r="AA898" s="52">
        <f>IF(NOTA[[#This Row],[JUMLAH]]="","",NOTA[[#This Row],[JUMLAH]]-NOTA[[#This Row],[DISC]])</f>
        <v>7086406.25</v>
      </c>
      <c r="AB898" s="52"/>
      <c r="AC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898" s="203">
        <f>IF(OR(NOTA[[#This Row],[QTY]]="",NOTA[[#This Row],[HARGA SATUAN]]="",),"",NOTA[[#This Row],[QTY]]*NOTA[[#This Row],[HARGA SATUAN]])</f>
        <v>8525000</v>
      </c>
      <c r="AG898" s="53">
        <f ca="1">IF(NOTA[ID_H]="","",INDEX(NOTA[TANGGAL],MATCH(,INDIRECT(ADDRESS(ROW(NOTA[TANGGAL]),COLUMN(NOTA[TANGGAL]))&amp;":"&amp;ADDRESS(ROW(),COLUMN(NOTA[TANGGAL]))),-1)))</f>
        <v>45073</v>
      </c>
      <c r="AH898" s="64" t="str">
        <f ca="1">IF(NOTA[[#This Row],[NAMA BARANG]]="","",INDEX(NOTA[SUPPLIER],MATCH(,INDIRECT(ADDRESS(ROW(NOTA[ID]),COLUMN(NOTA[ID]))&amp;":"&amp;ADDRESS(ROW(),COLUMN(NOTA[ID]))),-1)))</f>
        <v>ATALI MAKMUR</v>
      </c>
      <c r="AI898" s="64" t="str">
        <f ca="1">IF(NOTA[[#This Row],[ID_H]]="","",IF(NOTA[[#This Row],[FAKTUR]]="",INDIRECT(ADDRESS(ROW()-1,COLUMN())),NOTA[[#This Row],[FAKTUR]]))</f>
        <v>ARTO MORO</v>
      </c>
      <c r="AJ898" s="66" t="str">
        <f ca="1">IF(NOTA[[#This Row],[ID]]="","",COUNTIF(NOTA[ID_H],NOTA[[#This Row],[ID_H]]))</f>
        <v/>
      </c>
      <c r="AK898" s="66">
        <f ca="1">IF(NOTA[[#This Row],[TGL.NOTA]]="",IF(NOTA[[#This Row],[SUPPLIER_H]]="","",AK897),MONTH(NOTA[[#This Row],[TGL.NOTA]]))</f>
        <v>5</v>
      </c>
      <c r="AL898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8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8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8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66" t="str">
        <f>IF(NOTA[[#This Row],[CONCAT4]]="","",_xlfn.IFNA(MATCH(NOTA[[#This Row],[CONCAT4]],[2]!RAW[CONCAT_H],0),FALSE))</f>
        <v/>
      </c>
      <c r="AQ898" s="66">
        <f>IF(NOTA[[#This Row],[CONCAT1]]="","",MATCH(NOTA[[#This Row],[CONCAT1]],[3]!db[NB NOTA_C],0)+1)</f>
        <v>742</v>
      </c>
    </row>
    <row r="899" spans="1:43" ht="20.100000000000001" customHeight="1" x14ac:dyDescent="0.25">
      <c r="A8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66" t="str">
        <f>IF(NOTA[[#This Row],[ID_P]]="","",MATCH(NOTA[[#This Row],[ID_P]],[1]!B_MSK[N_ID],0))</f>
        <v/>
      </c>
      <c r="D899" s="66">
        <f ca="1">IF(NOTA[[#This Row],[NAMA BARANG]]="","",INDEX(NOTA[ID],MATCH(,INDIRECT(ADDRESS(ROW(NOTA[ID]),COLUMN(NOTA[ID]))&amp;":"&amp;ADDRESS(ROW(),COLUMN(NOTA[ID]))),-1)))</f>
        <v>157</v>
      </c>
      <c r="E899" s="113"/>
      <c r="H899" s="54"/>
      <c r="L899" s="27" t="s">
        <v>1087</v>
      </c>
      <c r="M899" s="114">
        <v>5</v>
      </c>
      <c r="N899" s="66">
        <v>250</v>
      </c>
      <c r="O899" s="27" t="s">
        <v>262</v>
      </c>
      <c r="P899" s="64">
        <v>32000</v>
      </c>
      <c r="Q899" s="79"/>
      <c r="R899" s="42"/>
      <c r="S899" s="80">
        <v>0.125</v>
      </c>
      <c r="T899" s="115">
        <v>0.05</v>
      </c>
      <c r="U899" s="52"/>
      <c r="V899" s="77"/>
      <c r="W899" s="52">
        <f>IF(NOTA[[#This Row],[HARGA/ CTN]]="",NOTA[[#This Row],[JUMLAH_H]],NOTA[[#This Row],[HARGA/ CTN]]*IF(NOTA[[#This Row],[C]]="",0,NOTA[[#This Row],[C]]))</f>
        <v>8000000</v>
      </c>
      <c r="X899" s="52">
        <f>IF(NOTA[[#This Row],[JUMLAH]]="","",NOTA[[#This Row],[JUMLAH]]*NOTA[[#This Row],[DISC 1]])</f>
        <v>1000000</v>
      </c>
      <c r="Y899" s="52">
        <f>IF(NOTA[[#This Row],[JUMLAH]]="","",(NOTA[[#This Row],[JUMLAH]]-NOTA[[#This Row],[DISC 1-]])*NOTA[[#This Row],[DISC 2]])</f>
        <v>350000</v>
      </c>
      <c r="Z899" s="52">
        <f>IF(NOTA[[#This Row],[JUMLAH]]="","",NOTA[[#This Row],[DISC 1-]]+NOTA[[#This Row],[DISC 2-]])</f>
        <v>1350000</v>
      </c>
      <c r="AA899" s="52">
        <f>IF(NOTA[[#This Row],[JUMLAH]]="","",NOTA[[#This Row],[JUMLAH]]-NOTA[[#This Row],[DISC]])</f>
        <v>6650000</v>
      </c>
      <c r="AB899" s="52"/>
      <c r="AC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9" s="203">
        <f>IF(OR(NOTA[[#This Row],[QTY]]="",NOTA[[#This Row],[HARGA SATUAN]]="",),"",NOTA[[#This Row],[QTY]]*NOTA[[#This Row],[HARGA SATUAN]])</f>
        <v>8000000</v>
      </c>
      <c r="AG899" s="53">
        <f ca="1">IF(NOTA[ID_H]="","",INDEX(NOTA[TANGGAL],MATCH(,INDIRECT(ADDRESS(ROW(NOTA[TANGGAL]),COLUMN(NOTA[TANGGAL]))&amp;":"&amp;ADDRESS(ROW(),COLUMN(NOTA[TANGGAL]))),-1)))</f>
        <v>45073</v>
      </c>
      <c r="AH899" s="64" t="str">
        <f ca="1">IF(NOTA[[#This Row],[NAMA BARANG]]="","",INDEX(NOTA[SUPPLIER],MATCH(,INDIRECT(ADDRESS(ROW(NOTA[ID]),COLUMN(NOTA[ID]))&amp;":"&amp;ADDRESS(ROW(),COLUMN(NOTA[ID]))),-1)))</f>
        <v>ATALI MAKMUR</v>
      </c>
      <c r="AI899" s="64" t="str">
        <f ca="1">IF(NOTA[[#This Row],[ID_H]]="","",IF(NOTA[[#This Row],[FAKTUR]]="",INDIRECT(ADDRESS(ROW()-1,COLUMN())),NOTA[[#This Row],[FAKTUR]]))</f>
        <v>ARTO MORO</v>
      </c>
      <c r="AJ899" s="66" t="str">
        <f ca="1">IF(NOTA[[#This Row],[ID]]="","",COUNTIF(NOTA[ID_H],NOTA[[#This Row],[ID_H]]))</f>
        <v/>
      </c>
      <c r="AK899" s="66">
        <f ca="1">IF(NOTA[[#This Row],[TGL.NOTA]]="",IF(NOTA[[#This Row],[SUPPLIER_H]]="","",AK898),MONTH(NOTA[[#This Row],[TGL.NOTA]]))</f>
        <v>5</v>
      </c>
      <c r="AL899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8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8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8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66" t="str">
        <f>IF(NOTA[[#This Row],[CONCAT4]]="","",_xlfn.IFNA(MATCH(NOTA[[#This Row],[CONCAT4]],[2]!RAW[CONCAT_H],0),FALSE))</f>
        <v/>
      </c>
      <c r="AQ899" s="66">
        <f>IF(NOTA[[#This Row],[CONCAT1]]="","",MATCH(NOTA[[#This Row],[CONCAT1]],[3]!db[NB NOTA_C],0)+1)</f>
        <v>746</v>
      </c>
    </row>
    <row r="900" spans="1:43" ht="20.100000000000001" customHeight="1" x14ac:dyDescent="0.25">
      <c r="A9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66" t="str">
        <f>IF(NOTA[[#This Row],[ID_P]]="","",MATCH(NOTA[[#This Row],[ID_P]],[1]!B_MSK[N_ID],0))</f>
        <v/>
      </c>
      <c r="D900" s="66">
        <f ca="1">IF(NOTA[[#This Row],[NAMA BARANG]]="","",INDEX(NOTA[ID],MATCH(,INDIRECT(ADDRESS(ROW(NOTA[ID]),COLUMN(NOTA[ID]))&amp;":"&amp;ADDRESS(ROW(),COLUMN(NOTA[ID]))),-1)))</f>
        <v>157</v>
      </c>
      <c r="E900" s="113"/>
      <c r="H900" s="54"/>
      <c r="L900" s="27" t="s">
        <v>303</v>
      </c>
      <c r="M900" s="114">
        <v>5</v>
      </c>
      <c r="N900" s="66">
        <v>250</v>
      </c>
      <c r="O900" s="27" t="s">
        <v>262</v>
      </c>
      <c r="P900" s="64">
        <v>28300</v>
      </c>
      <c r="Q900" s="79"/>
      <c r="R900" s="42"/>
      <c r="S900" s="80">
        <v>0.125</v>
      </c>
      <c r="T900" s="115">
        <v>0.05</v>
      </c>
      <c r="U900" s="52"/>
      <c r="V900" s="77"/>
      <c r="W900" s="52">
        <f>IF(NOTA[[#This Row],[HARGA/ CTN]]="",NOTA[[#This Row],[JUMLAH_H]],NOTA[[#This Row],[HARGA/ CTN]]*IF(NOTA[[#This Row],[C]]="",0,NOTA[[#This Row],[C]]))</f>
        <v>7075000</v>
      </c>
      <c r="X900" s="52">
        <f>IF(NOTA[[#This Row],[JUMLAH]]="","",NOTA[[#This Row],[JUMLAH]]*NOTA[[#This Row],[DISC 1]])</f>
        <v>884375</v>
      </c>
      <c r="Y900" s="52">
        <f>IF(NOTA[[#This Row],[JUMLAH]]="","",(NOTA[[#This Row],[JUMLAH]]-NOTA[[#This Row],[DISC 1-]])*NOTA[[#This Row],[DISC 2]])</f>
        <v>309531.25</v>
      </c>
      <c r="Z900" s="52">
        <f>IF(NOTA[[#This Row],[JUMLAH]]="","",NOTA[[#This Row],[DISC 1-]]+NOTA[[#This Row],[DISC 2-]])</f>
        <v>1193906.25</v>
      </c>
      <c r="AA900" s="52">
        <f>IF(NOTA[[#This Row],[JUMLAH]]="","",NOTA[[#This Row],[JUMLAH]]-NOTA[[#This Row],[DISC]])</f>
        <v>5881093.75</v>
      </c>
      <c r="AB900" s="52"/>
      <c r="AC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00" s="203">
        <f>IF(OR(NOTA[[#This Row],[QTY]]="",NOTA[[#This Row],[HARGA SATUAN]]="",),"",NOTA[[#This Row],[QTY]]*NOTA[[#This Row],[HARGA SATUAN]])</f>
        <v>7075000</v>
      </c>
      <c r="AG900" s="53">
        <f ca="1">IF(NOTA[ID_H]="","",INDEX(NOTA[TANGGAL],MATCH(,INDIRECT(ADDRESS(ROW(NOTA[TANGGAL]),COLUMN(NOTA[TANGGAL]))&amp;":"&amp;ADDRESS(ROW(),COLUMN(NOTA[TANGGAL]))),-1)))</f>
        <v>45073</v>
      </c>
      <c r="AH900" s="64" t="str">
        <f ca="1">IF(NOTA[[#This Row],[NAMA BARANG]]="","",INDEX(NOTA[SUPPLIER],MATCH(,INDIRECT(ADDRESS(ROW(NOTA[ID]),COLUMN(NOTA[ID]))&amp;":"&amp;ADDRESS(ROW(),COLUMN(NOTA[ID]))),-1)))</f>
        <v>ATALI MAKMUR</v>
      </c>
      <c r="AI900" s="64" t="str">
        <f ca="1">IF(NOTA[[#This Row],[ID_H]]="","",IF(NOTA[[#This Row],[FAKTUR]]="",INDIRECT(ADDRESS(ROW()-1,COLUMN())),NOTA[[#This Row],[FAKTUR]]))</f>
        <v>ARTO MORO</v>
      </c>
      <c r="AJ900" s="66" t="str">
        <f ca="1">IF(NOTA[[#This Row],[ID]]="","",COUNTIF(NOTA[ID_H],NOTA[[#This Row],[ID_H]]))</f>
        <v/>
      </c>
      <c r="AK900" s="66">
        <f ca="1">IF(NOTA[[#This Row],[TGL.NOTA]]="",IF(NOTA[[#This Row],[SUPPLIER_H]]="","",AK899),MONTH(NOTA[[#This Row],[TGL.NOTA]]))</f>
        <v>5</v>
      </c>
      <c r="AL90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9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9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9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66" t="str">
        <f>IF(NOTA[[#This Row],[CONCAT4]]="","",_xlfn.IFNA(MATCH(NOTA[[#This Row],[CONCAT4]],[2]!RAW[CONCAT_H],0),FALSE))</f>
        <v/>
      </c>
      <c r="AQ900" s="66">
        <f>IF(NOTA[[#This Row],[CONCAT1]]="","",MATCH(NOTA[[#This Row],[CONCAT1]],[3]!db[NB NOTA_C],0)+1)</f>
        <v>745</v>
      </c>
    </row>
    <row r="901" spans="1:43" ht="20.100000000000001" customHeight="1" x14ac:dyDescent="0.25">
      <c r="A9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66" t="str">
        <f>IF(NOTA[[#This Row],[ID_P]]="","",MATCH(NOTA[[#This Row],[ID_P]],[1]!B_MSK[N_ID],0))</f>
        <v/>
      </c>
      <c r="D901" s="66">
        <f ca="1">IF(NOTA[[#This Row],[NAMA BARANG]]="","",INDEX(NOTA[ID],MATCH(,INDIRECT(ADDRESS(ROW(NOTA[ID]),COLUMN(NOTA[ID]))&amp;":"&amp;ADDRESS(ROW(),COLUMN(NOTA[ID]))),-1)))</f>
        <v>157</v>
      </c>
      <c r="E901" s="113"/>
      <c r="H901" s="54"/>
      <c r="L901" s="27" t="s">
        <v>1088</v>
      </c>
      <c r="M901" s="114">
        <v>2</v>
      </c>
      <c r="N901" s="66">
        <v>144</v>
      </c>
      <c r="O901" s="27" t="s">
        <v>252</v>
      </c>
      <c r="P901" s="64">
        <v>47800</v>
      </c>
      <c r="Q901" s="79"/>
      <c r="R901" s="42"/>
      <c r="S901" s="80">
        <v>0.125</v>
      </c>
      <c r="T901" s="115">
        <v>0.05</v>
      </c>
      <c r="U901" s="52"/>
      <c r="V901" s="77"/>
      <c r="W901" s="52">
        <f>IF(NOTA[[#This Row],[HARGA/ CTN]]="",NOTA[[#This Row],[JUMLAH_H]],NOTA[[#This Row],[HARGA/ CTN]]*IF(NOTA[[#This Row],[C]]="",0,NOTA[[#This Row],[C]]))</f>
        <v>6883200</v>
      </c>
      <c r="X901" s="52">
        <f>IF(NOTA[[#This Row],[JUMLAH]]="","",NOTA[[#This Row],[JUMLAH]]*NOTA[[#This Row],[DISC 1]])</f>
        <v>860400</v>
      </c>
      <c r="Y901" s="52">
        <f>IF(NOTA[[#This Row],[JUMLAH]]="","",(NOTA[[#This Row],[JUMLAH]]-NOTA[[#This Row],[DISC 1-]])*NOTA[[#This Row],[DISC 2]])</f>
        <v>301140</v>
      </c>
      <c r="Z901" s="52">
        <f>IF(NOTA[[#This Row],[JUMLAH]]="","",NOTA[[#This Row],[DISC 1-]]+NOTA[[#This Row],[DISC 2-]])</f>
        <v>1161540</v>
      </c>
      <c r="AA901" s="52">
        <f>IF(NOTA[[#This Row],[JUMLAH]]="","",NOTA[[#This Row],[JUMLAH]]-NOTA[[#This Row],[DISC]])</f>
        <v>5721660</v>
      </c>
      <c r="AB901" s="52"/>
      <c r="AC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01" s="203">
        <f>IF(OR(NOTA[[#This Row],[QTY]]="",NOTA[[#This Row],[HARGA SATUAN]]="",),"",NOTA[[#This Row],[QTY]]*NOTA[[#This Row],[HARGA SATUAN]])</f>
        <v>6883200</v>
      </c>
      <c r="AG901" s="53">
        <f ca="1">IF(NOTA[ID_H]="","",INDEX(NOTA[TANGGAL],MATCH(,INDIRECT(ADDRESS(ROW(NOTA[TANGGAL]),COLUMN(NOTA[TANGGAL]))&amp;":"&amp;ADDRESS(ROW(),COLUMN(NOTA[TANGGAL]))),-1)))</f>
        <v>45073</v>
      </c>
      <c r="AH901" s="64" t="str">
        <f ca="1">IF(NOTA[[#This Row],[NAMA BARANG]]="","",INDEX(NOTA[SUPPLIER],MATCH(,INDIRECT(ADDRESS(ROW(NOTA[ID]),COLUMN(NOTA[ID]))&amp;":"&amp;ADDRESS(ROW(),COLUMN(NOTA[ID]))),-1)))</f>
        <v>ATALI MAKMUR</v>
      </c>
      <c r="AI901" s="64" t="str">
        <f ca="1">IF(NOTA[[#This Row],[ID_H]]="","",IF(NOTA[[#This Row],[FAKTUR]]="",INDIRECT(ADDRESS(ROW()-1,COLUMN())),NOTA[[#This Row],[FAKTUR]]))</f>
        <v>ARTO MORO</v>
      </c>
      <c r="AJ901" s="66" t="str">
        <f ca="1">IF(NOTA[[#This Row],[ID]]="","",COUNTIF(NOTA[ID_H],NOTA[[#This Row],[ID_H]]))</f>
        <v/>
      </c>
      <c r="AK901" s="66">
        <f ca="1">IF(NOTA[[#This Row],[TGL.NOTA]]="",IF(NOTA[[#This Row],[SUPPLIER_H]]="","",AK899),MONTH(NOTA[[#This Row],[TGL.NOTA]]))</f>
        <v>5</v>
      </c>
      <c r="AL901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9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9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9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66" t="str">
        <f>IF(NOTA[[#This Row],[CONCAT4]]="","",_xlfn.IFNA(MATCH(NOTA[[#This Row],[CONCAT4]],[2]!RAW[CONCAT_H],0),FALSE))</f>
        <v/>
      </c>
      <c r="AQ901" s="66">
        <f>IF(NOTA[[#This Row],[CONCAT1]]="","",MATCH(NOTA[[#This Row],[CONCAT1]],[3]!db[NB NOTA_C],0)+1)</f>
        <v>604</v>
      </c>
    </row>
    <row r="902" spans="1:43" ht="20.100000000000001" customHeight="1" x14ac:dyDescent="0.25">
      <c r="A9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66" t="str">
        <f>IF(NOTA[[#This Row],[ID_P]]="","",MATCH(NOTA[[#This Row],[ID_P]],[1]!B_MSK[N_ID],0))</f>
        <v/>
      </c>
      <c r="D902" s="66">
        <f ca="1">IF(NOTA[[#This Row],[NAMA BARANG]]="","",INDEX(NOTA[ID],MATCH(,INDIRECT(ADDRESS(ROW(NOTA[ID]),COLUMN(NOTA[ID]))&amp;":"&amp;ADDRESS(ROW(),COLUMN(NOTA[ID]))),-1)))</f>
        <v>157</v>
      </c>
      <c r="E902" s="113"/>
      <c r="H902" s="54"/>
      <c r="L902" s="27" t="s">
        <v>1089</v>
      </c>
      <c r="M902" s="114">
        <v>2</v>
      </c>
      <c r="N902" s="66">
        <v>144</v>
      </c>
      <c r="O902" s="27" t="s">
        <v>252</v>
      </c>
      <c r="P902" s="64">
        <v>37200</v>
      </c>
      <c r="Q902" s="79"/>
      <c r="R902" s="42"/>
      <c r="S902" s="80">
        <v>0.125</v>
      </c>
      <c r="T902" s="115">
        <v>0.05</v>
      </c>
      <c r="U902" s="52"/>
      <c r="V902" s="77"/>
      <c r="W902" s="52">
        <f>IF(NOTA[[#This Row],[HARGA/ CTN]]="",NOTA[[#This Row],[JUMLAH_H]],NOTA[[#This Row],[HARGA/ CTN]]*IF(NOTA[[#This Row],[C]]="",0,NOTA[[#This Row],[C]]))</f>
        <v>5356800</v>
      </c>
      <c r="X902" s="52">
        <f>IF(NOTA[[#This Row],[JUMLAH]]="","",NOTA[[#This Row],[JUMLAH]]*NOTA[[#This Row],[DISC 1]])</f>
        <v>669600</v>
      </c>
      <c r="Y902" s="52">
        <f>IF(NOTA[[#This Row],[JUMLAH]]="","",(NOTA[[#This Row],[JUMLAH]]-NOTA[[#This Row],[DISC 1-]])*NOTA[[#This Row],[DISC 2]])</f>
        <v>234360</v>
      </c>
      <c r="Z902" s="52">
        <f>IF(NOTA[[#This Row],[JUMLAH]]="","",NOTA[[#This Row],[DISC 1-]]+NOTA[[#This Row],[DISC 2-]])</f>
        <v>903960</v>
      </c>
      <c r="AA902" s="52">
        <f>IF(NOTA[[#This Row],[JUMLAH]]="","",NOTA[[#This Row],[JUMLAH]]-NOTA[[#This Row],[DISC]])</f>
        <v>4452840</v>
      </c>
      <c r="AB902" s="52"/>
      <c r="AC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02" s="203">
        <f>IF(OR(NOTA[[#This Row],[QTY]]="",NOTA[[#This Row],[HARGA SATUAN]]="",),"",NOTA[[#This Row],[QTY]]*NOTA[[#This Row],[HARGA SATUAN]])</f>
        <v>5356800</v>
      </c>
      <c r="AG902" s="53">
        <f ca="1">IF(NOTA[ID_H]="","",INDEX(NOTA[TANGGAL],MATCH(,INDIRECT(ADDRESS(ROW(NOTA[TANGGAL]),COLUMN(NOTA[TANGGAL]))&amp;":"&amp;ADDRESS(ROW(),COLUMN(NOTA[TANGGAL]))),-1)))</f>
        <v>45073</v>
      </c>
      <c r="AH902" s="64" t="str">
        <f ca="1">IF(NOTA[[#This Row],[NAMA BARANG]]="","",INDEX(NOTA[SUPPLIER],MATCH(,INDIRECT(ADDRESS(ROW(NOTA[ID]),COLUMN(NOTA[ID]))&amp;":"&amp;ADDRESS(ROW(),COLUMN(NOTA[ID]))),-1)))</f>
        <v>ATALI MAKMUR</v>
      </c>
      <c r="AI902" s="64" t="str">
        <f ca="1">IF(NOTA[[#This Row],[ID_H]]="","",IF(NOTA[[#This Row],[FAKTUR]]="",INDIRECT(ADDRESS(ROW()-1,COLUMN())),NOTA[[#This Row],[FAKTUR]]))</f>
        <v>ARTO MORO</v>
      </c>
      <c r="AJ902" s="66" t="str">
        <f ca="1">IF(NOTA[[#This Row],[ID]]="","",COUNTIF(NOTA[ID_H],NOTA[[#This Row],[ID_H]]))</f>
        <v/>
      </c>
      <c r="AK902" s="66">
        <f ca="1">IF(NOTA[[#This Row],[TGL.NOTA]]="",IF(NOTA[[#This Row],[SUPPLIER_H]]="","",AK901),MONTH(NOTA[[#This Row],[TGL.NOTA]]))</f>
        <v>5</v>
      </c>
      <c r="AL902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M9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N9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O9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66" t="str">
        <f>IF(NOTA[[#This Row],[CONCAT4]]="","",_xlfn.IFNA(MATCH(NOTA[[#This Row],[CONCAT4]],[2]!RAW[CONCAT_H],0),FALSE))</f>
        <v/>
      </c>
      <c r="AQ902" s="66">
        <f>IF(NOTA[[#This Row],[CONCAT1]]="","",MATCH(NOTA[[#This Row],[CONCAT1]],[3]!db[NB NOTA_C],0)+1)</f>
        <v>602</v>
      </c>
    </row>
    <row r="903" spans="1:43" ht="20.100000000000001" customHeight="1" x14ac:dyDescent="0.25">
      <c r="A9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66" t="str">
        <f>IF(NOTA[[#This Row],[ID_P]]="","",MATCH(NOTA[[#This Row],[ID_P]],[1]!B_MSK[N_ID],0))</f>
        <v/>
      </c>
      <c r="D903" s="66">
        <f ca="1">IF(NOTA[[#This Row],[NAMA BARANG]]="","",INDEX(NOTA[ID],MATCH(,INDIRECT(ADDRESS(ROW(NOTA[ID]),COLUMN(NOTA[ID]))&amp;":"&amp;ADDRESS(ROW(),COLUMN(NOTA[ID]))),-1)))</f>
        <v>157</v>
      </c>
      <c r="E903" s="113"/>
      <c r="H903" s="54"/>
      <c r="L903" s="27" t="s">
        <v>1090</v>
      </c>
      <c r="M903" s="114">
        <v>2</v>
      </c>
      <c r="N903" s="66">
        <v>96</v>
      </c>
      <c r="O903" s="27" t="s">
        <v>146</v>
      </c>
      <c r="P903" s="64">
        <v>36000</v>
      </c>
      <c r="Q903" s="79"/>
      <c r="R903" s="42"/>
      <c r="S903" s="80">
        <v>0.125</v>
      </c>
      <c r="T903" s="115">
        <v>0.05</v>
      </c>
      <c r="U903" s="52"/>
      <c r="V903" s="77"/>
      <c r="W903" s="52">
        <f>IF(NOTA[[#This Row],[HARGA/ CTN]]="",NOTA[[#This Row],[JUMLAH_H]],NOTA[[#This Row],[HARGA/ CTN]]*IF(NOTA[[#This Row],[C]]="",0,NOTA[[#This Row],[C]]))</f>
        <v>3456000</v>
      </c>
      <c r="X903" s="52">
        <f>IF(NOTA[[#This Row],[JUMLAH]]="","",NOTA[[#This Row],[JUMLAH]]*NOTA[[#This Row],[DISC 1]])</f>
        <v>432000</v>
      </c>
      <c r="Y903" s="52">
        <f>IF(NOTA[[#This Row],[JUMLAH]]="","",(NOTA[[#This Row],[JUMLAH]]-NOTA[[#This Row],[DISC 1-]])*NOTA[[#This Row],[DISC 2]])</f>
        <v>151200</v>
      </c>
      <c r="Z903" s="52">
        <f>IF(NOTA[[#This Row],[JUMLAH]]="","",NOTA[[#This Row],[DISC 1-]]+NOTA[[#This Row],[DISC 2-]])</f>
        <v>583200</v>
      </c>
      <c r="AA903" s="52">
        <f>IF(NOTA[[#This Row],[JUMLAH]]="","",NOTA[[#This Row],[JUMLAH]]-NOTA[[#This Row],[DISC]])</f>
        <v>2872800</v>
      </c>
      <c r="AB903" s="52"/>
      <c r="AC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3" s="203">
        <f>IF(OR(NOTA[[#This Row],[QTY]]="",NOTA[[#This Row],[HARGA SATUAN]]="",),"",NOTA[[#This Row],[QTY]]*NOTA[[#This Row],[HARGA SATUAN]])</f>
        <v>3456000</v>
      </c>
      <c r="AG903" s="53">
        <f ca="1">IF(NOTA[ID_H]="","",INDEX(NOTA[TANGGAL],MATCH(,INDIRECT(ADDRESS(ROW(NOTA[TANGGAL]),COLUMN(NOTA[TANGGAL]))&amp;":"&amp;ADDRESS(ROW(),COLUMN(NOTA[TANGGAL]))),-1)))</f>
        <v>45073</v>
      </c>
      <c r="AH903" s="64" t="str">
        <f ca="1">IF(NOTA[[#This Row],[NAMA BARANG]]="","",INDEX(NOTA[SUPPLIER],MATCH(,INDIRECT(ADDRESS(ROW(NOTA[ID]),COLUMN(NOTA[ID]))&amp;":"&amp;ADDRESS(ROW(),COLUMN(NOTA[ID]))),-1)))</f>
        <v>ATALI MAKMUR</v>
      </c>
      <c r="AI903" s="64" t="str">
        <f ca="1">IF(NOTA[[#This Row],[ID_H]]="","",IF(NOTA[[#This Row],[FAKTUR]]="",INDIRECT(ADDRESS(ROW()-1,COLUMN())),NOTA[[#This Row],[FAKTUR]]))</f>
        <v>ARTO MORO</v>
      </c>
      <c r="AJ903" s="66" t="str">
        <f ca="1">IF(NOTA[[#This Row],[ID]]="","",COUNTIF(NOTA[ID_H],NOTA[[#This Row],[ID_H]]))</f>
        <v/>
      </c>
      <c r="AK903" s="66">
        <f ca="1">IF(NOTA[[#This Row],[TGL.NOTA]]="",IF(NOTA[[#This Row],[SUPPLIER_H]]="","",AK902),MONTH(NOTA[[#This Row],[TGL.NOTA]]))</f>
        <v>5</v>
      </c>
      <c r="AL903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M9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N9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O9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66" t="str">
        <f>IF(NOTA[[#This Row],[CONCAT4]]="","",_xlfn.IFNA(MATCH(NOTA[[#This Row],[CONCAT4]],[2]!RAW[CONCAT_H],0),FALSE))</f>
        <v/>
      </c>
      <c r="AQ903" s="66">
        <f>IF(NOTA[[#This Row],[CONCAT1]]="","",MATCH(NOTA[[#This Row],[CONCAT1]],[3]!db[NB NOTA_C],0)+1)</f>
        <v>558</v>
      </c>
    </row>
    <row r="904" spans="1:43" ht="20.100000000000001" customHeight="1" x14ac:dyDescent="0.25">
      <c r="A9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66" t="str">
        <f>IF(NOTA[[#This Row],[ID_P]]="","",MATCH(NOTA[[#This Row],[ID_P]],[1]!B_MSK[N_ID],0))</f>
        <v/>
      </c>
      <c r="D904" s="66">
        <f ca="1">IF(NOTA[[#This Row],[NAMA BARANG]]="","",INDEX(NOTA[ID],MATCH(,INDIRECT(ADDRESS(ROW(NOTA[ID]),COLUMN(NOTA[ID]))&amp;":"&amp;ADDRESS(ROW(),COLUMN(NOTA[ID]))),-1)))</f>
        <v>157</v>
      </c>
      <c r="E904" s="113"/>
      <c r="H904" s="54"/>
      <c r="L904" s="27" t="s">
        <v>1091</v>
      </c>
      <c r="M904" s="114">
        <v>2</v>
      </c>
      <c r="N904" s="66">
        <v>96</v>
      </c>
      <c r="O904" s="27" t="s">
        <v>146</v>
      </c>
      <c r="P904" s="64">
        <v>36000</v>
      </c>
      <c r="Q904" s="79"/>
      <c r="R904" s="42"/>
      <c r="S904" s="80">
        <v>0.125</v>
      </c>
      <c r="T904" s="115">
        <v>0.05</v>
      </c>
      <c r="U904" s="52"/>
      <c r="V904" s="77"/>
      <c r="W904" s="52">
        <f>IF(NOTA[[#This Row],[HARGA/ CTN]]="",NOTA[[#This Row],[JUMLAH_H]],NOTA[[#This Row],[HARGA/ CTN]]*IF(NOTA[[#This Row],[C]]="",0,NOTA[[#This Row],[C]]))</f>
        <v>3456000</v>
      </c>
      <c r="X904" s="52">
        <f>IF(NOTA[[#This Row],[JUMLAH]]="","",NOTA[[#This Row],[JUMLAH]]*NOTA[[#This Row],[DISC 1]])</f>
        <v>432000</v>
      </c>
      <c r="Y904" s="52">
        <f>IF(NOTA[[#This Row],[JUMLAH]]="","",(NOTA[[#This Row],[JUMLAH]]-NOTA[[#This Row],[DISC 1-]])*NOTA[[#This Row],[DISC 2]])</f>
        <v>151200</v>
      </c>
      <c r="Z904" s="52">
        <f>IF(NOTA[[#This Row],[JUMLAH]]="","",NOTA[[#This Row],[DISC 1-]]+NOTA[[#This Row],[DISC 2-]])</f>
        <v>583200</v>
      </c>
      <c r="AA904" s="52">
        <f>IF(NOTA[[#This Row],[JUMLAH]]="","",NOTA[[#This Row],[JUMLAH]]-NOTA[[#This Row],[DISC]])</f>
        <v>2872800</v>
      </c>
      <c r="AB904" s="52"/>
      <c r="AC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64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904" s="203">
        <f>IF(OR(NOTA[[#This Row],[QTY]]="",NOTA[[#This Row],[HARGA SATUAN]]="",),"",NOTA[[#This Row],[QTY]]*NOTA[[#This Row],[HARGA SATUAN]])</f>
        <v>3456000</v>
      </c>
      <c r="AG904" s="53">
        <f ca="1">IF(NOTA[ID_H]="","",INDEX(NOTA[TANGGAL],MATCH(,INDIRECT(ADDRESS(ROW(NOTA[TANGGAL]),COLUMN(NOTA[TANGGAL]))&amp;":"&amp;ADDRESS(ROW(),COLUMN(NOTA[TANGGAL]))),-1)))</f>
        <v>45073</v>
      </c>
      <c r="AH904" s="64" t="str">
        <f ca="1">IF(NOTA[[#This Row],[NAMA BARANG]]="","",INDEX(NOTA[SUPPLIER],MATCH(,INDIRECT(ADDRESS(ROW(NOTA[ID]),COLUMN(NOTA[ID]))&amp;":"&amp;ADDRESS(ROW(),COLUMN(NOTA[ID]))),-1)))</f>
        <v>ATALI MAKMUR</v>
      </c>
      <c r="AI904" s="64" t="str">
        <f ca="1">IF(NOTA[[#This Row],[ID_H]]="","",IF(NOTA[[#This Row],[FAKTUR]]="",INDIRECT(ADDRESS(ROW()-1,COLUMN())),NOTA[[#This Row],[FAKTUR]]))</f>
        <v>ARTO MORO</v>
      </c>
      <c r="AJ904" s="66" t="str">
        <f ca="1">IF(NOTA[[#This Row],[ID]]="","",COUNTIF(NOTA[ID_H],NOTA[[#This Row],[ID_H]]))</f>
        <v/>
      </c>
      <c r="AK904" s="66">
        <f ca="1">IF(NOTA[[#This Row],[TGL.NOTA]]="",IF(NOTA[[#This Row],[SUPPLIER_H]]="","",AK903),MONTH(NOTA[[#This Row],[TGL.NOTA]]))</f>
        <v>5</v>
      </c>
      <c r="AL904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M9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N9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O9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66" t="str">
        <f>IF(NOTA[[#This Row],[CONCAT4]]="","",_xlfn.IFNA(MATCH(NOTA[[#This Row],[CONCAT4]],[2]!RAW[CONCAT_H],0),FALSE))</f>
        <v/>
      </c>
      <c r="AQ904" s="66">
        <f>IF(NOTA[[#This Row],[CONCAT1]]="","",MATCH(NOTA[[#This Row],[CONCAT1]],[3]!db[NB NOTA_C],0)+1)</f>
        <v>556</v>
      </c>
    </row>
    <row r="905" spans="1:43" ht="20.100000000000001" customHeight="1" x14ac:dyDescent="0.25">
      <c r="A9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66" t="str">
        <f>IF(NOTA[[#This Row],[ID_P]]="","",MATCH(NOTA[[#This Row],[ID_P]],[1]!B_MSK[N_ID],0))</f>
        <v/>
      </c>
      <c r="D905" s="66">
        <f ca="1">IF(NOTA[[#This Row],[NAMA BARANG]]="","",INDEX(NOTA[ID],MATCH(,INDIRECT(ADDRESS(ROW(NOTA[ID]),COLUMN(NOTA[ID]))&amp;":"&amp;ADDRESS(ROW(),COLUMN(NOTA[ID]))),-1)))</f>
        <v>157</v>
      </c>
      <c r="E905" s="113"/>
      <c r="H905" s="54"/>
      <c r="L905" s="27" t="s">
        <v>1092</v>
      </c>
      <c r="N905" s="66">
        <v>24</v>
      </c>
      <c r="O905" s="27" t="s">
        <v>146</v>
      </c>
      <c r="P905" s="64">
        <v>13200</v>
      </c>
      <c r="Q905" s="79"/>
      <c r="R905" s="42"/>
      <c r="S905" s="80">
        <v>0.1</v>
      </c>
      <c r="T905" s="115">
        <v>0.05</v>
      </c>
      <c r="U905" s="52">
        <v>270864</v>
      </c>
      <c r="V905" s="77"/>
      <c r="W905" s="52">
        <f>IF(NOTA[[#This Row],[HARGA/ CTN]]="",NOTA[[#This Row],[JUMLAH_H]],NOTA[[#This Row],[HARGA/ CTN]]*IF(NOTA[[#This Row],[C]]="",0,NOTA[[#This Row],[C]]))</f>
        <v>316800</v>
      </c>
      <c r="X905" s="52">
        <f>IF(NOTA[[#This Row],[JUMLAH]]="","",NOTA[[#This Row],[JUMLAH]]*NOTA[[#This Row],[DISC 1]])</f>
        <v>31680</v>
      </c>
      <c r="Y905" s="52">
        <f>IF(NOTA[[#This Row],[JUMLAH]]="","",(NOTA[[#This Row],[JUMLAH]]-NOTA[[#This Row],[DISC 1-]])*NOTA[[#This Row],[DISC 2]])</f>
        <v>14256</v>
      </c>
      <c r="Z905" s="52">
        <f>IF(NOTA[[#This Row],[JUMLAH]]="","",NOTA[[#This Row],[DISC 1-]]+NOTA[[#This Row],[DISC 2-]])</f>
        <v>45936</v>
      </c>
      <c r="AA905" s="52">
        <f>IF(NOTA[[#This Row],[JUMLAH]]="","",NOTA[[#This Row],[JUMLAH]]-NOTA[[#This Row],[DISC]])</f>
        <v>270864</v>
      </c>
      <c r="AB905" s="52"/>
      <c r="AC90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8203905</v>
      </c>
      <c r="AD90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38851295</v>
      </c>
      <c r="AE905" s="64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905" s="203">
        <f>IF(OR(NOTA[[#This Row],[QTY]]="",NOTA[[#This Row],[HARGA SATUAN]]="",),"",NOTA[[#This Row],[QTY]]*NOTA[[#This Row],[HARGA SATUAN]])</f>
        <v>316800</v>
      </c>
      <c r="AG905" s="53">
        <f ca="1">IF(NOTA[ID_H]="","",INDEX(NOTA[TANGGAL],MATCH(,INDIRECT(ADDRESS(ROW(NOTA[TANGGAL]),COLUMN(NOTA[TANGGAL]))&amp;":"&amp;ADDRESS(ROW(),COLUMN(NOTA[TANGGAL]))),-1)))</f>
        <v>45073</v>
      </c>
      <c r="AH905" s="64" t="str">
        <f ca="1">IF(NOTA[[#This Row],[NAMA BARANG]]="","",INDEX(NOTA[SUPPLIER],MATCH(,INDIRECT(ADDRESS(ROW(NOTA[ID]),COLUMN(NOTA[ID]))&amp;":"&amp;ADDRESS(ROW(),COLUMN(NOTA[ID]))),-1)))</f>
        <v>ATALI MAKMUR</v>
      </c>
      <c r="AI905" s="64" t="str">
        <f ca="1">IF(NOTA[[#This Row],[ID_H]]="","",IF(NOTA[[#This Row],[FAKTUR]]="",INDIRECT(ADDRESS(ROW()-1,COLUMN())),NOTA[[#This Row],[FAKTUR]]))</f>
        <v>ARTO MORO</v>
      </c>
      <c r="AJ905" s="66" t="str">
        <f ca="1">IF(NOTA[[#This Row],[ID]]="","",COUNTIF(NOTA[ID_H],NOTA[[#This Row],[ID_H]]))</f>
        <v/>
      </c>
      <c r="AK905" s="66">
        <f ca="1">IF(NOTA[[#This Row],[TGL.NOTA]]="",IF(NOTA[[#This Row],[SUPPLIER_H]]="","",AK904),MONTH(NOTA[[#This Row],[TGL.NOTA]]))</f>
        <v>5</v>
      </c>
      <c r="AL90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M9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N9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O9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66" t="str">
        <f>IF(NOTA[[#This Row],[CONCAT4]]="","",_xlfn.IFNA(MATCH(NOTA[[#This Row],[CONCAT4]],[2]!RAW[CONCAT_H],0),FALSE))</f>
        <v/>
      </c>
      <c r="AQ905" s="66">
        <f>IF(NOTA[[#This Row],[CONCAT1]]="","",MATCH(NOTA[[#This Row],[CONCAT1]],[3]!db[NB NOTA_C],0)+1)</f>
        <v>93</v>
      </c>
    </row>
    <row r="906" spans="1:43" ht="20.100000000000001" customHeight="1" x14ac:dyDescent="0.25">
      <c r="A9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66" t="str">
        <f>IF(NOTA[[#This Row],[ID_P]]="","",MATCH(NOTA[[#This Row],[ID_P]],[1]!B_MSK[N_ID],0))</f>
        <v/>
      </c>
      <c r="D906" s="66" t="str">
        <f ca="1">IF(NOTA[[#This Row],[NAMA BARANG]]="","",INDEX(NOTA[ID],MATCH(,INDIRECT(ADDRESS(ROW(NOTA[ID]),COLUMN(NOTA[ID]))&amp;":"&amp;ADDRESS(ROW(),COLUMN(NOTA[ID]))),-1)))</f>
        <v/>
      </c>
      <c r="E906" s="113"/>
      <c r="H906" s="54"/>
      <c r="N906" s="66"/>
      <c r="Q906" s="79"/>
      <c r="R906" s="42"/>
      <c r="S906" s="80"/>
      <c r="U906" s="52"/>
      <c r="V906" s="77"/>
      <c r="W906" s="52" t="str">
        <f>IF(NOTA[[#This Row],[HARGA/ CTN]]="",NOTA[[#This Row],[JUMLAH_H]],NOTA[[#This Row],[HARGA/ CTN]]*IF(NOTA[[#This Row],[C]]="",0,NOTA[[#This Row],[C]]))</f>
        <v/>
      </c>
      <c r="X906" s="52" t="str">
        <f>IF(NOTA[[#This Row],[JUMLAH]]="","",NOTA[[#This Row],[JUMLAH]]*NOTA[[#This Row],[DISC 1]])</f>
        <v/>
      </c>
      <c r="Y906" s="52" t="str">
        <f>IF(NOTA[[#This Row],[JUMLAH]]="","",(NOTA[[#This Row],[JUMLAH]]-NOTA[[#This Row],[DISC 1-]])*NOTA[[#This Row],[DISC 2]])</f>
        <v/>
      </c>
      <c r="Z906" s="52" t="str">
        <f>IF(NOTA[[#This Row],[JUMLAH]]="","",NOTA[[#This Row],[DISC 1-]]+NOTA[[#This Row],[DISC 2-]])</f>
        <v/>
      </c>
      <c r="AA906" s="52" t="str">
        <f>IF(NOTA[[#This Row],[JUMLAH]]="","",NOTA[[#This Row],[JUMLAH]]-NOTA[[#This Row],[DISC]])</f>
        <v/>
      </c>
      <c r="AB906" s="52"/>
      <c r="AC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203" t="str">
        <f>IF(OR(NOTA[[#This Row],[QTY]]="",NOTA[[#This Row],[HARGA SATUAN]]="",),"",NOTA[[#This Row],[QTY]]*NOTA[[#This Row],[HARGA SATUAN]])</f>
        <v/>
      </c>
      <c r="AG906" s="53" t="str">
        <f ca="1">IF(NOTA[ID_H]="","",INDEX(NOTA[TANGGAL],MATCH(,INDIRECT(ADDRESS(ROW(NOTA[TANGGAL]),COLUMN(NOTA[TANGGAL]))&amp;":"&amp;ADDRESS(ROW(),COLUMN(NOTA[TANGGAL]))),-1)))</f>
        <v/>
      </c>
      <c r="AH906" s="64" t="str">
        <f ca="1">IF(NOTA[[#This Row],[NAMA BARANG]]="","",INDEX(NOTA[SUPPLIER],MATCH(,INDIRECT(ADDRESS(ROW(NOTA[ID]),COLUMN(NOTA[ID]))&amp;":"&amp;ADDRESS(ROW(),COLUMN(NOTA[ID]))),-1)))</f>
        <v/>
      </c>
      <c r="AI906" s="64" t="str">
        <f ca="1">IF(NOTA[[#This Row],[ID_H]]="","",IF(NOTA[[#This Row],[FAKTUR]]="",INDIRECT(ADDRESS(ROW()-1,COLUMN())),NOTA[[#This Row],[FAKTUR]]))</f>
        <v/>
      </c>
      <c r="AJ906" s="66" t="str">
        <f ca="1">IF(NOTA[[#This Row],[ID]]="","",COUNTIF(NOTA[ID_H],NOTA[[#This Row],[ID_H]]))</f>
        <v/>
      </c>
      <c r="AK906" s="66" t="str">
        <f ca="1">IF(NOTA[[#This Row],[TGL.NOTA]]="",IF(NOTA[[#This Row],[SUPPLIER_H]]="","",AK905),MONTH(NOTA[[#This Row],[TGL.NOTA]]))</f>
        <v/>
      </c>
      <c r="AL906" s="66" t="str">
        <f>LOWER(SUBSTITUTE(SUBSTITUTE(SUBSTITUTE(SUBSTITUTE(SUBSTITUTE(SUBSTITUTE(SUBSTITUTE(SUBSTITUTE(SUBSTITUTE(NOTA[NAMA BARANG]," ",),".",""),"-",""),"(",""),")",""),",",""),"/",""),"""",""),"+",""))</f>
        <v/>
      </c>
      <c r="AM9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66" t="str">
        <f>IF(NOTA[[#This Row],[CONCAT4]]="","",_xlfn.IFNA(MATCH(NOTA[[#This Row],[CONCAT4]],[2]!RAW[CONCAT_H],0),FALSE))</f>
        <v/>
      </c>
      <c r="AQ906" s="66" t="str">
        <f>IF(NOTA[[#This Row],[CONCAT1]]="","",MATCH(NOTA[[#This Row],[CONCAT1]],[3]!db[NB NOTA_C],0)+1)</f>
        <v/>
      </c>
    </row>
    <row r="907" spans="1:43" ht="20.100000000000001" customHeight="1" x14ac:dyDescent="0.25">
      <c r="A907" s="64">
        <f ca="1">IF(INDIRECT(ADDRESS(ROW()-1,COLUMN(NOTA[[#Headers],[ID]])))="ID",1,IF(NOTA[[#This Row],[FAKTUR]]="","",COUNT(INDIRECT(ADDRESS(ROW(NOTA[ID]),COLUMN(NOTA[ID]))&amp;":"&amp;ADDRESS(ROW()-1,COLUMN(NOTA[ID]))))+1))</f>
        <v>158</v>
      </c>
      <c r="B90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ATA_2705_113-8</v>
      </c>
      <c r="C907" s="66" t="e">
        <f ca="1">IF(NOTA[[#This Row],[ID_P]]="","",MATCH(NOTA[[#This Row],[ID_P]],[1]!B_MSK[N_ID],0))</f>
        <v>#REF!</v>
      </c>
      <c r="D907" s="66">
        <f ca="1">IF(NOTA[[#This Row],[NAMA BARANG]]="","",INDEX(NOTA[ID],MATCH(,INDIRECT(ADDRESS(ROW(NOTA[ID]),COLUMN(NOTA[ID]))&amp;":"&amp;ADDRESS(ROW(),COLUMN(NOTA[ID]))),-1)))</f>
        <v>158</v>
      </c>
      <c r="E907" s="113"/>
      <c r="F907" s="27" t="s">
        <v>25</v>
      </c>
      <c r="G907" s="27" t="s">
        <v>24</v>
      </c>
      <c r="H907" s="54" t="s">
        <v>1094</v>
      </c>
      <c r="J907" s="53">
        <v>45068</v>
      </c>
      <c r="L907" s="27" t="s">
        <v>1095</v>
      </c>
      <c r="M907" s="114">
        <v>5</v>
      </c>
      <c r="N907" s="66">
        <v>720</v>
      </c>
      <c r="O907" s="27" t="s">
        <v>252</v>
      </c>
      <c r="P907" s="64">
        <v>11600</v>
      </c>
      <c r="Q907" s="79"/>
      <c r="R907" s="42"/>
      <c r="S907" s="80">
        <v>0.125</v>
      </c>
      <c r="T907" s="115">
        <v>0.05</v>
      </c>
      <c r="U907" s="52"/>
      <c r="V907" s="77"/>
      <c r="W907" s="52">
        <f>IF(NOTA[[#This Row],[HARGA/ CTN]]="",NOTA[[#This Row],[JUMLAH_H]],NOTA[[#This Row],[HARGA/ CTN]]*IF(NOTA[[#This Row],[C]]="",0,NOTA[[#This Row],[C]]))</f>
        <v>8352000</v>
      </c>
      <c r="X907" s="52">
        <f>IF(NOTA[[#This Row],[JUMLAH]]="","",NOTA[[#This Row],[JUMLAH]]*NOTA[[#This Row],[DISC 1]])</f>
        <v>1044000</v>
      </c>
      <c r="Y907" s="52">
        <f>IF(NOTA[[#This Row],[JUMLAH]]="","",(NOTA[[#This Row],[JUMLAH]]-NOTA[[#This Row],[DISC 1-]])*NOTA[[#This Row],[DISC 2]])</f>
        <v>365400</v>
      </c>
      <c r="Z907" s="52">
        <f>IF(NOTA[[#This Row],[JUMLAH]]="","",NOTA[[#This Row],[DISC 1-]]+NOTA[[#This Row],[DISC 2-]])</f>
        <v>1409400</v>
      </c>
      <c r="AA907" s="52">
        <f>IF(NOTA[[#This Row],[JUMLAH]]="","",NOTA[[#This Row],[JUMLAH]]-NOTA[[#This Row],[DISC]])</f>
        <v>6942600</v>
      </c>
      <c r="AB907" s="52"/>
      <c r="AC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64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907" s="203">
        <f>IF(OR(NOTA[[#This Row],[QTY]]="",NOTA[[#This Row],[HARGA SATUAN]]="",),"",NOTA[[#This Row],[QTY]]*NOTA[[#This Row],[HARGA SATUAN]])</f>
        <v>8352000</v>
      </c>
      <c r="AG907" s="53">
        <f ca="1">IF(NOTA[ID_H]="","",INDEX(NOTA[TANGGAL],MATCH(,INDIRECT(ADDRESS(ROW(NOTA[TANGGAL]),COLUMN(NOTA[TANGGAL]))&amp;":"&amp;ADDRESS(ROW(),COLUMN(NOTA[TANGGAL]))),-1)))</f>
        <v>45073</v>
      </c>
      <c r="AH907" s="64" t="str">
        <f ca="1">IF(NOTA[[#This Row],[NAMA BARANG]]="","",INDEX(NOTA[SUPPLIER],MATCH(,INDIRECT(ADDRESS(ROW(NOTA[ID]),COLUMN(NOTA[ID]))&amp;":"&amp;ADDRESS(ROW(),COLUMN(NOTA[ID]))),-1)))</f>
        <v>ATALI MAKMUR</v>
      </c>
      <c r="AI907" s="64" t="str">
        <f ca="1">IF(NOTA[[#This Row],[ID_H]]="","",IF(NOTA[[#This Row],[FAKTUR]]="",INDIRECT(ADDRESS(ROW()-1,COLUMN())),NOTA[[#This Row],[FAKTUR]]))</f>
        <v>ARTO MORO</v>
      </c>
      <c r="AJ907" s="66">
        <f ca="1">IF(NOTA[[#This Row],[ID]]="","",COUNTIF(NOTA[ID_H],NOTA[[#This Row],[ID_H]]))</f>
        <v>8</v>
      </c>
      <c r="AK907" s="66">
        <f>IF(NOTA[[#This Row],[TGL.NOTA]]="",IF(NOTA[[#This Row],[SUPPLIER_H]]="","",AK906),MONTH(NOTA[[#This Row],[TGL.NOTA]]))</f>
        <v>5</v>
      </c>
      <c r="AL907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M9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N9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90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MOROSA23050811345068oilpastelop12chccompactjk</v>
      </c>
      <c r="AP907" s="66" t="e">
        <f>IF(NOTA[[#This Row],[CONCAT4]]="","",_xlfn.IFNA(MATCH(NOTA[[#This Row],[CONCAT4]],[2]!RAW[CONCAT_H],0),FALSE))</f>
        <v>#REF!</v>
      </c>
      <c r="AQ907" s="66">
        <f>IF(NOTA[[#This Row],[CONCAT1]]="","",MATCH(NOTA[[#This Row],[CONCAT1]],[3]!db[NB NOTA_C],0)+1)</f>
        <v>1702</v>
      </c>
    </row>
    <row r="908" spans="1:43" ht="20.100000000000001" customHeight="1" x14ac:dyDescent="0.25">
      <c r="A9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66" t="str">
        <f>IF(NOTA[[#This Row],[ID_P]]="","",MATCH(NOTA[[#This Row],[ID_P]],[1]!B_MSK[N_ID],0))</f>
        <v/>
      </c>
      <c r="D908" s="66">
        <f ca="1">IF(NOTA[[#This Row],[NAMA BARANG]]="","",INDEX(NOTA[ID],MATCH(,INDIRECT(ADDRESS(ROW(NOTA[ID]),COLUMN(NOTA[ID]))&amp;":"&amp;ADDRESS(ROW(),COLUMN(NOTA[ID]))),-1)))</f>
        <v>158</v>
      </c>
      <c r="E908" s="113"/>
      <c r="H908" s="54"/>
      <c r="L908" s="27" t="s">
        <v>881</v>
      </c>
      <c r="M908" s="114">
        <v>5</v>
      </c>
      <c r="N908" s="66">
        <v>720</v>
      </c>
      <c r="O908" s="27" t="s">
        <v>252</v>
      </c>
      <c r="P908" s="64">
        <v>11900</v>
      </c>
      <c r="Q908" s="79"/>
      <c r="R908" s="42"/>
      <c r="S908" s="80">
        <v>0.125</v>
      </c>
      <c r="T908" s="115">
        <v>0.05</v>
      </c>
      <c r="U908" s="52"/>
      <c r="V908" s="77"/>
      <c r="W908" s="52">
        <f>IF(NOTA[[#This Row],[HARGA/ CTN]]="",NOTA[[#This Row],[JUMLAH_H]],NOTA[[#This Row],[HARGA/ CTN]]*IF(NOTA[[#This Row],[C]]="",0,NOTA[[#This Row],[C]]))</f>
        <v>8568000</v>
      </c>
      <c r="X908" s="52">
        <f>IF(NOTA[[#This Row],[JUMLAH]]="","",NOTA[[#This Row],[JUMLAH]]*NOTA[[#This Row],[DISC 1]])</f>
        <v>1071000</v>
      </c>
      <c r="Y908" s="52">
        <f>IF(NOTA[[#This Row],[JUMLAH]]="","",(NOTA[[#This Row],[JUMLAH]]-NOTA[[#This Row],[DISC 1-]])*NOTA[[#This Row],[DISC 2]])</f>
        <v>374850</v>
      </c>
      <c r="Z908" s="52">
        <f>IF(NOTA[[#This Row],[JUMLAH]]="","",NOTA[[#This Row],[DISC 1-]]+NOTA[[#This Row],[DISC 2-]])</f>
        <v>1445850</v>
      </c>
      <c r="AA908" s="52">
        <f>IF(NOTA[[#This Row],[JUMLAH]]="","",NOTA[[#This Row],[JUMLAH]]-NOTA[[#This Row],[DISC]])</f>
        <v>7122150</v>
      </c>
      <c r="AB908" s="52"/>
      <c r="AC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08" s="203">
        <f>IF(OR(NOTA[[#This Row],[QTY]]="",NOTA[[#This Row],[HARGA SATUAN]]="",),"",NOTA[[#This Row],[QTY]]*NOTA[[#This Row],[HARGA SATUAN]])</f>
        <v>8568000</v>
      </c>
      <c r="AG908" s="53">
        <f ca="1">IF(NOTA[ID_H]="","",INDEX(NOTA[TANGGAL],MATCH(,INDIRECT(ADDRESS(ROW(NOTA[TANGGAL]),COLUMN(NOTA[TANGGAL]))&amp;":"&amp;ADDRESS(ROW(),COLUMN(NOTA[TANGGAL]))),-1)))</f>
        <v>45073</v>
      </c>
      <c r="AH908" s="64" t="str">
        <f ca="1">IF(NOTA[[#This Row],[NAMA BARANG]]="","",INDEX(NOTA[SUPPLIER],MATCH(,INDIRECT(ADDRESS(ROW(NOTA[ID]),COLUMN(NOTA[ID]))&amp;":"&amp;ADDRESS(ROW(),COLUMN(NOTA[ID]))),-1)))</f>
        <v>ATALI MAKMUR</v>
      </c>
      <c r="AI908" s="64" t="str">
        <f ca="1">IF(NOTA[[#This Row],[ID_H]]="","",IF(NOTA[[#This Row],[FAKTUR]]="",INDIRECT(ADDRESS(ROW()-1,COLUMN())),NOTA[[#This Row],[FAKTUR]]))</f>
        <v>ARTO MORO</v>
      </c>
      <c r="AJ908" s="66" t="str">
        <f ca="1">IF(NOTA[[#This Row],[ID]]="","",COUNTIF(NOTA[ID_H],NOTA[[#This Row],[ID_H]]))</f>
        <v/>
      </c>
      <c r="AK908" s="66">
        <f ca="1">IF(NOTA[[#This Row],[TGL.NOTA]]="",IF(NOTA[[#This Row],[SUPPLIER_H]]="","",AK907),MONTH(NOTA[[#This Row],[TGL.NOTA]]))</f>
        <v>5</v>
      </c>
      <c r="AL908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9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9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66" t="str">
        <f>IF(NOTA[[#This Row],[CONCAT4]]="","",_xlfn.IFNA(MATCH(NOTA[[#This Row],[CONCAT4]],[2]!RAW[CONCAT_H],0),FALSE))</f>
        <v/>
      </c>
      <c r="AQ908" s="66">
        <f>IF(NOTA[[#This Row],[CONCAT1]]="","",MATCH(NOTA[[#This Row],[CONCAT1]],[3]!db[NB NOTA_C],0)+1)</f>
        <v>1704</v>
      </c>
    </row>
    <row r="909" spans="1:43" ht="20.100000000000001" customHeight="1" x14ac:dyDescent="0.25">
      <c r="A9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66" t="str">
        <f>IF(NOTA[[#This Row],[ID_P]]="","",MATCH(NOTA[[#This Row],[ID_P]],[1]!B_MSK[N_ID],0))</f>
        <v/>
      </c>
      <c r="D909" s="66">
        <f ca="1">IF(NOTA[[#This Row],[NAMA BARANG]]="","",INDEX(NOTA[ID],MATCH(,INDIRECT(ADDRESS(ROW(NOTA[ID]),COLUMN(NOTA[ID]))&amp;":"&amp;ADDRESS(ROW(),COLUMN(NOTA[ID]))),-1)))</f>
        <v>158</v>
      </c>
      <c r="E909" s="113"/>
      <c r="H909" s="54"/>
      <c r="L909" s="27" t="s">
        <v>1096</v>
      </c>
      <c r="M909" s="114">
        <v>5</v>
      </c>
      <c r="N909" s="66">
        <v>360</v>
      </c>
      <c r="O909" s="27" t="s">
        <v>252</v>
      </c>
      <c r="P909" s="64">
        <v>23000</v>
      </c>
      <c r="Q909" s="79"/>
      <c r="R909" s="42"/>
      <c r="S909" s="80">
        <v>0.125</v>
      </c>
      <c r="T909" s="115">
        <v>0.05</v>
      </c>
      <c r="U909" s="52"/>
      <c r="V909" s="77"/>
      <c r="W909" s="52">
        <f>IF(NOTA[[#This Row],[HARGA/ CTN]]="",NOTA[[#This Row],[JUMLAH_H]],NOTA[[#This Row],[HARGA/ CTN]]*IF(NOTA[[#This Row],[C]]="",0,NOTA[[#This Row],[C]]))</f>
        <v>8280000</v>
      </c>
      <c r="X909" s="52">
        <f>IF(NOTA[[#This Row],[JUMLAH]]="","",NOTA[[#This Row],[JUMLAH]]*NOTA[[#This Row],[DISC 1]])</f>
        <v>1035000</v>
      </c>
      <c r="Y909" s="52">
        <f>IF(NOTA[[#This Row],[JUMLAH]]="","",(NOTA[[#This Row],[JUMLAH]]-NOTA[[#This Row],[DISC 1-]])*NOTA[[#This Row],[DISC 2]])</f>
        <v>362250</v>
      </c>
      <c r="Z909" s="52">
        <f>IF(NOTA[[#This Row],[JUMLAH]]="","",NOTA[[#This Row],[DISC 1-]]+NOTA[[#This Row],[DISC 2-]])</f>
        <v>1397250</v>
      </c>
      <c r="AA909" s="52">
        <f>IF(NOTA[[#This Row],[JUMLAH]]="","",NOTA[[#This Row],[JUMLAH]]-NOTA[[#This Row],[DISC]])</f>
        <v>6882750</v>
      </c>
      <c r="AB909" s="52"/>
      <c r="AC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09" s="203">
        <f>IF(OR(NOTA[[#This Row],[QTY]]="",NOTA[[#This Row],[HARGA SATUAN]]="",),"",NOTA[[#This Row],[QTY]]*NOTA[[#This Row],[HARGA SATUAN]])</f>
        <v>8280000</v>
      </c>
      <c r="AG909" s="53">
        <f ca="1">IF(NOTA[ID_H]="","",INDEX(NOTA[TANGGAL],MATCH(,INDIRECT(ADDRESS(ROW(NOTA[TANGGAL]),COLUMN(NOTA[TANGGAL]))&amp;":"&amp;ADDRESS(ROW(),COLUMN(NOTA[TANGGAL]))),-1)))</f>
        <v>45073</v>
      </c>
      <c r="AH909" s="64" t="str">
        <f ca="1">IF(NOTA[[#This Row],[NAMA BARANG]]="","",INDEX(NOTA[SUPPLIER],MATCH(,INDIRECT(ADDRESS(ROW(NOTA[ID]),COLUMN(NOTA[ID]))&amp;":"&amp;ADDRESS(ROW(),COLUMN(NOTA[ID]))),-1)))</f>
        <v>ATALI MAKMUR</v>
      </c>
      <c r="AI909" s="64" t="str">
        <f ca="1">IF(NOTA[[#This Row],[ID_H]]="","",IF(NOTA[[#This Row],[FAKTUR]]="",INDIRECT(ADDRESS(ROW()-1,COLUMN())),NOTA[[#This Row],[FAKTUR]]))</f>
        <v>ARTO MORO</v>
      </c>
      <c r="AJ909" s="66" t="str">
        <f ca="1">IF(NOTA[[#This Row],[ID]]="","",COUNTIF(NOTA[ID_H],NOTA[[#This Row],[ID_H]]))</f>
        <v/>
      </c>
      <c r="AK909" s="66">
        <f ca="1">IF(NOTA[[#This Row],[TGL.NOTA]]="",IF(NOTA[[#This Row],[SUPPLIER_H]]="","",AK908),MONTH(NOTA[[#This Row],[TGL.NOTA]]))</f>
        <v>5</v>
      </c>
      <c r="AL909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66" t="str">
        <f>IF(NOTA[[#This Row],[CONCAT4]]="","",_xlfn.IFNA(MATCH(NOTA[[#This Row],[CONCAT4]],[2]!RAW[CONCAT_H],0),FALSE))</f>
        <v/>
      </c>
      <c r="AQ909" s="66">
        <f>IF(NOTA[[#This Row],[CONCAT1]]="","",MATCH(NOTA[[#This Row],[CONCAT1]],[3]!db[NB NOTA_C],0)+1)</f>
        <v>1705</v>
      </c>
    </row>
    <row r="910" spans="1:43" ht="20.100000000000001" customHeight="1" x14ac:dyDescent="0.25">
      <c r="A9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66" t="str">
        <f>IF(NOTA[[#This Row],[ID_P]]="","",MATCH(NOTA[[#This Row],[ID_P]],[1]!B_MSK[N_ID],0))</f>
        <v/>
      </c>
      <c r="D910" s="66">
        <f ca="1">IF(NOTA[[#This Row],[NAMA BARANG]]="","",INDEX(NOTA[ID],MATCH(,INDIRECT(ADDRESS(ROW(NOTA[ID]),COLUMN(NOTA[ID]))&amp;":"&amp;ADDRESS(ROW(),COLUMN(NOTA[ID]))),-1)))</f>
        <v>158</v>
      </c>
      <c r="E910" s="113"/>
      <c r="H910" s="54"/>
      <c r="L910" s="27" t="s">
        <v>1097</v>
      </c>
      <c r="M910" s="114">
        <v>5</v>
      </c>
      <c r="N910" s="66">
        <v>240</v>
      </c>
      <c r="O910" s="27" t="s">
        <v>252</v>
      </c>
      <c r="P910" s="64">
        <v>29600</v>
      </c>
      <c r="Q910" s="79"/>
      <c r="R910" s="42"/>
      <c r="S910" s="80">
        <v>0.125</v>
      </c>
      <c r="T910" s="115">
        <v>0.05</v>
      </c>
      <c r="U910" s="52"/>
      <c r="V910" s="77"/>
      <c r="W910" s="52">
        <f>IF(NOTA[[#This Row],[HARGA/ CTN]]="",NOTA[[#This Row],[JUMLAH_H]],NOTA[[#This Row],[HARGA/ CTN]]*IF(NOTA[[#This Row],[C]]="",0,NOTA[[#This Row],[C]]))</f>
        <v>7104000</v>
      </c>
      <c r="X910" s="52">
        <f>IF(NOTA[[#This Row],[JUMLAH]]="","",NOTA[[#This Row],[JUMLAH]]*NOTA[[#This Row],[DISC 1]])</f>
        <v>888000</v>
      </c>
      <c r="Y910" s="52">
        <f>IF(NOTA[[#This Row],[JUMLAH]]="","",(NOTA[[#This Row],[JUMLAH]]-NOTA[[#This Row],[DISC 1-]])*NOTA[[#This Row],[DISC 2]])</f>
        <v>310800</v>
      </c>
      <c r="Z910" s="52">
        <f>IF(NOTA[[#This Row],[JUMLAH]]="","",NOTA[[#This Row],[DISC 1-]]+NOTA[[#This Row],[DISC 2-]])</f>
        <v>1198800</v>
      </c>
      <c r="AA910" s="52">
        <f>IF(NOTA[[#This Row],[JUMLAH]]="","",NOTA[[#This Row],[JUMLAH]]-NOTA[[#This Row],[DISC]])</f>
        <v>5905200</v>
      </c>
      <c r="AB910" s="52"/>
      <c r="AC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10" s="203">
        <f>IF(OR(NOTA[[#This Row],[QTY]]="",NOTA[[#This Row],[HARGA SATUAN]]="",),"",NOTA[[#This Row],[QTY]]*NOTA[[#This Row],[HARGA SATUAN]])</f>
        <v>7104000</v>
      </c>
      <c r="AG910" s="53">
        <f ca="1">IF(NOTA[ID_H]="","",INDEX(NOTA[TANGGAL],MATCH(,INDIRECT(ADDRESS(ROW(NOTA[TANGGAL]),COLUMN(NOTA[TANGGAL]))&amp;":"&amp;ADDRESS(ROW(),COLUMN(NOTA[TANGGAL]))),-1)))</f>
        <v>45073</v>
      </c>
      <c r="AH910" s="64" t="str">
        <f ca="1">IF(NOTA[[#This Row],[NAMA BARANG]]="","",INDEX(NOTA[SUPPLIER],MATCH(,INDIRECT(ADDRESS(ROW(NOTA[ID]),COLUMN(NOTA[ID]))&amp;":"&amp;ADDRESS(ROW(),COLUMN(NOTA[ID]))),-1)))</f>
        <v>ATALI MAKMUR</v>
      </c>
      <c r="AI910" s="64" t="str">
        <f ca="1">IF(NOTA[[#This Row],[ID_H]]="","",IF(NOTA[[#This Row],[FAKTUR]]="",INDIRECT(ADDRESS(ROW()-1,COLUMN())),NOTA[[#This Row],[FAKTUR]]))</f>
        <v>ARTO MORO</v>
      </c>
      <c r="AJ910" s="66" t="str">
        <f ca="1">IF(NOTA[[#This Row],[ID]]="","",COUNTIF(NOTA[ID_H],NOTA[[#This Row],[ID_H]]))</f>
        <v/>
      </c>
      <c r="AK910" s="66">
        <f ca="1">IF(NOTA[[#This Row],[TGL.NOTA]]="",IF(NOTA[[#This Row],[SUPPLIER_H]]="","",AK909),MONTH(NOTA[[#This Row],[TGL.NOTA]]))</f>
        <v>5</v>
      </c>
      <c r="AL910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66" t="str">
        <f>IF(NOTA[[#This Row],[CONCAT4]]="","",_xlfn.IFNA(MATCH(NOTA[[#This Row],[CONCAT4]],[2]!RAW[CONCAT_H],0),FALSE))</f>
        <v/>
      </c>
      <c r="AQ910" s="66">
        <f>IF(NOTA[[#This Row],[CONCAT1]]="","",MATCH(NOTA[[#This Row],[CONCAT1]],[3]!db[NB NOTA_C],0)+1)</f>
        <v>1706</v>
      </c>
    </row>
    <row r="911" spans="1:43" ht="20.100000000000001" customHeight="1" x14ac:dyDescent="0.25">
      <c r="A9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66" t="str">
        <f>IF(NOTA[[#This Row],[ID_P]]="","",MATCH(NOTA[[#This Row],[ID_P]],[1]!B_MSK[N_ID],0))</f>
        <v/>
      </c>
      <c r="D911" s="66">
        <f ca="1">IF(NOTA[[#This Row],[NAMA BARANG]]="","",INDEX(NOTA[ID],MATCH(,INDIRECT(ADDRESS(ROW(NOTA[ID]),COLUMN(NOTA[ID]))&amp;":"&amp;ADDRESS(ROW(),COLUMN(NOTA[ID]))),-1)))</f>
        <v>158</v>
      </c>
      <c r="E911" s="113"/>
      <c r="H911" s="54"/>
      <c r="L911" s="27" t="s">
        <v>1098</v>
      </c>
      <c r="M911" s="114">
        <v>5</v>
      </c>
      <c r="N911" s="66">
        <v>180</v>
      </c>
      <c r="O911" s="27" t="s">
        <v>252</v>
      </c>
      <c r="P911" s="64">
        <v>41500</v>
      </c>
      <c r="Q911" s="79"/>
      <c r="R911" s="42"/>
      <c r="S911" s="80">
        <v>0.125</v>
      </c>
      <c r="T911" s="115">
        <v>0.05</v>
      </c>
      <c r="U911" s="52"/>
      <c r="V911" s="77"/>
      <c r="W911" s="52">
        <f>IF(NOTA[[#This Row],[HARGA/ CTN]]="",NOTA[[#This Row],[JUMLAH_H]],NOTA[[#This Row],[HARGA/ CTN]]*IF(NOTA[[#This Row],[C]]="",0,NOTA[[#This Row],[C]]))</f>
        <v>7470000</v>
      </c>
      <c r="X911" s="52">
        <f>IF(NOTA[[#This Row],[JUMLAH]]="","",NOTA[[#This Row],[JUMLAH]]*NOTA[[#This Row],[DISC 1]])</f>
        <v>933750</v>
      </c>
      <c r="Y911" s="52">
        <f>IF(NOTA[[#This Row],[JUMLAH]]="","",(NOTA[[#This Row],[JUMLAH]]-NOTA[[#This Row],[DISC 1-]])*NOTA[[#This Row],[DISC 2]])</f>
        <v>326812.5</v>
      </c>
      <c r="Z911" s="52">
        <f>IF(NOTA[[#This Row],[JUMLAH]]="","",NOTA[[#This Row],[DISC 1-]]+NOTA[[#This Row],[DISC 2-]])</f>
        <v>1260562.5</v>
      </c>
      <c r="AA911" s="52">
        <f>IF(NOTA[[#This Row],[JUMLAH]]="","",NOTA[[#This Row],[JUMLAH]]-NOTA[[#This Row],[DISC]])</f>
        <v>6209437.5</v>
      </c>
      <c r="AB911" s="52"/>
      <c r="AC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11" s="203">
        <f>IF(OR(NOTA[[#This Row],[QTY]]="",NOTA[[#This Row],[HARGA SATUAN]]="",),"",NOTA[[#This Row],[QTY]]*NOTA[[#This Row],[HARGA SATUAN]])</f>
        <v>7470000</v>
      </c>
      <c r="AG911" s="53">
        <f ca="1">IF(NOTA[ID_H]="","",INDEX(NOTA[TANGGAL],MATCH(,INDIRECT(ADDRESS(ROW(NOTA[TANGGAL]),COLUMN(NOTA[TANGGAL]))&amp;":"&amp;ADDRESS(ROW(),COLUMN(NOTA[TANGGAL]))),-1)))</f>
        <v>45073</v>
      </c>
      <c r="AH911" s="64" t="str">
        <f ca="1">IF(NOTA[[#This Row],[NAMA BARANG]]="","",INDEX(NOTA[SUPPLIER],MATCH(,INDIRECT(ADDRESS(ROW(NOTA[ID]),COLUMN(NOTA[ID]))&amp;":"&amp;ADDRESS(ROW(),COLUMN(NOTA[ID]))),-1)))</f>
        <v>ATALI MAKMUR</v>
      </c>
      <c r="AI911" s="64" t="str">
        <f ca="1">IF(NOTA[[#This Row],[ID_H]]="","",IF(NOTA[[#This Row],[FAKTUR]]="",INDIRECT(ADDRESS(ROW()-1,COLUMN())),NOTA[[#This Row],[FAKTUR]]))</f>
        <v>ARTO MORO</v>
      </c>
      <c r="AJ911" s="66" t="str">
        <f ca="1">IF(NOTA[[#This Row],[ID]]="","",COUNTIF(NOTA[ID_H],NOTA[[#This Row],[ID_H]]))</f>
        <v/>
      </c>
      <c r="AK911" s="66">
        <f ca="1">IF(NOTA[[#This Row],[TGL.NOTA]]="",IF(NOTA[[#This Row],[SUPPLIER_H]]="","",AK910),MONTH(NOTA[[#This Row],[TGL.NOTA]]))</f>
        <v>5</v>
      </c>
      <c r="AL911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66" t="str">
        <f>IF(NOTA[[#This Row],[CONCAT4]]="","",_xlfn.IFNA(MATCH(NOTA[[#This Row],[CONCAT4]],[2]!RAW[CONCAT_H],0),FALSE))</f>
        <v/>
      </c>
      <c r="AQ911" s="66">
        <f>IF(NOTA[[#This Row],[CONCAT1]]="","",MATCH(NOTA[[#This Row],[CONCAT1]],[3]!db[NB NOTA_C],0)+1)</f>
        <v>1707</v>
      </c>
    </row>
    <row r="912" spans="1:43" ht="20.100000000000001" customHeight="1" x14ac:dyDescent="0.25">
      <c r="A9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66" t="str">
        <f>IF(NOTA[[#This Row],[ID_P]]="","",MATCH(NOTA[[#This Row],[ID_P]],[1]!B_MSK[N_ID],0))</f>
        <v/>
      </c>
      <c r="D912" s="66">
        <f ca="1">IF(NOTA[[#This Row],[NAMA BARANG]]="","",INDEX(NOTA[ID],MATCH(,INDIRECT(ADDRESS(ROW(NOTA[ID]),COLUMN(NOTA[ID]))&amp;":"&amp;ADDRESS(ROW(),COLUMN(NOTA[ID]))),-1)))</f>
        <v>158</v>
      </c>
      <c r="E912" s="113"/>
      <c r="H912" s="54"/>
      <c r="L912" s="27" t="s">
        <v>1099</v>
      </c>
      <c r="M912" s="114">
        <v>5</v>
      </c>
      <c r="N912" s="66">
        <v>120</v>
      </c>
      <c r="O912" s="27" t="s">
        <v>252</v>
      </c>
      <c r="P912" s="64">
        <v>58900</v>
      </c>
      <c r="Q912" s="79"/>
      <c r="R912" s="42"/>
      <c r="S912" s="80">
        <v>0.125</v>
      </c>
      <c r="T912" s="115">
        <v>0.05</v>
      </c>
      <c r="U912" s="52"/>
      <c r="V912" s="77"/>
      <c r="W912" s="52">
        <f>IF(NOTA[[#This Row],[HARGA/ CTN]]="",NOTA[[#This Row],[JUMLAH_H]],NOTA[[#This Row],[HARGA/ CTN]]*IF(NOTA[[#This Row],[C]]="",0,NOTA[[#This Row],[C]]))</f>
        <v>7068000</v>
      </c>
      <c r="X912" s="52">
        <f>IF(NOTA[[#This Row],[JUMLAH]]="","",NOTA[[#This Row],[JUMLAH]]*NOTA[[#This Row],[DISC 1]])</f>
        <v>883500</v>
      </c>
      <c r="Y912" s="52">
        <f>IF(NOTA[[#This Row],[JUMLAH]]="","",(NOTA[[#This Row],[JUMLAH]]-NOTA[[#This Row],[DISC 1-]])*NOTA[[#This Row],[DISC 2]])</f>
        <v>309225</v>
      </c>
      <c r="Z912" s="52">
        <f>IF(NOTA[[#This Row],[JUMLAH]]="","",NOTA[[#This Row],[DISC 1-]]+NOTA[[#This Row],[DISC 2-]])</f>
        <v>1192725</v>
      </c>
      <c r="AA912" s="52">
        <f>IF(NOTA[[#This Row],[JUMLAH]]="","",NOTA[[#This Row],[JUMLAH]]-NOTA[[#This Row],[DISC]])</f>
        <v>5875275</v>
      </c>
      <c r="AB912" s="52"/>
      <c r="AC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12" s="203">
        <f>IF(OR(NOTA[[#This Row],[QTY]]="",NOTA[[#This Row],[HARGA SATUAN]]="",),"",NOTA[[#This Row],[QTY]]*NOTA[[#This Row],[HARGA SATUAN]])</f>
        <v>7068000</v>
      </c>
      <c r="AG912" s="53">
        <f ca="1">IF(NOTA[ID_H]="","",INDEX(NOTA[TANGGAL],MATCH(,INDIRECT(ADDRESS(ROW(NOTA[TANGGAL]),COLUMN(NOTA[TANGGAL]))&amp;":"&amp;ADDRESS(ROW(),COLUMN(NOTA[TANGGAL]))),-1)))</f>
        <v>45073</v>
      </c>
      <c r="AH912" s="64" t="str">
        <f ca="1">IF(NOTA[[#This Row],[NAMA BARANG]]="","",INDEX(NOTA[SUPPLIER],MATCH(,INDIRECT(ADDRESS(ROW(NOTA[ID]),COLUMN(NOTA[ID]))&amp;":"&amp;ADDRESS(ROW(),COLUMN(NOTA[ID]))),-1)))</f>
        <v>ATALI MAKMUR</v>
      </c>
      <c r="AI912" s="64" t="str">
        <f ca="1">IF(NOTA[[#This Row],[ID_H]]="","",IF(NOTA[[#This Row],[FAKTUR]]="",INDIRECT(ADDRESS(ROW()-1,COLUMN())),NOTA[[#This Row],[FAKTUR]]))</f>
        <v>ARTO MORO</v>
      </c>
      <c r="AJ912" s="66" t="str">
        <f ca="1">IF(NOTA[[#This Row],[ID]]="","",COUNTIF(NOTA[ID_H],NOTA[[#This Row],[ID_H]]))</f>
        <v/>
      </c>
      <c r="AK912" s="66">
        <f ca="1">IF(NOTA[[#This Row],[TGL.NOTA]]="",IF(NOTA[[#This Row],[SUPPLIER_H]]="","",AK911),MONTH(NOTA[[#This Row],[TGL.NOTA]]))</f>
        <v>5</v>
      </c>
      <c r="AL912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66" t="str">
        <f>IF(NOTA[[#This Row],[CONCAT4]]="","",_xlfn.IFNA(MATCH(NOTA[[#This Row],[CONCAT4]],[2]!RAW[CONCAT_H],0),FALSE))</f>
        <v/>
      </c>
      <c r="AQ912" s="66">
        <f>IF(NOTA[[#This Row],[CONCAT1]]="","",MATCH(NOTA[[#This Row],[CONCAT1]],[3]!db[NB NOTA_C],0)+1)</f>
        <v>1708</v>
      </c>
    </row>
    <row r="913" spans="1:43" ht="20.100000000000001" customHeight="1" x14ac:dyDescent="0.25">
      <c r="A9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66" t="str">
        <f>IF(NOTA[[#This Row],[ID_P]]="","",MATCH(NOTA[[#This Row],[ID_P]],[1]!B_MSK[N_ID],0))</f>
        <v/>
      </c>
      <c r="D913" s="66">
        <f ca="1">IF(NOTA[[#This Row],[NAMA BARANG]]="","",INDEX(NOTA[ID],MATCH(,INDIRECT(ADDRESS(ROW(NOTA[ID]),COLUMN(NOTA[ID]))&amp;":"&amp;ADDRESS(ROW(),COLUMN(NOTA[ID]))),-1)))</f>
        <v>158</v>
      </c>
      <c r="E913" s="113"/>
      <c r="H913" s="54"/>
      <c r="L913" s="27" t="s">
        <v>1100</v>
      </c>
      <c r="M913" s="114">
        <v>6</v>
      </c>
      <c r="N913" s="66">
        <v>144</v>
      </c>
      <c r="O913" s="27" t="s">
        <v>252</v>
      </c>
      <c r="P913" s="64">
        <v>66900</v>
      </c>
      <c r="Q913" s="79"/>
      <c r="R913" s="42"/>
      <c r="S913" s="80">
        <v>0.125</v>
      </c>
      <c r="T913" s="115">
        <v>0.05</v>
      </c>
      <c r="U913" s="52"/>
      <c r="V913" s="77"/>
      <c r="W913" s="52">
        <f>IF(NOTA[[#This Row],[HARGA/ CTN]]="",NOTA[[#This Row],[JUMLAH_H]],NOTA[[#This Row],[HARGA/ CTN]]*IF(NOTA[[#This Row],[C]]="",0,NOTA[[#This Row],[C]]))</f>
        <v>9633600</v>
      </c>
      <c r="X913" s="52">
        <f>IF(NOTA[[#This Row],[JUMLAH]]="","",NOTA[[#This Row],[JUMLAH]]*NOTA[[#This Row],[DISC 1]])</f>
        <v>1204200</v>
      </c>
      <c r="Y913" s="52">
        <f>IF(NOTA[[#This Row],[JUMLAH]]="","",(NOTA[[#This Row],[JUMLAH]]-NOTA[[#This Row],[DISC 1-]])*NOTA[[#This Row],[DISC 2]])</f>
        <v>421470</v>
      </c>
      <c r="Z913" s="52">
        <f>IF(NOTA[[#This Row],[JUMLAH]]="","",NOTA[[#This Row],[DISC 1-]]+NOTA[[#This Row],[DISC 2-]])</f>
        <v>1625670</v>
      </c>
      <c r="AA913" s="52">
        <f>IF(NOTA[[#This Row],[JUMLAH]]="","",NOTA[[#This Row],[JUMLAH]]-NOTA[[#This Row],[DISC]])</f>
        <v>8007930</v>
      </c>
      <c r="AB913" s="52"/>
      <c r="AC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13" s="203">
        <f>IF(OR(NOTA[[#This Row],[QTY]]="",NOTA[[#This Row],[HARGA SATUAN]]="",),"",NOTA[[#This Row],[QTY]]*NOTA[[#This Row],[HARGA SATUAN]])</f>
        <v>9633600</v>
      </c>
      <c r="AG913" s="53">
        <f ca="1">IF(NOTA[ID_H]="","",INDEX(NOTA[TANGGAL],MATCH(,INDIRECT(ADDRESS(ROW(NOTA[TANGGAL]),COLUMN(NOTA[TANGGAL]))&amp;":"&amp;ADDRESS(ROW(),COLUMN(NOTA[TANGGAL]))),-1)))</f>
        <v>45073</v>
      </c>
      <c r="AH913" s="64" t="str">
        <f ca="1">IF(NOTA[[#This Row],[NAMA BARANG]]="","",INDEX(NOTA[SUPPLIER],MATCH(,INDIRECT(ADDRESS(ROW(NOTA[ID]),COLUMN(NOTA[ID]))&amp;":"&amp;ADDRESS(ROW(),COLUMN(NOTA[ID]))),-1)))</f>
        <v>ATALI MAKMUR</v>
      </c>
      <c r="AI913" s="64" t="str">
        <f ca="1">IF(NOTA[[#This Row],[ID_H]]="","",IF(NOTA[[#This Row],[FAKTUR]]="",INDIRECT(ADDRESS(ROW()-1,COLUMN())),NOTA[[#This Row],[FAKTUR]]))</f>
        <v>ARTO MORO</v>
      </c>
      <c r="AJ913" s="66" t="str">
        <f ca="1">IF(NOTA[[#This Row],[ID]]="","",COUNTIF(NOTA[ID_H],NOTA[[#This Row],[ID_H]]))</f>
        <v/>
      </c>
      <c r="AK913" s="66">
        <f ca="1">IF(NOTA[[#This Row],[TGL.NOTA]]="",IF(NOTA[[#This Row],[SUPPLIER_H]]="","",AK912),MONTH(NOTA[[#This Row],[TGL.NOTA]]))</f>
        <v>5</v>
      </c>
      <c r="AL913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66" t="str">
        <f>IF(NOTA[[#This Row],[CONCAT4]]="","",_xlfn.IFNA(MATCH(NOTA[[#This Row],[CONCAT4]],[2]!RAW[CONCAT_H],0),FALSE))</f>
        <v/>
      </c>
      <c r="AQ913" s="66">
        <f>IF(NOTA[[#This Row],[CONCAT1]]="","",MATCH(NOTA[[#This Row],[CONCAT1]],[3]!db[NB NOTA_C],0)+1)</f>
        <v>1709</v>
      </c>
    </row>
    <row r="914" spans="1:43" ht="20.100000000000001" customHeight="1" x14ac:dyDescent="0.25">
      <c r="A9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66" t="str">
        <f>IF(NOTA[[#This Row],[ID_P]]="","",MATCH(NOTA[[#This Row],[ID_P]],[1]!B_MSK[N_ID],0))</f>
        <v/>
      </c>
      <c r="D914" s="66">
        <f ca="1">IF(NOTA[[#This Row],[NAMA BARANG]]="","",INDEX(NOTA[ID],MATCH(,INDIRECT(ADDRESS(ROW(NOTA[ID]),COLUMN(NOTA[ID]))&amp;":"&amp;ADDRESS(ROW(),COLUMN(NOTA[ID]))),-1)))</f>
        <v>158</v>
      </c>
      <c r="E914" s="113"/>
      <c r="H914" s="54"/>
      <c r="L914" s="27" t="s">
        <v>1101</v>
      </c>
      <c r="M914" s="114">
        <v>1</v>
      </c>
      <c r="N914" s="66">
        <v>18</v>
      </c>
      <c r="O914" s="27" t="s">
        <v>252</v>
      </c>
      <c r="P914" s="64">
        <v>145000</v>
      </c>
      <c r="Q914" s="79"/>
      <c r="R914" s="42" t="s">
        <v>882</v>
      </c>
      <c r="S914" s="80">
        <v>0.125</v>
      </c>
      <c r="T914" s="115">
        <v>0.05</v>
      </c>
      <c r="U914" s="52">
        <v>2169562.5</v>
      </c>
      <c r="V914" s="77"/>
      <c r="W914" s="52">
        <f>IF(NOTA[[#This Row],[HARGA/ CTN]]="",NOTA[[#This Row],[JUMLAH_H]],NOTA[[#This Row],[HARGA/ CTN]]*IF(NOTA[[#This Row],[C]]="",0,NOTA[[#This Row],[C]]))</f>
        <v>2610000</v>
      </c>
      <c r="X914" s="52">
        <f>IF(NOTA[[#This Row],[JUMLAH]]="","",NOTA[[#This Row],[JUMLAH]]*NOTA[[#This Row],[DISC 1]])</f>
        <v>326250</v>
      </c>
      <c r="Y914" s="52">
        <f>IF(NOTA[[#This Row],[JUMLAH]]="","",(NOTA[[#This Row],[JUMLAH]]-NOTA[[#This Row],[DISC 1-]])*NOTA[[#This Row],[DISC 2]])</f>
        <v>114187.5</v>
      </c>
      <c r="Z914" s="52">
        <f>IF(NOTA[[#This Row],[JUMLAH]]="","",NOTA[[#This Row],[DISC 1-]]+NOTA[[#This Row],[DISC 2-]])</f>
        <v>440437.5</v>
      </c>
      <c r="AA914" s="52">
        <f>IF(NOTA[[#This Row],[JUMLAH]]="","",NOTA[[#This Row],[JUMLAH]]-NOTA[[#This Row],[DISC]])</f>
        <v>2169562.5</v>
      </c>
      <c r="AB914" s="52"/>
      <c r="AC9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12140257.5</v>
      </c>
      <c r="AD9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46945342.5</v>
      </c>
      <c r="AE914" s="64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F914" s="203">
        <f>IF(OR(NOTA[[#This Row],[QTY]]="",NOTA[[#This Row],[HARGA SATUAN]]="",),"",NOTA[[#This Row],[QTY]]*NOTA[[#This Row],[HARGA SATUAN]])</f>
        <v>2610000</v>
      </c>
      <c r="AG914" s="53">
        <f ca="1">IF(NOTA[ID_H]="","",INDEX(NOTA[TANGGAL],MATCH(,INDIRECT(ADDRESS(ROW(NOTA[TANGGAL]),COLUMN(NOTA[TANGGAL]))&amp;":"&amp;ADDRESS(ROW(),COLUMN(NOTA[TANGGAL]))),-1)))</f>
        <v>45073</v>
      </c>
      <c r="AH914" s="64" t="str">
        <f ca="1">IF(NOTA[[#This Row],[NAMA BARANG]]="","",INDEX(NOTA[SUPPLIER],MATCH(,INDIRECT(ADDRESS(ROW(NOTA[ID]),COLUMN(NOTA[ID]))&amp;":"&amp;ADDRESS(ROW(),COLUMN(NOTA[ID]))),-1)))</f>
        <v>ATALI MAKMUR</v>
      </c>
      <c r="AI914" s="64" t="str">
        <f ca="1">IF(NOTA[[#This Row],[ID_H]]="","",IF(NOTA[[#This Row],[FAKTUR]]="",INDIRECT(ADDRESS(ROW()-1,COLUMN())),NOTA[[#This Row],[FAKTUR]]))</f>
        <v>ARTO MORO</v>
      </c>
      <c r="AJ914" s="66" t="str">
        <f ca="1">IF(NOTA[[#This Row],[ID]]="","",COUNTIF(NOTA[ID_H],NOTA[[#This Row],[ID_H]]))</f>
        <v/>
      </c>
      <c r="AK914" s="66">
        <f ca="1">IF(NOTA[[#This Row],[TGL.NOTA]]="",IF(NOTA[[#This Row],[SUPPLIER_H]]="","",AK913),MONTH(NOTA[[#This Row],[TGL.NOTA]]))</f>
        <v>5</v>
      </c>
      <c r="AL914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N9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premiumoilcolorpencilcptc12648jkbonus26100000.1250.05</v>
      </c>
      <c r="AO9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66" t="str">
        <f>IF(NOTA[[#This Row],[CONCAT4]]="","",_xlfn.IFNA(MATCH(NOTA[[#This Row],[CONCAT4]],[2]!RAW[CONCAT_H],0),FALSE))</f>
        <v/>
      </c>
      <c r="AQ914" s="66">
        <f>IF(NOTA[[#This Row],[CONCAT1]]="","",MATCH(NOTA[[#This Row],[CONCAT1]],[3]!db[NB NOTA_C],0)+1)</f>
        <v>2063</v>
      </c>
    </row>
    <row r="915" spans="1:43" ht="20.100000000000001" customHeight="1" x14ac:dyDescent="0.25">
      <c r="A9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66" t="str">
        <f>IF(NOTA[[#This Row],[ID_P]]="","",MATCH(NOTA[[#This Row],[ID_P]],[1]!B_MSK[N_ID],0))</f>
        <v/>
      </c>
      <c r="D915" s="66" t="str">
        <f ca="1">IF(NOTA[[#This Row],[NAMA BARANG]]="","",INDEX(NOTA[ID],MATCH(,INDIRECT(ADDRESS(ROW(NOTA[ID]),COLUMN(NOTA[ID]))&amp;":"&amp;ADDRESS(ROW(),COLUMN(NOTA[ID]))),-1)))</f>
        <v/>
      </c>
      <c r="E915" s="113"/>
      <c r="H915" s="54"/>
      <c r="N915" s="66"/>
      <c r="Q915" s="79"/>
      <c r="R915" s="42"/>
      <c r="S915" s="80"/>
      <c r="U915" s="52"/>
      <c r="V915" s="77"/>
      <c r="W915" s="52" t="str">
        <f>IF(NOTA[[#This Row],[HARGA/ CTN]]="",NOTA[[#This Row],[JUMLAH_H]],NOTA[[#This Row],[HARGA/ CTN]]*IF(NOTA[[#This Row],[C]]="",0,NOTA[[#This Row],[C]]))</f>
        <v/>
      </c>
      <c r="X915" s="52" t="str">
        <f>IF(NOTA[[#This Row],[JUMLAH]]="","",NOTA[[#This Row],[JUMLAH]]*NOTA[[#This Row],[DISC 1]])</f>
        <v/>
      </c>
      <c r="Y915" s="52" t="str">
        <f>IF(NOTA[[#This Row],[JUMLAH]]="","",(NOTA[[#This Row],[JUMLAH]]-NOTA[[#This Row],[DISC 1-]])*NOTA[[#This Row],[DISC 2]])</f>
        <v/>
      </c>
      <c r="Z915" s="52" t="str">
        <f>IF(NOTA[[#This Row],[JUMLAH]]="","",NOTA[[#This Row],[DISC 1-]]+NOTA[[#This Row],[DISC 2-]])</f>
        <v/>
      </c>
      <c r="AA915" s="52" t="str">
        <f>IF(NOTA[[#This Row],[JUMLAH]]="","",NOTA[[#This Row],[JUMLAH]]-NOTA[[#This Row],[DISC]])</f>
        <v/>
      </c>
      <c r="AB915" s="52"/>
      <c r="AC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203" t="str">
        <f>IF(OR(NOTA[[#This Row],[QTY]]="",NOTA[[#This Row],[HARGA SATUAN]]="",),"",NOTA[[#This Row],[QTY]]*NOTA[[#This Row],[HARGA SATUAN]])</f>
        <v/>
      </c>
      <c r="AG915" s="53" t="str">
        <f ca="1">IF(NOTA[ID_H]="","",INDEX(NOTA[TANGGAL],MATCH(,INDIRECT(ADDRESS(ROW(NOTA[TANGGAL]),COLUMN(NOTA[TANGGAL]))&amp;":"&amp;ADDRESS(ROW(),COLUMN(NOTA[TANGGAL]))),-1)))</f>
        <v/>
      </c>
      <c r="AH915" s="64" t="str">
        <f ca="1">IF(NOTA[[#This Row],[NAMA BARANG]]="","",INDEX(NOTA[SUPPLIER],MATCH(,INDIRECT(ADDRESS(ROW(NOTA[ID]),COLUMN(NOTA[ID]))&amp;":"&amp;ADDRESS(ROW(),COLUMN(NOTA[ID]))),-1)))</f>
        <v/>
      </c>
      <c r="AI915" s="64" t="str">
        <f ca="1">IF(NOTA[[#This Row],[ID_H]]="","",IF(NOTA[[#This Row],[FAKTUR]]="",INDIRECT(ADDRESS(ROW()-1,COLUMN())),NOTA[[#This Row],[FAKTUR]]))</f>
        <v/>
      </c>
      <c r="AJ915" s="66" t="str">
        <f ca="1">IF(NOTA[[#This Row],[ID]]="","",COUNTIF(NOTA[ID_H],NOTA[[#This Row],[ID_H]]))</f>
        <v/>
      </c>
      <c r="AK915" s="66" t="str">
        <f ca="1">IF(NOTA[[#This Row],[TGL.NOTA]]="",IF(NOTA[[#This Row],[SUPPLIER_H]]="","",AK914),MONTH(NOTA[[#This Row],[TGL.NOTA]]))</f>
        <v/>
      </c>
      <c r="AL915" s="66" t="str">
        <f>LOWER(SUBSTITUTE(SUBSTITUTE(SUBSTITUTE(SUBSTITUTE(SUBSTITUTE(SUBSTITUTE(SUBSTITUTE(SUBSTITUTE(SUBSTITUTE(NOTA[NAMA BARANG]," ",),".",""),"-",""),"(",""),")",""),",",""),"/",""),"""",""),"+",""))</f>
        <v/>
      </c>
      <c r="AM9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66" t="str">
        <f>IF(NOTA[[#This Row],[CONCAT4]]="","",_xlfn.IFNA(MATCH(NOTA[[#This Row],[CONCAT4]],[2]!RAW[CONCAT_H],0),FALSE))</f>
        <v/>
      </c>
      <c r="AQ915" s="66" t="str">
        <f>IF(NOTA[[#This Row],[CONCAT1]]="","",MATCH(NOTA[[#This Row],[CONCAT1]],[3]!db[NB NOTA_C],0)+1)</f>
        <v/>
      </c>
    </row>
    <row r="916" spans="1:43" ht="20.100000000000001" customHeight="1" x14ac:dyDescent="0.25">
      <c r="A916" s="64">
        <f ca="1">IF(INDIRECT(ADDRESS(ROW()-1,COLUMN(NOTA[[#Headers],[ID]])))="ID",1,IF(NOTA[[#This Row],[FAKTUR]]="","",COUNT(INDIRECT(ADDRESS(ROW(NOTA[ID]),COLUMN(NOTA[ID]))&amp;":"&amp;ADDRESS(ROW()-1,COLUMN(NOTA[ID]))))+1))</f>
        <v>159</v>
      </c>
      <c r="B91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ATA_2705_109-11</v>
      </c>
      <c r="C916" s="66" t="e">
        <f ca="1">IF(NOTA[[#This Row],[ID_P]]="","",MATCH(NOTA[[#This Row],[ID_P]],[1]!B_MSK[N_ID],0))</f>
        <v>#REF!</v>
      </c>
      <c r="D916" s="66">
        <f ca="1">IF(NOTA[[#This Row],[NAMA BARANG]]="","",INDEX(NOTA[ID],MATCH(,INDIRECT(ADDRESS(ROW(NOTA[ID]),COLUMN(NOTA[ID]))&amp;":"&amp;ADDRESS(ROW(),COLUMN(NOTA[ID]))),-1)))</f>
        <v>159</v>
      </c>
      <c r="E916" s="113"/>
      <c r="F916" s="27" t="s">
        <v>25</v>
      </c>
      <c r="G916" s="27" t="s">
        <v>24</v>
      </c>
      <c r="H916" s="54" t="s">
        <v>1102</v>
      </c>
      <c r="J916" s="53">
        <v>45068</v>
      </c>
      <c r="L916" s="27" t="s">
        <v>308</v>
      </c>
      <c r="M916" s="114">
        <v>2</v>
      </c>
      <c r="N916" s="66">
        <v>100</v>
      </c>
      <c r="O916" s="27" t="s">
        <v>262</v>
      </c>
      <c r="P916" s="64">
        <v>32000</v>
      </c>
      <c r="Q916" s="79"/>
      <c r="R916" s="42"/>
      <c r="S916" s="80">
        <v>0.125</v>
      </c>
      <c r="T916" s="115">
        <v>0.05</v>
      </c>
      <c r="U916" s="52"/>
      <c r="V916" s="77"/>
      <c r="W916" s="52">
        <f>IF(NOTA[[#This Row],[HARGA/ CTN]]="",NOTA[[#This Row],[JUMLAH_H]],NOTA[[#This Row],[HARGA/ CTN]]*IF(NOTA[[#This Row],[C]]="",0,NOTA[[#This Row],[C]]))</f>
        <v>3200000</v>
      </c>
      <c r="X916" s="52">
        <f>IF(NOTA[[#This Row],[JUMLAH]]="","",NOTA[[#This Row],[JUMLAH]]*NOTA[[#This Row],[DISC 1]])</f>
        <v>400000</v>
      </c>
      <c r="Y916" s="52">
        <f>IF(NOTA[[#This Row],[JUMLAH]]="","",(NOTA[[#This Row],[JUMLAH]]-NOTA[[#This Row],[DISC 1-]])*NOTA[[#This Row],[DISC 2]])</f>
        <v>140000</v>
      </c>
      <c r="Z916" s="52">
        <f>IF(NOTA[[#This Row],[JUMLAH]]="","",NOTA[[#This Row],[DISC 1-]]+NOTA[[#This Row],[DISC 2-]])</f>
        <v>540000</v>
      </c>
      <c r="AA916" s="52">
        <f>IF(NOTA[[#This Row],[JUMLAH]]="","",NOTA[[#This Row],[JUMLAH]]-NOTA[[#This Row],[DISC]])</f>
        <v>2660000</v>
      </c>
      <c r="AB916" s="52"/>
      <c r="AC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916" s="203">
        <f>IF(OR(NOTA[[#This Row],[QTY]]="",NOTA[[#This Row],[HARGA SATUAN]]="",),"",NOTA[[#This Row],[QTY]]*NOTA[[#This Row],[HARGA SATUAN]])</f>
        <v>3200000</v>
      </c>
      <c r="AG916" s="53">
        <f ca="1">IF(NOTA[ID_H]="","",INDEX(NOTA[TANGGAL],MATCH(,INDIRECT(ADDRESS(ROW(NOTA[TANGGAL]),COLUMN(NOTA[TANGGAL]))&amp;":"&amp;ADDRESS(ROW(),COLUMN(NOTA[TANGGAL]))),-1)))</f>
        <v>45073</v>
      </c>
      <c r="AH916" s="64" t="str">
        <f ca="1">IF(NOTA[[#This Row],[NAMA BARANG]]="","",INDEX(NOTA[SUPPLIER],MATCH(,INDIRECT(ADDRESS(ROW(NOTA[ID]),COLUMN(NOTA[ID]))&amp;":"&amp;ADDRESS(ROW(),COLUMN(NOTA[ID]))),-1)))</f>
        <v>ATALI MAKMUR</v>
      </c>
      <c r="AI916" s="64" t="str">
        <f ca="1">IF(NOTA[[#This Row],[ID_H]]="","",IF(NOTA[[#This Row],[FAKTUR]]="",INDIRECT(ADDRESS(ROW()-1,COLUMN())),NOTA[[#This Row],[FAKTUR]]))</f>
        <v>ARTO MORO</v>
      </c>
      <c r="AJ916" s="66">
        <f ca="1">IF(NOTA[[#This Row],[ID]]="","",COUNTIF(NOTA[ID_H],NOTA[[#This Row],[ID_H]]))</f>
        <v>11</v>
      </c>
      <c r="AK916" s="66">
        <f>IF(NOTA[[#This Row],[TGL.NOTA]]="",IF(NOTA[[#This Row],[SUPPLIER_H]]="","",AK915),MONTH(NOTA[[#This Row],[TGL.NOTA]]))</f>
        <v>5</v>
      </c>
      <c r="AL916" s="66" t="str">
        <f>LOWER(SUBSTITUTE(SUBSTITUTE(SUBSTITUTE(SUBSTITUTE(SUBSTITUTE(SUBSTITUTE(SUBSTITUTE(SUBSTITUTE(SUBSTITUTE(NOTA[NAMA BARANG]," ",),".",""),"-",""),"(",""),")",""),",",""),"/",""),"""",""),"+",""))</f>
        <v>erasereb30jk</v>
      </c>
      <c r="AM9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N9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O91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MOROSA23050810945068erasereb30jk</v>
      </c>
      <c r="AP916" s="66" t="e">
        <f>IF(NOTA[[#This Row],[CONCAT4]]="","",_xlfn.IFNA(MATCH(NOTA[[#This Row],[CONCAT4]],[2]!RAW[CONCAT_H],0),FALSE))</f>
        <v>#REF!</v>
      </c>
      <c r="AQ916" s="66">
        <f>IF(NOTA[[#This Row],[CONCAT1]]="","",MATCH(NOTA[[#This Row],[CONCAT1]],[3]!db[NB NOTA_C],0)+1)</f>
        <v>746</v>
      </c>
    </row>
    <row r="917" spans="1:43" ht="20.100000000000001" customHeight="1" x14ac:dyDescent="0.25">
      <c r="A9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66" t="str">
        <f>IF(NOTA[[#This Row],[ID_P]]="","",MATCH(NOTA[[#This Row],[ID_P]],[1]!B_MSK[N_ID],0))</f>
        <v/>
      </c>
      <c r="D917" s="66">
        <f ca="1">IF(NOTA[[#This Row],[NAMA BARANG]]="","",INDEX(NOTA[ID],MATCH(,INDIRECT(ADDRESS(ROW(NOTA[ID]),COLUMN(NOTA[ID]))&amp;":"&amp;ADDRESS(ROW(),COLUMN(NOTA[ID]))),-1)))</f>
        <v>159</v>
      </c>
      <c r="E917" s="113"/>
      <c r="H917" s="54"/>
      <c r="L917" s="27" t="s">
        <v>1103</v>
      </c>
      <c r="M917" s="114">
        <v>3</v>
      </c>
      <c r="N917" s="66">
        <v>150</v>
      </c>
      <c r="O917" s="27" t="s">
        <v>262</v>
      </c>
      <c r="P917" s="64">
        <v>28300</v>
      </c>
      <c r="Q917" s="79"/>
      <c r="R917" s="42"/>
      <c r="S917" s="80">
        <v>0.125</v>
      </c>
      <c r="T917" s="115">
        <v>0.05</v>
      </c>
      <c r="U917" s="52"/>
      <c r="V917" s="77"/>
      <c r="W917" s="52">
        <f>IF(NOTA[[#This Row],[HARGA/ CTN]]="",NOTA[[#This Row],[JUMLAH_H]],NOTA[[#This Row],[HARGA/ CTN]]*IF(NOTA[[#This Row],[C]]="",0,NOTA[[#This Row],[C]]))</f>
        <v>4245000</v>
      </c>
      <c r="X917" s="52">
        <f>IF(NOTA[[#This Row],[JUMLAH]]="","",NOTA[[#This Row],[JUMLAH]]*NOTA[[#This Row],[DISC 1]])</f>
        <v>530625</v>
      </c>
      <c r="Y917" s="52">
        <f>IF(NOTA[[#This Row],[JUMLAH]]="","",(NOTA[[#This Row],[JUMLAH]]-NOTA[[#This Row],[DISC 1-]])*NOTA[[#This Row],[DISC 2]])</f>
        <v>185718.75</v>
      </c>
      <c r="Z917" s="52">
        <f>IF(NOTA[[#This Row],[JUMLAH]]="","",NOTA[[#This Row],[DISC 1-]]+NOTA[[#This Row],[DISC 2-]])</f>
        <v>716343.75</v>
      </c>
      <c r="AA917" s="52">
        <f>IF(NOTA[[#This Row],[JUMLAH]]="","",NOTA[[#This Row],[JUMLAH]]-NOTA[[#This Row],[DISC]])</f>
        <v>3528656.25</v>
      </c>
      <c r="AB917" s="52"/>
      <c r="AC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17" s="203">
        <f>IF(OR(NOTA[[#This Row],[QTY]]="",NOTA[[#This Row],[HARGA SATUAN]]="",),"",NOTA[[#This Row],[QTY]]*NOTA[[#This Row],[HARGA SATUAN]])</f>
        <v>4245000</v>
      </c>
      <c r="AG917" s="53">
        <f ca="1">IF(NOTA[ID_H]="","",INDEX(NOTA[TANGGAL],MATCH(,INDIRECT(ADDRESS(ROW(NOTA[TANGGAL]),COLUMN(NOTA[TANGGAL]))&amp;":"&amp;ADDRESS(ROW(),COLUMN(NOTA[TANGGAL]))),-1)))</f>
        <v>45073</v>
      </c>
      <c r="AH917" s="64" t="str">
        <f ca="1">IF(NOTA[[#This Row],[NAMA BARANG]]="","",INDEX(NOTA[SUPPLIER],MATCH(,INDIRECT(ADDRESS(ROW(NOTA[ID]),COLUMN(NOTA[ID]))&amp;":"&amp;ADDRESS(ROW(),COLUMN(NOTA[ID]))),-1)))</f>
        <v>ATALI MAKMUR</v>
      </c>
      <c r="AI917" s="64" t="str">
        <f ca="1">IF(NOTA[[#This Row],[ID_H]]="","",IF(NOTA[[#This Row],[FAKTUR]]="",INDIRECT(ADDRESS(ROW()-1,COLUMN())),NOTA[[#This Row],[FAKTUR]]))</f>
        <v>ARTO MORO</v>
      </c>
      <c r="AJ917" s="66" t="str">
        <f ca="1">IF(NOTA[[#This Row],[ID]]="","",COUNTIF(NOTA[ID_H],NOTA[[#This Row],[ID_H]]))</f>
        <v/>
      </c>
      <c r="AK917" s="66">
        <f ca="1">IF(NOTA[[#This Row],[TGL.NOTA]]="",IF(NOTA[[#This Row],[SUPPLIER_H]]="","",AK916),MONTH(NOTA[[#This Row],[TGL.NOTA]]))</f>
        <v>5</v>
      </c>
      <c r="AL9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66" t="str">
        <f>IF(NOTA[[#This Row],[CONCAT4]]="","",_xlfn.IFNA(MATCH(NOTA[[#This Row],[CONCAT4]],[2]!RAW[CONCAT_H],0),FALSE))</f>
        <v/>
      </c>
      <c r="AQ917" s="66">
        <f>IF(NOTA[[#This Row],[CONCAT1]]="","",MATCH(NOTA[[#This Row],[CONCAT1]],[3]!db[NB NOTA_C],0)+1)</f>
        <v>743</v>
      </c>
    </row>
    <row r="918" spans="1:43" ht="20.100000000000001" customHeight="1" x14ac:dyDescent="0.25">
      <c r="A9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66" t="str">
        <f>IF(NOTA[[#This Row],[ID_P]]="","",MATCH(NOTA[[#This Row],[ID_P]],[1]!B_MSK[N_ID],0))</f>
        <v/>
      </c>
      <c r="D918" s="66">
        <f ca="1">IF(NOTA[[#This Row],[NAMA BARANG]]="","",INDEX(NOTA[ID],MATCH(,INDIRECT(ADDRESS(ROW(NOTA[ID]),COLUMN(NOTA[ID]))&amp;":"&amp;ADDRESS(ROW(),COLUMN(NOTA[ID]))),-1)))</f>
        <v>159</v>
      </c>
      <c r="E918" s="113"/>
      <c r="H918" s="54"/>
      <c r="L918" s="27" t="s">
        <v>604</v>
      </c>
      <c r="M918" s="114">
        <v>3</v>
      </c>
      <c r="N918" s="66">
        <v>432</v>
      </c>
      <c r="O918" s="27" t="s">
        <v>252</v>
      </c>
      <c r="P918" s="64">
        <v>10600</v>
      </c>
      <c r="Q918" s="79"/>
      <c r="R918" s="42"/>
      <c r="S918" s="80">
        <v>0.125</v>
      </c>
      <c r="T918" s="115">
        <v>0.05</v>
      </c>
      <c r="U918" s="52"/>
      <c r="V918" s="77"/>
      <c r="W918" s="52">
        <f>IF(NOTA[[#This Row],[HARGA/ CTN]]="",NOTA[[#This Row],[JUMLAH_H]],NOTA[[#This Row],[HARGA/ CTN]]*IF(NOTA[[#This Row],[C]]="",0,NOTA[[#This Row],[C]]))</f>
        <v>4579200</v>
      </c>
      <c r="X918" s="52">
        <f>IF(NOTA[[#This Row],[JUMLAH]]="","",NOTA[[#This Row],[JUMLAH]]*NOTA[[#This Row],[DISC 1]])</f>
        <v>572400</v>
      </c>
      <c r="Y918" s="52">
        <f>IF(NOTA[[#This Row],[JUMLAH]]="","",(NOTA[[#This Row],[JUMLAH]]-NOTA[[#This Row],[DISC 1-]])*NOTA[[#This Row],[DISC 2]])</f>
        <v>200340</v>
      </c>
      <c r="Z918" s="52">
        <f>IF(NOTA[[#This Row],[JUMLAH]]="","",NOTA[[#This Row],[DISC 1-]]+NOTA[[#This Row],[DISC 2-]])</f>
        <v>772740</v>
      </c>
      <c r="AA918" s="52">
        <f>IF(NOTA[[#This Row],[JUMLAH]]="","",NOTA[[#This Row],[JUMLAH]]-NOTA[[#This Row],[DISC]])</f>
        <v>3806460</v>
      </c>
      <c r="AB918" s="52"/>
      <c r="AC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8" s="203">
        <f>IF(OR(NOTA[[#This Row],[QTY]]="",NOTA[[#This Row],[HARGA SATUAN]]="",),"",NOTA[[#This Row],[QTY]]*NOTA[[#This Row],[HARGA SATUAN]])</f>
        <v>4579200</v>
      </c>
      <c r="AG918" s="53">
        <f ca="1">IF(NOTA[ID_H]="","",INDEX(NOTA[TANGGAL],MATCH(,INDIRECT(ADDRESS(ROW(NOTA[TANGGAL]),COLUMN(NOTA[TANGGAL]))&amp;":"&amp;ADDRESS(ROW(),COLUMN(NOTA[TANGGAL]))),-1)))</f>
        <v>45073</v>
      </c>
      <c r="AH918" s="64" t="str">
        <f ca="1">IF(NOTA[[#This Row],[NAMA BARANG]]="","",INDEX(NOTA[SUPPLIER],MATCH(,INDIRECT(ADDRESS(ROW(NOTA[ID]),COLUMN(NOTA[ID]))&amp;":"&amp;ADDRESS(ROW(),COLUMN(NOTA[ID]))),-1)))</f>
        <v>ATALI MAKMUR</v>
      </c>
      <c r="AI918" s="64" t="str">
        <f ca="1">IF(NOTA[[#This Row],[ID_H]]="","",IF(NOTA[[#This Row],[FAKTUR]]="",INDIRECT(ADDRESS(ROW()-1,COLUMN())),NOTA[[#This Row],[FAKTUR]]))</f>
        <v>ARTO MORO</v>
      </c>
      <c r="AJ918" s="66" t="str">
        <f ca="1">IF(NOTA[[#This Row],[ID]]="","",COUNTIF(NOTA[ID_H],NOTA[[#This Row],[ID_H]]))</f>
        <v/>
      </c>
      <c r="AK918" s="66">
        <f ca="1">IF(NOTA[[#This Row],[TGL.NOTA]]="",IF(NOTA[[#This Row],[SUPPLIER_H]]="","",AK917),MONTH(NOTA[[#This Row],[TGL.NOTA]]))</f>
        <v>5</v>
      </c>
      <c r="AL91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9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9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9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66" t="str">
        <f>IF(NOTA[[#This Row],[CONCAT4]]="","",_xlfn.IFNA(MATCH(NOTA[[#This Row],[CONCAT4]],[2]!RAW[CONCAT_H],0),FALSE))</f>
        <v/>
      </c>
      <c r="AQ918" s="66">
        <f>IF(NOTA[[#This Row],[CONCAT1]]="","",MATCH(NOTA[[#This Row],[CONCAT1]],[3]!db[NB NOTA_C],0)+1)</f>
        <v>530</v>
      </c>
    </row>
    <row r="919" spans="1:43" ht="20.100000000000001" customHeight="1" x14ac:dyDescent="0.25">
      <c r="A9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66" t="str">
        <f>IF(NOTA[[#This Row],[ID_P]]="","",MATCH(NOTA[[#This Row],[ID_P]],[1]!B_MSK[N_ID],0))</f>
        <v/>
      </c>
      <c r="D919" s="66">
        <f ca="1">IF(NOTA[[#This Row],[NAMA BARANG]]="","",INDEX(NOTA[ID],MATCH(,INDIRECT(ADDRESS(ROW(NOTA[ID]),COLUMN(NOTA[ID]))&amp;":"&amp;ADDRESS(ROW(),COLUMN(NOTA[ID]))),-1)))</f>
        <v>159</v>
      </c>
      <c r="E919" s="113"/>
      <c r="H919" s="54"/>
      <c r="L919" s="27" t="s">
        <v>616</v>
      </c>
      <c r="M919" s="114">
        <v>3</v>
      </c>
      <c r="N919" s="66">
        <v>216</v>
      </c>
      <c r="O919" s="27" t="s">
        <v>252</v>
      </c>
      <c r="P919" s="64">
        <v>21200</v>
      </c>
      <c r="Q919" s="79"/>
      <c r="R919" s="42"/>
      <c r="S919" s="80">
        <v>0.125</v>
      </c>
      <c r="T919" s="115">
        <v>0.05</v>
      </c>
      <c r="U919" s="52"/>
      <c r="V919" s="77"/>
      <c r="W919" s="52">
        <f>IF(NOTA[[#This Row],[HARGA/ CTN]]="",NOTA[[#This Row],[JUMLAH_H]],NOTA[[#This Row],[HARGA/ CTN]]*IF(NOTA[[#This Row],[C]]="",0,NOTA[[#This Row],[C]]))</f>
        <v>4579200</v>
      </c>
      <c r="X919" s="52">
        <f>IF(NOTA[[#This Row],[JUMLAH]]="","",NOTA[[#This Row],[JUMLAH]]*NOTA[[#This Row],[DISC 1]])</f>
        <v>572400</v>
      </c>
      <c r="Y919" s="52">
        <f>IF(NOTA[[#This Row],[JUMLAH]]="","",(NOTA[[#This Row],[JUMLAH]]-NOTA[[#This Row],[DISC 1-]])*NOTA[[#This Row],[DISC 2]])</f>
        <v>200340</v>
      </c>
      <c r="Z919" s="52">
        <f>IF(NOTA[[#This Row],[JUMLAH]]="","",NOTA[[#This Row],[DISC 1-]]+NOTA[[#This Row],[DISC 2-]])</f>
        <v>772740</v>
      </c>
      <c r="AA919" s="52">
        <f>IF(NOTA[[#This Row],[JUMLAH]]="","",NOTA[[#This Row],[JUMLAH]]-NOTA[[#This Row],[DISC]])</f>
        <v>3806460</v>
      </c>
      <c r="AB919" s="52"/>
      <c r="AC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919" s="203">
        <f>IF(OR(NOTA[[#This Row],[QTY]]="",NOTA[[#This Row],[HARGA SATUAN]]="",),"",NOTA[[#This Row],[QTY]]*NOTA[[#This Row],[HARGA SATUAN]])</f>
        <v>4579200</v>
      </c>
      <c r="AG919" s="53">
        <f ca="1">IF(NOTA[ID_H]="","",INDEX(NOTA[TANGGAL],MATCH(,INDIRECT(ADDRESS(ROW(NOTA[TANGGAL]),COLUMN(NOTA[TANGGAL]))&amp;":"&amp;ADDRESS(ROW(),COLUMN(NOTA[TANGGAL]))),-1)))</f>
        <v>45073</v>
      </c>
      <c r="AH919" s="64" t="str">
        <f ca="1">IF(NOTA[[#This Row],[NAMA BARANG]]="","",INDEX(NOTA[SUPPLIER],MATCH(,INDIRECT(ADDRESS(ROW(NOTA[ID]),COLUMN(NOTA[ID]))&amp;":"&amp;ADDRESS(ROW(),COLUMN(NOTA[ID]))),-1)))</f>
        <v>ATALI MAKMUR</v>
      </c>
      <c r="AI919" s="64" t="str">
        <f ca="1">IF(NOTA[[#This Row],[ID_H]]="","",IF(NOTA[[#This Row],[FAKTUR]]="",INDIRECT(ADDRESS(ROW()-1,COLUMN())),NOTA[[#This Row],[FAKTUR]]))</f>
        <v>ARTO MORO</v>
      </c>
      <c r="AJ919" s="66" t="str">
        <f ca="1">IF(NOTA[[#This Row],[ID]]="","",COUNTIF(NOTA[ID_H],NOTA[[#This Row],[ID_H]]))</f>
        <v/>
      </c>
      <c r="AK919" s="66">
        <f ca="1">IF(NOTA[[#This Row],[TGL.NOTA]]="",IF(NOTA[[#This Row],[SUPPLIER_H]]="","",AK918),MONTH(NOTA[[#This Row],[TGL.NOTA]]))</f>
        <v>5</v>
      </c>
      <c r="AL91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9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9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9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66" t="str">
        <f>IF(NOTA[[#This Row],[CONCAT4]]="","",_xlfn.IFNA(MATCH(NOTA[[#This Row],[CONCAT4]],[2]!RAW[CONCAT_H],0),FALSE))</f>
        <v/>
      </c>
      <c r="AQ919" s="66">
        <f>IF(NOTA[[#This Row],[CONCAT1]]="","",MATCH(NOTA[[#This Row],[CONCAT1]],[3]!db[NB NOTA_C],0)+1)</f>
        <v>532</v>
      </c>
    </row>
    <row r="920" spans="1:43" ht="20.100000000000001" customHeight="1" x14ac:dyDescent="0.25">
      <c r="A9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66" t="str">
        <f>IF(NOTA[[#This Row],[ID_P]]="","",MATCH(NOTA[[#This Row],[ID_P]],[1]!B_MSK[N_ID],0))</f>
        <v/>
      </c>
      <c r="D920" s="66">
        <f ca="1">IF(NOTA[[#This Row],[NAMA BARANG]]="","",INDEX(NOTA[ID],MATCH(,INDIRECT(ADDRESS(ROW(NOTA[ID]),COLUMN(NOTA[ID]))&amp;":"&amp;ADDRESS(ROW(),COLUMN(NOTA[ID]))),-1)))</f>
        <v>159</v>
      </c>
      <c r="E920" s="113"/>
      <c r="H920" s="54"/>
      <c r="L920" s="27" t="s">
        <v>1104</v>
      </c>
      <c r="M920" s="114">
        <v>3</v>
      </c>
      <c r="N920" s="66">
        <v>144</v>
      </c>
      <c r="O920" s="27" t="s">
        <v>252</v>
      </c>
      <c r="P920" s="64">
        <v>35000</v>
      </c>
      <c r="Q920" s="79"/>
      <c r="R920" s="42"/>
      <c r="S920" s="80">
        <v>0.125</v>
      </c>
      <c r="T920" s="115">
        <v>0.05</v>
      </c>
      <c r="U920" s="52"/>
      <c r="V920" s="77"/>
      <c r="W920" s="52">
        <f>IF(NOTA[[#This Row],[HARGA/ CTN]]="",NOTA[[#This Row],[JUMLAH_H]],NOTA[[#This Row],[HARGA/ CTN]]*IF(NOTA[[#This Row],[C]]="",0,NOTA[[#This Row],[C]]))</f>
        <v>5040000</v>
      </c>
      <c r="X920" s="52">
        <f>IF(NOTA[[#This Row],[JUMLAH]]="","",NOTA[[#This Row],[JUMLAH]]*NOTA[[#This Row],[DISC 1]])</f>
        <v>630000</v>
      </c>
      <c r="Y920" s="52">
        <f>IF(NOTA[[#This Row],[JUMLAH]]="","",(NOTA[[#This Row],[JUMLAH]]-NOTA[[#This Row],[DISC 1-]])*NOTA[[#This Row],[DISC 2]])</f>
        <v>220500</v>
      </c>
      <c r="Z920" s="52">
        <f>IF(NOTA[[#This Row],[JUMLAH]]="","",NOTA[[#This Row],[DISC 1-]]+NOTA[[#This Row],[DISC 2-]])</f>
        <v>850500</v>
      </c>
      <c r="AA920" s="52">
        <f>IF(NOTA[[#This Row],[JUMLAH]]="","",NOTA[[#This Row],[JUMLAH]]-NOTA[[#This Row],[DISC]])</f>
        <v>4189500</v>
      </c>
      <c r="AB920" s="52"/>
      <c r="AC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64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20" s="203">
        <f>IF(OR(NOTA[[#This Row],[QTY]]="",NOTA[[#This Row],[HARGA SATUAN]]="",),"",NOTA[[#This Row],[QTY]]*NOTA[[#This Row],[HARGA SATUAN]])</f>
        <v>5040000</v>
      </c>
      <c r="AG920" s="53">
        <f ca="1">IF(NOTA[ID_H]="","",INDEX(NOTA[TANGGAL],MATCH(,INDIRECT(ADDRESS(ROW(NOTA[TANGGAL]),COLUMN(NOTA[TANGGAL]))&amp;":"&amp;ADDRESS(ROW(),COLUMN(NOTA[TANGGAL]))),-1)))</f>
        <v>45073</v>
      </c>
      <c r="AH920" s="64" t="str">
        <f ca="1">IF(NOTA[[#This Row],[NAMA BARANG]]="","",INDEX(NOTA[SUPPLIER],MATCH(,INDIRECT(ADDRESS(ROW(NOTA[ID]),COLUMN(NOTA[ID]))&amp;":"&amp;ADDRESS(ROW(),COLUMN(NOTA[ID]))),-1)))</f>
        <v>ATALI MAKMUR</v>
      </c>
      <c r="AI920" s="64" t="str">
        <f ca="1">IF(NOTA[[#This Row],[ID_H]]="","",IF(NOTA[[#This Row],[FAKTUR]]="",INDIRECT(ADDRESS(ROW()-1,COLUMN())),NOTA[[#This Row],[FAKTUR]]))</f>
        <v>ARTO MORO</v>
      </c>
      <c r="AJ920" s="66" t="str">
        <f ca="1">IF(NOTA[[#This Row],[ID]]="","",COUNTIF(NOTA[ID_H],NOTA[[#This Row],[ID_H]]))</f>
        <v/>
      </c>
      <c r="AK920" s="66">
        <f ca="1">IF(NOTA[[#This Row],[TGL.NOTA]]="",IF(NOTA[[#This Row],[SUPPLIER_H]]="","",AK919),MONTH(NOTA[[#This Row],[TGL.NOTA]]))</f>
        <v>5</v>
      </c>
      <c r="AL920" s="66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M9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N9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O9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66" t="str">
        <f>IF(NOTA[[#This Row],[CONCAT4]]="","",_xlfn.IFNA(MATCH(NOTA[[#This Row],[CONCAT4]],[2]!RAW[CONCAT_H],0),FALSE))</f>
        <v/>
      </c>
      <c r="AQ920" s="66">
        <f>IF(NOTA[[#This Row],[CONCAT1]]="","",MATCH(NOTA[[#This Row],[CONCAT1]],[3]!db[NB NOTA_C],0)+1)</f>
        <v>534</v>
      </c>
    </row>
    <row r="921" spans="1:43" ht="20.100000000000001" customHeight="1" x14ac:dyDescent="0.25">
      <c r="A9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66" t="str">
        <f>IF(NOTA[[#This Row],[ID_P]]="","",MATCH(NOTA[[#This Row],[ID_P]],[1]!B_MSK[N_ID],0))</f>
        <v/>
      </c>
      <c r="D921" s="66">
        <f ca="1">IF(NOTA[[#This Row],[NAMA BARANG]]="","",INDEX(NOTA[ID],MATCH(,INDIRECT(ADDRESS(ROW(NOTA[ID]),COLUMN(NOTA[ID]))&amp;":"&amp;ADDRESS(ROW(),COLUMN(NOTA[ID]))),-1)))</f>
        <v>159</v>
      </c>
      <c r="E921" s="113"/>
      <c r="H921" s="54"/>
      <c r="L921" s="27" t="s">
        <v>1105</v>
      </c>
      <c r="M921" s="114">
        <v>3</v>
      </c>
      <c r="N921" s="66">
        <v>864</v>
      </c>
      <c r="O921" s="27" t="s">
        <v>252</v>
      </c>
      <c r="P921" s="64">
        <v>6700</v>
      </c>
      <c r="Q921" s="79"/>
      <c r="R921" s="42" t="s">
        <v>884</v>
      </c>
      <c r="S921" s="80">
        <v>0.125</v>
      </c>
      <c r="T921" s="115">
        <v>0.05</v>
      </c>
      <c r="U921" s="52"/>
      <c r="V921" s="77"/>
      <c r="W921" s="52">
        <f>IF(NOTA[[#This Row],[HARGA/ CTN]]="",NOTA[[#This Row],[JUMLAH_H]],NOTA[[#This Row],[HARGA/ CTN]]*IF(NOTA[[#This Row],[C]]="",0,NOTA[[#This Row],[C]]))</f>
        <v>5788800</v>
      </c>
      <c r="X921" s="52">
        <f>IF(NOTA[[#This Row],[JUMLAH]]="","",NOTA[[#This Row],[JUMLAH]]*NOTA[[#This Row],[DISC 1]])</f>
        <v>723600</v>
      </c>
      <c r="Y921" s="52">
        <f>IF(NOTA[[#This Row],[JUMLAH]]="","",(NOTA[[#This Row],[JUMLAH]]-NOTA[[#This Row],[DISC 1-]])*NOTA[[#This Row],[DISC 2]])</f>
        <v>253260</v>
      </c>
      <c r="Z921" s="52">
        <f>IF(NOTA[[#This Row],[JUMLAH]]="","",NOTA[[#This Row],[DISC 1-]]+NOTA[[#This Row],[DISC 2-]])</f>
        <v>976860</v>
      </c>
      <c r="AA921" s="52">
        <f>IF(NOTA[[#This Row],[JUMLAH]]="","",NOTA[[#This Row],[JUMLAH]]-NOTA[[#This Row],[DISC]])</f>
        <v>4811940</v>
      </c>
      <c r="AB921" s="52"/>
      <c r="AC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921" s="203">
        <f>IF(OR(NOTA[[#This Row],[QTY]]="",NOTA[[#This Row],[HARGA SATUAN]]="",),"",NOTA[[#This Row],[QTY]]*NOTA[[#This Row],[HARGA SATUAN]])</f>
        <v>5788800</v>
      </c>
      <c r="AG921" s="53">
        <f ca="1">IF(NOTA[ID_H]="","",INDEX(NOTA[TANGGAL],MATCH(,INDIRECT(ADDRESS(ROW(NOTA[TANGGAL]),COLUMN(NOTA[TANGGAL]))&amp;":"&amp;ADDRESS(ROW(),COLUMN(NOTA[TANGGAL]))),-1)))</f>
        <v>45073</v>
      </c>
      <c r="AH921" s="64" t="str">
        <f ca="1">IF(NOTA[[#This Row],[NAMA BARANG]]="","",INDEX(NOTA[SUPPLIER],MATCH(,INDIRECT(ADDRESS(ROW(NOTA[ID]),COLUMN(NOTA[ID]))&amp;":"&amp;ADDRESS(ROW(),COLUMN(NOTA[ID]))),-1)))</f>
        <v>ATALI MAKMUR</v>
      </c>
      <c r="AI921" s="64" t="str">
        <f ca="1">IF(NOTA[[#This Row],[ID_H]]="","",IF(NOTA[[#This Row],[FAKTUR]]="",INDIRECT(ADDRESS(ROW()-1,COLUMN())),NOTA[[#This Row],[FAKTUR]]))</f>
        <v>ARTO MORO</v>
      </c>
      <c r="AJ921" s="66" t="str">
        <f ca="1">IF(NOTA[[#This Row],[ID]]="","",COUNTIF(NOTA[ID_H],NOTA[[#This Row],[ID_H]]))</f>
        <v/>
      </c>
      <c r="AK921" s="66">
        <f ca="1">IF(NOTA[[#This Row],[TGL.NOTA]]="",IF(NOTA[[#This Row],[SUPPLIER_H]]="","",AK920),MONTH(NOTA[[#This Row],[TGL.NOTA]]))</f>
        <v>5</v>
      </c>
      <c r="AL921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9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9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9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66" t="str">
        <f>IF(NOTA[[#This Row],[CONCAT4]]="","",_xlfn.IFNA(MATCH(NOTA[[#This Row],[CONCAT4]],[2]!RAW[CONCAT_H],0),FALSE))</f>
        <v/>
      </c>
      <c r="AQ921" s="66">
        <f>IF(NOTA[[#This Row],[CONCAT1]]="","",MATCH(NOTA[[#This Row],[CONCAT1]],[3]!db[NB NOTA_C],0)+1)</f>
        <v>535</v>
      </c>
    </row>
    <row r="922" spans="1:43" ht="20.100000000000001" customHeight="1" x14ac:dyDescent="0.25">
      <c r="A9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66" t="str">
        <f>IF(NOTA[[#This Row],[ID_P]]="","",MATCH(NOTA[[#This Row],[ID_P]],[1]!B_MSK[N_ID],0))</f>
        <v/>
      </c>
      <c r="D922" s="66">
        <f ca="1">IF(NOTA[[#This Row],[NAMA BARANG]]="","",INDEX(NOTA[ID],MATCH(,INDIRECT(ADDRESS(ROW(NOTA[ID]),COLUMN(NOTA[ID]))&amp;":"&amp;ADDRESS(ROW(),COLUMN(NOTA[ID]))),-1)))</f>
        <v>159</v>
      </c>
      <c r="E922" s="113"/>
      <c r="H922" s="54"/>
      <c r="L922" s="27" t="s">
        <v>1106</v>
      </c>
      <c r="M922" s="114">
        <v>3</v>
      </c>
      <c r="N922" s="66">
        <v>432</v>
      </c>
      <c r="O922" s="27" t="s">
        <v>252</v>
      </c>
      <c r="P922" s="64">
        <v>9600</v>
      </c>
      <c r="Q922" s="79"/>
      <c r="R922" s="42"/>
      <c r="S922" s="80">
        <v>0.125</v>
      </c>
      <c r="T922" s="115">
        <v>0.05</v>
      </c>
      <c r="U922" s="52"/>
      <c r="V922" s="77"/>
      <c r="W922" s="52">
        <f>IF(NOTA[[#This Row],[HARGA/ CTN]]="",NOTA[[#This Row],[JUMLAH_H]],NOTA[[#This Row],[HARGA/ CTN]]*IF(NOTA[[#This Row],[C]]="",0,NOTA[[#This Row],[C]]))</f>
        <v>4147200</v>
      </c>
      <c r="X922" s="52">
        <f>IF(NOTA[[#This Row],[JUMLAH]]="","",NOTA[[#This Row],[JUMLAH]]*NOTA[[#This Row],[DISC 1]])</f>
        <v>518400</v>
      </c>
      <c r="Y922" s="52">
        <f>IF(NOTA[[#This Row],[JUMLAH]]="","",(NOTA[[#This Row],[JUMLAH]]-NOTA[[#This Row],[DISC 1-]])*NOTA[[#This Row],[DISC 2]])</f>
        <v>181440</v>
      </c>
      <c r="Z922" s="52">
        <f>IF(NOTA[[#This Row],[JUMLAH]]="","",NOTA[[#This Row],[DISC 1-]]+NOTA[[#This Row],[DISC 2-]])</f>
        <v>699840</v>
      </c>
      <c r="AA922" s="52">
        <f>IF(NOTA[[#This Row],[JUMLAH]]="","",NOTA[[#This Row],[JUMLAH]]-NOTA[[#This Row],[DISC]])</f>
        <v>3447360</v>
      </c>
      <c r="AB922" s="52"/>
      <c r="AC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22" s="203">
        <f>IF(OR(NOTA[[#This Row],[QTY]]="",NOTA[[#This Row],[HARGA SATUAN]]="",),"",NOTA[[#This Row],[QTY]]*NOTA[[#This Row],[HARGA SATUAN]])</f>
        <v>4147200</v>
      </c>
      <c r="AG922" s="53">
        <f ca="1">IF(NOTA[ID_H]="","",INDEX(NOTA[TANGGAL],MATCH(,INDIRECT(ADDRESS(ROW(NOTA[TANGGAL]),COLUMN(NOTA[TANGGAL]))&amp;":"&amp;ADDRESS(ROW(),COLUMN(NOTA[TANGGAL]))),-1)))</f>
        <v>45073</v>
      </c>
      <c r="AH922" s="64" t="str">
        <f ca="1">IF(NOTA[[#This Row],[NAMA BARANG]]="","",INDEX(NOTA[SUPPLIER],MATCH(,INDIRECT(ADDRESS(ROW(NOTA[ID]),COLUMN(NOTA[ID]))&amp;":"&amp;ADDRESS(ROW(),COLUMN(NOTA[ID]))),-1)))</f>
        <v>ATALI MAKMUR</v>
      </c>
      <c r="AI922" s="64" t="str">
        <f ca="1">IF(NOTA[[#This Row],[ID_H]]="","",IF(NOTA[[#This Row],[FAKTUR]]="",INDIRECT(ADDRESS(ROW()-1,COLUMN())),NOTA[[#This Row],[FAKTUR]]))</f>
        <v>ARTO MORO</v>
      </c>
      <c r="AJ922" s="66" t="str">
        <f ca="1">IF(NOTA[[#This Row],[ID]]="","",COUNTIF(NOTA[ID_H],NOTA[[#This Row],[ID_H]]))</f>
        <v/>
      </c>
      <c r="AK922" s="66">
        <f ca="1">IF(NOTA[[#This Row],[TGL.NOTA]]="",IF(NOTA[[#This Row],[SUPPLIER_H]]="","",AK921),MONTH(NOTA[[#This Row],[TGL.NOTA]]))</f>
        <v>5</v>
      </c>
      <c r="AL922" s="66" t="str">
        <f>LOWER(SUBSTITUTE(SUBSTITUTE(SUBSTITUTE(SUBSTITUTE(SUBSTITUTE(SUBSTITUTE(SUBSTITUTE(SUBSTITUTE(SUBSTITUTE(NOTA[NAMA BARANG]," ",),".",""),"-",""),"(",""),")",""),",",""),"/",""),"""",""),"+",""))</f>
        <v>colorpencilcp10012cjk</v>
      </c>
      <c r="AM9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colorpencilcp10012cjk13824000.1250.05</v>
      </c>
      <c r="AN9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colorpencilcp10012cjk13824000.1250.05</v>
      </c>
      <c r="AO9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66" t="str">
        <f>IF(NOTA[[#This Row],[CONCAT4]]="","",_xlfn.IFNA(MATCH(NOTA[[#This Row],[CONCAT4]],[2]!RAW[CONCAT_H],0),FALSE))</f>
        <v/>
      </c>
      <c r="AQ922" s="66">
        <f>IF(NOTA[[#This Row],[CONCAT1]]="","",MATCH(NOTA[[#This Row],[CONCAT1]],[3]!db[NB NOTA_C],0)+1)</f>
        <v>524</v>
      </c>
    </row>
    <row r="923" spans="1:43" ht="20.100000000000001" customHeight="1" x14ac:dyDescent="0.25">
      <c r="A9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66" t="str">
        <f>IF(NOTA[[#This Row],[ID_P]]="","",MATCH(NOTA[[#This Row],[ID_P]],[1]!B_MSK[N_ID],0))</f>
        <v/>
      </c>
      <c r="D923" s="66">
        <f ca="1">IF(NOTA[[#This Row],[NAMA BARANG]]="","",INDEX(NOTA[ID],MATCH(,INDIRECT(ADDRESS(ROW(NOTA[ID]),COLUMN(NOTA[ID]))&amp;":"&amp;ADDRESS(ROW(),COLUMN(NOTA[ID]))),-1)))</f>
        <v>159</v>
      </c>
      <c r="E923" s="113"/>
      <c r="H923" s="54"/>
      <c r="L923" s="27" t="s">
        <v>1108</v>
      </c>
      <c r="M923" s="114">
        <v>3</v>
      </c>
      <c r="N923" s="66">
        <v>432</v>
      </c>
      <c r="O923" s="27" t="s">
        <v>252</v>
      </c>
      <c r="P923" s="64">
        <v>12200</v>
      </c>
      <c r="Q923" s="79"/>
      <c r="R923" s="42" t="s">
        <v>273</v>
      </c>
      <c r="S923" s="80">
        <v>0.125</v>
      </c>
      <c r="T923" s="115">
        <v>0.05</v>
      </c>
      <c r="U923" s="52"/>
      <c r="V923" s="77"/>
      <c r="W923" s="52">
        <f>IF(NOTA[[#This Row],[HARGA/ CTN]]="",NOTA[[#This Row],[JUMLAH_H]],NOTA[[#This Row],[HARGA/ CTN]]*IF(NOTA[[#This Row],[C]]="",0,NOTA[[#This Row],[C]]))</f>
        <v>5270400</v>
      </c>
      <c r="X923" s="52">
        <f>IF(NOTA[[#This Row],[JUMLAH]]="","",NOTA[[#This Row],[JUMLAH]]*NOTA[[#This Row],[DISC 1]])</f>
        <v>658800</v>
      </c>
      <c r="Y923" s="52">
        <f>IF(NOTA[[#This Row],[JUMLAH]]="","",(NOTA[[#This Row],[JUMLAH]]-NOTA[[#This Row],[DISC 1-]])*NOTA[[#This Row],[DISC 2]])</f>
        <v>230580</v>
      </c>
      <c r="Z923" s="52">
        <f>IF(NOTA[[#This Row],[JUMLAH]]="","",NOTA[[#This Row],[DISC 1-]]+NOTA[[#This Row],[DISC 2-]])</f>
        <v>889380</v>
      </c>
      <c r="AA923" s="52">
        <f>IF(NOTA[[#This Row],[JUMLAH]]="","",NOTA[[#This Row],[JUMLAH]]-NOTA[[#This Row],[DISC]])</f>
        <v>4381020</v>
      </c>
      <c r="AB923" s="52"/>
      <c r="AC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64">
        <f>IF(NOTA[[#This Row],[NAMA BARANG]]="","",IF(NOTA[[#This Row],[JUMLAH_H]]="",NOTA[[#This Row],[HARGA/ CTN]],NOTA[[#This Row],[QTY]]*NOTA[[#This Row],[HARGA SATUAN]]/IF(ISNUMBER(NOTA[[#This Row],[C]]),NOTA[[#This Row],[C]],1)))</f>
        <v>1756800</v>
      </c>
      <c r="AF923" s="203">
        <f>IF(OR(NOTA[[#This Row],[QTY]]="",NOTA[[#This Row],[HARGA SATUAN]]="",),"",NOTA[[#This Row],[QTY]]*NOTA[[#This Row],[HARGA SATUAN]])</f>
        <v>5270400</v>
      </c>
      <c r="AG923" s="53">
        <f ca="1">IF(NOTA[ID_H]="","",INDEX(NOTA[TANGGAL],MATCH(,INDIRECT(ADDRESS(ROW(NOTA[TANGGAL]),COLUMN(NOTA[TANGGAL]))&amp;":"&amp;ADDRESS(ROW(),COLUMN(NOTA[TANGGAL]))),-1)))</f>
        <v>45073</v>
      </c>
      <c r="AH923" s="64" t="str">
        <f ca="1">IF(NOTA[[#This Row],[NAMA BARANG]]="","",INDEX(NOTA[SUPPLIER],MATCH(,INDIRECT(ADDRESS(ROW(NOTA[ID]),COLUMN(NOTA[ID]))&amp;":"&amp;ADDRESS(ROW(),COLUMN(NOTA[ID]))),-1)))</f>
        <v>ATALI MAKMUR</v>
      </c>
      <c r="AI923" s="64" t="str">
        <f ca="1">IF(NOTA[[#This Row],[ID_H]]="","",IF(NOTA[[#This Row],[FAKTUR]]="",INDIRECT(ADDRESS(ROW()-1,COLUMN())),NOTA[[#This Row],[FAKTUR]]))</f>
        <v>ARTO MORO</v>
      </c>
      <c r="AJ923" s="66" t="str">
        <f ca="1">IF(NOTA[[#This Row],[ID]]="","",COUNTIF(NOTA[ID_H],NOTA[[#This Row],[ID_H]]))</f>
        <v/>
      </c>
      <c r="AK923" s="66">
        <f ca="1">IF(NOTA[[#This Row],[TGL.NOTA]]="",IF(NOTA[[#This Row],[SUPPLIER_H]]="","",AK922),MONTH(NOTA[[#This Row],[TGL.NOTA]]))</f>
        <v>5</v>
      </c>
      <c r="AL923" s="66" t="str">
        <f>LOWER(SUBSTITUTE(SUBSTITUTE(SUBSTITUTE(SUBSTITUTE(SUBSTITUTE(SUBSTITUTE(SUBSTITUTE(SUBSTITUTE(SUBSTITUTE(NOTA[NAMA BARANG]," ",),".",""),"-",""),"(",""),")",""),",",""),"/",""),"""",""),"+",""))</f>
        <v>colorpencilcp812cjk</v>
      </c>
      <c r="AM9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colorpencilcp812cjk17568000.1250.05</v>
      </c>
      <c r="AN9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colorpencilcp812cjk17568000.1250.05</v>
      </c>
      <c r="AO9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66" t="str">
        <f>IF(NOTA[[#This Row],[CONCAT4]]="","",_xlfn.IFNA(MATCH(NOTA[[#This Row],[CONCAT4]],[2]!RAW[CONCAT_H],0),FALSE))</f>
        <v/>
      </c>
      <c r="AQ923" s="66">
        <f>IF(NOTA[[#This Row],[CONCAT1]]="","",MATCH(NOTA[[#This Row],[CONCAT1]],[3]!db[NB NOTA_C],0)+1)</f>
        <v>523</v>
      </c>
    </row>
    <row r="924" spans="1:43" ht="20.100000000000001" customHeight="1" x14ac:dyDescent="0.25">
      <c r="A9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66" t="str">
        <f>IF(NOTA[[#This Row],[ID_P]]="","",MATCH(NOTA[[#This Row],[ID_P]],[1]!B_MSK[N_ID],0))</f>
        <v/>
      </c>
      <c r="D924" s="66">
        <f ca="1">IF(NOTA[[#This Row],[NAMA BARANG]]="","",INDEX(NOTA[ID],MATCH(,INDIRECT(ADDRESS(ROW(NOTA[ID]),COLUMN(NOTA[ID]))&amp;":"&amp;ADDRESS(ROW(),COLUMN(NOTA[ID]))),-1)))</f>
        <v>159</v>
      </c>
      <c r="E924" s="113"/>
      <c r="H924" s="54"/>
      <c r="L924" s="27" t="s">
        <v>1107</v>
      </c>
      <c r="M924" s="114">
        <v>1</v>
      </c>
      <c r="N924" s="66">
        <v>30</v>
      </c>
      <c r="O924" s="27" t="s">
        <v>183</v>
      </c>
      <c r="P924" s="64">
        <v>96000</v>
      </c>
      <c r="Q924" s="79"/>
      <c r="R924" s="42"/>
      <c r="S924" s="80">
        <v>0.125</v>
      </c>
      <c r="T924" s="115">
        <v>0.05</v>
      </c>
      <c r="U924" s="52"/>
      <c r="V924" s="77"/>
      <c r="W924" s="52">
        <f>IF(NOTA[[#This Row],[HARGA/ CTN]]="",NOTA[[#This Row],[JUMLAH_H]],NOTA[[#This Row],[HARGA/ CTN]]*IF(NOTA[[#This Row],[C]]="",0,NOTA[[#This Row],[C]]))</f>
        <v>2880000</v>
      </c>
      <c r="X924" s="52">
        <f>IF(NOTA[[#This Row],[JUMLAH]]="","",NOTA[[#This Row],[JUMLAH]]*NOTA[[#This Row],[DISC 1]])</f>
        <v>360000</v>
      </c>
      <c r="Y924" s="52">
        <f>IF(NOTA[[#This Row],[JUMLAH]]="","",(NOTA[[#This Row],[JUMLAH]]-NOTA[[#This Row],[DISC 1-]])*NOTA[[#This Row],[DISC 2]])</f>
        <v>126000</v>
      </c>
      <c r="Z924" s="52">
        <f>IF(NOTA[[#This Row],[JUMLAH]]="","",NOTA[[#This Row],[DISC 1-]]+NOTA[[#This Row],[DISC 2-]])</f>
        <v>486000</v>
      </c>
      <c r="AA924" s="52">
        <f>IF(NOTA[[#This Row],[JUMLAH]]="","",NOTA[[#This Row],[JUMLAH]]-NOTA[[#This Row],[DISC]])</f>
        <v>2394000</v>
      </c>
      <c r="AB924" s="52"/>
      <c r="AC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924" s="203">
        <f>IF(OR(NOTA[[#This Row],[QTY]]="",NOTA[[#This Row],[HARGA SATUAN]]="",),"",NOTA[[#This Row],[QTY]]*NOTA[[#This Row],[HARGA SATUAN]])</f>
        <v>2880000</v>
      </c>
      <c r="AG924" s="53">
        <f ca="1">IF(NOTA[ID_H]="","",INDEX(NOTA[TANGGAL],MATCH(,INDIRECT(ADDRESS(ROW(NOTA[TANGGAL]),COLUMN(NOTA[TANGGAL]))&amp;":"&amp;ADDRESS(ROW(),COLUMN(NOTA[TANGGAL]))),-1)))</f>
        <v>45073</v>
      </c>
      <c r="AH924" s="64" t="str">
        <f ca="1">IF(NOTA[[#This Row],[NAMA BARANG]]="","",INDEX(NOTA[SUPPLIER],MATCH(,INDIRECT(ADDRESS(ROW(NOTA[ID]),COLUMN(NOTA[ID]))&amp;":"&amp;ADDRESS(ROW(),COLUMN(NOTA[ID]))),-1)))</f>
        <v>ATALI MAKMUR</v>
      </c>
      <c r="AI924" s="64" t="str">
        <f ca="1">IF(NOTA[[#This Row],[ID_H]]="","",IF(NOTA[[#This Row],[FAKTUR]]="",INDIRECT(ADDRESS(ROW()-1,COLUMN())),NOTA[[#This Row],[FAKTUR]]))</f>
        <v>ARTO MORO</v>
      </c>
      <c r="AJ924" s="66" t="str">
        <f ca="1">IF(NOTA[[#This Row],[ID]]="","",COUNTIF(NOTA[ID_H],NOTA[[#This Row],[ID_H]]))</f>
        <v/>
      </c>
      <c r="AK924" s="66">
        <f ca="1">IF(NOTA[[#This Row],[TGL.NOTA]]="",IF(NOTA[[#This Row],[SUPPLIER_H]]="","",AK922),MONTH(NOTA[[#This Row],[TGL.NOTA]]))</f>
        <v>5</v>
      </c>
      <c r="AL924" s="66" t="str">
        <f>LOWER(SUBSTITUTE(SUBSTITUTE(SUBSTITUTE(SUBSTITUTE(SUBSTITUTE(SUBSTITUTE(SUBSTITUTE(SUBSTITUTE(SUBSTITUTE(NOTA[NAMA BARANG]," ",),".",""),"-",""),"(",""),")",""),",",""),"/",""),"""",""),"+",""))</f>
        <v>pencilp932bjk</v>
      </c>
      <c r="AM9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N9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O9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66" t="str">
        <f>IF(NOTA[[#This Row],[CONCAT4]]="","",_xlfn.IFNA(MATCH(NOTA[[#This Row],[CONCAT4]],[2]!RAW[CONCAT_H],0),FALSE))</f>
        <v/>
      </c>
      <c r="AQ924" s="66">
        <f>IF(NOTA[[#This Row],[CONCAT1]]="","",MATCH(NOTA[[#This Row],[CONCAT1]],[3]!db[NB NOTA_C],0)+1)</f>
        <v>1930</v>
      </c>
    </row>
    <row r="925" spans="1:43" ht="20.100000000000001" customHeight="1" x14ac:dyDescent="0.25">
      <c r="A9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66" t="str">
        <f>IF(NOTA[[#This Row],[ID_P]]="","",MATCH(NOTA[[#This Row],[ID_P]],[1]!B_MSK[N_ID],0))</f>
        <v/>
      </c>
      <c r="D925" s="66">
        <f ca="1">IF(NOTA[[#This Row],[NAMA BARANG]]="","",INDEX(NOTA[ID],MATCH(,INDIRECT(ADDRESS(ROW(NOTA[ID]),COLUMN(NOTA[ID]))&amp;":"&amp;ADDRESS(ROW(),COLUMN(NOTA[ID]))),-1)))</f>
        <v>159</v>
      </c>
      <c r="E925" s="113"/>
      <c r="H925" s="54"/>
      <c r="L925" s="27" t="s">
        <v>269</v>
      </c>
      <c r="M925" s="114">
        <v>1</v>
      </c>
      <c r="N925" s="66">
        <v>30</v>
      </c>
      <c r="O925" s="27" t="s">
        <v>183</v>
      </c>
      <c r="P925" s="64">
        <v>104400</v>
      </c>
      <c r="Q925" s="79"/>
      <c r="R925" s="42"/>
      <c r="S925" s="80">
        <v>0.125</v>
      </c>
      <c r="T925" s="115">
        <v>0.05</v>
      </c>
      <c r="U925" s="52"/>
      <c r="V925" s="77"/>
      <c r="W925" s="52">
        <f>IF(NOTA[[#This Row],[HARGA/ CTN]]="",NOTA[[#This Row],[JUMLAH_H]],NOTA[[#This Row],[HARGA/ CTN]]*IF(NOTA[[#This Row],[C]]="",0,NOTA[[#This Row],[C]]))</f>
        <v>3132000</v>
      </c>
      <c r="X925" s="52">
        <f>IF(NOTA[[#This Row],[JUMLAH]]="","",NOTA[[#This Row],[JUMLAH]]*NOTA[[#This Row],[DISC 1]])</f>
        <v>391500</v>
      </c>
      <c r="Y925" s="52">
        <f>IF(NOTA[[#This Row],[JUMLAH]]="","",(NOTA[[#This Row],[JUMLAH]]-NOTA[[#This Row],[DISC 1-]])*NOTA[[#This Row],[DISC 2]])</f>
        <v>137025</v>
      </c>
      <c r="Z925" s="52">
        <f>IF(NOTA[[#This Row],[JUMLAH]]="","",NOTA[[#This Row],[DISC 1-]]+NOTA[[#This Row],[DISC 2-]])</f>
        <v>528525</v>
      </c>
      <c r="AA925" s="52">
        <f>IF(NOTA[[#This Row],[JUMLAH]]="","",NOTA[[#This Row],[JUMLAH]]-NOTA[[#This Row],[DISC]])</f>
        <v>2603475</v>
      </c>
      <c r="AB925" s="52"/>
      <c r="AC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25" s="203">
        <f>IF(OR(NOTA[[#This Row],[QTY]]="",NOTA[[#This Row],[HARGA SATUAN]]="",),"",NOTA[[#This Row],[QTY]]*NOTA[[#This Row],[HARGA SATUAN]])</f>
        <v>3132000</v>
      </c>
      <c r="AG925" s="53">
        <f ca="1">IF(NOTA[ID_H]="","",INDEX(NOTA[TANGGAL],MATCH(,INDIRECT(ADDRESS(ROW(NOTA[TANGGAL]),COLUMN(NOTA[TANGGAL]))&amp;":"&amp;ADDRESS(ROW(),COLUMN(NOTA[TANGGAL]))),-1)))</f>
        <v>45073</v>
      </c>
      <c r="AH925" s="64" t="str">
        <f ca="1">IF(NOTA[[#This Row],[NAMA BARANG]]="","",INDEX(NOTA[SUPPLIER],MATCH(,INDIRECT(ADDRESS(ROW(NOTA[ID]),COLUMN(NOTA[ID]))&amp;":"&amp;ADDRESS(ROW(),COLUMN(NOTA[ID]))),-1)))</f>
        <v>ATALI MAKMUR</v>
      </c>
      <c r="AI925" s="64" t="str">
        <f ca="1">IF(NOTA[[#This Row],[ID_H]]="","",IF(NOTA[[#This Row],[FAKTUR]]="",INDIRECT(ADDRESS(ROW()-1,COLUMN())),NOTA[[#This Row],[FAKTUR]]))</f>
        <v>ARTO MORO</v>
      </c>
      <c r="AJ925" s="66" t="str">
        <f ca="1">IF(NOTA[[#This Row],[ID]]="","",COUNTIF(NOTA[ID_H],NOTA[[#This Row],[ID_H]]))</f>
        <v/>
      </c>
      <c r="AK925" s="66">
        <f ca="1">IF(NOTA[[#This Row],[TGL.NOTA]]="",IF(NOTA[[#This Row],[SUPPLIER_H]]="","",AK924),MONTH(NOTA[[#This Row],[TGL.NOTA]]))</f>
        <v>5</v>
      </c>
      <c r="AL925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66" t="str">
        <f>IF(NOTA[[#This Row],[CONCAT4]]="","",_xlfn.IFNA(MATCH(NOTA[[#This Row],[CONCAT4]],[2]!RAW[CONCAT_H],0),FALSE))</f>
        <v/>
      </c>
      <c r="AQ925" s="66">
        <f>IF(NOTA[[#This Row],[CONCAT1]]="","",MATCH(NOTA[[#This Row],[CONCAT1]],[3]!db[NB NOTA_C],0)+1)</f>
        <v>1927</v>
      </c>
    </row>
    <row r="926" spans="1:43" ht="20.100000000000001" customHeight="1" x14ac:dyDescent="0.25">
      <c r="A9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66" t="str">
        <f>IF(NOTA[[#This Row],[ID_P]]="","",MATCH(NOTA[[#This Row],[ID_P]],[1]!B_MSK[N_ID],0))</f>
        <v/>
      </c>
      <c r="D926" s="66">
        <f ca="1">IF(NOTA[[#This Row],[NAMA BARANG]]="","",INDEX(NOTA[ID],MATCH(,INDIRECT(ADDRESS(ROW(NOTA[ID]),COLUMN(NOTA[ID]))&amp;":"&amp;ADDRESS(ROW(),COLUMN(NOTA[ID]))),-1)))</f>
        <v>159</v>
      </c>
      <c r="E926" s="113"/>
      <c r="H926" s="54"/>
      <c r="L926" s="27" t="s">
        <v>834</v>
      </c>
      <c r="M926" s="114">
        <v>3</v>
      </c>
      <c r="N926" s="66">
        <v>216</v>
      </c>
      <c r="O926" s="27" t="s">
        <v>125</v>
      </c>
      <c r="P926" s="64">
        <v>37200</v>
      </c>
      <c r="Q926" s="79"/>
      <c r="R926" s="42"/>
      <c r="S926" s="80">
        <v>0.125</v>
      </c>
      <c r="T926" s="115">
        <v>0.05</v>
      </c>
      <c r="U926" s="52"/>
      <c r="V926" s="77"/>
      <c r="W926" s="52">
        <f>IF(NOTA[[#This Row],[HARGA/ CTN]]="",NOTA[[#This Row],[JUMLAH_H]],NOTA[[#This Row],[HARGA/ CTN]]*IF(NOTA[[#This Row],[C]]="",0,NOTA[[#This Row],[C]]))</f>
        <v>8035200</v>
      </c>
      <c r="X926" s="52">
        <f>IF(NOTA[[#This Row],[JUMLAH]]="","",NOTA[[#This Row],[JUMLAH]]*NOTA[[#This Row],[DISC 1]])</f>
        <v>1004400</v>
      </c>
      <c r="Y926" s="52">
        <f>IF(NOTA[[#This Row],[JUMLAH]]="","",(NOTA[[#This Row],[JUMLAH]]-NOTA[[#This Row],[DISC 1-]])*NOTA[[#This Row],[DISC 2]])</f>
        <v>351540</v>
      </c>
      <c r="Z926" s="52">
        <f>IF(NOTA[[#This Row],[JUMLAH]]="","",NOTA[[#This Row],[DISC 1-]]+NOTA[[#This Row],[DISC 2-]])</f>
        <v>1355940</v>
      </c>
      <c r="AA926" s="52">
        <f>IF(NOTA[[#This Row],[JUMLAH]]="","",NOTA[[#This Row],[JUMLAH]]-NOTA[[#This Row],[DISC]])</f>
        <v>6679260</v>
      </c>
      <c r="AB926" s="52"/>
      <c r="AC92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8588868.75</v>
      </c>
      <c r="AD92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42308131.25</v>
      </c>
      <c r="AE926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26" s="203">
        <f>IF(OR(NOTA[[#This Row],[QTY]]="",NOTA[[#This Row],[HARGA SATUAN]]="",),"",NOTA[[#This Row],[QTY]]*NOTA[[#This Row],[HARGA SATUAN]])</f>
        <v>8035200</v>
      </c>
      <c r="AG926" s="53">
        <f ca="1">IF(NOTA[ID_H]="","",INDEX(NOTA[TANGGAL],MATCH(,INDIRECT(ADDRESS(ROW(NOTA[TANGGAL]),COLUMN(NOTA[TANGGAL]))&amp;":"&amp;ADDRESS(ROW(),COLUMN(NOTA[TANGGAL]))),-1)))</f>
        <v>45073</v>
      </c>
      <c r="AH926" s="64" t="str">
        <f ca="1">IF(NOTA[[#This Row],[NAMA BARANG]]="","",INDEX(NOTA[SUPPLIER],MATCH(,INDIRECT(ADDRESS(ROW(NOTA[ID]),COLUMN(NOTA[ID]))&amp;":"&amp;ADDRESS(ROW(),COLUMN(NOTA[ID]))),-1)))</f>
        <v>ATALI MAKMUR</v>
      </c>
      <c r="AI926" s="64" t="str">
        <f ca="1">IF(NOTA[[#This Row],[ID_H]]="","",IF(NOTA[[#This Row],[FAKTUR]]="",INDIRECT(ADDRESS(ROW()-1,COLUMN())),NOTA[[#This Row],[FAKTUR]]))</f>
        <v>ARTO MORO</v>
      </c>
      <c r="AJ926" s="66" t="str">
        <f ca="1">IF(NOTA[[#This Row],[ID]]="","",COUNTIF(NOTA[ID_H],NOTA[[#This Row],[ID_H]]))</f>
        <v/>
      </c>
      <c r="AK926" s="66">
        <f ca="1">IF(NOTA[[#This Row],[TGL.NOTA]]="",IF(NOTA[[#This Row],[SUPPLIER_H]]="","",AK925),MONTH(NOTA[[#This Row],[TGL.NOTA]]))</f>
        <v>5</v>
      </c>
      <c r="AL926" s="6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9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9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9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66" t="str">
        <f>IF(NOTA[[#This Row],[CONCAT4]]="","",_xlfn.IFNA(MATCH(NOTA[[#This Row],[CONCAT4]],[2]!RAW[CONCAT_H],0),FALSE))</f>
        <v/>
      </c>
      <c r="AQ926" s="66">
        <f>IF(NOTA[[#This Row],[CONCAT1]]="","",MATCH(NOTA[[#This Row],[CONCAT1]],[3]!db[NB NOTA_C],0)+1)</f>
        <v>1924</v>
      </c>
    </row>
    <row r="927" spans="1:43" ht="20.100000000000001" customHeight="1" x14ac:dyDescent="0.25">
      <c r="A9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66" t="str">
        <f>IF(NOTA[[#This Row],[ID_P]]="","",MATCH(NOTA[[#This Row],[ID_P]],[1]!B_MSK[N_ID],0))</f>
        <v/>
      </c>
      <c r="D927" s="66" t="str">
        <f ca="1">IF(NOTA[[#This Row],[NAMA BARANG]]="","",INDEX(NOTA[ID],MATCH(,INDIRECT(ADDRESS(ROW(NOTA[ID]),COLUMN(NOTA[ID]))&amp;":"&amp;ADDRESS(ROW(),COLUMN(NOTA[ID]))),-1)))</f>
        <v/>
      </c>
      <c r="E927" s="113"/>
      <c r="H927" s="54"/>
      <c r="N927" s="66"/>
      <c r="Q927" s="79"/>
      <c r="R927" s="42"/>
      <c r="S927" s="80"/>
      <c r="U927" s="52"/>
      <c r="V927" s="77"/>
      <c r="W927" s="52" t="str">
        <f>IF(NOTA[[#This Row],[HARGA/ CTN]]="",NOTA[[#This Row],[JUMLAH_H]],NOTA[[#This Row],[HARGA/ CTN]]*IF(NOTA[[#This Row],[C]]="",0,NOTA[[#This Row],[C]]))</f>
        <v/>
      </c>
      <c r="X927" s="52" t="str">
        <f>IF(NOTA[[#This Row],[JUMLAH]]="","",NOTA[[#This Row],[JUMLAH]]*NOTA[[#This Row],[DISC 1]])</f>
        <v/>
      </c>
      <c r="Y927" s="52" t="str">
        <f>IF(NOTA[[#This Row],[JUMLAH]]="","",(NOTA[[#This Row],[JUMLAH]]-NOTA[[#This Row],[DISC 1-]])*NOTA[[#This Row],[DISC 2]])</f>
        <v/>
      </c>
      <c r="Z927" s="52" t="str">
        <f>IF(NOTA[[#This Row],[JUMLAH]]="","",NOTA[[#This Row],[DISC 1-]]+NOTA[[#This Row],[DISC 2-]])</f>
        <v/>
      </c>
      <c r="AA927" s="52" t="str">
        <f>IF(NOTA[[#This Row],[JUMLAH]]="","",NOTA[[#This Row],[JUMLAH]]-NOTA[[#This Row],[DISC]])</f>
        <v/>
      </c>
      <c r="AB927" s="52"/>
      <c r="AC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203" t="str">
        <f>IF(OR(NOTA[[#This Row],[QTY]]="",NOTA[[#This Row],[HARGA SATUAN]]="",),"",NOTA[[#This Row],[QTY]]*NOTA[[#This Row],[HARGA SATUAN]])</f>
        <v/>
      </c>
      <c r="AG927" s="53" t="str">
        <f ca="1">IF(NOTA[ID_H]="","",INDEX(NOTA[TANGGAL],MATCH(,INDIRECT(ADDRESS(ROW(NOTA[TANGGAL]),COLUMN(NOTA[TANGGAL]))&amp;":"&amp;ADDRESS(ROW(),COLUMN(NOTA[TANGGAL]))),-1)))</f>
        <v/>
      </c>
      <c r="AH927" s="64" t="str">
        <f ca="1">IF(NOTA[[#This Row],[NAMA BARANG]]="","",INDEX(NOTA[SUPPLIER],MATCH(,INDIRECT(ADDRESS(ROW(NOTA[ID]),COLUMN(NOTA[ID]))&amp;":"&amp;ADDRESS(ROW(),COLUMN(NOTA[ID]))),-1)))</f>
        <v/>
      </c>
      <c r="AI927" s="64" t="str">
        <f ca="1">IF(NOTA[[#This Row],[ID_H]]="","",IF(NOTA[[#This Row],[FAKTUR]]="",INDIRECT(ADDRESS(ROW()-1,COLUMN())),NOTA[[#This Row],[FAKTUR]]))</f>
        <v/>
      </c>
      <c r="AJ927" s="66" t="str">
        <f ca="1">IF(NOTA[[#This Row],[ID]]="","",COUNTIF(NOTA[ID_H],NOTA[[#This Row],[ID_H]]))</f>
        <v/>
      </c>
      <c r="AK927" s="66" t="str">
        <f ca="1">IF(NOTA[[#This Row],[TGL.NOTA]]="",IF(NOTA[[#This Row],[SUPPLIER_H]]="","",AK926),MONTH(NOTA[[#This Row],[TGL.NOTA]]))</f>
        <v/>
      </c>
      <c r="AL927" s="66" t="str">
        <f>LOWER(SUBSTITUTE(SUBSTITUTE(SUBSTITUTE(SUBSTITUTE(SUBSTITUTE(SUBSTITUTE(SUBSTITUTE(SUBSTITUTE(SUBSTITUTE(NOTA[NAMA BARANG]," ",),".",""),"-",""),"(",""),")",""),",",""),"/",""),"""",""),"+",""))</f>
        <v/>
      </c>
      <c r="AM9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66" t="str">
        <f>IF(NOTA[[#This Row],[CONCAT4]]="","",_xlfn.IFNA(MATCH(NOTA[[#This Row],[CONCAT4]],[2]!RAW[CONCAT_H],0),FALSE))</f>
        <v/>
      </c>
      <c r="AQ927" s="66" t="str">
        <f>IF(NOTA[[#This Row],[CONCAT1]]="","",MATCH(NOTA[[#This Row],[CONCAT1]],[3]!db[NB NOTA_C],0)+1)</f>
        <v/>
      </c>
    </row>
    <row r="928" spans="1:43" ht="20.100000000000001" customHeight="1" x14ac:dyDescent="0.25">
      <c r="A928" s="64">
        <f ca="1">IF(INDIRECT(ADDRESS(ROW()-1,COLUMN(NOTA[[#Headers],[ID]])))="ID",1,IF(NOTA[[#This Row],[FAKTUR]]="","",COUNT(INDIRECT(ADDRESS(ROW(NOTA[ID]),COLUMN(NOTA[ID]))&amp;":"&amp;ADDRESS(ROW()-1,COLUMN(NOTA[ID]))))+1))</f>
        <v>160</v>
      </c>
      <c r="B92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ATA_2705_158-9</v>
      </c>
      <c r="C928" s="66" t="e">
        <f ca="1">IF(NOTA[[#This Row],[ID_P]]="","",MATCH(NOTA[[#This Row],[ID_P]],[1]!B_MSK[N_ID],0))</f>
        <v>#REF!</v>
      </c>
      <c r="D928" s="66">
        <f ca="1">IF(NOTA[[#This Row],[NAMA BARANG]]="","",INDEX(NOTA[ID],MATCH(,INDIRECT(ADDRESS(ROW(NOTA[ID]),COLUMN(NOTA[ID]))&amp;":"&amp;ADDRESS(ROW(),COLUMN(NOTA[ID]))),-1)))</f>
        <v>160</v>
      </c>
      <c r="E928" s="113"/>
      <c r="F928" s="27" t="s">
        <v>25</v>
      </c>
      <c r="G928" s="27" t="s">
        <v>24</v>
      </c>
      <c r="H928" s="54" t="s">
        <v>1109</v>
      </c>
      <c r="J928" s="53">
        <v>45068</v>
      </c>
      <c r="L928" s="27" t="s">
        <v>1110</v>
      </c>
      <c r="M928" s="114">
        <v>6</v>
      </c>
      <c r="N928" s="66">
        <v>1728</v>
      </c>
      <c r="O928" s="27" t="s">
        <v>160</v>
      </c>
      <c r="P928" s="64">
        <v>4800</v>
      </c>
      <c r="Q928" s="79"/>
      <c r="R928" s="42"/>
      <c r="S928" s="80">
        <v>0.125</v>
      </c>
      <c r="T928" s="115">
        <v>0.05</v>
      </c>
      <c r="U928" s="52"/>
      <c r="V928" s="77"/>
      <c r="W928" s="52">
        <f>IF(NOTA[[#This Row],[HARGA/ CTN]]="",NOTA[[#This Row],[JUMLAH_H]],NOTA[[#This Row],[HARGA/ CTN]]*IF(NOTA[[#This Row],[C]]="",0,NOTA[[#This Row],[C]]))</f>
        <v>8294400</v>
      </c>
      <c r="X928" s="52">
        <f>IF(NOTA[[#This Row],[JUMLAH]]="","",NOTA[[#This Row],[JUMLAH]]*NOTA[[#This Row],[DISC 1]])</f>
        <v>1036800</v>
      </c>
      <c r="Y928" s="52">
        <f>IF(NOTA[[#This Row],[JUMLAH]]="","",(NOTA[[#This Row],[JUMLAH]]-NOTA[[#This Row],[DISC 1-]])*NOTA[[#This Row],[DISC 2]])</f>
        <v>362880</v>
      </c>
      <c r="Z928" s="52">
        <f>IF(NOTA[[#This Row],[JUMLAH]]="","",NOTA[[#This Row],[DISC 1-]]+NOTA[[#This Row],[DISC 2-]])</f>
        <v>1399680</v>
      </c>
      <c r="AA928" s="52">
        <f>IF(NOTA[[#This Row],[JUMLAH]]="","",NOTA[[#This Row],[JUMLAH]]-NOTA[[#This Row],[DISC]])</f>
        <v>6894720</v>
      </c>
      <c r="AB928" s="52"/>
      <c r="AC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64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928" s="203">
        <f>IF(OR(NOTA[[#This Row],[QTY]]="",NOTA[[#This Row],[HARGA SATUAN]]="",),"",NOTA[[#This Row],[QTY]]*NOTA[[#This Row],[HARGA SATUAN]])</f>
        <v>8294400</v>
      </c>
      <c r="AG928" s="53">
        <f ca="1">IF(NOTA[ID_H]="","",INDEX(NOTA[TANGGAL],MATCH(,INDIRECT(ADDRESS(ROW(NOTA[TANGGAL]),COLUMN(NOTA[TANGGAL]))&amp;":"&amp;ADDRESS(ROW(),COLUMN(NOTA[TANGGAL]))),-1)))</f>
        <v>45073</v>
      </c>
      <c r="AH928" s="64" t="str">
        <f ca="1">IF(NOTA[[#This Row],[NAMA BARANG]]="","",INDEX(NOTA[SUPPLIER],MATCH(,INDIRECT(ADDRESS(ROW(NOTA[ID]),COLUMN(NOTA[ID]))&amp;":"&amp;ADDRESS(ROW(),COLUMN(NOTA[ID]))),-1)))</f>
        <v>ATALI MAKMUR</v>
      </c>
      <c r="AI928" s="64" t="str">
        <f ca="1">IF(NOTA[[#This Row],[ID_H]]="","",IF(NOTA[[#This Row],[FAKTUR]]="",INDIRECT(ADDRESS(ROW()-1,COLUMN())),NOTA[[#This Row],[FAKTUR]]))</f>
        <v>ARTO MORO</v>
      </c>
      <c r="AJ928" s="66">
        <f ca="1">IF(NOTA[[#This Row],[ID]]="","",COUNTIF(NOTA[ID_H],NOTA[[#This Row],[ID_H]]))</f>
        <v>9</v>
      </c>
      <c r="AK928" s="66">
        <f>IF(NOTA[[#This Row],[TGL.NOTA]]="",IF(NOTA[[#This Row],[SUPPLIER_H]]="","",AK927),MONTH(NOTA[[#This Row],[TGL.NOTA]]))</f>
        <v>5</v>
      </c>
      <c r="AL928" s="6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M9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N9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O92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MOROSA23050815845068pencilcasepc0719gz34afgozzyjk</v>
      </c>
      <c r="AP928" s="66" t="e">
        <f>IF(NOTA[[#This Row],[CONCAT4]]="","",_xlfn.IFNA(MATCH(NOTA[[#This Row],[CONCAT4]],[2]!RAW[CONCAT_H],0),FALSE))</f>
        <v>#REF!</v>
      </c>
      <c r="AQ928" s="66">
        <f>IF(NOTA[[#This Row],[CONCAT1]]="","",MATCH(NOTA[[#This Row],[CONCAT1]],[3]!db[NB NOTA_C],0)+1)</f>
        <v>1906</v>
      </c>
    </row>
    <row r="929" spans="1:43" ht="20.100000000000001" customHeight="1" x14ac:dyDescent="0.25">
      <c r="A9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66" t="str">
        <f>IF(NOTA[[#This Row],[ID_P]]="","",MATCH(NOTA[[#This Row],[ID_P]],[1]!B_MSK[N_ID],0))</f>
        <v/>
      </c>
      <c r="D929" s="66">
        <f ca="1">IF(NOTA[[#This Row],[NAMA BARANG]]="","",INDEX(NOTA[ID],MATCH(,INDIRECT(ADDRESS(ROW(NOTA[ID]),COLUMN(NOTA[ID]))&amp;":"&amp;ADDRESS(ROW(),COLUMN(NOTA[ID]))),-1)))</f>
        <v>160</v>
      </c>
      <c r="E929" s="113"/>
      <c r="H929" s="54"/>
      <c r="L929" s="27" t="s">
        <v>1111</v>
      </c>
      <c r="M929" s="114">
        <v>2</v>
      </c>
      <c r="N929" s="66">
        <v>40</v>
      </c>
      <c r="O929" s="27" t="s">
        <v>160</v>
      </c>
      <c r="P929" s="64">
        <v>40500</v>
      </c>
      <c r="Q929" s="79"/>
      <c r="R929" s="42"/>
      <c r="S929" s="80">
        <v>0.125</v>
      </c>
      <c r="T929" s="115">
        <v>0.05</v>
      </c>
      <c r="U929" s="52"/>
      <c r="V929" s="77"/>
      <c r="W929" s="52">
        <f>IF(NOTA[[#This Row],[HARGA/ CTN]]="",NOTA[[#This Row],[JUMLAH_H]],NOTA[[#This Row],[HARGA/ CTN]]*IF(NOTA[[#This Row],[C]]="",0,NOTA[[#This Row],[C]]))</f>
        <v>1620000</v>
      </c>
      <c r="X929" s="52">
        <f>IF(NOTA[[#This Row],[JUMLAH]]="","",NOTA[[#This Row],[JUMLAH]]*NOTA[[#This Row],[DISC 1]])</f>
        <v>202500</v>
      </c>
      <c r="Y929" s="52">
        <f>IF(NOTA[[#This Row],[JUMLAH]]="","",(NOTA[[#This Row],[JUMLAH]]-NOTA[[#This Row],[DISC 1-]])*NOTA[[#This Row],[DISC 2]])</f>
        <v>70875</v>
      </c>
      <c r="Z929" s="52">
        <f>IF(NOTA[[#This Row],[JUMLAH]]="","",NOTA[[#This Row],[DISC 1-]]+NOTA[[#This Row],[DISC 2-]])</f>
        <v>273375</v>
      </c>
      <c r="AA929" s="52">
        <f>IF(NOTA[[#This Row],[JUMLAH]]="","",NOTA[[#This Row],[JUMLAH]]-NOTA[[#This Row],[DISC]])</f>
        <v>1346625</v>
      </c>
      <c r="AB929" s="52"/>
      <c r="AC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64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9" s="203">
        <f>IF(OR(NOTA[[#This Row],[QTY]]="",NOTA[[#This Row],[HARGA SATUAN]]="",),"",NOTA[[#This Row],[QTY]]*NOTA[[#This Row],[HARGA SATUAN]])</f>
        <v>1620000</v>
      </c>
      <c r="AG929" s="53">
        <f ca="1">IF(NOTA[ID_H]="","",INDEX(NOTA[TANGGAL],MATCH(,INDIRECT(ADDRESS(ROW(NOTA[TANGGAL]),COLUMN(NOTA[TANGGAL]))&amp;":"&amp;ADDRESS(ROW(),COLUMN(NOTA[TANGGAL]))),-1)))</f>
        <v>45073</v>
      </c>
      <c r="AH929" s="64" t="str">
        <f ca="1">IF(NOTA[[#This Row],[NAMA BARANG]]="","",INDEX(NOTA[SUPPLIER],MATCH(,INDIRECT(ADDRESS(ROW(NOTA[ID]),COLUMN(NOTA[ID]))&amp;":"&amp;ADDRESS(ROW(),COLUMN(NOTA[ID]))),-1)))</f>
        <v>ATALI MAKMUR</v>
      </c>
      <c r="AI929" s="64" t="str">
        <f ca="1">IF(NOTA[[#This Row],[ID_H]]="","",IF(NOTA[[#This Row],[FAKTUR]]="",INDIRECT(ADDRESS(ROW()-1,COLUMN())),NOTA[[#This Row],[FAKTUR]]))</f>
        <v>ARTO MORO</v>
      </c>
      <c r="AJ929" s="66" t="str">
        <f ca="1">IF(NOTA[[#This Row],[ID]]="","",COUNTIF(NOTA[ID_H],NOTA[[#This Row],[ID_H]]))</f>
        <v/>
      </c>
      <c r="AK929" s="66">
        <f ca="1">IF(NOTA[[#This Row],[TGL.NOTA]]="",IF(NOTA[[#This Row],[SUPPLIER_H]]="","",AK928),MONTH(NOTA[[#This Row],[TGL.NOTA]]))</f>
        <v>5</v>
      </c>
      <c r="AL929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9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9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66" t="str">
        <f>IF(NOTA[[#This Row],[CONCAT4]]="","",_xlfn.IFNA(MATCH(NOTA[[#This Row],[CONCAT4]],[2]!RAW[CONCAT_H],0),FALSE))</f>
        <v/>
      </c>
      <c r="AQ929" s="66">
        <f>IF(NOTA[[#This Row],[CONCAT1]]="","",MATCH(NOTA[[#This Row],[CONCAT1]],[3]!db[NB NOTA_C],0)+1)</f>
        <v>1471</v>
      </c>
    </row>
    <row r="930" spans="1:43" ht="20.100000000000001" customHeight="1" x14ac:dyDescent="0.25">
      <c r="A9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66" t="str">
        <f>IF(NOTA[[#This Row],[ID_P]]="","",MATCH(NOTA[[#This Row],[ID_P]],[1]!B_MSK[N_ID],0))</f>
        <v/>
      </c>
      <c r="D930" s="66">
        <f ca="1">IF(NOTA[[#This Row],[NAMA BARANG]]="","",INDEX(NOTA[ID],MATCH(,INDIRECT(ADDRESS(ROW(NOTA[ID]),COLUMN(NOTA[ID]))&amp;":"&amp;ADDRESS(ROW(),COLUMN(NOTA[ID]))),-1)))</f>
        <v>160</v>
      </c>
      <c r="E930" s="113"/>
      <c r="H930" s="54"/>
      <c r="L930" s="27" t="s">
        <v>635</v>
      </c>
      <c r="M930" s="114">
        <v>4</v>
      </c>
      <c r="N930" s="66">
        <v>200</v>
      </c>
      <c r="O930" s="27" t="s">
        <v>262</v>
      </c>
      <c r="P930" s="64">
        <v>28300</v>
      </c>
      <c r="Q930" s="79"/>
      <c r="R930" s="42"/>
      <c r="S930" s="80">
        <v>0.125</v>
      </c>
      <c r="T930" s="115">
        <v>0.05</v>
      </c>
      <c r="U930" s="52"/>
      <c r="V930" s="77"/>
      <c r="W930" s="52">
        <f>IF(NOTA[[#This Row],[HARGA/ CTN]]="",NOTA[[#This Row],[JUMLAH_H]],NOTA[[#This Row],[HARGA/ CTN]]*IF(NOTA[[#This Row],[C]]="",0,NOTA[[#This Row],[C]]))</f>
        <v>5660000</v>
      </c>
      <c r="X930" s="52">
        <f>IF(NOTA[[#This Row],[JUMLAH]]="","",NOTA[[#This Row],[JUMLAH]]*NOTA[[#This Row],[DISC 1]])</f>
        <v>707500</v>
      </c>
      <c r="Y930" s="52">
        <f>IF(NOTA[[#This Row],[JUMLAH]]="","",(NOTA[[#This Row],[JUMLAH]]-NOTA[[#This Row],[DISC 1-]])*NOTA[[#This Row],[DISC 2]])</f>
        <v>247625</v>
      </c>
      <c r="Z930" s="52">
        <f>IF(NOTA[[#This Row],[JUMLAH]]="","",NOTA[[#This Row],[DISC 1-]]+NOTA[[#This Row],[DISC 2-]])</f>
        <v>955125</v>
      </c>
      <c r="AA930" s="52">
        <f>IF(NOTA[[#This Row],[JUMLAH]]="","",NOTA[[#This Row],[JUMLAH]]-NOTA[[#This Row],[DISC]])</f>
        <v>4704875</v>
      </c>
      <c r="AB930" s="52"/>
      <c r="AC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30" s="203">
        <f>IF(OR(NOTA[[#This Row],[QTY]]="",NOTA[[#This Row],[HARGA SATUAN]]="",),"",NOTA[[#This Row],[QTY]]*NOTA[[#This Row],[HARGA SATUAN]])</f>
        <v>5660000</v>
      </c>
      <c r="AG930" s="53">
        <f ca="1">IF(NOTA[ID_H]="","",INDEX(NOTA[TANGGAL],MATCH(,INDIRECT(ADDRESS(ROW(NOTA[TANGGAL]),COLUMN(NOTA[TANGGAL]))&amp;":"&amp;ADDRESS(ROW(),COLUMN(NOTA[TANGGAL]))),-1)))</f>
        <v>45073</v>
      </c>
      <c r="AH930" s="64" t="str">
        <f ca="1">IF(NOTA[[#This Row],[NAMA BARANG]]="","",INDEX(NOTA[SUPPLIER],MATCH(,INDIRECT(ADDRESS(ROW(NOTA[ID]),COLUMN(NOTA[ID]))&amp;":"&amp;ADDRESS(ROW(),COLUMN(NOTA[ID]))),-1)))</f>
        <v>ATALI MAKMUR</v>
      </c>
      <c r="AI930" s="64" t="str">
        <f ca="1">IF(NOTA[[#This Row],[ID_H]]="","",IF(NOTA[[#This Row],[FAKTUR]]="",INDIRECT(ADDRESS(ROW()-1,COLUMN())),NOTA[[#This Row],[FAKTUR]]))</f>
        <v>ARTO MORO</v>
      </c>
      <c r="AJ930" s="66" t="str">
        <f ca="1">IF(NOTA[[#This Row],[ID]]="","",COUNTIF(NOTA[ID_H],NOTA[[#This Row],[ID_H]]))</f>
        <v/>
      </c>
      <c r="AK930" s="66">
        <f ca="1">IF(NOTA[[#This Row],[TGL.NOTA]]="",IF(NOTA[[#This Row],[SUPPLIER_H]]="","",AK929),MONTH(NOTA[[#This Row],[TGL.NOTA]]))</f>
        <v>5</v>
      </c>
      <c r="AL93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9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9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9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66" t="str">
        <f>IF(NOTA[[#This Row],[CONCAT4]]="","",_xlfn.IFNA(MATCH(NOTA[[#This Row],[CONCAT4]],[2]!RAW[CONCAT_H],0),FALSE))</f>
        <v/>
      </c>
      <c r="AQ930" s="66">
        <f>IF(NOTA[[#This Row],[CONCAT1]]="","",MATCH(NOTA[[#This Row],[CONCAT1]],[3]!db[NB NOTA_C],0)+1)</f>
        <v>745</v>
      </c>
    </row>
    <row r="931" spans="1:43" ht="20.100000000000001" customHeight="1" x14ac:dyDescent="0.25">
      <c r="A9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66" t="str">
        <f>IF(NOTA[[#This Row],[ID_P]]="","",MATCH(NOTA[[#This Row],[ID_P]],[1]!B_MSK[N_ID],0))</f>
        <v/>
      </c>
      <c r="D931" s="66">
        <f ca="1">IF(NOTA[[#This Row],[NAMA BARANG]]="","",INDEX(NOTA[ID],MATCH(,INDIRECT(ADDRESS(ROW(NOTA[ID]),COLUMN(NOTA[ID]))&amp;":"&amp;ADDRESS(ROW(),COLUMN(NOTA[ID]))),-1)))</f>
        <v>160</v>
      </c>
      <c r="E931" s="113"/>
      <c r="H931" s="54"/>
      <c r="L931" s="27" t="s">
        <v>1103</v>
      </c>
      <c r="M931" s="114">
        <v>1</v>
      </c>
      <c r="N931" s="66">
        <v>50</v>
      </c>
      <c r="O931" s="27" t="s">
        <v>262</v>
      </c>
      <c r="P931" s="64">
        <v>28300</v>
      </c>
      <c r="Q931" s="79"/>
      <c r="R931" s="42"/>
      <c r="S931" s="80">
        <v>0.125</v>
      </c>
      <c r="T931" s="115">
        <v>0.05</v>
      </c>
      <c r="U931" s="52"/>
      <c r="V931" s="77"/>
      <c r="W931" s="52">
        <f>IF(NOTA[[#This Row],[HARGA/ CTN]]="",NOTA[[#This Row],[JUMLAH_H]],NOTA[[#This Row],[HARGA/ CTN]]*IF(NOTA[[#This Row],[C]]="",0,NOTA[[#This Row],[C]]))</f>
        <v>1415000</v>
      </c>
      <c r="X931" s="52">
        <f>IF(NOTA[[#This Row],[JUMLAH]]="","",NOTA[[#This Row],[JUMLAH]]*NOTA[[#This Row],[DISC 1]])</f>
        <v>176875</v>
      </c>
      <c r="Y931" s="52">
        <f>IF(NOTA[[#This Row],[JUMLAH]]="","",(NOTA[[#This Row],[JUMLAH]]-NOTA[[#This Row],[DISC 1-]])*NOTA[[#This Row],[DISC 2]])</f>
        <v>61906.25</v>
      </c>
      <c r="Z931" s="52">
        <f>IF(NOTA[[#This Row],[JUMLAH]]="","",NOTA[[#This Row],[DISC 1-]]+NOTA[[#This Row],[DISC 2-]])</f>
        <v>238781.25</v>
      </c>
      <c r="AA931" s="52">
        <f>IF(NOTA[[#This Row],[JUMLAH]]="","",NOTA[[#This Row],[JUMLAH]]-NOTA[[#This Row],[DISC]])</f>
        <v>1176218.75</v>
      </c>
      <c r="AB931" s="52"/>
      <c r="AC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931" s="203">
        <f>IF(OR(NOTA[[#This Row],[QTY]]="",NOTA[[#This Row],[HARGA SATUAN]]="",),"",NOTA[[#This Row],[QTY]]*NOTA[[#This Row],[HARGA SATUAN]])</f>
        <v>1415000</v>
      </c>
      <c r="AG931" s="53">
        <f ca="1">IF(NOTA[ID_H]="","",INDEX(NOTA[TANGGAL],MATCH(,INDIRECT(ADDRESS(ROW(NOTA[TANGGAL]),COLUMN(NOTA[TANGGAL]))&amp;":"&amp;ADDRESS(ROW(),COLUMN(NOTA[TANGGAL]))),-1)))</f>
        <v>45073</v>
      </c>
      <c r="AH931" s="64" t="str">
        <f ca="1">IF(NOTA[[#This Row],[NAMA BARANG]]="","",INDEX(NOTA[SUPPLIER],MATCH(,INDIRECT(ADDRESS(ROW(NOTA[ID]),COLUMN(NOTA[ID]))&amp;":"&amp;ADDRESS(ROW(),COLUMN(NOTA[ID]))),-1)))</f>
        <v>ATALI MAKMUR</v>
      </c>
      <c r="AI931" s="64" t="str">
        <f ca="1">IF(NOTA[[#This Row],[ID_H]]="","",IF(NOTA[[#This Row],[FAKTUR]]="",INDIRECT(ADDRESS(ROW()-1,COLUMN())),NOTA[[#This Row],[FAKTUR]]))</f>
        <v>ARTO MORO</v>
      </c>
      <c r="AJ931" s="66" t="str">
        <f ca="1">IF(NOTA[[#This Row],[ID]]="","",COUNTIF(NOTA[ID_H],NOTA[[#This Row],[ID_H]]))</f>
        <v/>
      </c>
      <c r="AK931" s="66">
        <f ca="1">IF(NOTA[[#This Row],[TGL.NOTA]]="",IF(NOTA[[#This Row],[SUPPLIER_H]]="","",AK930),MONTH(NOTA[[#This Row],[TGL.NOTA]]))</f>
        <v>5</v>
      </c>
      <c r="AL93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9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9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9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66" t="str">
        <f>IF(NOTA[[#This Row],[CONCAT4]]="","",_xlfn.IFNA(MATCH(NOTA[[#This Row],[CONCAT4]],[2]!RAW[CONCAT_H],0),FALSE))</f>
        <v/>
      </c>
      <c r="AQ931" s="66">
        <f>IF(NOTA[[#This Row],[CONCAT1]]="","",MATCH(NOTA[[#This Row],[CONCAT1]],[3]!db[NB NOTA_C],0)+1)</f>
        <v>743</v>
      </c>
    </row>
    <row r="932" spans="1:43" ht="20.100000000000001" customHeight="1" x14ac:dyDescent="0.25">
      <c r="A9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66" t="str">
        <f>IF(NOTA[[#This Row],[ID_P]]="","",MATCH(NOTA[[#This Row],[ID_P]],[1]!B_MSK[N_ID],0))</f>
        <v/>
      </c>
      <c r="D932" s="66">
        <f ca="1">IF(NOTA[[#This Row],[NAMA BARANG]]="","",INDEX(NOTA[ID],MATCH(,INDIRECT(ADDRESS(ROW(NOTA[ID]),COLUMN(NOTA[ID]))&amp;":"&amp;ADDRESS(ROW(),COLUMN(NOTA[ID]))),-1)))</f>
        <v>160</v>
      </c>
      <c r="E932" s="113"/>
      <c r="H932" s="54"/>
      <c r="L932" s="27" t="s">
        <v>606</v>
      </c>
      <c r="M932" s="114">
        <v>4</v>
      </c>
      <c r="N932" s="66">
        <v>200</v>
      </c>
      <c r="O932" s="27" t="s">
        <v>262</v>
      </c>
      <c r="P932" s="64">
        <v>34100</v>
      </c>
      <c r="Q932" s="79"/>
      <c r="R932" s="42"/>
      <c r="S932" s="80">
        <v>0.125</v>
      </c>
      <c r="T932" s="115">
        <v>0.05</v>
      </c>
      <c r="U932" s="52"/>
      <c r="V932" s="77"/>
      <c r="W932" s="52">
        <f>IF(NOTA[[#This Row],[HARGA/ CTN]]="",NOTA[[#This Row],[JUMLAH_H]],NOTA[[#This Row],[HARGA/ CTN]]*IF(NOTA[[#This Row],[C]]="",0,NOTA[[#This Row],[C]]))</f>
        <v>6820000</v>
      </c>
      <c r="X932" s="52">
        <f>IF(NOTA[[#This Row],[JUMLAH]]="","",NOTA[[#This Row],[JUMLAH]]*NOTA[[#This Row],[DISC 1]])</f>
        <v>852500</v>
      </c>
      <c r="Y932" s="52">
        <f>IF(NOTA[[#This Row],[JUMLAH]]="","",(NOTA[[#This Row],[JUMLAH]]-NOTA[[#This Row],[DISC 1-]])*NOTA[[#This Row],[DISC 2]])</f>
        <v>298375</v>
      </c>
      <c r="Z932" s="52">
        <f>IF(NOTA[[#This Row],[JUMLAH]]="","",NOTA[[#This Row],[DISC 1-]]+NOTA[[#This Row],[DISC 2-]])</f>
        <v>1150875</v>
      </c>
      <c r="AA932" s="52">
        <f>IF(NOTA[[#This Row],[JUMLAH]]="","",NOTA[[#This Row],[JUMLAH]]-NOTA[[#This Row],[DISC]])</f>
        <v>5669125</v>
      </c>
      <c r="AB932" s="52"/>
      <c r="AC9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932" s="203">
        <f>IF(OR(NOTA[[#This Row],[QTY]]="",NOTA[[#This Row],[HARGA SATUAN]]="",),"",NOTA[[#This Row],[QTY]]*NOTA[[#This Row],[HARGA SATUAN]])</f>
        <v>6820000</v>
      </c>
      <c r="AG932" s="53">
        <f ca="1">IF(NOTA[ID_H]="","",INDEX(NOTA[TANGGAL],MATCH(,INDIRECT(ADDRESS(ROW(NOTA[TANGGAL]),COLUMN(NOTA[TANGGAL]))&amp;":"&amp;ADDRESS(ROW(),COLUMN(NOTA[TANGGAL]))),-1)))</f>
        <v>45073</v>
      </c>
      <c r="AH932" s="64" t="str">
        <f ca="1">IF(NOTA[[#This Row],[NAMA BARANG]]="","",INDEX(NOTA[SUPPLIER],MATCH(,INDIRECT(ADDRESS(ROW(NOTA[ID]),COLUMN(NOTA[ID]))&amp;":"&amp;ADDRESS(ROW(),COLUMN(NOTA[ID]))),-1)))</f>
        <v>ATALI MAKMUR</v>
      </c>
      <c r="AI932" s="64" t="str">
        <f ca="1">IF(NOTA[[#This Row],[ID_H]]="","",IF(NOTA[[#This Row],[FAKTUR]]="",INDIRECT(ADDRESS(ROW()-1,COLUMN())),NOTA[[#This Row],[FAKTUR]]))</f>
        <v>ARTO MORO</v>
      </c>
      <c r="AJ932" s="66" t="str">
        <f ca="1">IF(NOTA[[#This Row],[ID]]="","",COUNTIF(NOTA[ID_H],NOTA[[#This Row],[ID_H]]))</f>
        <v/>
      </c>
      <c r="AK932" s="66">
        <f ca="1">IF(NOTA[[#This Row],[TGL.NOTA]]="",IF(NOTA[[#This Row],[SUPPLIER_H]]="","",AK931),MONTH(NOTA[[#This Row],[TGL.NOTA]]))</f>
        <v>5</v>
      </c>
      <c r="AL932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9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9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9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66" t="str">
        <f>IF(NOTA[[#This Row],[CONCAT4]]="","",_xlfn.IFNA(MATCH(NOTA[[#This Row],[CONCAT4]],[2]!RAW[CONCAT_H],0),FALSE))</f>
        <v/>
      </c>
      <c r="AQ932" s="66">
        <f>IF(NOTA[[#This Row],[CONCAT1]]="","",MATCH(NOTA[[#This Row],[CONCAT1]],[3]!db[NB NOTA_C],0)+1)</f>
        <v>742</v>
      </c>
    </row>
    <row r="933" spans="1:43" ht="20.100000000000001" customHeight="1" x14ac:dyDescent="0.25">
      <c r="A9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66" t="str">
        <f>IF(NOTA[[#This Row],[ID_P]]="","",MATCH(NOTA[[#This Row],[ID_P]],[1]!B_MSK[N_ID],0))</f>
        <v/>
      </c>
      <c r="D933" s="66">
        <f ca="1">IF(NOTA[[#This Row],[NAMA BARANG]]="","",INDEX(NOTA[ID],MATCH(,INDIRECT(ADDRESS(ROW(NOTA[ID]),COLUMN(NOTA[ID]))&amp;":"&amp;ADDRESS(ROW(),COLUMN(NOTA[ID]))),-1)))</f>
        <v>160</v>
      </c>
      <c r="E933" s="113"/>
      <c r="H933" s="54"/>
      <c r="L933" s="27" t="s">
        <v>272</v>
      </c>
      <c r="M933" s="114">
        <v>1</v>
      </c>
      <c r="N933" s="66">
        <v>144</v>
      </c>
      <c r="O933" s="27" t="s">
        <v>252</v>
      </c>
      <c r="P933" s="64">
        <v>23900</v>
      </c>
      <c r="Q933" s="79"/>
      <c r="R933" s="42"/>
      <c r="S933" s="80">
        <v>0.125</v>
      </c>
      <c r="T933" s="115">
        <v>0.05</v>
      </c>
      <c r="U933" s="52"/>
      <c r="V933" s="77"/>
      <c r="W933" s="52">
        <f>IF(NOTA[[#This Row],[HARGA/ CTN]]="",NOTA[[#This Row],[JUMLAH_H]],NOTA[[#This Row],[HARGA/ CTN]]*IF(NOTA[[#This Row],[C]]="",0,NOTA[[#This Row],[C]]))</f>
        <v>3441600</v>
      </c>
      <c r="X933" s="52">
        <f>IF(NOTA[[#This Row],[JUMLAH]]="","",NOTA[[#This Row],[JUMLAH]]*NOTA[[#This Row],[DISC 1]])</f>
        <v>430200</v>
      </c>
      <c r="Y933" s="52">
        <f>IF(NOTA[[#This Row],[JUMLAH]]="","",(NOTA[[#This Row],[JUMLAH]]-NOTA[[#This Row],[DISC 1-]])*NOTA[[#This Row],[DISC 2]])</f>
        <v>150570</v>
      </c>
      <c r="Z933" s="52">
        <f>IF(NOTA[[#This Row],[JUMLAH]]="","",NOTA[[#This Row],[DISC 1-]]+NOTA[[#This Row],[DISC 2-]])</f>
        <v>580770</v>
      </c>
      <c r="AA933" s="52">
        <f>IF(NOTA[[#This Row],[JUMLAH]]="","",NOTA[[#This Row],[JUMLAH]]-NOTA[[#This Row],[DISC]])</f>
        <v>2860830</v>
      </c>
      <c r="AB933" s="52"/>
      <c r="AC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33" s="203">
        <f>IF(OR(NOTA[[#This Row],[QTY]]="",NOTA[[#This Row],[HARGA SATUAN]]="",),"",NOTA[[#This Row],[QTY]]*NOTA[[#This Row],[HARGA SATUAN]])</f>
        <v>3441600</v>
      </c>
      <c r="AG933" s="53">
        <f ca="1">IF(NOTA[ID_H]="","",INDEX(NOTA[TANGGAL],MATCH(,INDIRECT(ADDRESS(ROW(NOTA[TANGGAL]),COLUMN(NOTA[TANGGAL]))&amp;":"&amp;ADDRESS(ROW(),COLUMN(NOTA[TANGGAL]))),-1)))</f>
        <v>45073</v>
      </c>
      <c r="AH933" s="64" t="str">
        <f ca="1">IF(NOTA[[#This Row],[NAMA BARANG]]="","",INDEX(NOTA[SUPPLIER],MATCH(,INDIRECT(ADDRESS(ROW(NOTA[ID]),COLUMN(NOTA[ID]))&amp;":"&amp;ADDRESS(ROW(),COLUMN(NOTA[ID]))),-1)))</f>
        <v>ATALI MAKMUR</v>
      </c>
      <c r="AI933" s="64" t="str">
        <f ca="1">IF(NOTA[[#This Row],[ID_H]]="","",IF(NOTA[[#This Row],[FAKTUR]]="",INDIRECT(ADDRESS(ROW()-1,COLUMN())),NOTA[[#This Row],[FAKTUR]]))</f>
        <v>ARTO MORO</v>
      </c>
      <c r="AJ933" s="66" t="str">
        <f ca="1">IF(NOTA[[#This Row],[ID]]="","",COUNTIF(NOTA[ID_H],NOTA[[#This Row],[ID_H]]))</f>
        <v/>
      </c>
      <c r="AK933" s="66">
        <f ca="1">IF(NOTA[[#This Row],[TGL.NOTA]]="",IF(NOTA[[#This Row],[SUPPLIER_H]]="","",AK932),MONTH(NOTA[[#This Row],[TGL.NOTA]]))</f>
        <v>5</v>
      </c>
      <c r="AL93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66" t="str">
        <f>IF(NOTA[[#This Row],[CONCAT4]]="","",_xlfn.IFNA(MATCH(NOTA[[#This Row],[CONCAT4]],[2]!RAW[CONCAT_H],0),FALSE))</f>
        <v/>
      </c>
      <c r="AQ933" s="66">
        <f>IF(NOTA[[#This Row],[CONCAT1]]="","",MATCH(NOTA[[#This Row],[CONCAT1]],[3]!db[NB NOTA_C],0)+1)</f>
        <v>603</v>
      </c>
    </row>
    <row r="934" spans="1:43" ht="20.100000000000001" customHeight="1" x14ac:dyDescent="0.25">
      <c r="A9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66" t="str">
        <f>IF(NOTA[[#This Row],[ID_P]]="","",MATCH(NOTA[[#This Row],[ID_P]],[1]!B_MSK[N_ID],0))</f>
        <v/>
      </c>
      <c r="D934" s="66">
        <f ca="1">IF(NOTA[[#This Row],[NAMA BARANG]]="","",INDEX(NOTA[ID],MATCH(,INDIRECT(ADDRESS(ROW(NOTA[ID]),COLUMN(NOTA[ID]))&amp;":"&amp;ADDRESS(ROW(),COLUMN(NOTA[ID]))),-1)))</f>
        <v>160</v>
      </c>
      <c r="E934" s="113"/>
      <c r="H934" s="54"/>
      <c r="L934" s="27" t="s">
        <v>639</v>
      </c>
      <c r="M934" s="114">
        <v>1</v>
      </c>
      <c r="N934" s="66">
        <v>144</v>
      </c>
      <c r="O934" s="27" t="s">
        <v>252</v>
      </c>
      <c r="P934" s="64">
        <v>18600</v>
      </c>
      <c r="Q934" s="79"/>
      <c r="R934" s="42"/>
      <c r="S934" s="80">
        <v>0.125</v>
      </c>
      <c r="T934" s="115">
        <v>0.05</v>
      </c>
      <c r="U934" s="52"/>
      <c r="V934" s="77"/>
      <c r="W934" s="52">
        <f>IF(NOTA[[#This Row],[HARGA/ CTN]]="",NOTA[[#This Row],[JUMLAH_H]],NOTA[[#This Row],[HARGA/ CTN]]*IF(NOTA[[#This Row],[C]]="",0,NOTA[[#This Row],[C]]))</f>
        <v>2678400</v>
      </c>
      <c r="X934" s="52">
        <f>IF(NOTA[[#This Row],[JUMLAH]]="","",NOTA[[#This Row],[JUMLAH]]*NOTA[[#This Row],[DISC 1]])</f>
        <v>334800</v>
      </c>
      <c r="Y934" s="52">
        <f>IF(NOTA[[#This Row],[JUMLAH]]="","",(NOTA[[#This Row],[JUMLAH]]-NOTA[[#This Row],[DISC 1-]])*NOTA[[#This Row],[DISC 2]])</f>
        <v>117180</v>
      </c>
      <c r="Z934" s="52">
        <f>IF(NOTA[[#This Row],[JUMLAH]]="","",NOTA[[#This Row],[DISC 1-]]+NOTA[[#This Row],[DISC 2-]])</f>
        <v>451980</v>
      </c>
      <c r="AA934" s="52">
        <f>IF(NOTA[[#This Row],[JUMLAH]]="","",NOTA[[#This Row],[JUMLAH]]-NOTA[[#This Row],[DISC]])</f>
        <v>2226420</v>
      </c>
      <c r="AB934" s="52"/>
      <c r="AC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64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934" s="203">
        <f>IF(OR(NOTA[[#This Row],[QTY]]="",NOTA[[#This Row],[HARGA SATUAN]]="",),"",NOTA[[#This Row],[QTY]]*NOTA[[#This Row],[HARGA SATUAN]])</f>
        <v>2678400</v>
      </c>
      <c r="AG934" s="53">
        <f ca="1">IF(NOTA[ID_H]="","",INDEX(NOTA[TANGGAL],MATCH(,INDIRECT(ADDRESS(ROW(NOTA[TANGGAL]),COLUMN(NOTA[TANGGAL]))&amp;":"&amp;ADDRESS(ROW(),COLUMN(NOTA[TANGGAL]))),-1)))</f>
        <v>45073</v>
      </c>
      <c r="AH934" s="64" t="str">
        <f ca="1">IF(NOTA[[#This Row],[NAMA BARANG]]="","",INDEX(NOTA[SUPPLIER],MATCH(,INDIRECT(ADDRESS(ROW(NOTA[ID]),COLUMN(NOTA[ID]))&amp;":"&amp;ADDRESS(ROW(),COLUMN(NOTA[ID]))),-1)))</f>
        <v>ATALI MAKMUR</v>
      </c>
      <c r="AI934" s="64" t="str">
        <f ca="1">IF(NOTA[[#This Row],[ID_H]]="","",IF(NOTA[[#This Row],[FAKTUR]]="",INDIRECT(ADDRESS(ROW()-1,COLUMN())),NOTA[[#This Row],[FAKTUR]]))</f>
        <v>ARTO MORO</v>
      </c>
      <c r="AJ934" s="66" t="str">
        <f ca="1">IF(NOTA[[#This Row],[ID]]="","",COUNTIF(NOTA[ID_H],NOTA[[#This Row],[ID_H]]))</f>
        <v/>
      </c>
      <c r="AK934" s="66">
        <f ca="1">IF(NOTA[[#This Row],[TGL.NOTA]]="",IF(NOTA[[#This Row],[SUPPLIER_H]]="","",AK933),MONTH(NOTA[[#This Row],[TGL.NOTA]]))</f>
        <v>5</v>
      </c>
      <c r="AL934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9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9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9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66" t="str">
        <f>IF(NOTA[[#This Row],[CONCAT4]]="","",_xlfn.IFNA(MATCH(NOTA[[#This Row],[CONCAT4]],[2]!RAW[CONCAT_H],0),FALSE))</f>
        <v/>
      </c>
      <c r="AQ934" s="66">
        <f>IF(NOTA[[#This Row],[CONCAT1]]="","",MATCH(NOTA[[#This Row],[CONCAT1]],[3]!db[NB NOTA_C],0)+1)</f>
        <v>601</v>
      </c>
    </row>
    <row r="935" spans="1:43" ht="20.100000000000001" customHeight="1" x14ac:dyDescent="0.25">
      <c r="A9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66" t="str">
        <f>IF(NOTA[[#This Row],[ID_P]]="","",MATCH(NOTA[[#This Row],[ID_P]],[1]!B_MSK[N_ID],0))</f>
        <v/>
      </c>
      <c r="D935" s="66">
        <f ca="1">IF(NOTA[[#This Row],[NAMA BARANG]]="","",INDEX(NOTA[ID],MATCH(,INDIRECT(ADDRESS(ROW(NOTA[ID]),COLUMN(NOTA[ID]))&amp;":"&amp;ADDRESS(ROW(),COLUMN(NOTA[ID]))),-1)))</f>
        <v>160</v>
      </c>
      <c r="E935" s="113"/>
      <c r="H935" s="54"/>
      <c r="L935" s="27" t="s">
        <v>1112</v>
      </c>
      <c r="M935" s="114">
        <v>1</v>
      </c>
      <c r="N935" s="66">
        <v>48</v>
      </c>
      <c r="O935" s="27" t="s">
        <v>262</v>
      </c>
      <c r="P935" s="64">
        <v>31200</v>
      </c>
      <c r="Q935" s="79"/>
      <c r="R935" s="42"/>
      <c r="S935" s="80">
        <v>0.125</v>
      </c>
      <c r="T935" s="115">
        <v>0.05</v>
      </c>
      <c r="U935" s="52"/>
      <c r="V935" s="77"/>
      <c r="W935" s="52">
        <f>IF(NOTA[[#This Row],[HARGA/ CTN]]="",NOTA[[#This Row],[JUMLAH_H]],NOTA[[#This Row],[HARGA/ CTN]]*IF(NOTA[[#This Row],[C]]="",0,NOTA[[#This Row],[C]]))</f>
        <v>1497600</v>
      </c>
      <c r="X935" s="52">
        <f>IF(NOTA[[#This Row],[JUMLAH]]="","",NOTA[[#This Row],[JUMLAH]]*NOTA[[#This Row],[DISC 1]])</f>
        <v>187200</v>
      </c>
      <c r="Y935" s="52">
        <f>IF(NOTA[[#This Row],[JUMLAH]]="","",(NOTA[[#This Row],[JUMLAH]]-NOTA[[#This Row],[DISC 1-]])*NOTA[[#This Row],[DISC 2]])</f>
        <v>65520</v>
      </c>
      <c r="Z935" s="52">
        <f>IF(NOTA[[#This Row],[JUMLAH]]="","",NOTA[[#This Row],[DISC 1-]]+NOTA[[#This Row],[DISC 2-]])</f>
        <v>252720</v>
      </c>
      <c r="AA935" s="52">
        <f>IF(NOTA[[#This Row],[JUMLAH]]="","",NOTA[[#This Row],[JUMLAH]]-NOTA[[#This Row],[DISC]])</f>
        <v>1244880</v>
      </c>
      <c r="AB935" s="52"/>
      <c r="AC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935" s="203">
        <f>IF(OR(NOTA[[#This Row],[QTY]]="",NOTA[[#This Row],[HARGA SATUAN]]="",),"",NOTA[[#This Row],[QTY]]*NOTA[[#This Row],[HARGA SATUAN]])</f>
        <v>1497600</v>
      </c>
      <c r="AG935" s="53">
        <f ca="1">IF(NOTA[ID_H]="","",INDEX(NOTA[TANGGAL],MATCH(,INDIRECT(ADDRESS(ROW(NOTA[TANGGAL]),COLUMN(NOTA[TANGGAL]))&amp;":"&amp;ADDRESS(ROW(),COLUMN(NOTA[TANGGAL]))),-1)))</f>
        <v>45073</v>
      </c>
      <c r="AH935" s="64" t="str">
        <f ca="1">IF(NOTA[[#This Row],[NAMA BARANG]]="","",INDEX(NOTA[SUPPLIER],MATCH(,INDIRECT(ADDRESS(ROW(NOTA[ID]),COLUMN(NOTA[ID]))&amp;":"&amp;ADDRESS(ROW(),COLUMN(NOTA[ID]))),-1)))</f>
        <v>ATALI MAKMUR</v>
      </c>
      <c r="AI935" s="64" t="str">
        <f ca="1">IF(NOTA[[#This Row],[ID_H]]="","",IF(NOTA[[#This Row],[FAKTUR]]="",INDIRECT(ADDRESS(ROW()-1,COLUMN())),NOTA[[#This Row],[FAKTUR]]))</f>
        <v>ARTO MORO</v>
      </c>
      <c r="AJ935" s="66" t="str">
        <f ca="1">IF(NOTA[[#This Row],[ID]]="","",COUNTIF(NOTA[ID_H],NOTA[[#This Row],[ID_H]]))</f>
        <v/>
      </c>
      <c r="AK935" s="66">
        <f ca="1">IF(NOTA[[#This Row],[TGL.NOTA]]="",IF(NOTA[[#This Row],[SUPPLIER_H]]="","",AK934),MONTH(NOTA[[#This Row],[TGL.NOTA]]))</f>
        <v>5</v>
      </c>
      <c r="AL935" s="66" t="str">
        <f>LOWER(SUBSTITUTE(SUBSTITUTE(SUBSTITUTE(SUBSTITUTE(SUBSTITUTE(SUBSTITUTE(SUBSTITUTE(SUBSTITUTE(SUBSTITUTE(NOTA[NAMA BARANG]," ",),".",""),"-",""),"(",""),")",""),",",""),"/",""),"""",""),"+",""))</f>
        <v>pushpinpp30jk</v>
      </c>
      <c r="AM9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pushpinpp30jk14976000.1250.05</v>
      </c>
      <c r="AN9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pushpinpp30jk14976000.1250.05</v>
      </c>
      <c r="AO9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66" t="str">
        <f>IF(NOTA[[#This Row],[CONCAT4]]="","",_xlfn.IFNA(MATCH(NOTA[[#This Row],[CONCAT4]],[2]!RAW[CONCAT_H],0),FALSE))</f>
        <v/>
      </c>
      <c r="AQ935" s="66">
        <f>IF(NOTA[[#This Row],[CONCAT1]]="","",MATCH(NOTA[[#This Row],[CONCAT1]],[3]!db[NB NOTA_C],0)+1)</f>
        <v>2071</v>
      </c>
    </row>
    <row r="936" spans="1:43" ht="20.100000000000001" customHeight="1" x14ac:dyDescent="0.25">
      <c r="A9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66" t="str">
        <f>IF(NOTA[[#This Row],[ID_P]]="","",MATCH(NOTA[[#This Row],[ID_P]],[1]!B_MSK[N_ID],0))</f>
        <v/>
      </c>
      <c r="D936" s="66">
        <f ca="1">IF(NOTA[[#This Row],[NAMA BARANG]]="","",INDEX(NOTA[ID],MATCH(,INDIRECT(ADDRESS(ROW(NOTA[ID]),COLUMN(NOTA[ID]))&amp;":"&amp;ADDRESS(ROW(),COLUMN(NOTA[ID]))),-1)))</f>
        <v>160</v>
      </c>
      <c r="E936" s="113"/>
      <c r="H936" s="54"/>
      <c r="L936" s="27" t="s">
        <v>269</v>
      </c>
      <c r="M936" s="114">
        <v>1</v>
      </c>
      <c r="N936" s="66">
        <v>30</v>
      </c>
      <c r="O936" s="27" t="s">
        <v>183</v>
      </c>
      <c r="P936" s="64">
        <v>104400</v>
      </c>
      <c r="Q936" s="79"/>
      <c r="R936" s="42"/>
      <c r="S936" s="80">
        <v>0.125</v>
      </c>
      <c r="T936" s="115">
        <v>0.05</v>
      </c>
      <c r="U936" s="52"/>
      <c r="V936" s="77"/>
      <c r="W936" s="52">
        <f>IF(NOTA[[#This Row],[HARGA/ CTN]]="",NOTA[[#This Row],[JUMLAH_H]],NOTA[[#This Row],[HARGA/ CTN]]*IF(NOTA[[#This Row],[C]]="",0,NOTA[[#This Row],[C]]))</f>
        <v>3132000</v>
      </c>
      <c r="X936" s="52">
        <f>IF(NOTA[[#This Row],[JUMLAH]]="","",NOTA[[#This Row],[JUMLAH]]*NOTA[[#This Row],[DISC 1]])</f>
        <v>391500</v>
      </c>
      <c r="Y936" s="52">
        <f>IF(NOTA[[#This Row],[JUMLAH]]="","",(NOTA[[#This Row],[JUMLAH]]-NOTA[[#This Row],[DISC 1-]])*NOTA[[#This Row],[DISC 2]])</f>
        <v>137025</v>
      </c>
      <c r="Z936" s="52">
        <f>IF(NOTA[[#This Row],[JUMLAH]]="","",NOTA[[#This Row],[DISC 1-]]+NOTA[[#This Row],[DISC 2-]])</f>
        <v>528525</v>
      </c>
      <c r="AA936" s="52">
        <f>IF(NOTA[[#This Row],[JUMLAH]]="","",NOTA[[#This Row],[JUMLAH]]-NOTA[[#This Row],[DISC]])</f>
        <v>2603475</v>
      </c>
      <c r="AB936" s="52"/>
      <c r="AC93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5831831.25</v>
      </c>
      <c r="AD93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28727168.75</v>
      </c>
      <c r="AE936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936" s="203">
        <f>IF(OR(NOTA[[#This Row],[QTY]]="",NOTA[[#This Row],[HARGA SATUAN]]="",),"",NOTA[[#This Row],[QTY]]*NOTA[[#This Row],[HARGA SATUAN]])</f>
        <v>3132000</v>
      </c>
      <c r="AG936" s="53">
        <f ca="1">IF(NOTA[ID_H]="","",INDEX(NOTA[TANGGAL],MATCH(,INDIRECT(ADDRESS(ROW(NOTA[TANGGAL]),COLUMN(NOTA[TANGGAL]))&amp;":"&amp;ADDRESS(ROW(),COLUMN(NOTA[TANGGAL]))),-1)))</f>
        <v>45073</v>
      </c>
      <c r="AH936" s="64" t="str">
        <f ca="1">IF(NOTA[[#This Row],[NAMA BARANG]]="","",INDEX(NOTA[SUPPLIER],MATCH(,INDIRECT(ADDRESS(ROW(NOTA[ID]),COLUMN(NOTA[ID]))&amp;":"&amp;ADDRESS(ROW(),COLUMN(NOTA[ID]))),-1)))</f>
        <v>ATALI MAKMUR</v>
      </c>
      <c r="AI936" s="64" t="str">
        <f ca="1">IF(NOTA[[#This Row],[ID_H]]="","",IF(NOTA[[#This Row],[FAKTUR]]="",INDIRECT(ADDRESS(ROW()-1,COLUMN())),NOTA[[#This Row],[FAKTUR]]))</f>
        <v>ARTO MORO</v>
      </c>
      <c r="AJ936" s="66" t="str">
        <f ca="1">IF(NOTA[[#This Row],[ID]]="","",COUNTIF(NOTA[ID_H],NOTA[[#This Row],[ID_H]]))</f>
        <v/>
      </c>
      <c r="AK936" s="66">
        <f ca="1">IF(NOTA[[#This Row],[TGL.NOTA]]="",IF(NOTA[[#This Row],[SUPPLIER_H]]="","",AK935),MONTH(NOTA[[#This Row],[TGL.NOTA]]))</f>
        <v>5</v>
      </c>
      <c r="AL93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9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9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9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6" s="66" t="str">
        <f>IF(NOTA[[#This Row],[CONCAT4]]="","",_xlfn.IFNA(MATCH(NOTA[[#This Row],[CONCAT4]],[2]!RAW[CONCAT_H],0),FALSE))</f>
        <v/>
      </c>
      <c r="AQ936" s="66">
        <f>IF(NOTA[[#This Row],[CONCAT1]]="","",MATCH(NOTA[[#This Row],[CONCAT1]],[3]!db[NB NOTA_C],0)+1)</f>
        <v>1927</v>
      </c>
    </row>
    <row r="937" spans="1:43" ht="20.100000000000001" customHeight="1" x14ac:dyDescent="0.25">
      <c r="A9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66" t="str">
        <f>IF(NOTA[[#This Row],[ID_P]]="","",MATCH(NOTA[[#This Row],[ID_P]],[1]!B_MSK[N_ID],0))</f>
        <v/>
      </c>
      <c r="D937" s="66" t="str">
        <f ca="1">IF(NOTA[[#This Row],[NAMA BARANG]]="","",INDEX(NOTA[ID],MATCH(,INDIRECT(ADDRESS(ROW(NOTA[ID]),COLUMN(NOTA[ID]))&amp;":"&amp;ADDRESS(ROW(),COLUMN(NOTA[ID]))),-1)))</f>
        <v/>
      </c>
      <c r="E937" s="113"/>
      <c r="H937" s="54"/>
      <c r="N937" s="66"/>
      <c r="Q937" s="79"/>
      <c r="R937" s="42"/>
      <c r="S937" s="80"/>
      <c r="U937" s="52"/>
      <c r="V937" s="77"/>
      <c r="W937" s="52" t="str">
        <f>IF(NOTA[[#This Row],[HARGA/ CTN]]="",NOTA[[#This Row],[JUMLAH_H]],NOTA[[#This Row],[HARGA/ CTN]]*IF(NOTA[[#This Row],[C]]="",0,NOTA[[#This Row],[C]]))</f>
        <v/>
      </c>
      <c r="X937" s="52" t="str">
        <f>IF(NOTA[[#This Row],[JUMLAH]]="","",NOTA[[#This Row],[JUMLAH]]*NOTA[[#This Row],[DISC 1]])</f>
        <v/>
      </c>
      <c r="Y937" s="52" t="str">
        <f>IF(NOTA[[#This Row],[JUMLAH]]="","",(NOTA[[#This Row],[JUMLAH]]-NOTA[[#This Row],[DISC 1-]])*NOTA[[#This Row],[DISC 2]])</f>
        <v/>
      </c>
      <c r="Z937" s="52" t="str">
        <f>IF(NOTA[[#This Row],[JUMLAH]]="","",NOTA[[#This Row],[DISC 1-]]+NOTA[[#This Row],[DISC 2-]])</f>
        <v/>
      </c>
      <c r="AA937" s="52" t="str">
        <f>IF(NOTA[[#This Row],[JUMLAH]]="","",NOTA[[#This Row],[JUMLAH]]-NOTA[[#This Row],[DISC]])</f>
        <v/>
      </c>
      <c r="AB937" s="52"/>
      <c r="AC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203" t="str">
        <f>IF(OR(NOTA[[#This Row],[QTY]]="",NOTA[[#This Row],[HARGA SATUAN]]="",),"",NOTA[[#This Row],[QTY]]*NOTA[[#This Row],[HARGA SATUAN]])</f>
        <v/>
      </c>
      <c r="AG937" s="53" t="str">
        <f ca="1">IF(NOTA[ID_H]="","",INDEX(NOTA[TANGGAL],MATCH(,INDIRECT(ADDRESS(ROW(NOTA[TANGGAL]),COLUMN(NOTA[TANGGAL]))&amp;":"&amp;ADDRESS(ROW(),COLUMN(NOTA[TANGGAL]))),-1)))</f>
        <v/>
      </c>
      <c r="AH937" s="64" t="str">
        <f ca="1">IF(NOTA[[#This Row],[NAMA BARANG]]="","",INDEX(NOTA[SUPPLIER],MATCH(,INDIRECT(ADDRESS(ROW(NOTA[ID]),COLUMN(NOTA[ID]))&amp;":"&amp;ADDRESS(ROW(),COLUMN(NOTA[ID]))),-1)))</f>
        <v/>
      </c>
      <c r="AI937" s="64" t="str">
        <f ca="1">IF(NOTA[[#This Row],[ID_H]]="","",IF(NOTA[[#This Row],[FAKTUR]]="",INDIRECT(ADDRESS(ROW()-1,COLUMN())),NOTA[[#This Row],[FAKTUR]]))</f>
        <v/>
      </c>
      <c r="AJ937" s="66" t="str">
        <f ca="1">IF(NOTA[[#This Row],[ID]]="","",COUNTIF(NOTA[ID_H],NOTA[[#This Row],[ID_H]]))</f>
        <v/>
      </c>
      <c r="AK937" s="66" t="str">
        <f ca="1">IF(NOTA[[#This Row],[TGL.NOTA]]="",IF(NOTA[[#This Row],[SUPPLIER_H]]="","",AK936),MONTH(NOTA[[#This Row],[TGL.NOTA]]))</f>
        <v/>
      </c>
      <c r="AL937" s="66" t="str">
        <f>LOWER(SUBSTITUTE(SUBSTITUTE(SUBSTITUTE(SUBSTITUTE(SUBSTITUTE(SUBSTITUTE(SUBSTITUTE(SUBSTITUTE(SUBSTITUTE(NOTA[NAMA BARANG]," ",),".",""),"-",""),"(",""),")",""),",",""),"/",""),"""",""),"+",""))</f>
        <v/>
      </c>
      <c r="AM9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7" s="66" t="str">
        <f>IF(NOTA[[#This Row],[CONCAT4]]="","",_xlfn.IFNA(MATCH(NOTA[[#This Row],[CONCAT4]],[2]!RAW[CONCAT_H],0),FALSE))</f>
        <v/>
      </c>
      <c r="AQ937" s="66" t="str">
        <f>IF(NOTA[[#This Row],[CONCAT1]]="","",MATCH(NOTA[[#This Row],[CONCAT1]],[3]!db[NB NOTA_C],0)+1)</f>
        <v/>
      </c>
    </row>
    <row r="938" spans="1:43" ht="20.100000000000001" customHeight="1" x14ac:dyDescent="0.25">
      <c r="A938" s="64">
        <f ca="1">IF(INDIRECT(ADDRESS(ROW()-1,COLUMN(NOTA[[#Headers],[ID]])))="ID",1,IF(NOTA[[#This Row],[FAKTUR]]="","",COUNT(INDIRECT(ADDRESS(ROW(NOTA[ID]),COLUMN(NOTA[ID]))&amp;":"&amp;ADDRESS(ROW()-1,COLUMN(NOTA[ID]))))+1))</f>
        <v>161</v>
      </c>
      <c r="B93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ATA_2705_110-11</v>
      </c>
      <c r="C938" s="66" t="e">
        <f ca="1">IF(NOTA[[#This Row],[ID_P]]="","",MATCH(NOTA[[#This Row],[ID_P]],[1]!B_MSK[N_ID],0))</f>
        <v>#REF!</v>
      </c>
      <c r="D938" s="66">
        <f ca="1">IF(NOTA[[#This Row],[NAMA BARANG]]="","",INDEX(NOTA[ID],MATCH(,INDIRECT(ADDRESS(ROW(NOTA[ID]),COLUMN(NOTA[ID]))&amp;":"&amp;ADDRESS(ROW(),COLUMN(NOTA[ID]))),-1)))</f>
        <v>161</v>
      </c>
      <c r="E938" s="113"/>
      <c r="F938" s="27" t="s">
        <v>25</v>
      </c>
      <c r="G938" s="27" t="s">
        <v>24</v>
      </c>
      <c r="H938" s="54" t="s">
        <v>1113</v>
      </c>
      <c r="J938" s="53">
        <v>45068</v>
      </c>
      <c r="L938" s="27" t="s">
        <v>615</v>
      </c>
      <c r="M938" s="114">
        <v>2</v>
      </c>
      <c r="N938" s="66">
        <v>72</v>
      </c>
      <c r="O938" s="27" t="s">
        <v>146</v>
      </c>
      <c r="P938" s="64">
        <v>41400</v>
      </c>
      <c r="Q938" s="79"/>
      <c r="R938" s="42" t="s">
        <v>603</v>
      </c>
      <c r="S938" s="80">
        <v>0.125</v>
      </c>
      <c r="T938" s="115">
        <v>0.05</v>
      </c>
      <c r="U938" s="52"/>
      <c r="V938" s="77"/>
      <c r="W938" s="52">
        <f>IF(NOTA[[#This Row],[HARGA/ CTN]]="",NOTA[[#This Row],[JUMLAH_H]],NOTA[[#This Row],[HARGA/ CTN]]*IF(NOTA[[#This Row],[C]]="",0,NOTA[[#This Row],[C]]))</f>
        <v>2980800</v>
      </c>
      <c r="X938" s="52">
        <f>IF(NOTA[[#This Row],[JUMLAH]]="","",NOTA[[#This Row],[JUMLAH]]*NOTA[[#This Row],[DISC 1]])</f>
        <v>372600</v>
      </c>
      <c r="Y938" s="52">
        <f>IF(NOTA[[#This Row],[JUMLAH]]="","",(NOTA[[#This Row],[JUMLAH]]-NOTA[[#This Row],[DISC 1-]])*NOTA[[#This Row],[DISC 2]])</f>
        <v>130410</v>
      </c>
      <c r="Z938" s="52">
        <f>IF(NOTA[[#This Row],[JUMLAH]]="","",NOTA[[#This Row],[DISC 1-]]+NOTA[[#This Row],[DISC 2-]])</f>
        <v>503010</v>
      </c>
      <c r="AA938" s="52">
        <f>IF(NOTA[[#This Row],[JUMLAH]]="","",NOTA[[#This Row],[JUMLAH]]-NOTA[[#This Row],[DISC]])</f>
        <v>2477790</v>
      </c>
      <c r="AB938" s="52"/>
      <c r="AC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8" s="203">
        <f>IF(OR(NOTA[[#This Row],[QTY]]="",NOTA[[#This Row],[HARGA SATUAN]]="",),"",NOTA[[#This Row],[QTY]]*NOTA[[#This Row],[HARGA SATUAN]])</f>
        <v>2980800</v>
      </c>
      <c r="AG938" s="53">
        <f ca="1">IF(NOTA[ID_H]="","",INDEX(NOTA[TANGGAL],MATCH(,INDIRECT(ADDRESS(ROW(NOTA[TANGGAL]),COLUMN(NOTA[TANGGAL]))&amp;":"&amp;ADDRESS(ROW(),COLUMN(NOTA[TANGGAL]))),-1)))</f>
        <v>45073</v>
      </c>
      <c r="AH938" s="64" t="str">
        <f ca="1">IF(NOTA[[#This Row],[NAMA BARANG]]="","",INDEX(NOTA[SUPPLIER],MATCH(,INDIRECT(ADDRESS(ROW(NOTA[ID]),COLUMN(NOTA[ID]))&amp;":"&amp;ADDRESS(ROW(),COLUMN(NOTA[ID]))),-1)))</f>
        <v>ATALI MAKMUR</v>
      </c>
      <c r="AI938" s="64" t="str">
        <f ca="1">IF(NOTA[[#This Row],[ID_H]]="","",IF(NOTA[[#This Row],[FAKTUR]]="",INDIRECT(ADDRESS(ROW()-1,COLUMN())),NOTA[[#This Row],[FAKTUR]]))</f>
        <v>ARTO MORO</v>
      </c>
      <c r="AJ938" s="66">
        <f ca="1">IF(NOTA[[#This Row],[ID]]="","",COUNTIF(NOTA[ID_H],NOTA[[#This Row],[ID_H]]))</f>
        <v>11</v>
      </c>
      <c r="AK938" s="66">
        <f>IF(NOTA[[#This Row],[TGL.NOTA]]="",IF(NOTA[[#This Row],[SUPPLIER_H]]="","",AK937),MONTH(NOTA[[#This Row],[TGL.NOTA]]))</f>
        <v>5</v>
      </c>
      <c r="AL93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M9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N9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O93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MOROSA23050811045068correctionfluidcfs209jk</v>
      </c>
      <c r="AP938" s="66" t="e">
        <f>IF(NOTA[[#This Row],[CONCAT4]]="","",_xlfn.IFNA(MATCH(NOTA[[#This Row],[CONCAT4]],[2]!RAW[CONCAT_H],0),FALSE))</f>
        <v>#REF!</v>
      </c>
      <c r="AQ938" s="66">
        <f>IF(NOTA[[#This Row],[CONCAT1]]="","",MATCH(NOTA[[#This Row],[CONCAT1]],[3]!db[NB NOTA_C],0)+1)</f>
        <v>551</v>
      </c>
    </row>
    <row r="939" spans="1:43" ht="20.100000000000001" customHeight="1" x14ac:dyDescent="0.25">
      <c r="A9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66" t="str">
        <f>IF(NOTA[[#This Row],[ID_P]]="","",MATCH(NOTA[[#This Row],[ID_P]],[1]!B_MSK[N_ID],0))</f>
        <v/>
      </c>
      <c r="D939" s="66">
        <f ca="1">IF(NOTA[[#This Row],[NAMA BARANG]]="","",INDEX(NOTA[ID],MATCH(,INDIRECT(ADDRESS(ROW(NOTA[ID]),COLUMN(NOTA[ID]))&amp;":"&amp;ADDRESS(ROW(),COLUMN(NOTA[ID]))),-1)))</f>
        <v>161</v>
      </c>
      <c r="E939" s="113"/>
      <c r="H939" s="54"/>
      <c r="L939" s="27" t="s">
        <v>1114</v>
      </c>
      <c r="M939" s="114">
        <v>2</v>
      </c>
      <c r="N939" s="66">
        <v>72</v>
      </c>
      <c r="O939" s="27" t="s">
        <v>146</v>
      </c>
      <c r="P939" s="64">
        <v>41400</v>
      </c>
      <c r="Q939" s="79"/>
      <c r="R939" s="42"/>
      <c r="S939" s="80">
        <v>0.125</v>
      </c>
      <c r="T939" s="115">
        <v>0.05</v>
      </c>
      <c r="U939" s="52"/>
      <c r="V939" s="77"/>
      <c r="W939" s="52">
        <f>IF(NOTA[[#This Row],[HARGA/ CTN]]="",NOTA[[#This Row],[JUMLAH_H]],NOTA[[#This Row],[HARGA/ CTN]]*IF(NOTA[[#This Row],[C]]="",0,NOTA[[#This Row],[C]]))</f>
        <v>2980800</v>
      </c>
      <c r="X939" s="52">
        <f>IF(NOTA[[#This Row],[JUMLAH]]="","",NOTA[[#This Row],[JUMLAH]]*NOTA[[#This Row],[DISC 1]])</f>
        <v>372600</v>
      </c>
      <c r="Y939" s="52">
        <f>IF(NOTA[[#This Row],[JUMLAH]]="","",(NOTA[[#This Row],[JUMLAH]]-NOTA[[#This Row],[DISC 1-]])*NOTA[[#This Row],[DISC 2]])</f>
        <v>130410</v>
      </c>
      <c r="Z939" s="52">
        <f>IF(NOTA[[#This Row],[JUMLAH]]="","",NOTA[[#This Row],[DISC 1-]]+NOTA[[#This Row],[DISC 2-]])</f>
        <v>503010</v>
      </c>
      <c r="AA939" s="52">
        <f>IF(NOTA[[#This Row],[JUMLAH]]="","",NOTA[[#This Row],[JUMLAH]]-NOTA[[#This Row],[DISC]])</f>
        <v>2477790</v>
      </c>
      <c r="AB939" s="52"/>
      <c r="AC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64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939" s="203">
        <f>IF(OR(NOTA[[#This Row],[QTY]]="",NOTA[[#This Row],[HARGA SATUAN]]="",),"",NOTA[[#This Row],[QTY]]*NOTA[[#This Row],[HARGA SATUAN]])</f>
        <v>2980800</v>
      </c>
      <c r="AG939" s="53">
        <f ca="1">IF(NOTA[ID_H]="","",INDEX(NOTA[TANGGAL],MATCH(,INDIRECT(ADDRESS(ROW(NOTA[TANGGAL]),COLUMN(NOTA[TANGGAL]))&amp;":"&amp;ADDRESS(ROW(),COLUMN(NOTA[TANGGAL]))),-1)))</f>
        <v>45073</v>
      </c>
      <c r="AH939" s="64" t="str">
        <f ca="1">IF(NOTA[[#This Row],[NAMA BARANG]]="","",INDEX(NOTA[SUPPLIER],MATCH(,INDIRECT(ADDRESS(ROW(NOTA[ID]),COLUMN(NOTA[ID]))&amp;":"&amp;ADDRESS(ROW(),COLUMN(NOTA[ID]))),-1)))</f>
        <v>ATALI MAKMUR</v>
      </c>
      <c r="AI939" s="64" t="str">
        <f ca="1">IF(NOTA[[#This Row],[ID_H]]="","",IF(NOTA[[#This Row],[FAKTUR]]="",INDIRECT(ADDRESS(ROW()-1,COLUMN())),NOTA[[#This Row],[FAKTUR]]))</f>
        <v>ARTO MORO</v>
      </c>
      <c r="AJ939" s="66" t="str">
        <f ca="1">IF(NOTA[[#This Row],[ID]]="","",COUNTIF(NOTA[ID_H],NOTA[[#This Row],[ID_H]]))</f>
        <v/>
      </c>
      <c r="AK939" s="66">
        <f ca="1">IF(NOTA[[#This Row],[TGL.NOTA]]="",IF(NOTA[[#This Row],[SUPPLIER_H]]="","",AK938),MONTH(NOTA[[#This Row],[TGL.NOTA]]))</f>
        <v>5</v>
      </c>
      <c r="AL93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M9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N9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O9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9" s="66" t="str">
        <f>IF(NOTA[[#This Row],[CONCAT4]]="","",_xlfn.IFNA(MATCH(NOTA[[#This Row],[CONCAT4]],[2]!RAW[CONCAT_H],0),FALSE))</f>
        <v/>
      </c>
      <c r="AQ939" s="66">
        <f>IF(NOTA[[#This Row],[CONCAT1]]="","",MATCH(NOTA[[#This Row],[CONCAT1]],[3]!db[NB NOTA_C],0)+1)</f>
        <v>550</v>
      </c>
    </row>
    <row r="940" spans="1:43" ht="20.100000000000001" customHeight="1" x14ac:dyDescent="0.25">
      <c r="A9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66" t="str">
        <f>IF(NOTA[[#This Row],[ID_P]]="","",MATCH(NOTA[[#This Row],[ID_P]],[1]!B_MSK[N_ID],0))</f>
        <v/>
      </c>
      <c r="D940" s="66">
        <f ca="1">IF(NOTA[[#This Row],[NAMA BARANG]]="","",INDEX(NOTA[ID],MATCH(,INDIRECT(ADDRESS(ROW(NOTA[ID]),COLUMN(NOTA[ID]))&amp;":"&amp;ADDRESS(ROW(),COLUMN(NOTA[ID]))),-1)))</f>
        <v>161</v>
      </c>
      <c r="E940" s="113"/>
      <c r="H940" s="54"/>
      <c r="L940" s="27" t="s">
        <v>1115</v>
      </c>
      <c r="M940" s="114">
        <v>2</v>
      </c>
      <c r="N940" s="66">
        <v>72</v>
      </c>
      <c r="O940" s="27" t="s">
        <v>146</v>
      </c>
      <c r="P940" s="64">
        <v>43200</v>
      </c>
      <c r="Q940" s="79"/>
      <c r="R940" s="42"/>
      <c r="S940" s="80">
        <v>0.125</v>
      </c>
      <c r="T940" s="115">
        <v>0.05</v>
      </c>
      <c r="U940" s="52"/>
      <c r="V940" s="77"/>
      <c r="W940" s="52">
        <f>IF(NOTA[[#This Row],[HARGA/ CTN]]="",NOTA[[#This Row],[JUMLAH_H]],NOTA[[#This Row],[HARGA/ CTN]]*IF(NOTA[[#This Row],[C]]="",0,NOTA[[#This Row],[C]]))</f>
        <v>3110400</v>
      </c>
      <c r="X940" s="52">
        <f>IF(NOTA[[#This Row],[JUMLAH]]="","",NOTA[[#This Row],[JUMLAH]]*NOTA[[#This Row],[DISC 1]])</f>
        <v>388800</v>
      </c>
      <c r="Y940" s="52">
        <f>IF(NOTA[[#This Row],[JUMLAH]]="","",(NOTA[[#This Row],[JUMLAH]]-NOTA[[#This Row],[DISC 1-]])*NOTA[[#This Row],[DISC 2]])</f>
        <v>136080</v>
      </c>
      <c r="Z940" s="52">
        <f>IF(NOTA[[#This Row],[JUMLAH]]="","",NOTA[[#This Row],[DISC 1-]]+NOTA[[#This Row],[DISC 2-]])</f>
        <v>524880</v>
      </c>
      <c r="AA940" s="52">
        <f>IF(NOTA[[#This Row],[JUMLAH]]="","",NOTA[[#This Row],[JUMLAH]]-NOTA[[#This Row],[DISC]])</f>
        <v>2585520</v>
      </c>
      <c r="AB940" s="52"/>
      <c r="AC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64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940" s="203">
        <f>IF(OR(NOTA[[#This Row],[QTY]]="",NOTA[[#This Row],[HARGA SATUAN]]="",),"",NOTA[[#This Row],[QTY]]*NOTA[[#This Row],[HARGA SATUAN]])</f>
        <v>3110400</v>
      </c>
      <c r="AG940" s="53">
        <f ca="1">IF(NOTA[ID_H]="","",INDEX(NOTA[TANGGAL],MATCH(,INDIRECT(ADDRESS(ROW(NOTA[TANGGAL]),COLUMN(NOTA[TANGGAL]))&amp;":"&amp;ADDRESS(ROW(),COLUMN(NOTA[TANGGAL]))),-1)))</f>
        <v>45073</v>
      </c>
      <c r="AH940" s="64" t="str">
        <f ca="1">IF(NOTA[[#This Row],[NAMA BARANG]]="","",INDEX(NOTA[SUPPLIER],MATCH(,INDIRECT(ADDRESS(ROW(NOTA[ID]),COLUMN(NOTA[ID]))&amp;":"&amp;ADDRESS(ROW(),COLUMN(NOTA[ID]))),-1)))</f>
        <v>ATALI MAKMUR</v>
      </c>
      <c r="AI940" s="64" t="str">
        <f ca="1">IF(NOTA[[#This Row],[ID_H]]="","",IF(NOTA[[#This Row],[FAKTUR]]="",INDIRECT(ADDRESS(ROW()-1,COLUMN())),NOTA[[#This Row],[FAKTUR]]))</f>
        <v>ARTO MORO</v>
      </c>
      <c r="AJ940" s="66" t="str">
        <f ca="1">IF(NOTA[[#This Row],[ID]]="","",COUNTIF(NOTA[ID_H],NOTA[[#This Row],[ID_H]]))</f>
        <v/>
      </c>
      <c r="AK940" s="66">
        <f ca="1">IF(NOTA[[#This Row],[TGL.NOTA]]="",IF(NOTA[[#This Row],[SUPPLIER_H]]="","",AK939),MONTH(NOTA[[#This Row],[TGL.NOTA]]))</f>
        <v>5</v>
      </c>
      <c r="AL94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M9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N9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O9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0" s="66" t="str">
        <f>IF(NOTA[[#This Row],[CONCAT4]]="","",_xlfn.IFNA(MATCH(NOTA[[#This Row],[CONCAT4]],[2]!RAW[CONCAT_H],0),FALSE))</f>
        <v/>
      </c>
      <c r="AQ940" s="66">
        <f>IF(NOTA[[#This Row],[CONCAT1]]="","",MATCH(NOTA[[#This Row],[CONCAT1]],[3]!db[NB NOTA_C],0)+1)</f>
        <v>552</v>
      </c>
    </row>
    <row r="941" spans="1:43" ht="20.100000000000001" customHeight="1" x14ac:dyDescent="0.25">
      <c r="A9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66" t="str">
        <f>IF(NOTA[[#This Row],[ID_P]]="","",MATCH(NOTA[[#This Row],[ID_P]],[1]!B_MSK[N_ID],0))</f>
        <v/>
      </c>
      <c r="D941" s="66">
        <f ca="1">IF(NOTA[[#This Row],[NAMA BARANG]]="","",INDEX(NOTA[ID],MATCH(,INDIRECT(ADDRESS(ROW(NOTA[ID]),COLUMN(NOTA[ID]))&amp;":"&amp;ADDRESS(ROW(),COLUMN(NOTA[ID]))),-1)))</f>
        <v>161</v>
      </c>
      <c r="E941" s="113"/>
      <c r="H941" s="54"/>
      <c r="L941" s="27" t="s">
        <v>1116</v>
      </c>
      <c r="M941" s="114">
        <v>2</v>
      </c>
      <c r="N941" s="66">
        <v>48</v>
      </c>
      <c r="O941" s="27" t="s">
        <v>262</v>
      </c>
      <c r="P941" s="64">
        <v>70800</v>
      </c>
      <c r="Q941" s="79"/>
      <c r="R941" s="42" t="s">
        <v>1117</v>
      </c>
      <c r="S941" s="80">
        <v>0.125</v>
      </c>
      <c r="T941" s="115">
        <v>0.05</v>
      </c>
      <c r="U941" s="52"/>
      <c r="V941" s="77"/>
      <c r="W941" s="52">
        <f>IF(NOTA[[#This Row],[HARGA/ CTN]]="",NOTA[[#This Row],[JUMLAH_H]],NOTA[[#This Row],[HARGA/ CTN]]*IF(NOTA[[#This Row],[C]]="",0,NOTA[[#This Row],[C]]))</f>
        <v>3398400</v>
      </c>
      <c r="X941" s="52">
        <f>IF(NOTA[[#This Row],[JUMLAH]]="","",NOTA[[#This Row],[JUMLAH]]*NOTA[[#This Row],[DISC 1]])</f>
        <v>424800</v>
      </c>
      <c r="Y941" s="52">
        <f>IF(NOTA[[#This Row],[JUMLAH]]="","",(NOTA[[#This Row],[JUMLAH]]-NOTA[[#This Row],[DISC 1-]])*NOTA[[#This Row],[DISC 2]])</f>
        <v>148680</v>
      </c>
      <c r="Z941" s="52">
        <f>IF(NOTA[[#This Row],[JUMLAH]]="","",NOTA[[#This Row],[DISC 1-]]+NOTA[[#This Row],[DISC 2-]])</f>
        <v>573480</v>
      </c>
      <c r="AA941" s="52">
        <f>IF(NOTA[[#This Row],[JUMLAH]]="","",NOTA[[#This Row],[JUMLAH]]-NOTA[[#This Row],[DISC]])</f>
        <v>2824920</v>
      </c>
      <c r="AB941" s="52"/>
      <c r="AC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41" s="203">
        <f>IF(OR(NOTA[[#This Row],[QTY]]="",NOTA[[#This Row],[HARGA SATUAN]]="",),"",NOTA[[#This Row],[QTY]]*NOTA[[#This Row],[HARGA SATUAN]])</f>
        <v>3398400</v>
      </c>
      <c r="AG941" s="53">
        <f ca="1">IF(NOTA[ID_H]="","",INDEX(NOTA[TANGGAL],MATCH(,INDIRECT(ADDRESS(ROW(NOTA[TANGGAL]),COLUMN(NOTA[TANGGAL]))&amp;":"&amp;ADDRESS(ROW(),COLUMN(NOTA[TANGGAL]))),-1)))</f>
        <v>45073</v>
      </c>
      <c r="AH941" s="64" t="str">
        <f ca="1">IF(NOTA[[#This Row],[NAMA BARANG]]="","",INDEX(NOTA[SUPPLIER],MATCH(,INDIRECT(ADDRESS(ROW(NOTA[ID]),COLUMN(NOTA[ID]))&amp;":"&amp;ADDRESS(ROW(),COLUMN(NOTA[ID]))),-1)))</f>
        <v>ATALI MAKMUR</v>
      </c>
      <c r="AI941" s="64" t="str">
        <f ca="1">IF(NOTA[[#This Row],[ID_H]]="","",IF(NOTA[[#This Row],[FAKTUR]]="",INDIRECT(ADDRESS(ROW()-1,COLUMN())),NOTA[[#This Row],[FAKTUR]]))</f>
        <v>ARTO MORO</v>
      </c>
      <c r="AJ941" s="66" t="str">
        <f ca="1">IF(NOTA[[#This Row],[ID]]="","",COUNTIF(NOTA[ID_H],NOTA[[#This Row],[ID_H]]))</f>
        <v/>
      </c>
      <c r="AK941" s="66">
        <f ca="1">IF(NOTA[[#This Row],[TGL.NOTA]]="",IF(NOTA[[#This Row],[SUPPLIER_H]]="","",AK940),MONTH(NOTA[[#This Row],[TGL.NOTA]]))</f>
        <v>5</v>
      </c>
      <c r="AL94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M9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N9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O9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1" s="66" t="str">
        <f>IF(NOTA[[#This Row],[CONCAT4]]="","",_xlfn.IFNA(MATCH(NOTA[[#This Row],[CONCAT4]],[2]!RAW[CONCAT_H],0),FALSE))</f>
        <v/>
      </c>
      <c r="AQ941" s="66">
        <f>IF(NOTA[[#This Row],[CONCAT1]]="","",MATCH(NOTA[[#This Row],[CONCAT1]],[3]!db[NB NOTA_C],0)+1)</f>
        <v>553</v>
      </c>
    </row>
    <row r="942" spans="1:43" ht="20.100000000000001" customHeight="1" x14ac:dyDescent="0.25">
      <c r="A9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66" t="str">
        <f>IF(NOTA[[#This Row],[ID_P]]="","",MATCH(NOTA[[#This Row],[ID_P]],[1]!B_MSK[N_ID],0))</f>
        <v/>
      </c>
      <c r="D942" s="66">
        <f ca="1">IF(NOTA[[#This Row],[NAMA BARANG]]="","",INDEX(NOTA[ID],MATCH(,INDIRECT(ADDRESS(ROW(NOTA[ID]),COLUMN(NOTA[ID]))&amp;":"&amp;ADDRESS(ROW(),COLUMN(NOTA[ID]))),-1)))</f>
        <v>161</v>
      </c>
      <c r="E942" s="113"/>
      <c r="H942" s="54"/>
      <c r="L942" s="27" t="s">
        <v>1118</v>
      </c>
      <c r="M942" s="114">
        <v>2</v>
      </c>
      <c r="N942" s="66">
        <v>48</v>
      </c>
      <c r="O942" s="27" t="s">
        <v>262</v>
      </c>
      <c r="P942" s="64">
        <v>70800</v>
      </c>
      <c r="Q942" s="79"/>
      <c r="R942" s="42" t="s">
        <v>1117</v>
      </c>
      <c r="S942" s="80">
        <v>0.125</v>
      </c>
      <c r="T942" s="115">
        <v>0.05</v>
      </c>
      <c r="U942" s="52"/>
      <c r="V942" s="77"/>
      <c r="W942" s="52">
        <f>IF(NOTA[[#This Row],[HARGA/ CTN]]="",NOTA[[#This Row],[JUMLAH_H]],NOTA[[#This Row],[HARGA/ CTN]]*IF(NOTA[[#This Row],[C]]="",0,NOTA[[#This Row],[C]]))</f>
        <v>3398400</v>
      </c>
      <c r="X942" s="52">
        <f>IF(NOTA[[#This Row],[JUMLAH]]="","",NOTA[[#This Row],[JUMLAH]]*NOTA[[#This Row],[DISC 1]])</f>
        <v>424800</v>
      </c>
      <c r="Y942" s="52">
        <f>IF(NOTA[[#This Row],[JUMLAH]]="","",(NOTA[[#This Row],[JUMLAH]]-NOTA[[#This Row],[DISC 1-]])*NOTA[[#This Row],[DISC 2]])</f>
        <v>148680</v>
      </c>
      <c r="Z942" s="52">
        <f>IF(NOTA[[#This Row],[JUMLAH]]="","",NOTA[[#This Row],[DISC 1-]]+NOTA[[#This Row],[DISC 2-]])</f>
        <v>573480</v>
      </c>
      <c r="AA942" s="52">
        <f>IF(NOTA[[#This Row],[JUMLAH]]="","",NOTA[[#This Row],[JUMLAH]]-NOTA[[#This Row],[DISC]])</f>
        <v>2824920</v>
      </c>
      <c r="AB942" s="52"/>
      <c r="AC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2" s="64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942" s="203">
        <f>IF(OR(NOTA[[#This Row],[QTY]]="",NOTA[[#This Row],[HARGA SATUAN]]="",),"",NOTA[[#This Row],[QTY]]*NOTA[[#This Row],[HARGA SATUAN]])</f>
        <v>3398400</v>
      </c>
      <c r="AG942" s="53">
        <f ca="1">IF(NOTA[ID_H]="","",INDEX(NOTA[TANGGAL],MATCH(,INDIRECT(ADDRESS(ROW(NOTA[TANGGAL]),COLUMN(NOTA[TANGGAL]))&amp;":"&amp;ADDRESS(ROW(),COLUMN(NOTA[TANGGAL]))),-1)))</f>
        <v>45073</v>
      </c>
      <c r="AH942" s="64" t="str">
        <f ca="1">IF(NOTA[[#This Row],[NAMA BARANG]]="","",INDEX(NOTA[SUPPLIER],MATCH(,INDIRECT(ADDRESS(ROW(NOTA[ID]),COLUMN(NOTA[ID]))&amp;":"&amp;ADDRESS(ROW(),COLUMN(NOTA[ID]))),-1)))</f>
        <v>ATALI MAKMUR</v>
      </c>
      <c r="AI942" s="64" t="str">
        <f ca="1">IF(NOTA[[#This Row],[ID_H]]="","",IF(NOTA[[#This Row],[FAKTUR]]="",INDIRECT(ADDRESS(ROW()-1,COLUMN())),NOTA[[#This Row],[FAKTUR]]))</f>
        <v>ARTO MORO</v>
      </c>
      <c r="AJ942" s="66" t="str">
        <f ca="1">IF(NOTA[[#This Row],[ID]]="","",COUNTIF(NOTA[ID_H],NOTA[[#This Row],[ID_H]]))</f>
        <v/>
      </c>
      <c r="AK942" s="66">
        <f ca="1">IF(NOTA[[#This Row],[TGL.NOTA]]="",IF(NOTA[[#This Row],[SUPPLIER_H]]="","",AK941),MONTH(NOTA[[#This Row],[TGL.NOTA]]))</f>
        <v>5</v>
      </c>
      <c r="AL94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M9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N9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O9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2" s="66" t="str">
        <f>IF(NOTA[[#This Row],[CONCAT4]]="","",_xlfn.IFNA(MATCH(NOTA[[#This Row],[CONCAT4]],[2]!RAW[CONCAT_H],0),FALSE))</f>
        <v/>
      </c>
      <c r="AQ942" s="66">
        <f>IF(NOTA[[#This Row],[CONCAT1]]="","",MATCH(NOTA[[#This Row],[CONCAT1]],[3]!db[NB NOTA_C],0)+1)</f>
        <v>554</v>
      </c>
    </row>
    <row r="943" spans="1:43" ht="20.100000000000001" customHeight="1" x14ac:dyDescent="0.25">
      <c r="A9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66" t="str">
        <f>IF(NOTA[[#This Row],[ID_P]]="","",MATCH(NOTA[[#This Row],[ID_P]],[1]!B_MSK[N_ID],0))</f>
        <v/>
      </c>
      <c r="D943" s="66">
        <f ca="1">IF(NOTA[[#This Row],[NAMA BARANG]]="","",INDEX(NOTA[ID],MATCH(,INDIRECT(ADDRESS(ROW(NOTA[ID]),COLUMN(NOTA[ID]))&amp;":"&amp;ADDRESS(ROW(),COLUMN(NOTA[ID]))),-1)))</f>
        <v>161</v>
      </c>
      <c r="E943" s="113"/>
      <c r="H943" s="54"/>
      <c r="L943" s="27" t="s">
        <v>1119</v>
      </c>
      <c r="M943" s="114">
        <v>1</v>
      </c>
      <c r="N943" s="66">
        <v>144</v>
      </c>
      <c r="O943" s="27" t="s">
        <v>146</v>
      </c>
      <c r="P943" s="64">
        <v>21600</v>
      </c>
      <c r="Q943" s="79"/>
      <c r="R943" s="42" t="s">
        <v>293</v>
      </c>
      <c r="S943" s="80">
        <v>0.125</v>
      </c>
      <c r="T943" s="115">
        <v>0.05</v>
      </c>
      <c r="U943" s="52"/>
      <c r="V943" s="77"/>
      <c r="W943" s="52">
        <f>IF(NOTA[[#This Row],[HARGA/ CTN]]="",NOTA[[#This Row],[JUMLAH_H]],NOTA[[#This Row],[HARGA/ CTN]]*IF(NOTA[[#This Row],[C]]="",0,NOTA[[#This Row],[C]]))</f>
        <v>3110400</v>
      </c>
      <c r="X943" s="52">
        <f>IF(NOTA[[#This Row],[JUMLAH]]="","",NOTA[[#This Row],[JUMLAH]]*NOTA[[#This Row],[DISC 1]])</f>
        <v>388800</v>
      </c>
      <c r="Y943" s="52">
        <f>IF(NOTA[[#This Row],[JUMLAH]]="","",(NOTA[[#This Row],[JUMLAH]]-NOTA[[#This Row],[DISC 1-]])*NOTA[[#This Row],[DISC 2]])</f>
        <v>136080</v>
      </c>
      <c r="Z943" s="52">
        <f>IF(NOTA[[#This Row],[JUMLAH]]="","",NOTA[[#This Row],[DISC 1-]]+NOTA[[#This Row],[DISC 2-]])</f>
        <v>524880</v>
      </c>
      <c r="AA943" s="52">
        <f>IF(NOTA[[#This Row],[JUMLAH]]="","",NOTA[[#This Row],[JUMLAH]]-NOTA[[#This Row],[DISC]])</f>
        <v>2585520</v>
      </c>
      <c r="AB943" s="52"/>
      <c r="AC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943" s="203">
        <f>IF(OR(NOTA[[#This Row],[QTY]]="",NOTA[[#This Row],[HARGA SATUAN]]="",),"",NOTA[[#This Row],[QTY]]*NOTA[[#This Row],[HARGA SATUAN]])</f>
        <v>3110400</v>
      </c>
      <c r="AG943" s="53">
        <f ca="1">IF(NOTA[ID_H]="","",INDEX(NOTA[TANGGAL],MATCH(,INDIRECT(ADDRESS(ROW(NOTA[TANGGAL]),COLUMN(NOTA[TANGGAL]))&amp;":"&amp;ADDRESS(ROW(),COLUMN(NOTA[TANGGAL]))),-1)))</f>
        <v>45073</v>
      </c>
      <c r="AH943" s="64" t="str">
        <f ca="1">IF(NOTA[[#This Row],[NAMA BARANG]]="","",INDEX(NOTA[SUPPLIER],MATCH(,INDIRECT(ADDRESS(ROW(NOTA[ID]),COLUMN(NOTA[ID]))&amp;":"&amp;ADDRESS(ROW(),COLUMN(NOTA[ID]))),-1)))</f>
        <v>ATALI MAKMUR</v>
      </c>
      <c r="AI943" s="64" t="str">
        <f ca="1">IF(NOTA[[#This Row],[ID_H]]="","",IF(NOTA[[#This Row],[FAKTUR]]="",INDIRECT(ADDRESS(ROW()-1,COLUMN())),NOTA[[#This Row],[FAKTUR]]))</f>
        <v>ARTO MORO</v>
      </c>
      <c r="AJ943" s="66" t="str">
        <f ca="1">IF(NOTA[[#This Row],[ID]]="","",COUNTIF(NOTA[ID_H],NOTA[[#This Row],[ID_H]]))</f>
        <v/>
      </c>
      <c r="AK943" s="66">
        <f ca="1">IF(NOTA[[#This Row],[TGL.NOTA]]="",IF(NOTA[[#This Row],[SUPPLIER_H]]="","",AK942),MONTH(NOTA[[#This Row],[TGL.NOTA]]))</f>
        <v>5</v>
      </c>
      <c r="AL943" s="66" t="str">
        <f>LOWER(SUBSTITUTE(SUBSTITUTE(SUBSTITUTE(SUBSTITUTE(SUBSTITUTE(SUBSTITUTE(SUBSTITUTE(SUBSTITUTE(SUBSTITUTE(NOTA[NAMA BARANG]," ",),".",""),"-",""),"(",""),")",""),",",""),"/",""),"""",""),"+",""))</f>
        <v>gelpengp212idiamondblackjk</v>
      </c>
      <c r="AM9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N9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gelpengp212idiamondblackjk31104000.1250.05</v>
      </c>
      <c r="AO9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3" s="66" t="str">
        <f>IF(NOTA[[#This Row],[CONCAT4]]="","",_xlfn.IFNA(MATCH(NOTA[[#This Row],[CONCAT4]],[2]!RAW[CONCAT_H],0),FALSE))</f>
        <v/>
      </c>
      <c r="AQ943" s="66">
        <f>IF(NOTA[[#This Row],[CONCAT1]]="","",MATCH(NOTA[[#This Row],[CONCAT1]],[3]!db[NB NOTA_C],0)+1)</f>
        <v>798</v>
      </c>
    </row>
    <row r="944" spans="1:43" ht="20.100000000000001" customHeight="1" x14ac:dyDescent="0.25">
      <c r="A9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66" t="str">
        <f>IF(NOTA[[#This Row],[ID_P]]="","",MATCH(NOTA[[#This Row],[ID_P]],[1]!B_MSK[N_ID],0))</f>
        <v/>
      </c>
      <c r="D944" s="66">
        <f ca="1">IF(NOTA[[#This Row],[NAMA BARANG]]="","",INDEX(NOTA[ID],MATCH(,INDIRECT(ADDRESS(ROW(NOTA[ID]),COLUMN(NOTA[ID]))&amp;":"&amp;ADDRESS(ROW(),COLUMN(NOTA[ID]))),-1)))</f>
        <v>161</v>
      </c>
      <c r="E944" s="113"/>
      <c r="H944" s="54"/>
      <c r="L944" s="27" t="s">
        <v>1120</v>
      </c>
      <c r="M944" s="114">
        <v>1</v>
      </c>
      <c r="N944" s="66">
        <v>144</v>
      </c>
      <c r="O944" s="27" t="s">
        <v>146</v>
      </c>
      <c r="P944" s="64">
        <v>14100</v>
      </c>
      <c r="Q944" s="79"/>
      <c r="R944" s="42"/>
      <c r="S944" s="80">
        <v>0.125</v>
      </c>
      <c r="T944" s="115">
        <v>0.05</v>
      </c>
      <c r="U944" s="52"/>
      <c r="V944" s="77"/>
      <c r="W944" s="52">
        <f>IF(NOTA[[#This Row],[HARGA/ CTN]]="",NOTA[[#This Row],[JUMLAH_H]],NOTA[[#This Row],[HARGA/ CTN]]*IF(NOTA[[#This Row],[C]]="",0,NOTA[[#This Row],[C]]))</f>
        <v>2030400</v>
      </c>
      <c r="X944" s="52">
        <f>IF(NOTA[[#This Row],[JUMLAH]]="","",NOTA[[#This Row],[JUMLAH]]*NOTA[[#This Row],[DISC 1]])</f>
        <v>253800</v>
      </c>
      <c r="Y944" s="52">
        <f>IF(NOTA[[#This Row],[JUMLAH]]="","",(NOTA[[#This Row],[JUMLAH]]-NOTA[[#This Row],[DISC 1-]])*NOTA[[#This Row],[DISC 2]])</f>
        <v>88830</v>
      </c>
      <c r="Z944" s="52">
        <f>IF(NOTA[[#This Row],[JUMLAH]]="","",NOTA[[#This Row],[DISC 1-]]+NOTA[[#This Row],[DISC 2-]])</f>
        <v>342630</v>
      </c>
      <c r="AA944" s="52">
        <f>IF(NOTA[[#This Row],[JUMLAH]]="","",NOTA[[#This Row],[JUMLAH]]-NOTA[[#This Row],[DISC]])</f>
        <v>1687770</v>
      </c>
      <c r="AB944" s="52"/>
      <c r="AC9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64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F944" s="203">
        <f>IF(OR(NOTA[[#This Row],[QTY]]="",NOTA[[#This Row],[HARGA SATUAN]]="",),"",NOTA[[#This Row],[QTY]]*NOTA[[#This Row],[HARGA SATUAN]])</f>
        <v>2030400</v>
      </c>
      <c r="AG944" s="53">
        <f ca="1">IF(NOTA[ID_H]="","",INDEX(NOTA[TANGGAL],MATCH(,INDIRECT(ADDRESS(ROW(NOTA[TANGGAL]),COLUMN(NOTA[TANGGAL]))&amp;":"&amp;ADDRESS(ROW(),COLUMN(NOTA[TANGGAL]))),-1)))</f>
        <v>45073</v>
      </c>
      <c r="AH944" s="64" t="str">
        <f ca="1">IF(NOTA[[#This Row],[NAMA BARANG]]="","",INDEX(NOTA[SUPPLIER],MATCH(,INDIRECT(ADDRESS(ROW(NOTA[ID]),COLUMN(NOTA[ID]))&amp;":"&amp;ADDRESS(ROW(),COLUMN(NOTA[ID]))),-1)))</f>
        <v>ATALI MAKMUR</v>
      </c>
      <c r="AI944" s="64" t="str">
        <f ca="1">IF(NOTA[[#This Row],[ID_H]]="","",IF(NOTA[[#This Row],[FAKTUR]]="",INDIRECT(ADDRESS(ROW()-1,COLUMN())),NOTA[[#This Row],[FAKTUR]]))</f>
        <v>ARTO MORO</v>
      </c>
      <c r="AJ944" s="66" t="str">
        <f ca="1">IF(NOTA[[#This Row],[ID]]="","",COUNTIF(NOTA[ID_H],NOTA[[#This Row],[ID_H]]))</f>
        <v/>
      </c>
      <c r="AK944" s="66">
        <f ca="1">IF(NOTA[[#This Row],[TGL.NOTA]]="",IF(NOTA[[#This Row],[SUPPLIER_H]]="","",AK943),MONTH(NOTA[[#This Row],[TGL.NOTA]]))</f>
        <v>5</v>
      </c>
      <c r="AL944" s="66" t="str">
        <f>LOWER(SUBSTITUTE(SUBSTITUTE(SUBSTITUTE(SUBSTITUTE(SUBSTITUTE(SUBSTITUTE(SUBSTITUTE(SUBSTITUTE(SUBSTITUTE(NOTA[NAMA BARANG]," ",),".",""),"-",""),"(",""),")",""),",",""),"/",""),"""",""),"+",""))</f>
        <v>gelpengp330blackjk</v>
      </c>
      <c r="AM9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gelpengp330blackjk20304000.1250.05</v>
      </c>
      <c r="AN9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gelpengp330blackjk20304000.1250.05</v>
      </c>
      <c r="AO9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4" s="66" t="str">
        <f>IF(NOTA[[#This Row],[CONCAT4]]="","",_xlfn.IFNA(MATCH(NOTA[[#This Row],[CONCAT4]],[2]!RAW[CONCAT_H],0),FALSE))</f>
        <v/>
      </c>
      <c r="AQ944" s="66">
        <f>IF(NOTA[[#This Row],[CONCAT1]]="","",MATCH(NOTA[[#This Row],[CONCAT1]],[3]!db[NB NOTA_C],0)+1)</f>
        <v>807</v>
      </c>
    </row>
    <row r="945" spans="1:43" ht="20.100000000000001" customHeight="1" x14ac:dyDescent="0.25">
      <c r="A9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66" t="str">
        <f>IF(NOTA[[#This Row],[ID_P]]="","",MATCH(NOTA[[#This Row],[ID_P]],[1]!B_MSK[N_ID],0))</f>
        <v/>
      </c>
      <c r="D945" s="66">
        <f ca="1">IF(NOTA[[#This Row],[NAMA BARANG]]="","",INDEX(NOTA[ID],MATCH(,INDIRECT(ADDRESS(ROW(NOTA[ID]),COLUMN(NOTA[ID]))&amp;":"&amp;ADDRESS(ROW(),COLUMN(NOTA[ID]))),-1)))</f>
        <v>161</v>
      </c>
      <c r="E945" s="113"/>
      <c r="H945" s="54"/>
      <c r="L945" s="27" t="s">
        <v>1121</v>
      </c>
      <c r="M945" s="114">
        <v>1</v>
      </c>
      <c r="N945" s="66">
        <v>144</v>
      </c>
      <c r="O945" s="27" t="s">
        <v>146</v>
      </c>
      <c r="P945" s="64">
        <v>34200</v>
      </c>
      <c r="Q945" s="79"/>
      <c r="R945" s="42" t="s">
        <v>293</v>
      </c>
      <c r="S945" s="80">
        <v>0.125</v>
      </c>
      <c r="T945" s="115">
        <v>0.05</v>
      </c>
      <c r="U945" s="52"/>
      <c r="V945" s="77"/>
      <c r="W945" s="52">
        <f>IF(NOTA[[#This Row],[HARGA/ CTN]]="",NOTA[[#This Row],[JUMLAH_H]],NOTA[[#This Row],[HARGA/ CTN]]*IF(NOTA[[#This Row],[C]]="",0,NOTA[[#This Row],[C]]))</f>
        <v>4924800</v>
      </c>
      <c r="X945" s="52">
        <f>IF(NOTA[[#This Row],[JUMLAH]]="","",NOTA[[#This Row],[JUMLAH]]*NOTA[[#This Row],[DISC 1]])</f>
        <v>615600</v>
      </c>
      <c r="Y945" s="52">
        <f>IF(NOTA[[#This Row],[JUMLAH]]="","",(NOTA[[#This Row],[JUMLAH]]-NOTA[[#This Row],[DISC 1-]])*NOTA[[#This Row],[DISC 2]])</f>
        <v>215460</v>
      </c>
      <c r="Z945" s="52">
        <f>IF(NOTA[[#This Row],[JUMLAH]]="","",NOTA[[#This Row],[DISC 1-]]+NOTA[[#This Row],[DISC 2-]])</f>
        <v>831060</v>
      </c>
      <c r="AA945" s="52">
        <f>IF(NOTA[[#This Row],[JUMLAH]]="","",NOTA[[#This Row],[JUMLAH]]-NOTA[[#This Row],[DISC]])</f>
        <v>4093740</v>
      </c>
      <c r="AB945" s="52"/>
      <c r="AC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64">
        <f>IF(NOTA[[#This Row],[NAMA BARANG]]="","",IF(NOTA[[#This Row],[JUMLAH_H]]="",NOTA[[#This Row],[HARGA/ CTN]],NOTA[[#This Row],[QTY]]*NOTA[[#This Row],[HARGA SATUAN]]/IF(ISNUMBER(NOTA[[#This Row],[C]]),NOTA[[#This Row],[C]],1)))</f>
        <v>4924800</v>
      </c>
      <c r="AF945" s="203">
        <f>IF(OR(NOTA[[#This Row],[QTY]]="",NOTA[[#This Row],[HARGA SATUAN]]="",),"",NOTA[[#This Row],[QTY]]*NOTA[[#This Row],[HARGA SATUAN]])</f>
        <v>4924800</v>
      </c>
      <c r="AG945" s="53">
        <f ca="1">IF(NOTA[ID_H]="","",INDEX(NOTA[TANGGAL],MATCH(,INDIRECT(ADDRESS(ROW(NOTA[TANGGAL]),COLUMN(NOTA[TANGGAL]))&amp;":"&amp;ADDRESS(ROW(),COLUMN(NOTA[TANGGAL]))),-1)))</f>
        <v>45073</v>
      </c>
      <c r="AH945" s="64" t="str">
        <f ca="1">IF(NOTA[[#This Row],[NAMA BARANG]]="","",INDEX(NOTA[SUPPLIER],MATCH(,INDIRECT(ADDRESS(ROW(NOTA[ID]),COLUMN(NOTA[ID]))&amp;":"&amp;ADDRESS(ROW(),COLUMN(NOTA[ID]))),-1)))</f>
        <v>ATALI MAKMUR</v>
      </c>
      <c r="AI945" s="64" t="str">
        <f ca="1">IF(NOTA[[#This Row],[ID_H]]="","",IF(NOTA[[#This Row],[FAKTUR]]="",INDIRECT(ADDRESS(ROW()-1,COLUMN())),NOTA[[#This Row],[FAKTUR]]))</f>
        <v>ARTO MORO</v>
      </c>
      <c r="AJ945" s="66" t="str">
        <f ca="1">IF(NOTA[[#This Row],[ID]]="","",COUNTIF(NOTA[ID_H],NOTA[[#This Row],[ID_H]]))</f>
        <v/>
      </c>
      <c r="AK945" s="66">
        <f ca="1">IF(NOTA[[#This Row],[TGL.NOTA]]="",IF(NOTA[[#This Row],[SUPPLIER_H]]="","",AK944),MONTH(NOTA[[#This Row],[TGL.NOTA]]))</f>
        <v>5</v>
      </c>
      <c r="AL945" s="66" t="str">
        <f>LOWER(SUBSTITUTE(SUBSTITUTE(SUBSTITUTE(SUBSTITUTE(SUBSTITUTE(SUBSTITUTE(SUBSTITUTE(SUBSTITUTE(SUBSTITUTE(NOTA[NAMA BARANG]," ",),".",""),"-",""),"(",""),")",""),",",""),"/",""),"""",""),"+",""))</f>
        <v>gelpengp182itechblackjk</v>
      </c>
      <c r="AM9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gelpengp182itechblackjk49248000.1250.05</v>
      </c>
      <c r="AN9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gelpengp182itechblackjk49248000.1250.05</v>
      </c>
      <c r="AO9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5" s="66" t="str">
        <f>IF(NOTA[[#This Row],[CONCAT4]]="","",_xlfn.IFNA(MATCH(NOTA[[#This Row],[CONCAT4]],[2]!RAW[CONCAT_H],0),FALSE))</f>
        <v/>
      </c>
      <c r="AQ945" s="66">
        <f>IF(NOTA[[#This Row],[CONCAT1]]="","",MATCH(NOTA[[#This Row],[CONCAT1]],[3]!db[NB NOTA_C],0)+1)</f>
        <v>801</v>
      </c>
    </row>
    <row r="946" spans="1:43" ht="20.100000000000001" customHeight="1" x14ac:dyDescent="0.25">
      <c r="A9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66" t="str">
        <f>IF(NOTA[[#This Row],[ID_P]]="","",MATCH(NOTA[[#This Row],[ID_P]],[1]!B_MSK[N_ID],0))</f>
        <v/>
      </c>
      <c r="D946" s="66">
        <f ca="1">IF(NOTA[[#This Row],[NAMA BARANG]]="","",INDEX(NOTA[ID],MATCH(,INDIRECT(ADDRESS(ROW(NOTA[ID]),COLUMN(NOTA[ID]))&amp;":"&amp;ADDRESS(ROW(),COLUMN(NOTA[ID]))),-1)))</f>
        <v>161</v>
      </c>
      <c r="E946" s="113"/>
      <c r="H946" s="54"/>
      <c r="L946" s="27" t="s">
        <v>612</v>
      </c>
      <c r="M946" s="114">
        <v>1</v>
      </c>
      <c r="N946" s="66">
        <v>144</v>
      </c>
      <c r="O946" s="27" t="s">
        <v>146</v>
      </c>
      <c r="P946" s="64">
        <v>27600</v>
      </c>
      <c r="Q946" s="79"/>
      <c r="R946" s="42"/>
      <c r="S946" s="80">
        <v>0.125</v>
      </c>
      <c r="T946" s="115">
        <v>0.05</v>
      </c>
      <c r="U946" s="52"/>
      <c r="V946" s="77"/>
      <c r="W946" s="52">
        <f>IF(NOTA[[#This Row],[HARGA/ CTN]]="",NOTA[[#This Row],[JUMLAH_H]],NOTA[[#This Row],[HARGA/ CTN]]*IF(NOTA[[#This Row],[C]]="",0,NOTA[[#This Row],[C]]))</f>
        <v>3974400</v>
      </c>
      <c r="X946" s="52">
        <f>IF(NOTA[[#This Row],[JUMLAH]]="","",NOTA[[#This Row],[JUMLAH]]*NOTA[[#This Row],[DISC 1]])</f>
        <v>496800</v>
      </c>
      <c r="Y946" s="52">
        <f>IF(NOTA[[#This Row],[JUMLAH]]="","",(NOTA[[#This Row],[JUMLAH]]-NOTA[[#This Row],[DISC 1-]])*NOTA[[#This Row],[DISC 2]])</f>
        <v>173880</v>
      </c>
      <c r="Z946" s="52">
        <f>IF(NOTA[[#This Row],[JUMLAH]]="","",NOTA[[#This Row],[DISC 1-]]+NOTA[[#This Row],[DISC 2-]])</f>
        <v>670680</v>
      </c>
      <c r="AA946" s="52">
        <f>IF(NOTA[[#This Row],[JUMLAH]]="","",NOTA[[#This Row],[JUMLAH]]-NOTA[[#This Row],[DISC]])</f>
        <v>3303720</v>
      </c>
      <c r="AB946" s="52"/>
      <c r="AC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6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946" s="203">
        <f>IF(OR(NOTA[[#This Row],[QTY]]="",NOTA[[#This Row],[HARGA SATUAN]]="",),"",NOTA[[#This Row],[QTY]]*NOTA[[#This Row],[HARGA SATUAN]])</f>
        <v>3974400</v>
      </c>
      <c r="AG946" s="53">
        <f ca="1">IF(NOTA[ID_H]="","",INDEX(NOTA[TANGGAL],MATCH(,INDIRECT(ADDRESS(ROW(NOTA[TANGGAL]),COLUMN(NOTA[TANGGAL]))&amp;":"&amp;ADDRESS(ROW(),COLUMN(NOTA[TANGGAL]))),-1)))</f>
        <v>45073</v>
      </c>
      <c r="AH946" s="64" t="str">
        <f ca="1">IF(NOTA[[#This Row],[NAMA BARANG]]="","",INDEX(NOTA[SUPPLIER],MATCH(,INDIRECT(ADDRESS(ROW(NOTA[ID]),COLUMN(NOTA[ID]))&amp;":"&amp;ADDRESS(ROW(),COLUMN(NOTA[ID]))),-1)))</f>
        <v>ATALI MAKMUR</v>
      </c>
      <c r="AI946" s="64" t="str">
        <f ca="1">IF(NOTA[[#This Row],[ID_H]]="","",IF(NOTA[[#This Row],[FAKTUR]]="",INDIRECT(ADDRESS(ROW()-1,COLUMN())),NOTA[[#This Row],[FAKTUR]]))</f>
        <v>ARTO MORO</v>
      </c>
      <c r="AJ946" s="66" t="str">
        <f ca="1">IF(NOTA[[#This Row],[ID]]="","",COUNTIF(NOTA[ID_H],NOTA[[#This Row],[ID_H]]))</f>
        <v/>
      </c>
      <c r="AK946" s="66">
        <f ca="1">IF(NOTA[[#This Row],[TGL.NOTA]]="",IF(NOTA[[#This Row],[SUPPLIER_H]]="","",AK945),MONTH(NOTA[[#This Row],[TGL.NOTA]]))</f>
        <v>5</v>
      </c>
      <c r="AL946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9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9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9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6" s="66" t="str">
        <f>IF(NOTA[[#This Row],[CONCAT4]]="","",_xlfn.IFNA(MATCH(NOTA[[#This Row],[CONCAT4]],[2]!RAW[CONCAT_H],0),FALSE))</f>
        <v/>
      </c>
      <c r="AQ946" s="66">
        <f>IF(NOTA[[#This Row],[CONCAT1]]="","",MATCH(NOTA[[#This Row],[CONCAT1]],[3]!db[NB NOTA_C],0)+1)</f>
        <v>803</v>
      </c>
    </row>
    <row r="947" spans="1:43" ht="20.100000000000001" customHeight="1" x14ac:dyDescent="0.25">
      <c r="A9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66" t="str">
        <f>IF(NOTA[[#This Row],[ID_P]]="","",MATCH(NOTA[[#This Row],[ID_P]],[1]!B_MSK[N_ID],0))</f>
        <v/>
      </c>
      <c r="D947" s="66">
        <f ca="1">IF(NOTA[[#This Row],[NAMA BARANG]]="","",INDEX(NOTA[ID],MATCH(,INDIRECT(ADDRESS(ROW(NOTA[ID]),COLUMN(NOTA[ID]))&amp;":"&amp;ADDRESS(ROW(),COLUMN(NOTA[ID]))),-1)))</f>
        <v>161</v>
      </c>
      <c r="E947" s="113"/>
      <c r="H947" s="54"/>
      <c r="L947" s="27" t="s">
        <v>1180</v>
      </c>
      <c r="M947" s="114">
        <v>1</v>
      </c>
      <c r="N947" s="66">
        <v>144</v>
      </c>
      <c r="O947" s="27" t="s">
        <v>146</v>
      </c>
      <c r="P947" s="64">
        <v>22200</v>
      </c>
      <c r="Q947" s="79"/>
      <c r="R947" s="42" t="s">
        <v>293</v>
      </c>
      <c r="S947" s="80">
        <v>0.125</v>
      </c>
      <c r="T947" s="115">
        <v>0.05</v>
      </c>
      <c r="U947" s="52"/>
      <c r="V947" s="77"/>
      <c r="W947" s="52">
        <f>IF(NOTA[[#This Row],[HARGA/ CTN]]="",NOTA[[#This Row],[JUMLAH_H]],NOTA[[#This Row],[HARGA/ CTN]]*IF(NOTA[[#This Row],[C]]="",0,NOTA[[#This Row],[C]]))</f>
        <v>3196800</v>
      </c>
      <c r="X947" s="52">
        <f>IF(NOTA[[#This Row],[JUMLAH]]="","",NOTA[[#This Row],[JUMLAH]]*NOTA[[#This Row],[DISC 1]])</f>
        <v>399600</v>
      </c>
      <c r="Y947" s="52">
        <f>IF(NOTA[[#This Row],[JUMLAH]]="","",(NOTA[[#This Row],[JUMLAH]]-NOTA[[#This Row],[DISC 1-]])*NOTA[[#This Row],[DISC 2]])</f>
        <v>139860</v>
      </c>
      <c r="Z947" s="52">
        <f>IF(NOTA[[#This Row],[JUMLAH]]="","",NOTA[[#This Row],[DISC 1-]]+NOTA[[#This Row],[DISC 2-]])</f>
        <v>539460</v>
      </c>
      <c r="AA947" s="52">
        <f>IF(NOTA[[#This Row],[JUMLAH]]="","",NOTA[[#This Row],[JUMLAH]]-NOTA[[#This Row],[DISC]])</f>
        <v>2657340</v>
      </c>
      <c r="AB947" s="52"/>
      <c r="AC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64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F947" s="203">
        <f>IF(OR(NOTA[[#This Row],[QTY]]="",NOTA[[#This Row],[HARGA SATUAN]]="",),"",NOTA[[#This Row],[QTY]]*NOTA[[#This Row],[HARGA SATUAN]])</f>
        <v>3196800</v>
      </c>
      <c r="AG947" s="53">
        <f ca="1">IF(NOTA[ID_H]="","",INDEX(NOTA[TANGGAL],MATCH(,INDIRECT(ADDRESS(ROW(NOTA[TANGGAL]),COLUMN(NOTA[TANGGAL]))&amp;":"&amp;ADDRESS(ROW(),COLUMN(NOTA[TANGGAL]))),-1)))</f>
        <v>45073</v>
      </c>
      <c r="AH947" s="64" t="str">
        <f ca="1">IF(NOTA[[#This Row],[NAMA BARANG]]="","",INDEX(NOTA[SUPPLIER],MATCH(,INDIRECT(ADDRESS(ROW(NOTA[ID]),COLUMN(NOTA[ID]))&amp;":"&amp;ADDRESS(ROW(),COLUMN(NOTA[ID]))),-1)))</f>
        <v>ATALI MAKMUR</v>
      </c>
      <c r="AI947" s="64" t="str">
        <f ca="1">IF(NOTA[[#This Row],[ID_H]]="","",IF(NOTA[[#This Row],[FAKTUR]]="",INDIRECT(ADDRESS(ROW()-1,COLUMN())),NOTA[[#This Row],[FAKTUR]]))</f>
        <v>ARTO MORO</v>
      </c>
      <c r="AJ947" s="66" t="str">
        <f ca="1">IF(NOTA[[#This Row],[ID]]="","",COUNTIF(NOTA[ID_H],NOTA[[#This Row],[ID_H]]))</f>
        <v/>
      </c>
      <c r="AK947" s="66">
        <f ca="1">IF(NOTA[[#This Row],[TGL.NOTA]]="",IF(NOTA[[#This Row],[SUPPLIER_H]]="","",AK946),MONTH(NOTA[[#This Row],[TGL.NOTA]]))</f>
        <v>5</v>
      </c>
      <c r="AL947" s="66" t="str">
        <f>LOWER(SUBSTITUTE(SUBSTITUTE(SUBSTITUTE(SUBSTITUTE(SUBSTITUTE(SUBSTITUTE(SUBSTITUTE(SUBSTITUTE(SUBSTITUTE(NOTA[NAMA BARANG]," ",),".",""),"-",""),"(",""),")",""),",",""),"/",""),"""",""),"+",""))</f>
        <v>gelpengp285trigogelblackjk</v>
      </c>
      <c r="AM9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N9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gelpengp285trigogelblackjk31968000.1250.05</v>
      </c>
      <c r="AO9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7" s="66" t="str">
        <f>IF(NOTA[[#This Row],[CONCAT4]]="","",_xlfn.IFNA(MATCH(NOTA[[#This Row],[CONCAT4]],[2]!RAW[CONCAT_H],0),FALSE))</f>
        <v/>
      </c>
      <c r="AQ947" s="66">
        <f>IF(NOTA[[#This Row],[CONCAT1]]="","",MATCH(NOTA[[#This Row],[CONCAT1]],[3]!db[NB NOTA_C],0)+1)</f>
        <v>806</v>
      </c>
    </row>
    <row r="948" spans="1:43" ht="20.100000000000001" customHeight="1" x14ac:dyDescent="0.25">
      <c r="A9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66" t="str">
        <f>IF(NOTA[[#This Row],[ID_P]]="","",MATCH(NOTA[[#This Row],[ID_P]],[1]!B_MSK[N_ID],0))</f>
        <v/>
      </c>
      <c r="D948" s="66">
        <f ca="1">IF(NOTA[[#This Row],[NAMA BARANG]]="","",INDEX(NOTA[ID],MATCH(,INDIRECT(ADDRESS(ROW(NOTA[ID]),COLUMN(NOTA[ID]))&amp;":"&amp;ADDRESS(ROW(),COLUMN(NOTA[ID]))),-1)))</f>
        <v>161</v>
      </c>
      <c r="E948" s="113"/>
      <c r="H948" s="54"/>
      <c r="L948" s="27" t="s">
        <v>1179</v>
      </c>
      <c r="M948" s="114">
        <v>1</v>
      </c>
      <c r="N948" s="66">
        <v>192</v>
      </c>
      <c r="O948" s="27" t="s">
        <v>252</v>
      </c>
      <c r="P948" s="64">
        <v>16800</v>
      </c>
      <c r="Q948" s="79"/>
      <c r="R948" s="42" t="s">
        <v>1122</v>
      </c>
      <c r="S948" s="80">
        <v>0.125</v>
      </c>
      <c r="T948" s="115">
        <v>0.05</v>
      </c>
      <c r="U948" s="52"/>
      <c r="V948" s="77"/>
      <c r="W948" s="52">
        <f>IF(NOTA[[#This Row],[HARGA/ CTN]]="",NOTA[[#This Row],[JUMLAH_H]],NOTA[[#This Row],[HARGA/ CTN]]*IF(NOTA[[#This Row],[C]]="",0,NOTA[[#This Row],[C]]))</f>
        <v>3225600</v>
      </c>
      <c r="X948" s="52">
        <f>IF(NOTA[[#This Row],[JUMLAH]]="","",NOTA[[#This Row],[JUMLAH]]*NOTA[[#This Row],[DISC 1]])</f>
        <v>403200</v>
      </c>
      <c r="Y948" s="52">
        <f>IF(NOTA[[#This Row],[JUMLAH]]="","",(NOTA[[#This Row],[JUMLAH]]-NOTA[[#This Row],[DISC 1-]])*NOTA[[#This Row],[DISC 2]])</f>
        <v>141120</v>
      </c>
      <c r="Z948" s="52">
        <f>IF(NOTA[[#This Row],[JUMLAH]]="","",NOTA[[#This Row],[DISC 1-]]+NOTA[[#This Row],[DISC 2-]])</f>
        <v>544320</v>
      </c>
      <c r="AA948" s="52">
        <f>IF(NOTA[[#This Row],[JUMLAH]]="","",NOTA[[#This Row],[JUMLAH]]-NOTA[[#This Row],[DISC]])</f>
        <v>2681280</v>
      </c>
      <c r="AB948" s="52"/>
      <c r="AC9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6130890</v>
      </c>
      <c r="AD9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30200310</v>
      </c>
      <c r="AE948" s="64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948" s="203">
        <f>IF(OR(NOTA[[#This Row],[QTY]]="",NOTA[[#This Row],[HARGA SATUAN]]="",),"",NOTA[[#This Row],[QTY]]*NOTA[[#This Row],[HARGA SATUAN]])</f>
        <v>3225600</v>
      </c>
      <c r="AG948" s="53">
        <f ca="1">IF(NOTA[ID_H]="","",INDEX(NOTA[TANGGAL],MATCH(,INDIRECT(ADDRESS(ROW(NOTA[TANGGAL]),COLUMN(NOTA[TANGGAL]))&amp;":"&amp;ADDRESS(ROW(),COLUMN(NOTA[TANGGAL]))),-1)))</f>
        <v>45073</v>
      </c>
      <c r="AH948" s="64" t="str">
        <f ca="1">IF(NOTA[[#This Row],[NAMA BARANG]]="","",INDEX(NOTA[SUPPLIER],MATCH(,INDIRECT(ADDRESS(ROW(NOTA[ID]),COLUMN(NOTA[ID]))&amp;":"&amp;ADDRESS(ROW(),COLUMN(NOTA[ID]))),-1)))</f>
        <v>ATALI MAKMUR</v>
      </c>
      <c r="AI948" s="64" t="str">
        <f ca="1">IF(NOTA[[#This Row],[ID_H]]="","",IF(NOTA[[#This Row],[FAKTUR]]="",INDIRECT(ADDRESS(ROW()-1,COLUMN())),NOTA[[#This Row],[FAKTUR]]))</f>
        <v>ARTO MORO</v>
      </c>
      <c r="AJ948" s="66" t="str">
        <f ca="1">IF(NOTA[[#This Row],[ID]]="","",COUNTIF(NOTA[ID_H],NOTA[[#This Row],[ID_H]]))</f>
        <v/>
      </c>
      <c r="AK948" s="66">
        <f ca="1">IF(NOTA[[#This Row],[TGL.NOTA]]="",IF(NOTA[[#This Row],[SUPPLIER_H]]="","",AK947),MONTH(NOTA[[#This Row],[TGL.NOTA]]))</f>
        <v>5</v>
      </c>
      <c r="AL948" s="66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9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9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9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8" s="66" t="str">
        <f>IF(NOTA[[#This Row],[CONCAT4]]="","",_xlfn.IFNA(MATCH(NOTA[[#This Row],[CONCAT4]],[2]!RAW[CONCAT_H],0),FALSE))</f>
        <v/>
      </c>
      <c r="AQ948" s="66">
        <f>IF(NOTA[[#This Row],[CONCAT1]]="","",MATCH(NOTA[[#This Row],[CONCAT1]],[3]!db[NB NOTA_C],0)+1)</f>
        <v>810</v>
      </c>
    </row>
    <row r="949" spans="1:43" ht="20.100000000000001" customHeight="1" x14ac:dyDescent="0.25">
      <c r="A9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66" t="str">
        <f>IF(NOTA[[#This Row],[ID_P]]="","",MATCH(NOTA[[#This Row],[ID_P]],[1]!B_MSK[N_ID],0))</f>
        <v/>
      </c>
      <c r="D949" s="66" t="str">
        <f ca="1">IF(NOTA[[#This Row],[NAMA BARANG]]="","",INDEX(NOTA[ID],MATCH(,INDIRECT(ADDRESS(ROW(NOTA[ID]),COLUMN(NOTA[ID]))&amp;":"&amp;ADDRESS(ROW(),COLUMN(NOTA[ID]))),-1)))</f>
        <v/>
      </c>
      <c r="E949" s="113"/>
      <c r="H949" s="54"/>
      <c r="N949" s="66"/>
      <c r="Q949" s="79"/>
      <c r="R949" s="42"/>
      <c r="S949" s="80"/>
      <c r="U949" s="52"/>
      <c r="V949" s="77"/>
      <c r="W949" s="52" t="str">
        <f>IF(NOTA[[#This Row],[HARGA/ CTN]]="",NOTA[[#This Row],[JUMLAH_H]],NOTA[[#This Row],[HARGA/ CTN]]*IF(NOTA[[#This Row],[C]]="",0,NOTA[[#This Row],[C]]))</f>
        <v/>
      </c>
      <c r="X949" s="52" t="str">
        <f>IF(NOTA[[#This Row],[JUMLAH]]="","",NOTA[[#This Row],[JUMLAH]]*NOTA[[#This Row],[DISC 1]])</f>
        <v/>
      </c>
      <c r="Y949" s="52" t="str">
        <f>IF(NOTA[[#This Row],[JUMLAH]]="","",(NOTA[[#This Row],[JUMLAH]]-NOTA[[#This Row],[DISC 1-]])*NOTA[[#This Row],[DISC 2]])</f>
        <v/>
      </c>
      <c r="Z949" s="52" t="str">
        <f>IF(NOTA[[#This Row],[JUMLAH]]="","",NOTA[[#This Row],[DISC 1-]]+NOTA[[#This Row],[DISC 2-]])</f>
        <v/>
      </c>
      <c r="AA949" s="52" t="str">
        <f>IF(NOTA[[#This Row],[JUMLAH]]="","",NOTA[[#This Row],[JUMLAH]]-NOTA[[#This Row],[DISC]])</f>
        <v/>
      </c>
      <c r="AB949" s="52"/>
      <c r="AC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9" s="203" t="str">
        <f>IF(OR(NOTA[[#This Row],[QTY]]="",NOTA[[#This Row],[HARGA SATUAN]]="",),"",NOTA[[#This Row],[QTY]]*NOTA[[#This Row],[HARGA SATUAN]])</f>
        <v/>
      </c>
      <c r="AG949" s="53" t="str">
        <f ca="1">IF(NOTA[ID_H]="","",INDEX(NOTA[TANGGAL],MATCH(,INDIRECT(ADDRESS(ROW(NOTA[TANGGAL]),COLUMN(NOTA[TANGGAL]))&amp;":"&amp;ADDRESS(ROW(),COLUMN(NOTA[TANGGAL]))),-1)))</f>
        <v/>
      </c>
      <c r="AH949" s="64" t="str">
        <f ca="1">IF(NOTA[[#This Row],[NAMA BARANG]]="","",INDEX(NOTA[SUPPLIER],MATCH(,INDIRECT(ADDRESS(ROW(NOTA[ID]),COLUMN(NOTA[ID]))&amp;":"&amp;ADDRESS(ROW(),COLUMN(NOTA[ID]))),-1)))</f>
        <v/>
      </c>
      <c r="AI949" s="64" t="str">
        <f ca="1">IF(NOTA[[#This Row],[ID_H]]="","",IF(NOTA[[#This Row],[FAKTUR]]="",INDIRECT(ADDRESS(ROW()-1,COLUMN())),NOTA[[#This Row],[FAKTUR]]))</f>
        <v/>
      </c>
      <c r="AJ949" s="66" t="str">
        <f ca="1">IF(NOTA[[#This Row],[ID]]="","",COUNTIF(NOTA[ID_H],NOTA[[#This Row],[ID_H]]))</f>
        <v/>
      </c>
      <c r="AK949" s="66" t="str">
        <f ca="1">IF(NOTA[[#This Row],[TGL.NOTA]]="",IF(NOTA[[#This Row],[SUPPLIER_H]]="","",AK948),MONTH(NOTA[[#This Row],[TGL.NOTA]]))</f>
        <v/>
      </c>
      <c r="AL949" s="66" t="str">
        <f>LOWER(SUBSTITUTE(SUBSTITUTE(SUBSTITUTE(SUBSTITUTE(SUBSTITUTE(SUBSTITUTE(SUBSTITUTE(SUBSTITUTE(SUBSTITUTE(NOTA[NAMA BARANG]," ",),".",""),"-",""),"(",""),")",""),",",""),"/",""),"""",""),"+",""))</f>
        <v/>
      </c>
      <c r="AM9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9" s="66" t="str">
        <f>IF(NOTA[[#This Row],[CONCAT4]]="","",_xlfn.IFNA(MATCH(NOTA[[#This Row],[CONCAT4]],[2]!RAW[CONCAT_H],0),FALSE))</f>
        <v/>
      </c>
      <c r="AQ949" s="66" t="str">
        <f>IF(NOTA[[#This Row],[CONCAT1]]="","",MATCH(NOTA[[#This Row],[CONCAT1]],[3]!db[NB NOTA_C],0)+1)</f>
        <v/>
      </c>
    </row>
    <row r="950" spans="1:43" ht="20.100000000000001" customHeight="1" x14ac:dyDescent="0.25">
      <c r="A950" s="64">
        <f ca="1">IF(INDIRECT(ADDRESS(ROW()-1,COLUMN(NOTA[[#Headers],[ID]])))="ID",1,IF(NOTA[[#This Row],[FAKTUR]]="","",COUNT(INDIRECT(ADDRESS(ROW(NOTA[ID]),COLUMN(NOTA[ID]))&amp;":"&amp;ADDRESS(ROW()-1,COLUMN(NOTA[ID]))))+1))</f>
        <v>162</v>
      </c>
      <c r="B95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ATA_2705_111-12</v>
      </c>
      <c r="C950" s="66" t="e">
        <f ca="1">IF(NOTA[[#This Row],[ID_P]]="","",MATCH(NOTA[[#This Row],[ID_P]],[1]!B_MSK[N_ID],0))</f>
        <v>#REF!</v>
      </c>
      <c r="D950" s="66">
        <f ca="1">IF(NOTA[[#This Row],[NAMA BARANG]]="","",INDEX(NOTA[ID],MATCH(,INDIRECT(ADDRESS(ROW(NOTA[ID]),COLUMN(NOTA[ID]))&amp;":"&amp;ADDRESS(ROW(),COLUMN(NOTA[ID]))),-1)))</f>
        <v>162</v>
      </c>
      <c r="E950" s="113"/>
      <c r="F950" s="27" t="s">
        <v>25</v>
      </c>
      <c r="G950" s="27" t="s">
        <v>24</v>
      </c>
      <c r="H950" s="54" t="s">
        <v>1123</v>
      </c>
      <c r="J950" s="53">
        <v>45068</v>
      </c>
      <c r="L950" s="27" t="s">
        <v>1124</v>
      </c>
      <c r="M950" s="114">
        <v>1</v>
      </c>
      <c r="N950" s="66">
        <v>24</v>
      </c>
      <c r="O950" s="27" t="s">
        <v>146</v>
      </c>
      <c r="P950" s="64">
        <v>118800</v>
      </c>
      <c r="Q950" s="79"/>
      <c r="R950" s="42"/>
      <c r="S950" s="80">
        <v>0.125</v>
      </c>
      <c r="T950" s="115">
        <v>0.05</v>
      </c>
      <c r="U950" s="52"/>
      <c r="V950" s="77"/>
      <c r="W950" s="52">
        <f>IF(NOTA[[#This Row],[HARGA/ CTN]]="",NOTA[[#This Row],[JUMLAH_H]],NOTA[[#This Row],[HARGA/ CTN]]*IF(NOTA[[#This Row],[C]]="",0,NOTA[[#This Row],[C]]))</f>
        <v>2851200</v>
      </c>
      <c r="X950" s="52">
        <f>IF(NOTA[[#This Row],[JUMLAH]]="","",NOTA[[#This Row],[JUMLAH]]*NOTA[[#This Row],[DISC 1]])</f>
        <v>356400</v>
      </c>
      <c r="Y950" s="52">
        <f>IF(NOTA[[#This Row],[JUMLAH]]="","",(NOTA[[#This Row],[JUMLAH]]-NOTA[[#This Row],[DISC 1-]])*NOTA[[#This Row],[DISC 2]])</f>
        <v>124740</v>
      </c>
      <c r="Z950" s="52">
        <f>IF(NOTA[[#This Row],[JUMLAH]]="","",NOTA[[#This Row],[DISC 1-]]+NOTA[[#This Row],[DISC 2-]])</f>
        <v>481140</v>
      </c>
      <c r="AA950" s="52">
        <f>IF(NOTA[[#This Row],[JUMLAH]]="","",NOTA[[#This Row],[JUMLAH]]-NOTA[[#This Row],[DISC]])</f>
        <v>2370060</v>
      </c>
      <c r="AB950" s="52"/>
      <c r="AC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50" s="203">
        <f>IF(OR(NOTA[[#This Row],[QTY]]="",NOTA[[#This Row],[HARGA SATUAN]]="",),"",NOTA[[#This Row],[QTY]]*NOTA[[#This Row],[HARGA SATUAN]])</f>
        <v>2851200</v>
      </c>
      <c r="AG950" s="53">
        <f ca="1">IF(NOTA[ID_H]="","",INDEX(NOTA[TANGGAL],MATCH(,INDIRECT(ADDRESS(ROW(NOTA[TANGGAL]),COLUMN(NOTA[TANGGAL]))&amp;":"&amp;ADDRESS(ROW(),COLUMN(NOTA[TANGGAL]))),-1)))</f>
        <v>45073</v>
      </c>
      <c r="AH950" s="64" t="str">
        <f ca="1">IF(NOTA[[#This Row],[NAMA BARANG]]="","",INDEX(NOTA[SUPPLIER],MATCH(,INDIRECT(ADDRESS(ROW(NOTA[ID]),COLUMN(NOTA[ID]))&amp;":"&amp;ADDRESS(ROW(),COLUMN(NOTA[ID]))),-1)))</f>
        <v>ATALI MAKMUR</v>
      </c>
      <c r="AI950" s="64" t="str">
        <f ca="1">IF(NOTA[[#This Row],[ID_H]]="","",IF(NOTA[[#This Row],[FAKTUR]]="",INDIRECT(ADDRESS(ROW()-1,COLUMN())),NOTA[[#This Row],[FAKTUR]]))</f>
        <v>ARTO MORO</v>
      </c>
      <c r="AJ950" s="66">
        <f ca="1">IF(NOTA[[#This Row],[ID]]="","",COUNTIF(NOTA[ID_H],NOTA[[#This Row],[ID_H]]))</f>
        <v>12</v>
      </c>
      <c r="AK950" s="66">
        <f>IF(NOTA[[#This Row],[TGL.NOTA]]="",IF(NOTA[[#This Row],[SUPPLIER_H]]="","",AK949),MONTH(NOTA[[#This Row],[TGL.NOTA]]))</f>
        <v>5</v>
      </c>
      <c r="AL950" s="66" t="str">
        <f>LOWER(SUBSTITUTE(SUBSTITUTE(SUBSTITUTE(SUBSTITUTE(SUBSTITUTE(SUBSTITUTE(SUBSTITUTE(SUBSTITUTE(SUBSTITUTE(NOTA[NAMA BARANG]," ",),".",""),"-",""),"(",""),")",""),",",""),"/",""),"""",""),"+",""))</f>
        <v>mathsetms18jk</v>
      </c>
      <c r="AM9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mathsetms18jk28512000.1250.05</v>
      </c>
      <c r="AN9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mathsetms18jk28512000.1250.05</v>
      </c>
      <c r="AO95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MOROSA23050811145068mathsetms18jk</v>
      </c>
      <c r="AP950" s="66" t="e">
        <f>IF(NOTA[[#This Row],[CONCAT4]]="","",_xlfn.IFNA(MATCH(NOTA[[#This Row],[CONCAT4]],[2]!RAW[CONCAT_H],0),FALSE))</f>
        <v>#REF!</v>
      </c>
      <c r="AQ950" s="66">
        <f>IF(NOTA[[#This Row],[CONCAT1]]="","",MATCH(NOTA[[#This Row],[CONCAT1]],[3]!db[NB NOTA_C],0)+1)</f>
        <v>1615</v>
      </c>
    </row>
    <row r="951" spans="1:43" ht="20.100000000000001" customHeight="1" x14ac:dyDescent="0.25">
      <c r="A9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66" t="str">
        <f>IF(NOTA[[#This Row],[ID_P]]="","",MATCH(NOTA[[#This Row],[ID_P]],[1]!B_MSK[N_ID],0))</f>
        <v/>
      </c>
      <c r="D951" s="66">
        <f ca="1">IF(NOTA[[#This Row],[NAMA BARANG]]="","",INDEX(NOTA[ID],MATCH(,INDIRECT(ADDRESS(ROW(NOTA[ID]),COLUMN(NOTA[ID]))&amp;":"&amp;ADDRESS(ROW(),COLUMN(NOTA[ID]))),-1)))</f>
        <v>162</v>
      </c>
      <c r="E951" s="113"/>
      <c r="H951" s="54"/>
      <c r="L951" s="27" t="s">
        <v>1125</v>
      </c>
      <c r="M951" s="114">
        <v>1</v>
      </c>
      <c r="N951" s="66">
        <v>24</v>
      </c>
      <c r="O951" s="27" t="s">
        <v>146</v>
      </c>
      <c r="P951" s="64">
        <v>118800</v>
      </c>
      <c r="Q951" s="79"/>
      <c r="R951" s="42"/>
      <c r="S951" s="80">
        <v>0.125</v>
      </c>
      <c r="T951" s="115">
        <v>0.05</v>
      </c>
      <c r="U951" s="52"/>
      <c r="V951" s="77"/>
      <c r="W951" s="52">
        <f>IF(NOTA[[#This Row],[HARGA/ CTN]]="",NOTA[[#This Row],[JUMLAH_H]],NOTA[[#This Row],[HARGA/ CTN]]*IF(NOTA[[#This Row],[C]]="",0,NOTA[[#This Row],[C]]))</f>
        <v>2851200</v>
      </c>
      <c r="X951" s="52">
        <f>IF(NOTA[[#This Row],[JUMLAH]]="","",NOTA[[#This Row],[JUMLAH]]*NOTA[[#This Row],[DISC 1]])</f>
        <v>356400</v>
      </c>
      <c r="Y951" s="52">
        <f>IF(NOTA[[#This Row],[JUMLAH]]="","",(NOTA[[#This Row],[JUMLAH]]-NOTA[[#This Row],[DISC 1-]])*NOTA[[#This Row],[DISC 2]])</f>
        <v>124740</v>
      </c>
      <c r="Z951" s="52">
        <f>IF(NOTA[[#This Row],[JUMLAH]]="","",NOTA[[#This Row],[DISC 1-]]+NOTA[[#This Row],[DISC 2-]])</f>
        <v>481140</v>
      </c>
      <c r="AA951" s="52">
        <f>IF(NOTA[[#This Row],[JUMLAH]]="","",NOTA[[#This Row],[JUMLAH]]-NOTA[[#This Row],[DISC]])</f>
        <v>2370060</v>
      </c>
      <c r="AB951" s="52"/>
      <c r="AC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64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951" s="203">
        <f>IF(OR(NOTA[[#This Row],[QTY]]="",NOTA[[#This Row],[HARGA SATUAN]]="",),"",NOTA[[#This Row],[QTY]]*NOTA[[#This Row],[HARGA SATUAN]])</f>
        <v>2851200</v>
      </c>
      <c r="AG951" s="53">
        <f ca="1">IF(NOTA[ID_H]="","",INDEX(NOTA[TANGGAL],MATCH(,INDIRECT(ADDRESS(ROW(NOTA[TANGGAL]),COLUMN(NOTA[TANGGAL]))&amp;":"&amp;ADDRESS(ROW(),COLUMN(NOTA[TANGGAL]))),-1)))</f>
        <v>45073</v>
      </c>
      <c r="AH951" s="64" t="str">
        <f ca="1">IF(NOTA[[#This Row],[NAMA BARANG]]="","",INDEX(NOTA[SUPPLIER],MATCH(,INDIRECT(ADDRESS(ROW(NOTA[ID]),COLUMN(NOTA[ID]))&amp;":"&amp;ADDRESS(ROW(),COLUMN(NOTA[ID]))),-1)))</f>
        <v>ATALI MAKMUR</v>
      </c>
      <c r="AI951" s="64" t="str">
        <f ca="1">IF(NOTA[[#This Row],[ID_H]]="","",IF(NOTA[[#This Row],[FAKTUR]]="",INDIRECT(ADDRESS(ROW()-1,COLUMN())),NOTA[[#This Row],[FAKTUR]]))</f>
        <v>ARTO MORO</v>
      </c>
      <c r="AJ951" s="66" t="str">
        <f ca="1">IF(NOTA[[#This Row],[ID]]="","",COUNTIF(NOTA[ID_H],NOTA[[#This Row],[ID_H]]))</f>
        <v/>
      </c>
      <c r="AK951" s="66">
        <f ca="1">IF(NOTA[[#This Row],[TGL.NOTA]]="",IF(NOTA[[#This Row],[SUPPLIER_H]]="","",AK950),MONTH(NOTA[[#This Row],[TGL.NOTA]]))</f>
        <v>5</v>
      </c>
      <c r="AL951" s="66" t="str">
        <f>LOWER(SUBSTITUTE(SUBSTITUTE(SUBSTITUTE(SUBSTITUTE(SUBSTITUTE(SUBSTITUTE(SUBSTITUTE(SUBSTITUTE(SUBSTITUTE(NOTA[NAMA BARANG]," ",),".",""),"-",""),"(",""),")",""),",",""),"/",""),"""",""),"+",""))</f>
        <v>mathsetms28jk</v>
      </c>
      <c r="AM9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mathsetms28jk28512000.1250.05</v>
      </c>
      <c r="AN9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mathsetms28jk28512000.1250.05</v>
      </c>
      <c r="AO9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1" s="66" t="str">
        <f>IF(NOTA[[#This Row],[CONCAT4]]="","",_xlfn.IFNA(MATCH(NOTA[[#This Row],[CONCAT4]],[2]!RAW[CONCAT_H],0),FALSE))</f>
        <v/>
      </c>
      <c r="AQ951" s="66">
        <f>IF(NOTA[[#This Row],[CONCAT1]]="","",MATCH(NOTA[[#This Row],[CONCAT1]],[3]!db[NB NOTA_C],0)+1)</f>
        <v>1617</v>
      </c>
    </row>
    <row r="952" spans="1:43" ht="20.100000000000001" customHeight="1" x14ac:dyDescent="0.25">
      <c r="A9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66" t="str">
        <f>IF(NOTA[[#This Row],[ID_P]]="","",MATCH(NOTA[[#This Row],[ID_P]],[1]!B_MSK[N_ID],0))</f>
        <v/>
      </c>
      <c r="D952" s="66">
        <f ca="1">IF(NOTA[[#This Row],[NAMA BARANG]]="","",INDEX(NOTA[ID],MATCH(,INDIRECT(ADDRESS(ROW(NOTA[ID]),COLUMN(NOTA[ID]))&amp;":"&amp;ADDRESS(ROW(),COLUMN(NOTA[ID]))),-1)))</f>
        <v>162</v>
      </c>
      <c r="E952" s="113"/>
      <c r="H952" s="54"/>
      <c r="L952" s="27" t="s">
        <v>638</v>
      </c>
      <c r="M952" s="114">
        <v>1</v>
      </c>
      <c r="N952" s="66">
        <v>24</v>
      </c>
      <c r="O952" s="27" t="s">
        <v>146</v>
      </c>
      <c r="P952" s="64">
        <v>89400</v>
      </c>
      <c r="Q952" s="79"/>
      <c r="R952" s="42"/>
      <c r="S952" s="80">
        <v>0.125</v>
      </c>
      <c r="T952" s="115">
        <v>0.05</v>
      </c>
      <c r="U952" s="52"/>
      <c r="V952" s="77"/>
      <c r="W952" s="52">
        <f>IF(NOTA[[#This Row],[HARGA/ CTN]]="",NOTA[[#This Row],[JUMLAH_H]],NOTA[[#This Row],[HARGA/ CTN]]*IF(NOTA[[#This Row],[C]]="",0,NOTA[[#This Row],[C]]))</f>
        <v>2145600</v>
      </c>
      <c r="X952" s="52">
        <f>IF(NOTA[[#This Row],[JUMLAH]]="","",NOTA[[#This Row],[JUMLAH]]*NOTA[[#This Row],[DISC 1]])</f>
        <v>268200</v>
      </c>
      <c r="Y952" s="52">
        <f>IF(NOTA[[#This Row],[JUMLAH]]="","",(NOTA[[#This Row],[JUMLAH]]-NOTA[[#This Row],[DISC 1-]])*NOTA[[#This Row],[DISC 2]])</f>
        <v>93870</v>
      </c>
      <c r="Z952" s="52">
        <f>IF(NOTA[[#This Row],[JUMLAH]]="","",NOTA[[#This Row],[DISC 1-]]+NOTA[[#This Row],[DISC 2-]])</f>
        <v>362070</v>
      </c>
      <c r="AA952" s="52">
        <f>IF(NOTA[[#This Row],[JUMLAH]]="","",NOTA[[#This Row],[JUMLAH]]-NOTA[[#This Row],[DISC]])</f>
        <v>1783530</v>
      </c>
      <c r="AB952" s="52"/>
      <c r="AC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2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52" s="203">
        <f>IF(OR(NOTA[[#This Row],[QTY]]="",NOTA[[#This Row],[HARGA SATUAN]]="",),"",NOTA[[#This Row],[QTY]]*NOTA[[#This Row],[HARGA SATUAN]])</f>
        <v>2145600</v>
      </c>
      <c r="AG952" s="53">
        <f ca="1">IF(NOTA[ID_H]="","",INDEX(NOTA[TANGGAL],MATCH(,INDIRECT(ADDRESS(ROW(NOTA[TANGGAL]),COLUMN(NOTA[TANGGAL]))&amp;":"&amp;ADDRESS(ROW(),COLUMN(NOTA[TANGGAL]))),-1)))</f>
        <v>45073</v>
      </c>
      <c r="AH952" s="64" t="str">
        <f ca="1">IF(NOTA[[#This Row],[NAMA BARANG]]="","",INDEX(NOTA[SUPPLIER],MATCH(,INDIRECT(ADDRESS(ROW(NOTA[ID]),COLUMN(NOTA[ID]))&amp;":"&amp;ADDRESS(ROW(),COLUMN(NOTA[ID]))),-1)))</f>
        <v>ATALI MAKMUR</v>
      </c>
      <c r="AI952" s="64" t="str">
        <f ca="1">IF(NOTA[[#This Row],[ID_H]]="","",IF(NOTA[[#This Row],[FAKTUR]]="",INDIRECT(ADDRESS(ROW()-1,COLUMN())),NOTA[[#This Row],[FAKTUR]]))</f>
        <v>ARTO MORO</v>
      </c>
      <c r="AJ952" s="66" t="str">
        <f ca="1">IF(NOTA[[#This Row],[ID]]="","",COUNTIF(NOTA[ID_H],NOTA[[#This Row],[ID_H]]))</f>
        <v/>
      </c>
      <c r="AK952" s="66">
        <f ca="1">IF(NOTA[[#This Row],[TGL.NOTA]]="",IF(NOTA[[#This Row],[SUPPLIER_H]]="","",AK951),MONTH(NOTA[[#This Row],[TGL.NOTA]]))</f>
        <v>5</v>
      </c>
      <c r="AL952" s="66" t="str">
        <f>LOWER(SUBSTITUTE(SUBSTITUTE(SUBSTITUTE(SUBSTITUTE(SUBSTITUTE(SUBSTITUTE(SUBSTITUTE(SUBSTITUTE(SUBSTITUTE(NOTA[NAMA BARANG]," ",),".",""),"-",""),"(",""),")",""),",",""),"/",""),"""",""),"+",""))</f>
        <v>mathsetms25jk</v>
      </c>
      <c r="AM9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N9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O9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2" s="66" t="str">
        <f>IF(NOTA[[#This Row],[CONCAT4]]="","",_xlfn.IFNA(MATCH(NOTA[[#This Row],[CONCAT4]],[2]!RAW[CONCAT_H],0),FALSE))</f>
        <v/>
      </c>
      <c r="AQ952" s="66">
        <f>IF(NOTA[[#This Row],[CONCAT1]]="","",MATCH(NOTA[[#This Row],[CONCAT1]],[3]!db[NB NOTA_C],0)+1)</f>
        <v>1616</v>
      </c>
    </row>
    <row r="953" spans="1:43" ht="20.100000000000001" customHeight="1" x14ac:dyDescent="0.25">
      <c r="A9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66" t="str">
        <f>IF(NOTA[[#This Row],[ID_P]]="","",MATCH(NOTA[[#This Row],[ID_P]],[1]!B_MSK[N_ID],0))</f>
        <v/>
      </c>
      <c r="D953" s="66">
        <f ca="1">IF(NOTA[[#This Row],[NAMA BARANG]]="","",INDEX(NOTA[ID],MATCH(,INDIRECT(ADDRESS(ROW(NOTA[ID]),COLUMN(NOTA[ID]))&amp;":"&amp;ADDRESS(ROW(),COLUMN(NOTA[ID]))),-1)))</f>
        <v>162</v>
      </c>
      <c r="E953" s="113"/>
      <c r="H953" s="54"/>
      <c r="L953" s="27" t="s">
        <v>637</v>
      </c>
      <c r="M953" s="114">
        <v>1</v>
      </c>
      <c r="N953" s="66">
        <v>24</v>
      </c>
      <c r="O953" s="27" t="s">
        <v>146</v>
      </c>
      <c r="P953" s="64">
        <v>89400</v>
      </c>
      <c r="Q953" s="79"/>
      <c r="R953" s="42"/>
      <c r="S953" s="80">
        <v>0.125</v>
      </c>
      <c r="T953" s="115">
        <v>0.05</v>
      </c>
      <c r="U953" s="52"/>
      <c r="V953" s="77"/>
      <c r="W953" s="52">
        <f>IF(NOTA[[#This Row],[HARGA/ CTN]]="",NOTA[[#This Row],[JUMLAH_H]],NOTA[[#This Row],[HARGA/ CTN]]*IF(NOTA[[#This Row],[C]]="",0,NOTA[[#This Row],[C]]))</f>
        <v>2145600</v>
      </c>
      <c r="X953" s="52">
        <f>IF(NOTA[[#This Row],[JUMLAH]]="","",NOTA[[#This Row],[JUMLAH]]*NOTA[[#This Row],[DISC 1]])</f>
        <v>268200</v>
      </c>
      <c r="Y953" s="52">
        <f>IF(NOTA[[#This Row],[JUMLAH]]="","",(NOTA[[#This Row],[JUMLAH]]-NOTA[[#This Row],[DISC 1-]])*NOTA[[#This Row],[DISC 2]])</f>
        <v>93870</v>
      </c>
      <c r="Z953" s="52">
        <f>IF(NOTA[[#This Row],[JUMLAH]]="","",NOTA[[#This Row],[DISC 1-]]+NOTA[[#This Row],[DISC 2-]])</f>
        <v>362070</v>
      </c>
      <c r="AA953" s="52">
        <f>IF(NOTA[[#This Row],[JUMLAH]]="","",NOTA[[#This Row],[JUMLAH]]-NOTA[[#This Row],[DISC]])</f>
        <v>1783530</v>
      </c>
      <c r="AB953" s="52"/>
      <c r="AC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64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953" s="203">
        <f>IF(OR(NOTA[[#This Row],[QTY]]="",NOTA[[#This Row],[HARGA SATUAN]]="",),"",NOTA[[#This Row],[QTY]]*NOTA[[#This Row],[HARGA SATUAN]])</f>
        <v>2145600</v>
      </c>
      <c r="AG953" s="53">
        <f ca="1">IF(NOTA[ID_H]="","",INDEX(NOTA[TANGGAL],MATCH(,INDIRECT(ADDRESS(ROW(NOTA[TANGGAL]),COLUMN(NOTA[TANGGAL]))&amp;":"&amp;ADDRESS(ROW(),COLUMN(NOTA[TANGGAL]))),-1)))</f>
        <v>45073</v>
      </c>
      <c r="AH953" s="64" t="str">
        <f ca="1">IF(NOTA[[#This Row],[NAMA BARANG]]="","",INDEX(NOTA[SUPPLIER],MATCH(,INDIRECT(ADDRESS(ROW(NOTA[ID]),COLUMN(NOTA[ID]))&amp;":"&amp;ADDRESS(ROW(),COLUMN(NOTA[ID]))),-1)))</f>
        <v>ATALI MAKMUR</v>
      </c>
      <c r="AI953" s="64" t="str">
        <f ca="1">IF(NOTA[[#This Row],[ID_H]]="","",IF(NOTA[[#This Row],[FAKTUR]]="",INDIRECT(ADDRESS(ROW()-1,COLUMN())),NOTA[[#This Row],[FAKTUR]]))</f>
        <v>ARTO MORO</v>
      </c>
      <c r="AJ953" s="66" t="str">
        <f ca="1">IF(NOTA[[#This Row],[ID]]="","",COUNTIF(NOTA[ID_H],NOTA[[#This Row],[ID_H]]))</f>
        <v/>
      </c>
      <c r="AK953" s="66">
        <f ca="1">IF(NOTA[[#This Row],[TGL.NOTA]]="",IF(NOTA[[#This Row],[SUPPLIER_H]]="","",AK952),MONTH(NOTA[[#This Row],[TGL.NOTA]]))</f>
        <v>5</v>
      </c>
      <c r="AL953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M9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N9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O9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3" s="66" t="str">
        <f>IF(NOTA[[#This Row],[CONCAT4]]="","",_xlfn.IFNA(MATCH(NOTA[[#This Row],[CONCAT4]],[2]!RAW[CONCAT_H],0),FALSE))</f>
        <v/>
      </c>
      <c r="AQ953" s="66">
        <f>IF(NOTA[[#This Row],[CONCAT1]]="","",MATCH(NOTA[[#This Row],[CONCAT1]],[3]!db[NB NOTA_C],0)+1)</f>
        <v>1620</v>
      </c>
    </row>
    <row r="954" spans="1:43" ht="20.100000000000001" customHeight="1" x14ac:dyDescent="0.25">
      <c r="A9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66" t="str">
        <f>IF(NOTA[[#This Row],[ID_P]]="","",MATCH(NOTA[[#This Row],[ID_P]],[1]!B_MSK[N_ID],0))</f>
        <v/>
      </c>
      <c r="D954" s="66">
        <f ca="1">IF(NOTA[[#This Row],[NAMA BARANG]]="","",INDEX(NOTA[ID],MATCH(,INDIRECT(ADDRESS(ROW(NOTA[ID]),COLUMN(NOTA[ID]))&amp;":"&amp;ADDRESS(ROW(),COLUMN(NOTA[ID]))),-1)))</f>
        <v>162</v>
      </c>
      <c r="E954" s="113"/>
      <c r="H954" s="54"/>
      <c r="L954" s="27" t="s">
        <v>1126</v>
      </c>
      <c r="M954" s="114">
        <v>1</v>
      </c>
      <c r="N954" s="66">
        <v>24</v>
      </c>
      <c r="O954" s="27" t="s">
        <v>146</v>
      </c>
      <c r="P954" s="64">
        <v>90600</v>
      </c>
      <c r="Q954" s="79"/>
      <c r="R954" s="42"/>
      <c r="S954" s="80">
        <v>0.125</v>
      </c>
      <c r="T954" s="115">
        <v>0.05</v>
      </c>
      <c r="U954" s="52"/>
      <c r="V954" s="77"/>
      <c r="W954" s="52">
        <f>IF(NOTA[[#This Row],[HARGA/ CTN]]="",NOTA[[#This Row],[JUMLAH_H]],NOTA[[#This Row],[HARGA/ CTN]]*IF(NOTA[[#This Row],[C]]="",0,NOTA[[#This Row],[C]]))</f>
        <v>2174400</v>
      </c>
      <c r="X954" s="52">
        <f>IF(NOTA[[#This Row],[JUMLAH]]="","",NOTA[[#This Row],[JUMLAH]]*NOTA[[#This Row],[DISC 1]])</f>
        <v>271800</v>
      </c>
      <c r="Y954" s="52">
        <f>IF(NOTA[[#This Row],[JUMLAH]]="","",(NOTA[[#This Row],[JUMLAH]]-NOTA[[#This Row],[DISC 1-]])*NOTA[[#This Row],[DISC 2]])</f>
        <v>95130</v>
      </c>
      <c r="Z954" s="52">
        <f>IF(NOTA[[#This Row],[JUMLAH]]="","",NOTA[[#This Row],[DISC 1-]]+NOTA[[#This Row],[DISC 2-]])</f>
        <v>366930</v>
      </c>
      <c r="AA954" s="52">
        <f>IF(NOTA[[#This Row],[JUMLAH]]="","",NOTA[[#This Row],[JUMLAH]]-NOTA[[#This Row],[DISC]])</f>
        <v>1807470</v>
      </c>
      <c r="AB954" s="52"/>
      <c r="AC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64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54" s="203">
        <f>IF(OR(NOTA[[#This Row],[QTY]]="",NOTA[[#This Row],[HARGA SATUAN]]="",),"",NOTA[[#This Row],[QTY]]*NOTA[[#This Row],[HARGA SATUAN]])</f>
        <v>2174400</v>
      </c>
      <c r="AG954" s="53">
        <f ca="1">IF(NOTA[ID_H]="","",INDEX(NOTA[TANGGAL],MATCH(,INDIRECT(ADDRESS(ROW(NOTA[TANGGAL]),COLUMN(NOTA[TANGGAL]))&amp;":"&amp;ADDRESS(ROW(),COLUMN(NOTA[TANGGAL]))),-1)))</f>
        <v>45073</v>
      </c>
      <c r="AH954" s="64" t="str">
        <f ca="1">IF(NOTA[[#This Row],[NAMA BARANG]]="","",INDEX(NOTA[SUPPLIER],MATCH(,INDIRECT(ADDRESS(ROW(NOTA[ID]),COLUMN(NOTA[ID]))&amp;":"&amp;ADDRESS(ROW(),COLUMN(NOTA[ID]))),-1)))</f>
        <v>ATALI MAKMUR</v>
      </c>
      <c r="AI954" s="64" t="str">
        <f ca="1">IF(NOTA[[#This Row],[ID_H]]="","",IF(NOTA[[#This Row],[FAKTUR]]="",INDIRECT(ADDRESS(ROW()-1,COLUMN())),NOTA[[#This Row],[FAKTUR]]))</f>
        <v>ARTO MORO</v>
      </c>
      <c r="AJ954" s="66" t="str">
        <f ca="1">IF(NOTA[[#This Row],[ID]]="","",COUNTIF(NOTA[ID_H],NOTA[[#This Row],[ID_H]]))</f>
        <v/>
      </c>
      <c r="AK954" s="66">
        <f ca="1">IF(NOTA[[#This Row],[TGL.NOTA]]="",IF(NOTA[[#This Row],[SUPPLIER_H]]="","",AK953),MONTH(NOTA[[#This Row],[TGL.NOTA]]))</f>
        <v>5</v>
      </c>
      <c r="AL954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M9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N9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O9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4" s="66" t="str">
        <f>IF(NOTA[[#This Row],[CONCAT4]]="","",_xlfn.IFNA(MATCH(NOTA[[#This Row],[CONCAT4]],[2]!RAW[CONCAT_H],0),FALSE))</f>
        <v/>
      </c>
      <c r="AQ954" s="66">
        <f>IF(NOTA[[#This Row],[CONCAT1]]="","",MATCH(NOTA[[#This Row],[CONCAT1]],[3]!db[NB NOTA_C],0)+1)</f>
        <v>1621</v>
      </c>
    </row>
    <row r="955" spans="1:43" ht="20.100000000000001" customHeight="1" x14ac:dyDescent="0.25">
      <c r="A9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66" t="str">
        <f>IF(NOTA[[#This Row],[ID_P]]="","",MATCH(NOTA[[#This Row],[ID_P]],[1]!B_MSK[N_ID],0))</f>
        <v/>
      </c>
      <c r="D955" s="66">
        <f ca="1">IF(NOTA[[#This Row],[NAMA BARANG]]="","",INDEX(NOTA[ID],MATCH(,INDIRECT(ADDRESS(ROW(NOTA[ID]),COLUMN(NOTA[ID]))&amp;":"&amp;ADDRESS(ROW(),COLUMN(NOTA[ID]))),-1)))</f>
        <v>162</v>
      </c>
      <c r="E955" s="113"/>
      <c r="H955" s="54"/>
      <c r="L955" s="27" t="s">
        <v>1128</v>
      </c>
      <c r="M955" s="114">
        <v>1</v>
      </c>
      <c r="N955" s="66">
        <v>24</v>
      </c>
      <c r="O955" s="27" t="s">
        <v>146</v>
      </c>
      <c r="P955" s="64">
        <v>139200</v>
      </c>
      <c r="Q955" s="79"/>
      <c r="R955" s="42"/>
      <c r="S955" s="80">
        <v>0.125</v>
      </c>
      <c r="T955" s="115">
        <v>0.05</v>
      </c>
      <c r="U955" s="52"/>
      <c r="V955" s="77"/>
      <c r="W955" s="52">
        <f>IF(NOTA[[#This Row],[HARGA/ CTN]]="",NOTA[[#This Row],[JUMLAH_H]],NOTA[[#This Row],[HARGA/ CTN]]*IF(NOTA[[#This Row],[C]]="",0,NOTA[[#This Row],[C]]))</f>
        <v>3340800</v>
      </c>
      <c r="X955" s="52">
        <f>IF(NOTA[[#This Row],[JUMLAH]]="","",NOTA[[#This Row],[JUMLAH]]*NOTA[[#This Row],[DISC 1]])</f>
        <v>417600</v>
      </c>
      <c r="Y955" s="52">
        <f>IF(NOTA[[#This Row],[JUMLAH]]="","",(NOTA[[#This Row],[JUMLAH]]-NOTA[[#This Row],[DISC 1-]])*NOTA[[#This Row],[DISC 2]])</f>
        <v>146160</v>
      </c>
      <c r="Z955" s="52">
        <f>IF(NOTA[[#This Row],[JUMLAH]]="","",NOTA[[#This Row],[DISC 1-]]+NOTA[[#This Row],[DISC 2-]])</f>
        <v>563760</v>
      </c>
      <c r="AA955" s="52">
        <f>IF(NOTA[[#This Row],[JUMLAH]]="","",NOTA[[#This Row],[JUMLAH]]-NOTA[[#This Row],[DISC]])</f>
        <v>2777040</v>
      </c>
      <c r="AB955" s="52"/>
      <c r="AC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64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955" s="203">
        <f>IF(OR(NOTA[[#This Row],[QTY]]="",NOTA[[#This Row],[HARGA SATUAN]]="",),"",NOTA[[#This Row],[QTY]]*NOTA[[#This Row],[HARGA SATUAN]])</f>
        <v>3340800</v>
      </c>
      <c r="AG955" s="53">
        <f ca="1">IF(NOTA[ID_H]="","",INDEX(NOTA[TANGGAL],MATCH(,INDIRECT(ADDRESS(ROW(NOTA[TANGGAL]),COLUMN(NOTA[TANGGAL]))&amp;":"&amp;ADDRESS(ROW(),COLUMN(NOTA[TANGGAL]))),-1)))</f>
        <v>45073</v>
      </c>
      <c r="AH955" s="64" t="str">
        <f ca="1">IF(NOTA[[#This Row],[NAMA BARANG]]="","",INDEX(NOTA[SUPPLIER],MATCH(,INDIRECT(ADDRESS(ROW(NOTA[ID]),COLUMN(NOTA[ID]))&amp;":"&amp;ADDRESS(ROW(),COLUMN(NOTA[ID]))),-1)))</f>
        <v>ATALI MAKMUR</v>
      </c>
      <c r="AI955" s="64" t="str">
        <f ca="1">IF(NOTA[[#This Row],[ID_H]]="","",IF(NOTA[[#This Row],[FAKTUR]]="",INDIRECT(ADDRESS(ROW()-1,COLUMN())),NOTA[[#This Row],[FAKTUR]]))</f>
        <v>ARTO MORO</v>
      </c>
      <c r="AJ955" s="66" t="str">
        <f ca="1">IF(NOTA[[#This Row],[ID]]="","",COUNTIF(NOTA[ID_H],NOTA[[#This Row],[ID_H]]))</f>
        <v/>
      </c>
      <c r="AK955" s="66">
        <f ca="1">IF(NOTA[[#This Row],[TGL.NOTA]]="",IF(NOTA[[#This Row],[SUPPLIER_H]]="","",AK954),MONTH(NOTA[[#This Row],[TGL.NOTA]]))</f>
        <v>5</v>
      </c>
      <c r="AL955" s="66" t="str">
        <f>LOWER(SUBSTITUTE(SUBSTITUTE(SUBSTITUTE(SUBSTITUTE(SUBSTITUTE(SUBSTITUTE(SUBSTITUTE(SUBSTITUTE(SUBSTITUTE(NOTA[NAMA BARANG]," ",),".",""),"-",""),"(",""),")",""),",",""),"/",""),"""",""),"+",""))</f>
        <v>mathsetms85jk</v>
      </c>
      <c r="AM9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mathsetms85jk33408000.1250.05</v>
      </c>
      <c r="AN9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mathsetms85jk33408000.1250.05</v>
      </c>
      <c r="AO9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5" s="66" t="str">
        <f>IF(NOTA[[#This Row],[CONCAT4]]="","",_xlfn.IFNA(MATCH(NOTA[[#This Row],[CONCAT4]],[2]!RAW[CONCAT_H],0),FALSE))</f>
        <v/>
      </c>
      <c r="AQ955" s="66">
        <f>IF(NOTA[[#This Row],[CONCAT1]]="","",MATCH(NOTA[[#This Row],[CONCAT1]],[3]!db[NB NOTA_C],0)+1)</f>
        <v>1622</v>
      </c>
    </row>
    <row r="956" spans="1:43" ht="20.100000000000001" customHeight="1" x14ac:dyDescent="0.25">
      <c r="A9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66" t="str">
        <f>IF(NOTA[[#This Row],[ID_P]]="","",MATCH(NOTA[[#This Row],[ID_P]],[1]!B_MSK[N_ID],0))</f>
        <v/>
      </c>
      <c r="D956" s="66">
        <f ca="1">IF(NOTA[[#This Row],[NAMA BARANG]]="","",INDEX(NOTA[ID],MATCH(,INDIRECT(ADDRESS(ROW(NOTA[ID]),COLUMN(NOTA[ID]))&amp;":"&amp;ADDRESS(ROW(),COLUMN(NOTA[ID]))),-1)))</f>
        <v>162</v>
      </c>
      <c r="E956" s="113"/>
      <c r="H956" s="54"/>
      <c r="L956" s="27" t="s">
        <v>1127</v>
      </c>
      <c r="M956" s="114">
        <v>1</v>
      </c>
      <c r="N956" s="66">
        <v>12</v>
      </c>
      <c r="O956" s="27" t="s">
        <v>146</v>
      </c>
      <c r="P956" s="64">
        <v>182400</v>
      </c>
      <c r="Q956" s="79"/>
      <c r="R956" s="42"/>
      <c r="S956" s="80">
        <v>0.125</v>
      </c>
      <c r="T956" s="115">
        <v>0.05</v>
      </c>
      <c r="U956" s="52"/>
      <c r="V956" s="77"/>
      <c r="W956" s="52">
        <f>IF(NOTA[[#This Row],[HARGA/ CTN]]="",NOTA[[#This Row],[JUMLAH_H]],NOTA[[#This Row],[HARGA/ CTN]]*IF(NOTA[[#This Row],[C]]="",0,NOTA[[#This Row],[C]]))</f>
        <v>2188800</v>
      </c>
      <c r="X956" s="52">
        <f>IF(NOTA[[#This Row],[JUMLAH]]="","",NOTA[[#This Row],[JUMLAH]]*NOTA[[#This Row],[DISC 1]])</f>
        <v>273600</v>
      </c>
      <c r="Y956" s="52">
        <f>IF(NOTA[[#This Row],[JUMLAH]]="","",(NOTA[[#This Row],[JUMLAH]]-NOTA[[#This Row],[DISC 1-]])*NOTA[[#This Row],[DISC 2]])</f>
        <v>95760</v>
      </c>
      <c r="Z956" s="52">
        <f>IF(NOTA[[#This Row],[JUMLAH]]="","",NOTA[[#This Row],[DISC 1-]]+NOTA[[#This Row],[DISC 2-]])</f>
        <v>369360</v>
      </c>
      <c r="AA956" s="52">
        <f>IF(NOTA[[#This Row],[JUMLAH]]="","",NOTA[[#This Row],[JUMLAH]]-NOTA[[#This Row],[DISC]])</f>
        <v>1819440</v>
      </c>
      <c r="AB956" s="52"/>
      <c r="AC9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64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F956" s="203">
        <f>IF(OR(NOTA[[#This Row],[QTY]]="",NOTA[[#This Row],[HARGA SATUAN]]="",),"",NOTA[[#This Row],[QTY]]*NOTA[[#This Row],[HARGA SATUAN]])</f>
        <v>2188800</v>
      </c>
      <c r="AG956" s="53">
        <f ca="1">IF(NOTA[ID_H]="","",INDEX(NOTA[TANGGAL],MATCH(,INDIRECT(ADDRESS(ROW(NOTA[TANGGAL]),COLUMN(NOTA[TANGGAL]))&amp;":"&amp;ADDRESS(ROW(),COLUMN(NOTA[TANGGAL]))),-1)))</f>
        <v>45073</v>
      </c>
      <c r="AH956" s="64" t="str">
        <f ca="1">IF(NOTA[[#This Row],[NAMA BARANG]]="","",INDEX(NOTA[SUPPLIER],MATCH(,INDIRECT(ADDRESS(ROW(NOTA[ID]),COLUMN(NOTA[ID]))&amp;":"&amp;ADDRESS(ROW(),COLUMN(NOTA[ID]))),-1)))</f>
        <v>ATALI MAKMUR</v>
      </c>
      <c r="AI956" s="64" t="str">
        <f ca="1">IF(NOTA[[#This Row],[ID_H]]="","",IF(NOTA[[#This Row],[FAKTUR]]="",INDIRECT(ADDRESS(ROW()-1,COLUMN())),NOTA[[#This Row],[FAKTUR]]))</f>
        <v>ARTO MORO</v>
      </c>
      <c r="AJ956" s="66" t="str">
        <f ca="1">IF(NOTA[[#This Row],[ID]]="","",COUNTIF(NOTA[ID_H],NOTA[[#This Row],[ID_H]]))</f>
        <v/>
      </c>
      <c r="AK956" s="66">
        <f ca="1">IF(NOTA[[#This Row],[TGL.NOTA]]="",IF(NOTA[[#This Row],[SUPPLIER_H]]="","",AK955),MONTH(NOTA[[#This Row],[TGL.NOTA]]))</f>
        <v>5</v>
      </c>
      <c r="AL956" s="66" t="str">
        <f>LOWER(SUBSTITUTE(SUBSTITUTE(SUBSTITUTE(SUBSTITUTE(SUBSTITUTE(SUBSTITUTE(SUBSTITUTE(SUBSTITUTE(SUBSTITUTE(NOTA[NAMA BARANG]," ",),".",""),"-",""),"(",""),")",""),",",""),"/",""),"""",""),"+",""))</f>
        <v>mathsetms87jk</v>
      </c>
      <c r="AM9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mathsetms87jk21888000.1250.05</v>
      </c>
      <c r="AN9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mathsetms87jk21888000.1250.05</v>
      </c>
      <c r="AO9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6" s="66" t="str">
        <f>IF(NOTA[[#This Row],[CONCAT4]]="","",_xlfn.IFNA(MATCH(NOTA[[#This Row],[CONCAT4]],[2]!RAW[CONCAT_H],0),FALSE))</f>
        <v/>
      </c>
      <c r="AQ956" s="66">
        <f>IF(NOTA[[#This Row],[CONCAT1]]="","",MATCH(NOTA[[#This Row],[CONCAT1]],[3]!db[NB NOTA_C],0)+1)</f>
        <v>1623</v>
      </c>
    </row>
    <row r="957" spans="1:43" ht="20.100000000000001" customHeight="1" x14ac:dyDescent="0.25">
      <c r="A9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66" t="str">
        <f>IF(NOTA[[#This Row],[ID_P]]="","",MATCH(NOTA[[#This Row],[ID_P]],[1]!B_MSK[N_ID],0))</f>
        <v/>
      </c>
      <c r="D957" s="66">
        <f ca="1">IF(NOTA[[#This Row],[NAMA BARANG]]="","",INDEX(NOTA[ID],MATCH(,INDIRECT(ADDRESS(ROW(NOTA[ID]),COLUMN(NOTA[ID]))&amp;":"&amp;ADDRESS(ROW(),COLUMN(NOTA[ID]))),-1)))</f>
        <v>162</v>
      </c>
      <c r="E957" s="113"/>
      <c r="H957" s="54"/>
      <c r="L957" s="27" t="s">
        <v>1129</v>
      </c>
      <c r="M957" s="114">
        <v>1</v>
      </c>
      <c r="N957" s="66">
        <v>24</v>
      </c>
      <c r="O957" s="27" t="s">
        <v>160</v>
      </c>
      <c r="P957" s="64">
        <v>20400</v>
      </c>
      <c r="Q957" s="79"/>
      <c r="R957" s="42"/>
      <c r="S957" s="80">
        <v>0.125</v>
      </c>
      <c r="T957" s="115">
        <v>0.05</v>
      </c>
      <c r="U957" s="52"/>
      <c r="V957" s="77"/>
      <c r="W957" s="52">
        <f>IF(NOTA[[#This Row],[HARGA/ CTN]]="",NOTA[[#This Row],[JUMLAH_H]],NOTA[[#This Row],[HARGA/ CTN]]*IF(NOTA[[#This Row],[C]]="",0,NOTA[[#This Row],[C]]))</f>
        <v>489600</v>
      </c>
      <c r="X957" s="52">
        <f>IF(NOTA[[#This Row],[JUMLAH]]="","",NOTA[[#This Row],[JUMLAH]]*NOTA[[#This Row],[DISC 1]])</f>
        <v>61200</v>
      </c>
      <c r="Y957" s="52">
        <f>IF(NOTA[[#This Row],[JUMLAH]]="","",(NOTA[[#This Row],[JUMLAH]]-NOTA[[#This Row],[DISC 1-]])*NOTA[[#This Row],[DISC 2]])</f>
        <v>21420</v>
      </c>
      <c r="Z957" s="52">
        <f>IF(NOTA[[#This Row],[JUMLAH]]="","",NOTA[[#This Row],[DISC 1-]]+NOTA[[#This Row],[DISC 2-]])</f>
        <v>82620</v>
      </c>
      <c r="AA957" s="52">
        <f>IF(NOTA[[#This Row],[JUMLAH]]="","",NOTA[[#This Row],[JUMLAH]]-NOTA[[#This Row],[DISC]])</f>
        <v>406980</v>
      </c>
      <c r="AB957" s="52"/>
      <c r="AC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7" s="64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957" s="203">
        <f>IF(OR(NOTA[[#This Row],[QTY]]="",NOTA[[#This Row],[HARGA SATUAN]]="",),"",NOTA[[#This Row],[QTY]]*NOTA[[#This Row],[HARGA SATUAN]])</f>
        <v>489600</v>
      </c>
      <c r="AG957" s="53">
        <f ca="1">IF(NOTA[ID_H]="","",INDEX(NOTA[TANGGAL],MATCH(,INDIRECT(ADDRESS(ROW(NOTA[TANGGAL]),COLUMN(NOTA[TANGGAL]))&amp;":"&amp;ADDRESS(ROW(),COLUMN(NOTA[TANGGAL]))),-1)))</f>
        <v>45073</v>
      </c>
      <c r="AH957" s="64" t="str">
        <f ca="1">IF(NOTA[[#This Row],[NAMA BARANG]]="","",INDEX(NOTA[SUPPLIER],MATCH(,INDIRECT(ADDRESS(ROW(NOTA[ID]),COLUMN(NOTA[ID]))&amp;":"&amp;ADDRESS(ROW(),COLUMN(NOTA[ID]))),-1)))</f>
        <v>ATALI MAKMUR</v>
      </c>
      <c r="AI957" s="64" t="str">
        <f ca="1">IF(NOTA[[#This Row],[ID_H]]="","",IF(NOTA[[#This Row],[FAKTUR]]="",INDIRECT(ADDRESS(ROW()-1,COLUMN())),NOTA[[#This Row],[FAKTUR]]))</f>
        <v>ARTO MORO</v>
      </c>
      <c r="AJ957" s="66" t="str">
        <f ca="1">IF(NOTA[[#This Row],[ID]]="","",COUNTIF(NOTA[ID_H],NOTA[[#This Row],[ID_H]]))</f>
        <v/>
      </c>
      <c r="AK957" s="66">
        <f ca="1">IF(NOTA[[#This Row],[TGL.NOTA]]="",IF(NOTA[[#This Row],[SUPPLIER_H]]="","",AK956),MONTH(NOTA[[#This Row],[TGL.NOTA]]))</f>
        <v>5</v>
      </c>
      <c r="AL957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M9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N9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O9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7" s="66" t="str">
        <f>IF(NOTA[[#This Row],[CONCAT4]]="","",_xlfn.IFNA(MATCH(NOTA[[#This Row],[CONCAT4]],[2]!RAW[CONCAT_H],0),FALSE))</f>
        <v/>
      </c>
      <c r="AQ957" s="66">
        <f>IF(NOTA[[#This Row],[CONCAT1]]="","",MATCH(NOTA[[#This Row],[CONCAT1]],[3]!db[NB NOTA_C],0)+1)</f>
        <v>2220</v>
      </c>
    </row>
    <row r="958" spans="1:43" ht="20.100000000000001" customHeight="1" x14ac:dyDescent="0.25">
      <c r="A9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66" t="str">
        <f>IF(NOTA[[#This Row],[ID_P]]="","",MATCH(NOTA[[#This Row],[ID_P]],[1]!B_MSK[N_ID],0))</f>
        <v/>
      </c>
      <c r="D958" s="66">
        <f ca="1">IF(NOTA[[#This Row],[NAMA BARANG]]="","",INDEX(NOTA[ID],MATCH(,INDIRECT(ADDRESS(ROW(NOTA[ID]),COLUMN(NOTA[ID]))&amp;":"&amp;ADDRESS(ROW(),COLUMN(NOTA[ID]))),-1)))</f>
        <v>162</v>
      </c>
      <c r="E958" s="113"/>
      <c r="H958" s="54"/>
      <c r="L958" s="27" t="s">
        <v>1130</v>
      </c>
      <c r="M958" s="114">
        <v>1</v>
      </c>
      <c r="N958" s="66">
        <v>24</v>
      </c>
      <c r="O958" s="27" t="s">
        <v>160</v>
      </c>
      <c r="P958" s="64">
        <v>12300</v>
      </c>
      <c r="Q958" s="79"/>
      <c r="R958" s="42"/>
      <c r="S958" s="80">
        <v>0.125</v>
      </c>
      <c r="T958" s="115">
        <v>0.05</v>
      </c>
      <c r="U958" s="52"/>
      <c r="V958" s="77"/>
      <c r="W958" s="52">
        <f>IF(NOTA[[#This Row],[HARGA/ CTN]]="",NOTA[[#This Row],[JUMLAH_H]],NOTA[[#This Row],[HARGA/ CTN]]*IF(NOTA[[#This Row],[C]]="",0,NOTA[[#This Row],[C]]))</f>
        <v>295200</v>
      </c>
      <c r="X958" s="52">
        <f>IF(NOTA[[#This Row],[JUMLAH]]="","",NOTA[[#This Row],[JUMLAH]]*NOTA[[#This Row],[DISC 1]])</f>
        <v>36900</v>
      </c>
      <c r="Y958" s="52">
        <f>IF(NOTA[[#This Row],[JUMLAH]]="","",(NOTA[[#This Row],[JUMLAH]]-NOTA[[#This Row],[DISC 1-]])*NOTA[[#This Row],[DISC 2]])</f>
        <v>12915</v>
      </c>
      <c r="Z958" s="52">
        <f>IF(NOTA[[#This Row],[JUMLAH]]="","",NOTA[[#This Row],[DISC 1-]]+NOTA[[#This Row],[DISC 2-]])</f>
        <v>49815</v>
      </c>
      <c r="AA958" s="52">
        <f>IF(NOTA[[#This Row],[JUMLAH]]="","",NOTA[[#This Row],[JUMLAH]]-NOTA[[#This Row],[DISC]])</f>
        <v>245385</v>
      </c>
      <c r="AB958" s="52"/>
      <c r="AC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8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58" s="203">
        <f>IF(OR(NOTA[[#This Row],[QTY]]="",NOTA[[#This Row],[HARGA SATUAN]]="",),"",NOTA[[#This Row],[QTY]]*NOTA[[#This Row],[HARGA SATUAN]])</f>
        <v>295200</v>
      </c>
      <c r="AG958" s="53">
        <f ca="1">IF(NOTA[ID_H]="","",INDEX(NOTA[TANGGAL],MATCH(,INDIRECT(ADDRESS(ROW(NOTA[TANGGAL]),COLUMN(NOTA[TANGGAL]))&amp;":"&amp;ADDRESS(ROW(),COLUMN(NOTA[TANGGAL]))),-1)))</f>
        <v>45073</v>
      </c>
      <c r="AH958" s="64" t="str">
        <f ca="1">IF(NOTA[[#This Row],[NAMA BARANG]]="","",INDEX(NOTA[SUPPLIER],MATCH(,INDIRECT(ADDRESS(ROW(NOTA[ID]),COLUMN(NOTA[ID]))&amp;":"&amp;ADDRESS(ROW(),COLUMN(NOTA[ID]))),-1)))</f>
        <v>ATALI MAKMUR</v>
      </c>
      <c r="AI958" s="64" t="str">
        <f ca="1">IF(NOTA[[#This Row],[ID_H]]="","",IF(NOTA[[#This Row],[FAKTUR]]="",INDIRECT(ADDRESS(ROW()-1,COLUMN())),NOTA[[#This Row],[FAKTUR]]))</f>
        <v>ARTO MORO</v>
      </c>
      <c r="AJ958" s="66" t="str">
        <f ca="1">IF(NOTA[[#This Row],[ID]]="","",COUNTIF(NOTA[ID_H],NOTA[[#This Row],[ID_H]]))</f>
        <v/>
      </c>
      <c r="AK958" s="66">
        <f ca="1">IF(NOTA[[#This Row],[TGL.NOTA]]="",IF(NOTA[[#This Row],[SUPPLIER_H]]="","",AK957),MONTH(NOTA[[#This Row],[TGL.NOTA]]))</f>
        <v>5</v>
      </c>
      <c r="AL958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8" s="66" t="str">
        <f>IF(NOTA[[#This Row],[CONCAT4]]="","",_xlfn.IFNA(MATCH(NOTA[[#This Row],[CONCAT4]],[2]!RAW[CONCAT_H],0),FALSE))</f>
        <v/>
      </c>
      <c r="AQ958" s="66">
        <f>IF(NOTA[[#This Row],[CONCAT1]]="","",MATCH(NOTA[[#This Row],[CONCAT1]],[3]!db[NB NOTA_C],0)+1)</f>
        <v>2211</v>
      </c>
    </row>
    <row r="959" spans="1:43" ht="20.100000000000001" customHeight="1" x14ac:dyDescent="0.25">
      <c r="A9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66" t="str">
        <f>IF(NOTA[[#This Row],[ID_P]]="","",MATCH(NOTA[[#This Row],[ID_P]],[1]!B_MSK[N_ID],0))</f>
        <v/>
      </c>
      <c r="D959" s="66">
        <f ca="1">IF(NOTA[[#This Row],[NAMA BARANG]]="","",INDEX(NOTA[ID],MATCH(,INDIRECT(ADDRESS(ROW(NOTA[ID]),COLUMN(NOTA[ID]))&amp;":"&amp;ADDRESS(ROW(),COLUMN(NOTA[ID]))),-1)))</f>
        <v>162</v>
      </c>
      <c r="E959" s="113"/>
      <c r="H959" s="54"/>
      <c r="L959" s="27" t="s">
        <v>828</v>
      </c>
      <c r="M959" s="114">
        <v>1</v>
      </c>
      <c r="N959" s="66">
        <v>24</v>
      </c>
      <c r="O959" s="27" t="s">
        <v>160</v>
      </c>
      <c r="P959" s="64">
        <v>11100</v>
      </c>
      <c r="Q959" s="79"/>
      <c r="R959" s="42"/>
      <c r="S959" s="80">
        <v>0.125</v>
      </c>
      <c r="T959" s="115">
        <v>0.05</v>
      </c>
      <c r="U959" s="52"/>
      <c r="V959" s="77"/>
      <c r="W959" s="52">
        <f>IF(NOTA[[#This Row],[HARGA/ CTN]]="",NOTA[[#This Row],[JUMLAH_H]],NOTA[[#This Row],[HARGA/ CTN]]*IF(NOTA[[#This Row],[C]]="",0,NOTA[[#This Row],[C]]))</f>
        <v>266400</v>
      </c>
      <c r="X959" s="52">
        <f>IF(NOTA[[#This Row],[JUMLAH]]="","",NOTA[[#This Row],[JUMLAH]]*NOTA[[#This Row],[DISC 1]])</f>
        <v>33300</v>
      </c>
      <c r="Y959" s="52">
        <f>IF(NOTA[[#This Row],[JUMLAH]]="","",(NOTA[[#This Row],[JUMLAH]]-NOTA[[#This Row],[DISC 1-]])*NOTA[[#This Row],[DISC 2]])</f>
        <v>11655</v>
      </c>
      <c r="Z959" s="52">
        <f>IF(NOTA[[#This Row],[JUMLAH]]="","",NOTA[[#This Row],[DISC 1-]]+NOTA[[#This Row],[DISC 2-]])</f>
        <v>44955</v>
      </c>
      <c r="AA959" s="52">
        <f>IF(NOTA[[#This Row],[JUMLAH]]="","",NOTA[[#This Row],[JUMLAH]]-NOTA[[#This Row],[DISC]])</f>
        <v>221445</v>
      </c>
      <c r="AB959" s="52"/>
      <c r="AC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59" s="203">
        <f>IF(OR(NOTA[[#This Row],[QTY]]="",NOTA[[#This Row],[HARGA SATUAN]]="",),"",NOTA[[#This Row],[QTY]]*NOTA[[#This Row],[HARGA SATUAN]])</f>
        <v>266400</v>
      </c>
      <c r="AG959" s="53">
        <f ca="1">IF(NOTA[ID_H]="","",INDEX(NOTA[TANGGAL],MATCH(,INDIRECT(ADDRESS(ROW(NOTA[TANGGAL]),COLUMN(NOTA[TANGGAL]))&amp;":"&amp;ADDRESS(ROW(),COLUMN(NOTA[TANGGAL]))),-1)))</f>
        <v>45073</v>
      </c>
      <c r="AH959" s="64" t="str">
        <f ca="1">IF(NOTA[[#This Row],[NAMA BARANG]]="","",INDEX(NOTA[SUPPLIER],MATCH(,INDIRECT(ADDRESS(ROW(NOTA[ID]),COLUMN(NOTA[ID]))&amp;":"&amp;ADDRESS(ROW(),COLUMN(NOTA[ID]))),-1)))</f>
        <v>ATALI MAKMUR</v>
      </c>
      <c r="AI959" s="64" t="str">
        <f ca="1">IF(NOTA[[#This Row],[ID_H]]="","",IF(NOTA[[#This Row],[FAKTUR]]="",INDIRECT(ADDRESS(ROW()-1,COLUMN())),NOTA[[#This Row],[FAKTUR]]))</f>
        <v>ARTO MORO</v>
      </c>
      <c r="AJ959" s="66" t="str">
        <f ca="1">IF(NOTA[[#This Row],[ID]]="","",COUNTIF(NOTA[ID_H],NOTA[[#This Row],[ID_H]]))</f>
        <v/>
      </c>
      <c r="AK959" s="66">
        <f ca="1">IF(NOTA[[#This Row],[TGL.NOTA]]="",IF(NOTA[[#This Row],[SUPPLIER_H]]="","",AK958),MONTH(NOTA[[#This Row],[TGL.NOTA]]))</f>
        <v>5</v>
      </c>
      <c r="AL95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59" s="66" t="str">
        <f>IF(NOTA[[#This Row],[CONCAT4]]="","",_xlfn.IFNA(MATCH(NOTA[[#This Row],[CONCAT4]],[2]!RAW[CONCAT_H],0),FALSE))</f>
        <v/>
      </c>
      <c r="AQ959" s="66">
        <f>IF(NOTA[[#This Row],[CONCAT1]]="","",MATCH(NOTA[[#This Row],[CONCAT1]],[3]!db[NB NOTA_C],0)+1)</f>
        <v>2218</v>
      </c>
    </row>
    <row r="960" spans="1:43" ht="20.100000000000001" customHeight="1" x14ac:dyDescent="0.25">
      <c r="A9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66" t="str">
        <f>IF(NOTA[[#This Row],[ID_P]]="","",MATCH(NOTA[[#This Row],[ID_P]],[1]!B_MSK[N_ID],0))</f>
        <v/>
      </c>
      <c r="D960" s="66">
        <f ca="1">IF(NOTA[[#This Row],[NAMA BARANG]]="","",INDEX(NOTA[ID],MATCH(,INDIRECT(ADDRESS(ROW(NOTA[ID]),COLUMN(NOTA[ID]))&amp;":"&amp;ADDRESS(ROW(),COLUMN(NOTA[ID]))),-1)))</f>
        <v>162</v>
      </c>
      <c r="E960" s="113"/>
      <c r="H960" s="54"/>
      <c r="L960" s="27" t="s">
        <v>836</v>
      </c>
      <c r="M960" s="114">
        <v>1</v>
      </c>
      <c r="N960" s="66">
        <v>96</v>
      </c>
      <c r="O960" s="27" t="s">
        <v>160</v>
      </c>
      <c r="P960" s="64">
        <v>14200</v>
      </c>
      <c r="Q960" s="79"/>
      <c r="R960" s="42"/>
      <c r="S960" s="80">
        <v>0.125</v>
      </c>
      <c r="T960" s="115">
        <v>0.05</v>
      </c>
      <c r="U960" s="52"/>
      <c r="V960" s="77"/>
      <c r="W960" s="52">
        <f>IF(NOTA[[#This Row],[HARGA/ CTN]]="",NOTA[[#This Row],[JUMLAH_H]],NOTA[[#This Row],[HARGA/ CTN]]*IF(NOTA[[#This Row],[C]]="",0,NOTA[[#This Row],[C]]))</f>
        <v>1363200</v>
      </c>
      <c r="X960" s="52">
        <f>IF(NOTA[[#This Row],[JUMLAH]]="","",NOTA[[#This Row],[JUMLAH]]*NOTA[[#This Row],[DISC 1]])</f>
        <v>170400</v>
      </c>
      <c r="Y960" s="52">
        <f>IF(NOTA[[#This Row],[JUMLAH]]="","",(NOTA[[#This Row],[JUMLAH]]-NOTA[[#This Row],[DISC 1-]])*NOTA[[#This Row],[DISC 2]])</f>
        <v>59640</v>
      </c>
      <c r="Z960" s="52">
        <f>IF(NOTA[[#This Row],[JUMLAH]]="","",NOTA[[#This Row],[DISC 1-]]+NOTA[[#This Row],[DISC 2-]])</f>
        <v>230040</v>
      </c>
      <c r="AA960" s="52">
        <f>IF(NOTA[[#This Row],[JUMLAH]]="","",NOTA[[#This Row],[JUMLAH]]-NOTA[[#This Row],[DISC]])</f>
        <v>1133160</v>
      </c>
      <c r="AB960" s="52"/>
      <c r="AC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0" s="64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960" s="203">
        <f>IF(OR(NOTA[[#This Row],[QTY]]="",NOTA[[#This Row],[HARGA SATUAN]]="",),"",NOTA[[#This Row],[QTY]]*NOTA[[#This Row],[HARGA SATUAN]])</f>
        <v>1363200</v>
      </c>
      <c r="AG960" s="53">
        <f ca="1">IF(NOTA[ID_H]="","",INDEX(NOTA[TANGGAL],MATCH(,INDIRECT(ADDRESS(ROW(NOTA[TANGGAL]),COLUMN(NOTA[TANGGAL]))&amp;":"&amp;ADDRESS(ROW(),COLUMN(NOTA[TANGGAL]))),-1)))</f>
        <v>45073</v>
      </c>
      <c r="AH960" s="64" t="str">
        <f ca="1">IF(NOTA[[#This Row],[NAMA BARANG]]="","",INDEX(NOTA[SUPPLIER],MATCH(,INDIRECT(ADDRESS(ROW(NOTA[ID]),COLUMN(NOTA[ID]))&amp;":"&amp;ADDRESS(ROW(),COLUMN(NOTA[ID]))),-1)))</f>
        <v>ATALI MAKMUR</v>
      </c>
      <c r="AI960" s="64" t="str">
        <f ca="1">IF(NOTA[[#This Row],[ID_H]]="","",IF(NOTA[[#This Row],[FAKTUR]]="",INDIRECT(ADDRESS(ROW()-1,COLUMN())),NOTA[[#This Row],[FAKTUR]]))</f>
        <v>ARTO MORO</v>
      </c>
      <c r="AJ960" s="66" t="str">
        <f ca="1">IF(NOTA[[#This Row],[ID]]="","",COUNTIF(NOTA[ID_H],NOTA[[#This Row],[ID_H]]))</f>
        <v/>
      </c>
      <c r="AK960" s="66">
        <f ca="1">IF(NOTA[[#This Row],[TGL.NOTA]]="",IF(NOTA[[#This Row],[SUPPLIER_H]]="","",AK959),MONTH(NOTA[[#This Row],[TGL.NOTA]]))</f>
        <v>5</v>
      </c>
      <c r="AL960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M9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N9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O9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0" s="66" t="str">
        <f>IF(NOTA[[#This Row],[CONCAT4]]="","",_xlfn.IFNA(MATCH(NOTA[[#This Row],[CONCAT4]],[2]!RAW[CONCAT_H],0),FALSE))</f>
        <v/>
      </c>
      <c r="AQ960" s="66">
        <f>IF(NOTA[[#This Row],[CONCAT1]]="","",MATCH(NOTA[[#This Row],[CONCAT1]],[3]!db[NB NOTA_C],0)+1)</f>
        <v>2221</v>
      </c>
    </row>
    <row r="961" spans="1:43" ht="20.100000000000001" customHeight="1" x14ac:dyDescent="0.25">
      <c r="A9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66" t="str">
        <f>IF(NOTA[[#This Row],[ID_P]]="","",MATCH(NOTA[[#This Row],[ID_P]],[1]!B_MSK[N_ID],0))</f>
        <v/>
      </c>
      <c r="D961" s="66">
        <f ca="1">IF(NOTA[[#This Row],[NAMA BARANG]]="","",INDEX(NOTA[ID],MATCH(,INDIRECT(ADDRESS(ROW(NOTA[ID]),COLUMN(NOTA[ID]))&amp;":"&amp;ADDRESS(ROW(),COLUMN(NOTA[ID]))),-1)))</f>
        <v>162</v>
      </c>
      <c r="E961" s="113"/>
      <c r="H961" s="54"/>
      <c r="L961" s="27" t="s">
        <v>1131</v>
      </c>
      <c r="M961" s="114">
        <v>1</v>
      </c>
      <c r="N961" s="66">
        <v>288</v>
      </c>
      <c r="O961" s="27" t="s">
        <v>160</v>
      </c>
      <c r="P961" s="64">
        <v>2150</v>
      </c>
      <c r="Q961" s="79"/>
      <c r="R961" s="42"/>
      <c r="S961" s="80">
        <v>0.125</v>
      </c>
      <c r="T961" s="115">
        <v>0.05</v>
      </c>
      <c r="U961" s="52"/>
      <c r="V961" s="77"/>
      <c r="W961" s="52">
        <f>IF(NOTA[[#This Row],[HARGA/ CTN]]="",NOTA[[#This Row],[JUMLAH_H]],NOTA[[#This Row],[HARGA/ CTN]]*IF(NOTA[[#This Row],[C]]="",0,NOTA[[#This Row],[C]]))</f>
        <v>619200</v>
      </c>
      <c r="X961" s="52">
        <f>IF(NOTA[[#This Row],[JUMLAH]]="","",NOTA[[#This Row],[JUMLAH]]*NOTA[[#This Row],[DISC 1]])</f>
        <v>77400</v>
      </c>
      <c r="Y961" s="52">
        <f>IF(NOTA[[#This Row],[JUMLAH]]="","",(NOTA[[#This Row],[JUMLAH]]-NOTA[[#This Row],[DISC 1-]])*NOTA[[#This Row],[DISC 2]])</f>
        <v>27090</v>
      </c>
      <c r="Z961" s="52">
        <f>IF(NOTA[[#This Row],[JUMLAH]]="","",NOTA[[#This Row],[DISC 1-]]+NOTA[[#This Row],[DISC 2-]])</f>
        <v>104490</v>
      </c>
      <c r="AA961" s="52">
        <f>IF(NOTA[[#This Row],[JUMLAH]]="","",NOTA[[#This Row],[JUMLAH]]-NOTA[[#This Row],[DISC]])</f>
        <v>514710</v>
      </c>
      <c r="AB961" s="52"/>
      <c r="AC96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3498390</v>
      </c>
      <c r="AD96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17232810</v>
      </c>
      <c r="AE961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61" s="203">
        <f>IF(OR(NOTA[[#This Row],[QTY]]="",NOTA[[#This Row],[HARGA SATUAN]]="",),"",NOTA[[#This Row],[QTY]]*NOTA[[#This Row],[HARGA SATUAN]])</f>
        <v>619200</v>
      </c>
      <c r="AG961" s="53">
        <f ca="1">IF(NOTA[ID_H]="","",INDEX(NOTA[TANGGAL],MATCH(,INDIRECT(ADDRESS(ROW(NOTA[TANGGAL]),COLUMN(NOTA[TANGGAL]))&amp;":"&amp;ADDRESS(ROW(),COLUMN(NOTA[TANGGAL]))),-1)))</f>
        <v>45073</v>
      </c>
      <c r="AH961" s="64" t="str">
        <f ca="1">IF(NOTA[[#This Row],[NAMA BARANG]]="","",INDEX(NOTA[SUPPLIER],MATCH(,INDIRECT(ADDRESS(ROW(NOTA[ID]),COLUMN(NOTA[ID]))&amp;":"&amp;ADDRESS(ROW(),COLUMN(NOTA[ID]))),-1)))</f>
        <v>ATALI MAKMUR</v>
      </c>
      <c r="AI961" s="64" t="str">
        <f ca="1">IF(NOTA[[#This Row],[ID_H]]="","",IF(NOTA[[#This Row],[FAKTUR]]="",INDIRECT(ADDRESS(ROW()-1,COLUMN())),NOTA[[#This Row],[FAKTUR]]))</f>
        <v>ARTO MORO</v>
      </c>
      <c r="AJ961" s="66" t="str">
        <f ca="1">IF(NOTA[[#This Row],[ID]]="","",COUNTIF(NOTA[ID_H],NOTA[[#This Row],[ID_H]]))</f>
        <v/>
      </c>
      <c r="AK961" s="66">
        <f ca="1">IF(NOTA[[#This Row],[TGL.NOTA]]="",IF(NOTA[[#This Row],[SUPPLIER_H]]="","",AK960),MONTH(NOTA[[#This Row],[TGL.NOTA]]))</f>
        <v>5</v>
      </c>
      <c r="AL961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1" s="66" t="str">
        <f>IF(NOTA[[#This Row],[CONCAT4]]="","",_xlfn.IFNA(MATCH(NOTA[[#This Row],[CONCAT4]],[2]!RAW[CONCAT_H],0),FALSE))</f>
        <v/>
      </c>
      <c r="AQ961" s="66">
        <f>IF(NOTA[[#This Row],[CONCAT1]]="","",MATCH(NOTA[[#This Row],[CONCAT1]],[3]!db[NB NOTA_C],0)+1)</f>
        <v>999</v>
      </c>
    </row>
    <row r="962" spans="1:43" ht="20.100000000000001" customHeight="1" x14ac:dyDescent="0.25">
      <c r="A9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66" t="str">
        <f>IF(NOTA[[#This Row],[ID_P]]="","",MATCH(NOTA[[#This Row],[ID_P]],[1]!B_MSK[N_ID],0))</f>
        <v/>
      </c>
      <c r="D962" s="66" t="str">
        <f ca="1">IF(NOTA[[#This Row],[NAMA BARANG]]="","",INDEX(NOTA[ID],MATCH(,INDIRECT(ADDRESS(ROW(NOTA[ID]),COLUMN(NOTA[ID]))&amp;":"&amp;ADDRESS(ROW(),COLUMN(NOTA[ID]))),-1)))</f>
        <v/>
      </c>
      <c r="E962" s="113"/>
      <c r="H962" s="54"/>
      <c r="N962" s="66"/>
      <c r="Q962" s="79"/>
      <c r="R962" s="42"/>
      <c r="S962" s="80"/>
      <c r="U962" s="52"/>
      <c r="V962" s="77"/>
      <c r="W962" s="52" t="str">
        <f>IF(NOTA[[#This Row],[HARGA/ CTN]]="",NOTA[[#This Row],[JUMLAH_H]],NOTA[[#This Row],[HARGA/ CTN]]*IF(NOTA[[#This Row],[C]]="",0,NOTA[[#This Row],[C]]))</f>
        <v/>
      </c>
      <c r="X962" s="52" t="str">
        <f>IF(NOTA[[#This Row],[JUMLAH]]="","",NOTA[[#This Row],[JUMLAH]]*NOTA[[#This Row],[DISC 1]])</f>
        <v/>
      </c>
      <c r="Y962" s="52" t="str">
        <f>IF(NOTA[[#This Row],[JUMLAH]]="","",(NOTA[[#This Row],[JUMLAH]]-NOTA[[#This Row],[DISC 1-]])*NOTA[[#This Row],[DISC 2]])</f>
        <v/>
      </c>
      <c r="Z962" s="52" t="str">
        <f>IF(NOTA[[#This Row],[JUMLAH]]="","",NOTA[[#This Row],[DISC 1-]]+NOTA[[#This Row],[DISC 2-]])</f>
        <v/>
      </c>
      <c r="AA962" s="52" t="str">
        <f>IF(NOTA[[#This Row],[JUMLAH]]="","",NOTA[[#This Row],[JUMLAH]]-NOTA[[#This Row],[DISC]])</f>
        <v/>
      </c>
      <c r="AB962" s="52"/>
      <c r="AC9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2" s="203" t="str">
        <f>IF(OR(NOTA[[#This Row],[QTY]]="",NOTA[[#This Row],[HARGA SATUAN]]="",),"",NOTA[[#This Row],[QTY]]*NOTA[[#This Row],[HARGA SATUAN]])</f>
        <v/>
      </c>
      <c r="AG962" s="53" t="str">
        <f ca="1">IF(NOTA[ID_H]="","",INDEX(NOTA[TANGGAL],MATCH(,INDIRECT(ADDRESS(ROW(NOTA[TANGGAL]),COLUMN(NOTA[TANGGAL]))&amp;":"&amp;ADDRESS(ROW(),COLUMN(NOTA[TANGGAL]))),-1)))</f>
        <v/>
      </c>
      <c r="AH962" s="64" t="str">
        <f ca="1">IF(NOTA[[#This Row],[NAMA BARANG]]="","",INDEX(NOTA[SUPPLIER],MATCH(,INDIRECT(ADDRESS(ROW(NOTA[ID]),COLUMN(NOTA[ID]))&amp;":"&amp;ADDRESS(ROW(),COLUMN(NOTA[ID]))),-1)))</f>
        <v/>
      </c>
      <c r="AI962" s="64" t="str">
        <f ca="1">IF(NOTA[[#This Row],[ID_H]]="","",IF(NOTA[[#This Row],[FAKTUR]]="",INDIRECT(ADDRESS(ROW()-1,COLUMN())),NOTA[[#This Row],[FAKTUR]]))</f>
        <v/>
      </c>
      <c r="AJ962" s="66" t="str">
        <f ca="1">IF(NOTA[[#This Row],[ID]]="","",COUNTIF(NOTA[ID_H],NOTA[[#This Row],[ID_H]]))</f>
        <v/>
      </c>
      <c r="AK962" s="66" t="str">
        <f ca="1">IF(NOTA[[#This Row],[TGL.NOTA]]="",IF(NOTA[[#This Row],[SUPPLIER_H]]="","",AK961),MONTH(NOTA[[#This Row],[TGL.NOTA]]))</f>
        <v/>
      </c>
      <c r="AL962" s="66" t="str">
        <f>LOWER(SUBSTITUTE(SUBSTITUTE(SUBSTITUTE(SUBSTITUTE(SUBSTITUTE(SUBSTITUTE(SUBSTITUTE(SUBSTITUTE(SUBSTITUTE(NOTA[NAMA BARANG]," ",),".",""),"-",""),"(",""),")",""),",",""),"/",""),"""",""),"+",""))</f>
        <v/>
      </c>
      <c r="AM9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2" s="66" t="str">
        <f>IF(NOTA[[#This Row],[CONCAT4]]="","",_xlfn.IFNA(MATCH(NOTA[[#This Row],[CONCAT4]],[2]!RAW[CONCAT_H],0),FALSE))</f>
        <v/>
      </c>
      <c r="AQ962" s="66" t="str">
        <f>IF(NOTA[[#This Row],[CONCAT1]]="","",MATCH(NOTA[[#This Row],[CONCAT1]],[3]!db[NB NOTA_C],0)+1)</f>
        <v/>
      </c>
    </row>
    <row r="963" spans="1:43" ht="20.100000000000001" customHeight="1" x14ac:dyDescent="0.25">
      <c r="A963" s="64">
        <f ca="1">IF(INDIRECT(ADDRESS(ROW()-1,COLUMN(NOTA[[#Headers],[ID]])))="ID",1,IF(NOTA[[#This Row],[FAKTUR]]="","",COUNT(INDIRECT(ADDRESS(ROW(NOTA[ID]),COLUMN(NOTA[ID]))&amp;":"&amp;ADDRESS(ROW()-1,COLUMN(NOTA[ID]))))+1))</f>
        <v>163</v>
      </c>
      <c r="B96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ATA_2705_149-5</v>
      </c>
      <c r="C963" s="66" t="e">
        <f ca="1">IF(NOTA[[#This Row],[ID_P]]="","",MATCH(NOTA[[#This Row],[ID_P]],[1]!B_MSK[N_ID],0))</f>
        <v>#REF!</v>
      </c>
      <c r="D963" s="66">
        <f ca="1">IF(NOTA[[#This Row],[NAMA BARANG]]="","",INDEX(NOTA[ID],MATCH(,INDIRECT(ADDRESS(ROW(NOTA[ID]),COLUMN(NOTA[ID]))&amp;":"&amp;ADDRESS(ROW(),COLUMN(NOTA[ID]))),-1)))</f>
        <v>163</v>
      </c>
      <c r="E963" s="113"/>
      <c r="F963" s="27" t="s">
        <v>25</v>
      </c>
      <c r="G963" s="27" t="s">
        <v>24</v>
      </c>
      <c r="H963" s="54" t="s">
        <v>1132</v>
      </c>
      <c r="J963" s="53">
        <v>45068</v>
      </c>
      <c r="L963" s="27" t="s">
        <v>891</v>
      </c>
      <c r="M963" s="114">
        <v>1</v>
      </c>
      <c r="N963" s="66">
        <v>240</v>
      </c>
      <c r="O963" s="27" t="s">
        <v>252</v>
      </c>
      <c r="P963" s="64">
        <v>8800</v>
      </c>
      <c r="Q963" s="79"/>
      <c r="R963" s="42"/>
      <c r="S963" s="80">
        <v>0.125</v>
      </c>
      <c r="T963" s="115">
        <v>0.05</v>
      </c>
      <c r="U963" s="52"/>
      <c r="V963" s="77"/>
      <c r="W963" s="52">
        <f>IF(NOTA[[#This Row],[HARGA/ CTN]]="",NOTA[[#This Row],[JUMLAH_H]],NOTA[[#This Row],[HARGA/ CTN]]*IF(NOTA[[#This Row],[C]]="",0,NOTA[[#This Row],[C]]))</f>
        <v>2112000</v>
      </c>
      <c r="X963" s="52">
        <f>IF(NOTA[[#This Row],[JUMLAH]]="","",NOTA[[#This Row],[JUMLAH]]*NOTA[[#This Row],[DISC 1]])</f>
        <v>264000</v>
      </c>
      <c r="Y963" s="52">
        <f>IF(NOTA[[#This Row],[JUMLAH]]="","",(NOTA[[#This Row],[JUMLAH]]-NOTA[[#This Row],[DISC 1-]])*NOTA[[#This Row],[DISC 2]])</f>
        <v>92400</v>
      </c>
      <c r="Z963" s="52">
        <f>IF(NOTA[[#This Row],[JUMLAH]]="","",NOTA[[#This Row],[DISC 1-]]+NOTA[[#This Row],[DISC 2-]])</f>
        <v>356400</v>
      </c>
      <c r="AA963" s="52">
        <f>IF(NOTA[[#This Row],[JUMLAH]]="","",NOTA[[#This Row],[JUMLAH]]-NOTA[[#This Row],[DISC]])</f>
        <v>1755600</v>
      </c>
      <c r="AB963" s="52"/>
      <c r="AC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3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63" s="203">
        <f>IF(OR(NOTA[[#This Row],[QTY]]="",NOTA[[#This Row],[HARGA SATUAN]]="",),"",NOTA[[#This Row],[QTY]]*NOTA[[#This Row],[HARGA SATUAN]])</f>
        <v>2112000</v>
      </c>
      <c r="AG963" s="53">
        <f ca="1">IF(NOTA[ID_H]="","",INDEX(NOTA[TANGGAL],MATCH(,INDIRECT(ADDRESS(ROW(NOTA[TANGGAL]),COLUMN(NOTA[TANGGAL]))&amp;":"&amp;ADDRESS(ROW(),COLUMN(NOTA[TANGGAL]))),-1)))</f>
        <v>45073</v>
      </c>
      <c r="AH963" s="64" t="str">
        <f ca="1">IF(NOTA[[#This Row],[NAMA BARANG]]="","",INDEX(NOTA[SUPPLIER],MATCH(,INDIRECT(ADDRESS(ROW(NOTA[ID]),COLUMN(NOTA[ID]))&amp;":"&amp;ADDRESS(ROW(),COLUMN(NOTA[ID]))),-1)))</f>
        <v>ATALI MAKMUR</v>
      </c>
      <c r="AI963" s="64" t="str">
        <f ca="1">IF(NOTA[[#This Row],[ID_H]]="","",IF(NOTA[[#This Row],[FAKTUR]]="",INDIRECT(ADDRESS(ROW()-1,COLUMN())),NOTA[[#This Row],[FAKTUR]]))</f>
        <v>ARTO MORO</v>
      </c>
      <c r="AJ963" s="66">
        <f ca="1">IF(NOTA[[#This Row],[ID]]="","",COUNTIF(NOTA[ID_H],NOTA[[#This Row],[ID_H]]))</f>
        <v>5</v>
      </c>
      <c r="AK963" s="66">
        <f>IF(NOTA[[#This Row],[TGL.NOTA]]="",IF(NOTA[[#This Row],[SUPPLIER_H]]="","",AK962),MONTH(NOTA[[#This Row],[TGL.NOTA]]))</f>
        <v>5</v>
      </c>
      <c r="AL963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6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MOROSA23050814945068brushbr1jk</v>
      </c>
      <c r="AP963" s="66" t="e">
        <f>IF(NOTA[[#This Row],[CONCAT4]]="","",_xlfn.IFNA(MATCH(NOTA[[#This Row],[CONCAT4]],[2]!RAW[CONCAT_H],0),FALSE))</f>
        <v>#REF!</v>
      </c>
      <c r="AQ963" s="66">
        <f>IF(NOTA[[#This Row],[CONCAT1]]="","",MATCH(NOTA[[#This Row],[CONCAT1]],[3]!db[NB NOTA_C],0)+1)</f>
        <v>342</v>
      </c>
    </row>
    <row r="964" spans="1:43" ht="20.100000000000001" customHeight="1" x14ac:dyDescent="0.25">
      <c r="A9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66" t="str">
        <f>IF(NOTA[[#This Row],[ID_P]]="","",MATCH(NOTA[[#This Row],[ID_P]],[1]!B_MSK[N_ID],0))</f>
        <v/>
      </c>
      <c r="D964" s="66">
        <f ca="1">IF(NOTA[[#This Row],[NAMA BARANG]]="","",INDEX(NOTA[ID],MATCH(,INDIRECT(ADDRESS(ROW(NOTA[ID]),COLUMN(NOTA[ID]))&amp;":"&amp;ADDRESS(ROW(),COLUMN(NOTA[ID]))),-1)))</f>
        <v>163</v>
      </c>
      <c r="E964" s="113"/>
      <c r="H964" s="54"/>
      <c r="L964" s="27" t="s">
        <v>1133</v>
      </c>
      <c r="M964" s="114">
        <v>3</v>
      </c>
      <c r="N964" s="66">
        <v>720</v>
      </c>
      <c r="O964" s="27" t="s">
        <v>252</v>
      </c>
      <c r="P964" s="64">
        <v>10600</v>
      </c>
      <c r="Q964" s="79"/>
      <c r="R964" s="42"/>
      <c r="S964" s="80">
        <v>0.125</v>
      </c>
      <c r="T964" s="115">
        <v>0.05</v>
      </c>
      <c r="U964" s="52"/>
      <c r="V964" s="77"/>
      <c r="W964" s="52">
        <f>IF(NOTA[[#This Row],[HARGA/ CTN]]="",NOTA[[#This Row],[JUMLAH_H]],NOTA[[#This Row],[HARGA/ CTN]]*IF(NOTA[[#This Row],[C]]="",0,NOTA[[#This Row],[C]]))</f>
        <v>7632000</v>
      </c>
      <c r="X964" s="52">
        <f>IF(NOTA[[#This Row],[JUMLAH]]="","",NOTA[[#This Row],[JUMLAH]]*NOTA[[#This Row],[DISC 1]])</f>
        <v>954000</v>
      </c>
      <c r="Y964" s="52">
        <f>IF(NOTA[[#This Row],[JUMLAH]]="","",(NOTA[[#This Row],[JUMLAH]]-NOTA[[#This Row],[DISC 1-]])*NOTA[[#This Row],[DISC 2]])</f>
        <v>333900</v>
      </c>
      <c r="Z964" s="52">
        <f>IF(NOTA[[#This Row],[JUMLAH]]="","",NOTA[[#This Row],[DISC 1-]]+NOTA[[#This Row],[DISC 2-]])</f>
        <v>1287900</v>
      </c>
      <c r="AA964" s="52">
        <f>IF(NOTA[[#This Row],[JUMLAH]]="","",NOTA[[#This Row],[JUMLAH]]-NOTA[[#This Row],[DISC]])</f>
        <v>6344100</v>
      </c>
      <c r="AB964" s="52"/>
      <c r="AC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4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64" s="203">
        <f>IF(OR(NOTA[[#This Row],[QTY]]="",NOTA[[#This Row],[HARGA SATUAN]]="",),"",NOTA[[#This Row],[QTY]]*NOTA[[#This Row],[HARGA SATUAN]])</f>
        <v>7632000</v>
      </c>
      <c r="AG964" s="53">
        <f ca="1">IF(NOTA[ID_H]="","",INDEX(NOTA[TANGGAL],MATCH(,INDIRECT(ADDRESS(ROW(NOTA[TANGGAL]),COLUMN(NOTA[TANGGAL]))&amp;":"&amp;ADDRESS(ROW(),COLUMN(NOTA[TANGGAL]))),-1)))</f>
        <v>45073</v>
      </c>
      <c r="AH964" s="64" t="str">
        <f ca="1">IF(NOTA[[#This Row],[NAMA BARANG]]="","",INDEX(NOTA[SUPPLIER],MATCH(,INDIRECT(ADDRESS(ROW(NOTA[ID]),COLUMN(NOTA[ID]))&amp;":"&amp;ADDRESS(ROW(),COLUMN(NOTA[ID]))),-1)))</f>
        <v>ATALI MAKMUR</v>
      </c>
      <c r="AI964" s="64" t="str">
        <f ca="1">IF(NOTA[[#This Row],[ID_H]]="","",IF(NOTA[[#This Row],[FAKTUR]]="",INDIRECT(ADDRESS(ROW()-1,COLUMN())),NOTA[[#This Row],[FAKTUR]]))</f>
        <v>ARTO MORO</v>
      </c>
      <c r="AJ964" s="66" t="str">
        <f ca="1">IF(NOTA[[#This Row],[ID]]="","",COUNTIF(NOTA[ID_H],NOTA[[#This Row],[ID_H]]))</f>
        <v/>
      </c>
      <c r="AK964" s="66">
        <f ca="1">IF(NOTA[[#This Row],[TGL.NOTA]]="",IF(NOTA[[#This Row],[SUPPLIER_H]]="","",AK963),MONTH(NOTA[[#This Row],[TGL.NOTA]]))</f>
        <v>5</v>
      </c>
      <c r="AL964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4" s="66" t="str">
        <f>IF(NOTA[[#This Row],[CONCAT4]]="","",_xlfn.IFNA(MATCH(NOTA[[#This Row],[CONCAT4]],[2]!RAW[CONCAT_H],0),FALSE))</f>
        <v/>
      </c>
      <c r="AQ964" s="66">
        <f>IF(NOTA[[#This Row],[CONCAT1]]="","",MATCH(NOTA[[#This Row],[CONCAT1]],[3]!db[NB NOTA_C],0)+1)</f>
        <v>345</v>
      </c>
    </row>
    <row r="965" spans="1:43" ht="20.100000000000001" customHeight="1" x14ac:dyDescent="0.25">
      <c r="A9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66" t="str">
        <f>IF(NOTA[[#This Row],[ID_P]]="","",MATCH(NOTA[[#This Row],[ID_P]],[1]!B_MSK[N_ID],0))</f>
        <v/>
      </c>
      <c r="D965" s="66">
        <f ca="1">IF(NOTA[[#This Row],[NAMA BARANG]]="","",INDEX(NOTA[ID],MATCH(,INDIRECT(ADDRESS(ROW(NOTA[ID]),COLUMN(NOTA[ID]))&amp;":"&amp;ADDRESS(ROW(),COLUMN(NOTA[ID]))),-1)))</f>
        <v>163</v>
      </c>
      <c r="E965" s="113"/>
      <c r="H965" s="54"/>
      <c r="L965" s="27" t="s">
        <v>1134</v>
      </c>
      <c r="M965" s="114">
        <v>1</v>
      </c>
      <c r="N965" s="66">
        <v>12</v>
      </c>
      <c r="O965" s="27" t="s">
        <v>183</v>
      </c>
      <c r="P965" s="64">
        <v>176400</v>
      </c>
      <c r="Q965" s="79"/>
      <c r="R965" s="42" t="s">
        <v>150</v>
      </c>
      <c r="S965" s="80">
        <v>0.125</v>
      </c>
      <c r="T965" s="115">
        <v>0.05</v>
      </c>
      <c r="U965" s="52"/>
      <c r="V965" s="77"/>
      <c r="W965" s="52">
        <f>IF(NOTA[[#This Row],[HARGA/ CTN]]="",NOTA[[#This Row],[JUMLAH_H]],NOTA[[#This Row],[HARGA/ CTN]]*IF(NOTA[[#This Row],[C]]="",0,NOTA[[#This Row],[C]]))</f>
        <v>2116800</v>
      </c>
      <c r="X965" s="52">
        <f>IF(NOTA[[#This Row],[JUMLAH]]="","",NOTA[[#This Row],[JUMLAH]]*NOTA[[#This Row],[DISC 1]])</f>
        <v>264600</v>
      </c>
      <c r="Y965" s="52">
        <f>IF(NOTA[[#This Row],[JUMLAH]]="","",(NOTA[[#This Row],[JUMLAH]]-NOTA[[#This Row],[DISC 1-]])*NOTA[[#This Row],[DISC 2]])</f>
        <v>92610</v>
      </c>
      <c r="Z965" s="52">
        <f>IF(NOTA[[#This Row],[JUMLAH]]="","",NOTA[[#This Row],[DISC 1-]]+NOTA[[#This Row],[DISC 2-]])</f>
        <v>357210</v>
      </c>
      <c r="AA965" s="52">
        <f>IF(NOTA[[#This Row],[JUMLAH]]="","",NOTA[[#This Row],[JUMLAH]]-NOTA[[#This Row],[DISC]])</f>
        <v>1759590</v>
      </c>
      <c r="AB965" s="52"/>
      <c r="AC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5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65" s="203">
        <f>IF(OR(NOTA[[#This Row],[QTY]]="",NOTA[[#This Row],[HARGA SATUAN]]="",),"",NOTA[[#This Row],[QTY]]*NOTA[[#This Row],[HARGA SATUAN]])</f>
        <v>2116800</v>
      </c>
      <c r="AG965" s="53">
        <f ca="1">IF(NOTA[ID_H]="","",INDEX(NOTA[TANGGAL],MATCH(,INDIRECT(ADDRESS(ROW(NOTA[TANGGAL]),COLUMN(NOTA[TANGGAL]))&amp;":"&amp;ADDRESS(ROW(),COLUMN(NOTA[TANGGAL]))),-1)))</f>
        <v>45073</v>
      </c>
      <c r="AH965" s="64" t="str">
        <f ca="1">IF(NOTA[[#This Row],[NAMA BARANG]]="","",INDEX(NOTA[SUPPLIER],MATCH(,INDIRECT(ADDRESS(ROW(NOTA[ID]),COLUMN(NOTA[ID]))&amp;":"&amp;ADDRESS(ROW(),COLUMN(NOTA[ID]))),-1)))</f>
        <v>ATALI MAKMUR</v>
      </c>
      <c r="AI965" s="64" t="str">
        <f ca="1">IF(NOTA[[#This Row],[ID_H]]="","",IF(NOTA[[#This Row],[FAKTUR]]="",INDIRECT(ADDRESS(ROW()-1,COLUMN())),NOTA[[#This Row],[FAKTUR]]))</f>
        <v>ARTO MORO</v>
      </c>
      <c r="AJ965" s="66" t="str">
        <f ca="1">IF(NOTA[[#This Row],[ID]]="","",COUNTIF(NOTA[ID_H],NOTA[[#This Row],[ID_H]]))</f>
        <v/>
      </c>
      <c r="AK965" s="66">
        <f ca="1">IF(NOTA[[#This Row],[TGL.NOTA]]="",IF(NOTA[[#This Row],[SUPPLIER_H]]="","",AK964),MONTH(NOTA[[#This Row],[TGL.NOTA]]))</f>
        <v>5</v>
      </c>
      <c r="AL965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5" s="66" t="str">
        <f>IF(NOTA[[#This Row],[CONCAT4]]="","",_xlfn.IFNA(MATCH(NOTA[[#This Row],[CONCAT4]],[2]!RAW[CONCAT_H],0),FALSE))</f>
        <v/>
      </c>
      <c r="AQ965" s="66">
        <f>IF(NOTA[[#This Row],[CONCAT1]]="","",MATCH(NOTA[[#This Row],[CONCAT1]],[3]!db[NB NOTA_C],0)+1)</f>
        <v>1922</v>
      </c>
    </row>
    <row r="966" spans="1:43" ht="20.100000000000001" customHeight="1" x14ac:dyDescent="0.25">
      <c r="A9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66" t="str">
        <f>IF(NOTA[[#This Row],[ID_P]]="","",MATCH(NOTA[[#This Row],[ID_P]],[1]!B_MSK[N_ID],0))</f>
        <v/>
      </c>
      <c r="D966" s="66">
        <f ca="1">IF(NOTA[[#This Row],[NAMA BARANG]]="","",INDEX(NOTA[ID],MATCH(,INDIRECT(ADDRESS(ROW(NOTA[ID]),COLUMN(NOTA[ID]))&amp;":"&amp;ADDRESS(ROW(),COLUMN(NOTA[ID]))),-1)))</f>
        <v>163</v>
      </c>
      <c r="E966" s="113"/>
      <c r="H966" s="54"/>
      <c r="L966" s="27" t="s">
        <v>806</v>
      </c>
      <c r="M966" s="114">
        <v>3</v>
      </c>
      <c r="N966" s="66">
        <v>1500</v>
      </c>
      <c r="O966" s="27" t="s">
        <v>262</v>
      </c>
      <c r="P966" s="64">
        <v>1625</v>
      </c>
      <c r="Q966" s="79"/>
      <c r="R966" s="42" t="s">
        <v>807</v>
      </c>
      <c r="S966" s="80">
        <v>0.125</v>
      </c>
      <c r="T966" s="115">
        <v>0.05</v>
      </c>
      <c r="U966" s="52"/>
      <c r="V966" s="77"/>
      <c r="W966" s="52">
        <f>IF(NOTA[[#This Row],[HARGA/ CTN]]="",NOTA[[#This Row],[JUMLAH_H]],NOTA[[#This Row],[HARGA/ CTN]]*IF(NOTA[[#This Row],[C]]="",0,NOTA[[#This Row],[C]]))</f>
        <v>2437500</v>
      </c>
      <c r="X966" s="52">
        <f>IF(NOTA[[#This Row],[JUMLAH]]="","",NOTA[[#This Row],[JUMLAH]]*NOTA[[#This Row],[DISC 1]])</f>
        <v>304687.5</v>
      </c>
      <c r="Y966" s="52">
        <f>IF(NOTA[[#This Row],[JUMLAH]]="","",(NOTA[[#This Row],[JUMLAH]]-NOTA[[#This Row],[DISC 1-]])*NOTA[[#This Row],[DISC 2]])</f>
        <v>106640.625</v>
      </c>
      <c r="Z966" s="52">
        <f>IF(NOTA[[#This Row],[JUMLAH]]="","",NOTA[[#This Row],[DISC 1-]]+NOTA[[#This Row],[DISC 2-]])</f>
        <v>411328.125</v>
      </c>
      <c r="AA966" s="52">
        <f>IF(NOTA[[#This Row],[JUMLAH]]="","",NOTA[[#This Row],[JUMLAH]]-NOTA[[#This Row],[DISC]])</f>
        <v>2026171.875</v>
      </c>
      <c r="AB966" s="52"/>
      <c r="AC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6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66" s="203">
        <f>IF(OR(NOTA[[#This Row],[QTY]]="",NOTA[[#This Row],[HARGA SATUAN]]="",),"",NOTA[[#This Row],[QTY]]*NOTA[[#This Row],[HARGA SATUAN]])</f>
        <v>2437500</v>
      </c>
      <c r="AG966" s="53">
        <f ca="1">IF(NOTA[ID_H]="","",INDEX(NOTA[TANGGAL],MATCH(,INDIRECT(ADDRESS(ROW(NOTA[TANGGAL]),COLUMN(NOTA[TANGGAL]))&amp;":"&amp;ADDRESS(ROW(),COLUMN(NOTA[TANGGAL]))),-1)))</f>
        <v>45073</v>
      </c>
      <c r="AH966" s="64" t="str">
        <f ca="1">IF(NOTA[[#This Row],[NAMA BARANG]]="","",INDEX(NOTA[SUPPLIER],MATCH(,INDIRECT(ADDRESS(ROW(NOTA[ID]),COLUMN(NOTA[ID]))&amp;":"&amp;ADDRESS(ROW(),COLUMN(NOTA[ID]))),-1)))</f>
        <v>ATALI MAKMUR</v>
      </c>
      <c r="AI966" s="64" t="str">
        <f ca="1">IF(NOTA[[#This Row],[ID_H]]="","",IF(NOTA[[#This Row],[FAKTUR]]="",INDIRECT(ADDRESS(ROW()-1,COLUMN())),NOTA[[#This Row],[FAKTUR]]))</f>
        <v>ARTO MORO</v>
      </c>
      <c r="AJ966" s="66" t="str">
        <f ca="1">IF(NOTA[[#This Row],[ID]]="","",COUNTIF(NOTA[ID_H],NOTA[[#This Row],[ID_H]]))</f>
        <v/>
      </c>
      <c r="AK966" s="66">
        <f ca="1">IF(NOTA[[#This Row],[TGL.NOTA]]="",IF(NOTA[[#This Row],[SUPPLIER_H]]="","",AK965),MONTH(NOTA[[#This Row],[TGL.NOTA]]))</f>
        <v>5</v>
      </c>
      <c r="AL966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6" s="66" t="str">
        <f>IF(NOTA[[#This Row],[CONCAT4]]="","",_xlfn.IFNA(MATCH(NOTA[[#This Row],[CONCAT4]],[2]!RAW[CONCAT_H],0),FALSE))</f>
        <v/>
      </c>
      <c r="AQ966" s="66">
        <f>IF(NOTA[[#This Row],[CONCAT1]]="","",MATCH(NOTA[[#This Row],[CONCAT1]],[3]!db[NB NOTA_C],0)+1)</f>
        <v>2303</v>
      </c>
    </row>
    <row r="967" spans="1:43" ht="20.100000000000001" customHeight="1" x14ac:dyDescent="0.25">
      <c r="A9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66" t="str">
        <f>IF(NOTA[[#This Row],[ID_P]]="","",MATCH(NOTA[[#This Row],[ID_P]],[1]!B_MSK[N_ID],0))</f>
        <v/>
      </c>
      <c r="D967" s="66">
        <f ca="1">IF(NOTA[[#This Row],[NAMA BARANG]]="","",INDEX(NOTA[ID],MATCH(,INDIRECT(ADDRESS(ROW(NOTA[ID]),COLUMN(NOTA[ID]))&amp;":"&amp;ADDRESS(ROW(),COLUMN(NOTA[ID]))),-1)))</f>
        <v>163</v>
      </c>
      <c r="E967" s="113"/>
      <c r="H967" s="54"/>
      <c r="L967" s="27" t="s">
        <v>817</v>
      </c>
      <c r="M967" s="114">
        <v>1</v>
      </c>
      <c r="N967" s="66">
        <v>200</v>
      </c>
      <c r="O967" s="27" t="s">
        <v>262</v>
      </c>
      <c r="P967" s="64">
        <v>4400</v>
      </c>
      <c r="Q967" s="79"/>
      <c r="R967" s="42" t="s">
        <v>808</v>
      </c>
      <c r="S967" s="80">
        <v>0.125</v>
      </c>
      <c r="T967" s="115">
        <v>0.05</v>
      </c>
      <c r="U967" s="52"/>
      <c r="V967" s="77"/>
      <c r="W967" s="52">
        <f>IF(NOTA[[#This Row],[HARGA/ CTN]]="",NOTA[[#This Row],[JUMLAH_H]],NOTA[[#This Row],[HARGA/ CTN]]*IF(NOTA[[#This Row],[C]]="",0,NOTA[[#This Row],[C]]))</f>
        <v>880000</v>
      </c>
      <c r="X967" s="52">
        <f>IF(NOTA[[#This Row],[JUMLAH]]="","",NOTA[[#This Row],[JUMLAH]]*NOTA[[#This Row],[DISC 1]])</f>
        <v>110000</v>
      </c>
      <c r="Y967" s="52">
        <f>IF(NOTA[[#This Row],[JUMLAH]]="","",(NOTA[[#This Row],[JUMLAH]]-NOTA[[#This Row],[DISC 1-]])*NOTA[[#This Row],[DISC 2]])</f>
        <v>38500</v>
      </c>
      <c r="Z967" s="52">
        <f>IF(NOTA[[#This Row],[JUMLAH]]="","",NOTA[[#This Row],[DISC 1-]]+NOTA[[#This Row],[DISC 2-]])</f>
        <v>148500</v>
      </c>
      <c r="AA967" s="52">
        <f>IF(NOTA[[#This Row],[JUMLAH]]="","",NOTA[[#This Row],[JUMLAH]]-NOTA[[#This Row],[DISC]])</f>
        <v>731500</v>
      </c>
      <c r="AB967" s="52"/>
      <c r="AC96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2561338.125</v>
      </c>
      <c r="AD96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12616961.875</v>
      </c>
      <c r="AE967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67" s="203">
        <f>IF(OR(NOTA[[#This Row],[QTY]]="",NOTA[[#This Row],[HARGA SATUAN]]="",),"",NOTA[[#This Row],[QTY]]*NOTA[[#This Row],[HARGA SATUAN]])</f>
        <v>880000</v>
      </c>
      <c r="AG967" s="53">
        <f ca="1">IF(NOTA[ID_H]="","",INDEX(NOTA[TANGGAL],MATCH(,INDIRECT(ADDRESS(ROW(NOTA[TANGGAL]),COLUMN(NOTA[TANGGAL]))&amp;":"&amp;ADDRESS(ROW(),COLUMN(NOTA[TANGGAL]))),-1)))</f>
        <v>45073</v>
      </c>
      <c r="AH967" s="64" t="str">
        <f ca="1">IF(NOTA[[#This Row],[NAMA BARANG]]="","",INDEX(NOTA[SUPPLIER],MATCH(,INDIRECT(ADDRESS(ROW(NOTA[ID]),COLUMN(NOTA[ID]))&amp;":"&amp;ADDRESS(ROW(),COLUMN(NOTA[ID]))),-1)))</f>
        <v>ATALI MAKMUR</v>
      </c>
      <c r="AI967" s="64" t="str">
        <f ca="1">IF(NOTA[[#This Row],[ID_H]]="","",IF(NOTA[[#This Row],[FAKTUR]]="",INDIRECT(ADDRESS(ROW()-1,COLUMN())),NOTA[[#This Row],[FAKTUR]]))</f>
        <v>ARTO MORO</v>
      </c>
      <c r="AJ967" s="66" t="str">
        <f ca="1">IF(NOTA[[#This Row],[ID]]="","",COUNTIF(NOTA[ID_H],NOTA[[#This Row],[ID_H]]))</f>
        <v/>
      </c>
      <c r="AK967" s="66">
        <f ca="1">IF(NOTA[[#This Row],[TGL.NOTA]]="",IF(NOTA[[#This Row],[SUPPLIER_H]]="","",AK966),MONTH(NOTA[[#This Row],[TGL.NOTA]]))</f>
        <v>5</v>
      </c>
      <c r="AL967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7" s="66" t="str">
        <f>IF(NOTA[[#This Row],[CONCAT4]]="","",_xlfn.IFNA(MATCH(NOTA[[#This Row],[CONCAT4]],[2]!RAW[CONCAT_H],0),FALSE))</f>
        <v/>
      </c>
      <c r="AQ967" s="66">
        <f>IF(NOTA[[#This Row],[CONCAT1]]="","",MATCH(NOTA[[#This Row],[CONCAT1]],[3]!db[NB NOTA_C],0)+1)</f>
        <v>1781</v>
      </c>
    </row>
    <row r="968" spans="1:43" ht="20.100000000000001" customHeight="1" x14ac:dyDescent="0.25">
      <c r="A9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66" t="str">
        <f>IF(NOTA[[#This Row],[ID_P]]="","",MATCH(NOTA[[#This Row],[ID_P]],[1]!B_MSK[N_ID],0))</f>
        <v/>
      </c>
      <c r="D968" s="66" t="str">
        <f ca="1">IF(NOTA[[#This Row],[NAMA BARANG]]="","",INDEX(NOTA[ID],MATCH(,INDIRECT(ADDRESS(ROW(NOTA[ID]),COLUMN(NOTA[ID]))&amp;":"&amp;ADDRESS(ROW(),COLUMN(NOTA[ID]))),-1)))</f>
        <v/>
      </c>
      <c r="E968" s="113"/>
      <c r="H968" s="54"/>
      <c r="N968" s="66"/>
      <c r="Q968" s="79"/>
      <c r="R968" s="42"/>
      <c r="S968" s="80"/>
      <c r="U968" s="52"/>
      <c r="V968" s="77"/>
      <c r="W968" s="52" t="str">
        <f>IF(NOTA[[#This Row],[HARGA/ CTN]]="",NOTA[[#This Row],[JUMLAH_H]],NOTA[[#This Row],[HARGA/ CTN]]*IF(NOTA[[#This Row],[C]]="",0,NOTA[[#This Row],[C]]))</f>
        <v/>
      </c>
      <c r="X968" s="52" t="str">
        <f>IF(NOTA[[#This Row],[JUMLAH]]="","",NOTA[[#This Row],[JUMLAH]]*NOTA[[#This Row],[DISC 1]])</f>
        <v/>
      </c>
      <c r="Y968" s="52" t="str">
        <f>IF(NOTA[[#This Row],[JUMLAH]]="","",(NOTA[[#This Row],[JUMLAH]]-NOTA[[#This Row],[DISC 1-]])*NOTA[[#This Row],[DISC 2]])</f>
        <v/>
      </c>
      <c r="Z968" s="52" t="str">
        <f>IF(NOTA[[#This Row],[JUMLAH]]="","",NOTA[[#This Row],[DISC 1-]]+NOTA[[#This Row],[DISC 2-]])</f>
        <v/>
      </c>
      <c r="AA968" s="52" t="str">
        <f>IF(NOTA[[#This Row],[JUMLAH]]="","",NOTA[[#This Row],[JUMLAH]]-NOTA[[#This Row],[DISC]])</f>
        <v/>
      </c>
      <c r="AB968" s="52"/>
      <c r="AC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8" s="203" t="str">
        <f>IF(OR(NOTA[[#This Row],[QTY]]="",NOTA[[#This Row],[HARGA SATUAN]]="",),"",NOTA[[#This Row],[QTY]]*NOTA[[#This Row],[HARGA SATUAN]])</f>
        <v/>
      </c>
      <c r="AG968" s="53" t="str">
        <f ca="1">IF(NOTA[ID_H]="","",INDEX(NOTA[TANGGAL],MATCH(,INDIRECT(ADDRESS(ROW(NOTA[TANGGAL]),COLUMN(NOTA[TANGGAL]))&amp;":"&amp;ADDRESS(ROW(),COLUMN(NOTA[TANGGAL]))),-1)))</f>
        <v/>
      </c>
      <c r="AH968" s="64" t="str">
        <f ca="1">IF(NOTA[[#This Row],[NAMA BARANG]]="","",INDEX(NOTA[SUPPLIER],MATCH(,INDIRECT(ADDRESS(ROW(NOTA[ID]),COLUMN(NOTA[ID]))&amp;":"&amp;ADDRESS(ROW(),COLUMN(NOTA[ID]))),-1)))</f>
        <v/>
      </c>
      <c r="AI968" s="64" t="str">
        <f ca="1">IF(NOTA[[#This Row],[ID_H]]="","",IF(NOTA[[#This Row],[FAKTUR]]="",INDIRECT(ADDRESS(ROW()-1,COLUMN())),NOTA[[#This Row],[FAKTUR]]))</f>
        <v/>
      </c>
      <c r="AJ968" s="66" t="str">
        <f ca="1">IF(NOTA[[#This Row],[ID]]="","",COUNTIF(NOTA[ID_H],NOTA[[#This Row],[ID_H]]))</f>
        <v/>
      </c>
      <c r="AK968" s="66" t="str">
        <f ca="1">IF(NOTA[[#This Row],[TGL.NOTA]]="",IF(NOTA[[#This Row],[SUPPLIER_H]]="","",AK967),MONTH(NOTA[[#This Row],[TGL.NOTA]]))</f>
        <v/>
      </c>
      <c r="AL968" s="66" t="str">
        <f>LOWER(SUBSTITUTE(SUBSTITUTE(SUBSTITUTE(SUBSTITUTE(SUBSTITUTE(SUBSTITUTE(SUBSTITUTE(SUBSTITUTE(SUBSTITUTE(NOTA[NAMA BARANG]," ",),".",""),"-",""),"(",""),")",""),",",""),"/",""),"""",""),"+",""))</f>
        <v/>
      </c>
      <c r="AM9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8" s="66" t="str">
        <f>IF(NOTA[[#This Row],[CONCAT4]]="","",_xlfn.IFNA(MATCH(NOTA[[#This Row],[CONCAT4]],[2]!RAW[CONCAT_H],0),FALSE))</f>
        <v/>
      </c>
      <c r="AQ968" s="66" t="str">
        <f>IF(NOTA[[#This Row],[CONCAT1]]="","",MATCH(NOTA[[#This Row],[CONCAT1]],[3]!db[NB NOTA_C],0)+1)</f>
        <v/>
      </c>
    </row>
    <row r="969" spans="1:43" ht="20.100000000000001" customHeight="1" x14ac:dyDescent="0.25">
      <c r="A969" s="64">
        <f ca="1">IF(INDIRECT(ADDRESS(ROW()-1,COLUMN(NOTA[[#Headers],[ID]])))="ID",1,IF(NOTA[[#This Row],[FAKTUR]]="","",COUNT(INDIRECT(ADDRESS(ROW(NOTA[ID]),COLUMN(NOTA[ID]))&amp;":"&amp;ADDRESS(ROW()-1,COLUMN(NOTA[ID]))))+1))</f>
        <v>164</v>
      </c>
      <c r="B96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ATA_2705_297-11</v>
      </c>
      <c r="C969" s="66" t="e">
        <f ca="1">IF(NOTA[[#This Row],[ID_P]]="","",MATCH(NOTA[[#This Row],[ID_P]],[1]!B_MSK[N_ID],0))</f>
        <v>#REF!</v>
      </c>
      <c r="D969" s="66">
        <f ca="1">IF(NOTA[[#This Row],[NAMA BARANG]]="","",INDEX(NOTA[ID],MATCH(,INDIRECT(ADDRESS(ROW(NOTA[ID]),COLUMN(NOTA[ID]))&amp;":"&amp;ADDRESS(ROW(),COLUMN(NOTA[ID]))),-1)))</f>
        <v>164</v>
      </c>
      <c r="E969" s="113"/>
      <c r="F969" s="27" t="s">
        <v>25</v>
      </c>
      <c r="G969" s="27" t="s">
        <v>24</v>
      </c>
      <c r="H969" s="54" t="s">
        <v>1135</v>
      </c>
      <c r="J969" s="53">
        <v>45070</v>
      </c>
      <c r="L969" s="27" t="s">
        <v>828</v>
      </c>
      <c r="M969" s="114">
        <v>1</v>
      </c>
      <c r="N969" s="66">
        <v>24</v>
      </c>
      <c r="O969" s="27" t="s">
        <v>160</v>
      </c>
      <c r="P969" s="64">
        <v>11100</v>
      </c>
      <c r="Q969" s="79"/>
      <c r="R969" s="42" t="s">
        <v>236</v>
      </c>
      <c r="S969" s="80">
        <v>0.125</v>
      </c>
      <c r="T969" s="115">
        <v>0.05</v>
      </c>
      <c r="U969" s="52"/>
      <c r="V969" s="77"/>
      <c r="W969" s="52">
        <f>IF(NOTA[[#This Row],[HARGA/ CTN]]="",NOTA[[#This Row],[JUMLAH_H]],NOTA[[#This Row],[HARGA/ CTN]]*IF(NOTA[[#This Row],[C]]="",0,NOTA[[#This Row],[C]]))</f>
        <v>266400</v>
      </c>
      <c r="X969" s="52">
        <f>IF(NOTA[[#This Row],[JUMLAH]]="","",NOTA[[#This Row],[JUMLAH]]*NOTA[[#This Row],[DISC 1]])</f>
        <v>33300</v>
      </c>
      <c r="Y969" s="52">
        <f>IF(NOTA[[#This Row],[JUMLAH]]="","",(NOTA[[#This Row],[JUMLAH]]-NOTA[[#This Row],[DISC 1-]])*NOTA[[#This Row],[DISC 2]])</f>
        <v>11655</v>
      </c>
      <c r="Z969" s="52">
        <f>IF(NOTA[[#This Row],[JUMLAH]]="","",NOTA[[#This Row],[DISC 1-]]+NOTA[[#This Row],[DISC 2-]])</f>
        <v>44955</v>
      </c>
      <c r="AA969" s="52">
        <f>IF(NOTA[[#This Row],[JUMLAH]]="","",NOTA[[#This Row],[JUMLAH]]-NOTA[[#This Row],[DISC]])</f>
        <v>221445</v>
      </c>
      <c r="AB969" s="52"/>
      <c r="AC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69" s="203">
        <f>IF(OR(NOTA[[#This Row],[QTY]]="",NOTA[[#This Row],[HARGA SATUAN]]="",),"",NOTA[[#This Row],[QTY]]*NOTA[[#This Row],[HARGA SATUAN]])</f>
        <v>266400</v>
      </c>
      <c r="AG969" s="53">
        <f ca="1">IF(NOTA[ID_H]="","",INDEX(NOTA[TANGGAL],MATCH(,INDIRECT(ADDRESS(ROW(NOTA[TANGGAL]),COLUMN(NOTA[TANGGAL]))&amp;":"&amp;ADDRESS(ROW(),COLUMN(NOTA[TANGGAL]))),-1)))</f>
        <v>45073</v>
      </c>
      <c r="AH969" s="64" t="str">
        <f ca="1">IF(NOTA[[#This Row],[NAMA BARANG]]="","",INDEX(NOTA[SUPPLIER],MATCH(,INDIRECT(ADDRESS(ROW(NOTA[ID]),COLUMN(NOTA[ID]))&amp;":"&amp;ADDRESS(ROW(),COLUMN(NOTA[ID]))),-1)))</f>
        <v>ATALI MAKMUR</v>
      </c>
      <c r="AI969" s="64" t="str">
        <f ca="1">IF(NOTA[[#This Row],[ID_H]]="","",IF(NOTA[[#This Row],[FAKTUR]]="",INDIRECT(ADDRESS(ROW()-1,COLUMN())),NOTA[[#This Row],[FAKTUR]]))</f>
        <v>ARTO MORO</v>
      </c>
      <c r="AJ969" s="66">
        <f ca="1">IF(NOTA[[#This Row],[ID]]="","",COUNTIF(NOTA[ID_H],NOTA[[#This Row],[ID_H]]))</f>
        <v>11</v>
      </c>
      <c r="AK969" s="66">
        <f>IF(NOTA[[#This Row],[TGL.NOTA]]="",IF(NOTA[[#This Row],[SUPPLIER_H]]="","",AK968),MONTH(NOTA[[#This Row],[TGL.NOTA]]))</f>
        <v>5</v>
      </c>
      <c r="AL96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69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MOROSA23050829745070tapecuttertd102jk</v>
      </c>
      <c r="AP969" s="66" t="e">
        <f>IF(NOTA[[#This Row],[CONCAT4]]="","",_xlfn.IFNA(MATCH(NOTA[[#This Row],[CONCAT4]],[2]!RAW[CONCAT_H],0),FALSE))</f>
        <v>#REF!</v>
      </c>
      <c r="AQ969" s="66">
        <f>IF(NOTA[[#This Row],[CONCAT1]]="","",MATCH(NOTA[[#This Row],[CONCAT1]],[3]!db[NB NOTA_C],0)+1)</f>
        <v>2218</v>
      </c>
    </row>
    <row r="970" spans="1:43" ht="20.100000000000001" customHeight="1" x14ac:dyDescent="0.25">
      <c r="A9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66" t="str">
        <f>IF(NOTA[[#This Row],[ID_P]]="","",MATCH(NOTA[[#This Row],[ID_P]],[1]!B_MSK[N_ID],0))</f>
        <v/>
      </c>
      <c r="D970" s="66">
        <f ca="1">IF(NOTA[[#This Row],[NAMA BARANG]]="","",INDEX(NOTA[ID],MATCH(,INDIRECT(ADDRESS(ROW(NOTA[ID]),COLUMN(NOTA[ID]))&amp;":"&amp;ADDRESS(ROW(),COLUMN(NOTA[ID]))),-1)))</f>
        <v>164</v>
      </c>
      <c r="E970" s="113"/>
      <c r="H970" s="54"/>
      <c r="L970" s="27" t="s">
        <v>290</v>
      </c>
      <c r="M970" s="114">
        <v>1</v>
      </c>
      <c r="N970" s="66">
        <v>24</v>
      </c>
      <c r="O970" s="27" t="s">
        <v>160</v>
      </c>
      <c r="P970" s="64">
        <v>19000</v>
      </c>
      <c r="Q970" s="79"/>
      <c r="R970" s="42" t="s">
        <v>236</v>
      </c>
      <c r="S970" s="80">
        <v>0.125</v>
      </c>
      <c r="T970" s="115">
        <v>0.05</v>
      </c>
      <c r="U970" s="52"/>
      <c r="V970" s="77"/>
      <c r="W970" s="52">
        <f>IF(NOTA[[#This Row],[HARGA/ CTN]]="",NOTA[[#This Row],[JUMLAH_H]],NOTA[[#This Row],[HARGA/ CTN]]*IF(NOTA[[#This Row],[C]]="",0,NOTA[[#This Row],[C]]))</f>
        <v>456000</v>
      </c>
      <c r="X970" s="52">
        <f>IF(NOTA[[#This Row],[JUMLAH]]="","",NOTA[[#This Row],[JUMLAH]]*NOTA[[#This Row],[DISC 1]])</f>
        <v>57000</v>
      </c>
      <c r="Y970" s="52">
        <f>IF(NOTA[[#This Row],[JUMLAH]]="","",(NOTA[[#This Row],[JUMLAH]]-NOTA[[#This Row],[DISC 1-]])*NOTA[[#This Row],[DISC 2]])</f>
        <v>19950</v>
      </c>
      <c r="Z970" s="52">
        <f>IF(NOTA[[#This Row],[JUMLAH]]="","",NOTA[[#This Row],[DISC 1-]]+NOTA[[#This Row],[DISC 2-]])</f>
        <v>76950</v>
      </c>
      <c r="AA970" s="52">
        <f>IF(NOTA[[#This Row],[JUMLAH]]="","",NOTA[[#This Row],[JUMLAH]]-NOTA[[#This Row],[DISC]])</f>
        <v>379050</v>
      </c>
      <c r="AB970" s="52"/>
      <c r="AC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0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970" s="203">
        <f>IF(OR(NOTA[[#This Row],[QTY]]="",NOTA[[#This Row],[HARGA SATUAN]]="",),"",NOTA[[#This Row],[QTY]]*NOTA[[#This Row],[HARGA SATUAN]])</f>
        <v>456000</v>
      </c>
      <c r="AG970" s="53">
        <f ca="1">IF(NOTA[ID_H]="","",INDEX(NOTA[TANGGAL],MATCH(,INDIRECT(ADDRESS(ROW(NOTA[TANGGAL]),COLUMN(NOTA[TANGGAL]))&amp;":"&amp;ADDRESS(ROW(),COLUMN(NOTA[TANGGAL]))),-1)))</f>
        <v>45073</v>
      </c>
      <c r="AH970" s="64" t="str">
        <f ca="1">IF(NOTA[[#This Row],[NAMA BARANG]]="","",INDEX(NOTA[SUPPLIER],MATCH(,INDIRECT(ADDRESS(ROW(NOTA[ID]),COLUMN(NOTA[ID]))&amp;":"&amp;ADDRESS(ROW(),COLUMN(NOTA[ID]))),-1)))</f>
        <v>ATALI MAKMUR</v>
      </c>
      <c r="AI970" s="64" t="str">
        <f ca="1">IF(NOTA[[#This Row],[ID_H]]="","",IF(NOTA[[#This Row],[FAKTUR]]="",INDIRECT(ADDRESS(ROW()-1,COLUMN())),NOTA[[#This Row],[FAKTUR]]))</f>
        <v>ARTO MORO</v>
      </c>
      <c r="AJ970" s="66" t="str">
        <f ca="1">IF(NOTA[[#This Row],[ID]]="","",COUNTIF(NOTA[ID_H],NOTA[[#This Row],[ID_H]]))</f>
        <v/>
      </c>
      <c r="AK970" s="66">
        <f ca="1">IF(NOTA[[#This Row],[TGL.NOTA]]="",IF(NOTA[[#This Row],[SUPPLIER_H]]="","",AK969),MONTH(NOTA[[#This Row],[TGL.NOTA]]))</f>
        <v>5</v>
      </c>
      <c r="AL97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9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9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9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0" s="66" t="str">
        <f>IF(NOTA[[#This Row],[CONCAT4]]="","",_xlfn.IFNA(MATCH(NOTA[[#This Row],[CONCAT4]],[2]!RAW[CONCAT_H],0),FALSE))</f>
        <v/>
      </c>
      <c r="AQ970" s="66">
        <f>IF(NOTA[[#This Row],[CONCAT1]]="","",MATCH(NOTA[[#This Row],[CONCAT1]],[3]!db[NB NOTA_C],0)+1)</f>
        <v>2219</v>
      </c>
    </row>
    <row r="971" spans="1:43" ht="20.100000000000001" customHeight="1" x14ac:dyDescent="0.25">
      <c r="A9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66" t="str">
        <f>IF(NOTA[[#This Row],[ID_P]]="","",MATCH(NOTA[[#This Row],[ID_P]],[1]!B_MSK[N_ID],0))</f>
        <v/>
      </c>
      <c r="D971" s="66">
        <f ca="1">IF(NOTA[[#This Row],[NAMA BARANG]]="","",INDEX(NOTA[ID],MATCH(,INDIRECT(ADDRESS(ROW(NOTA[ID]),COLUMN(NOTA[ID]))&amp;":"&amp;ADDRESS(ROW(),COLUMN(NOTA[ID]))),-1)))</f>
        <v>164</v>
      </c>
      <c r="E971" s="113"/>
      <c r="H971" s="54"/>
      <c r="L971" s="27" t="s">
        <v>1136</v>
      </c>
      <c r="M971" s="114">
        <v>1</v>
      </c>
      <c r="N971" s="66">
        <v>24</v>
      </c>
      <c r="O971" s="27" t="s">
        <v>160</v>
      </c>
      <c r="P971" s="64">
        <v>22500</v>
      </c>
      <c r="Q971" s="79"/>
      <c r="R971" s="42" t="s">
        <v>236</v>
      </c>
      <c r="S971" s="80">
        <v>0.125</v>
      </c>
      <c r="T971" s="115">
        <v>0.05</v>
      </c>
      <c r="U971" s="52"/>
      <c r="V971" s="77"/>
      <c r="W971" s="52">
        <f>IF(NOTA[[#This Row],[HARGA/ CTN]]="",NOTA[[#This Row],[JUMLAH_H]],NOTA[[#This Row],[HARGA/ CTN]]*IF(NOTA[[#This Row],[C]]="",0,NOTA[[#This Row],[C]]))</f>
        <v>540000</v>
      </c>
      <c r="X971" s="52">
        <f>IF(NOTA[[#This Row],[JUMLAH]]="","",NOTA[[#This Row],[JUMLAH]]*NOTA[[#This Row],[DISC 1]])</f>
        <v>67500</v>
      </c>
      <c r="Y971" s="52">
        <f>IF(NOTA[[#This Row],[JUMLAH]]="","",(NOTA[[#This Row],[JUMLAH]]-NOTA[[#This Row],[DISC 1-]])*NOTA[[#This Row],[DISC 2]])</f>
        <v>23625</v>
      </c>
      <c r="Z971" s="52">
        <f>IF(NOTA[[#This Row],[JUMLAH]]="","",NOTA[[#This Row],[DISC 1-]]+NOTA[[#This Row],[DISC 2-]])</f>
        <v>91125</v>
      </c>
      <c r="AA971" s="52">
        <f>IF(NOTA[[#This Row],[JUMLAH]]="","",NOTA[[#This Row],[JUMLAH]]-NOTA[[#This Row],[DISC]])</f>
        <v>448875</v>
      </c>
      <c r="AB971" s="52"/>
      <c r="AC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1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971" s="203">
        <f>IF(OR(NOTA[[#This Row],[QTY]]="",NOTA[[#This Row],[HARGA SATUAN]]="",),"",NOTA[[#This Row],[QTY]]*NOTA[[#This Row],[HARGA SATUAN]])</f>
        <v>540000</v>
      </c>
      <c r="AG971" s="53">
        <f ca="1">IF(NOTA[ID_H]="","",INDEX(NOTA[TANGGAL],MATCH(,INDIRECT(ADDRESS(ROW(NOTA[TANGGAL]),COLUMN(NOTA[TANGGAL]))&amp;":"&amp;ADDRESS(ROW(),COLUMN(NOTA[TANGGAL]))),-1)))</f>
        <v>45073</v>
      </c>
      <c r="AH971" s="64" t="str">
        <f ca="1">IF(NOTA[[#This Row],[NAMA BARANG]]="","",INDEX(NOTA[SUPPLIER],MATCH(,INDIRECT(ADDRESS(ROW(NOTA[ID]),COLUMN(NOTA[ID]))&amp;":"&amp;ADDRESS(ROW(),COLUMN(NOTA[ID]))),-1)))</f>
        <v>ATALI MAKMUR</v>
      </c>
      <c r="AI971" s="64" t="str">
        <f ca="1">IF(NOTA[[#This Row],[ID_H]]="","",IF(NOTA[[#This Row],[FAKTUR]]="",INDIRECT(ADDRESS(ROW()-1,COLUMN())),NOTA[[#This Row],[FAKTUR]]))</f>
        <v>ARTO MORO</v>
      </c>
      <c r="AJ971" s="66" t="str">
        <f ca="1">IF(NOTA[[#This Row],[ID]]="","",COUNTIF(NOTA[ID_H],NOTA[[#This Row],[ID_H]]))</f>
        <v/>
      </c>
      <c r="AK971" s="66">
        <f ca="1">IF(NOTA[[#This Row],[TGL.NOTA]]="",IF(NOTA[[#This Row],[SUPPLIER_H]]="","",AK970),MONTH(NOTA[[#This Row],[TGL.NOTA]]))</f>
        <v>5</v>
      </c>
      <c r="AL971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9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9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9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1" s="66" t="str">
        <f>IF(NOTA[[#This Row],[CONCAT4]]="","",_xlfn.IFNA(MATCH(NOTA[[#This Row],[CONCAT4]],[2]!RAW[CONCAT_H],0),FALSE))</f>
        <v/>
      </c>
      <c r="AQ971" s="66">
        <f>IF(NOTA[[#This Row],[CONCAT1]]="","",MATCH(NOTA[[#This Row],[CONCAT1]],[3]!db[NB NOTA_C],0)+1)</f>
        <v>2216</v>
      </c>
    </row>
    <row r="972" spans="1:43" ht="20.100000000000001" customHeight="1" x14ac:dyDescent="0.25">
      <c r="A9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66" t="str">
        <f>IF(NOTA[[#This Row],[ID_P]]="","",MATCH(NOTA[[#This Row],[ID_P]],[1]!B_MSK[N_ID],0))</f>
        <v/>
      </c>
      <c r="D972" s="66">
        <f ca="1">IF(NOTA[[#This Row],[NAMA BARANG]]="","",INDEX(NOTA[ID],MATCH(,INDIRECT(ADDRESS(ROW(NOTA[ID]),COLUMN(NOTA[ID]))&amp;":"&amp;ADDRESS(ROW(),COLUMN(NOTA[ID]))),-1)))</f>
        <v>164</v>
      </c>
      <c r="E972" s="113"/>
      <c r="H972" s="54"/>
      <c r="L972" s="27" t="s">
        <v>1178</v>
      </c>
      <c r="M972" s="114">
        <v>1</v>
      </c>
      <c r="N972" s="66">
        <v>12</v>
      </c>
      <c r="O972" s="27" t="s">
        <v>160</v>
      </c>
      <c r="P972" s="64">
        <v>31000</v>
      </c>
      <c r="Q972" s="79"/>
      <c r="R972" s="42" t="s">
        <v>237</v>
      </c>
      <c r="S972" s="80">
        <v>0.125</v>
      </c>
      <c r="T972" s="115">
        <v>0.05</v>
      </c>
      <c r="U972" s="52"/>
      <c r="V972" s="77"/>
      <c r="W972" s="52">
        <f>IF(NOTA[[#This Row],[HARGA/ CTN]]="",NOTA[[#This Row],[JUMLAH_H]],NOTA[[#This Row],[HARGA/ CTN]]*IF(NOTA[[#This Row],[C]]="",0,NOTA[[#This Row],[C]]))</f>
        <v>372000</v>
      </c>
      <c r="X972" s="52">
        <f>IF(NOTA[[#This Row],[JUMLAH]]="","",NOTA[[#This Row],[JUMLAH]]*NOTA[[#This Row],[DISC 1]])</f>
        <v>46500</v>
      </c>
      <c r="Y972" s="52">
        <f>IF(NOTA[[#This Row],[JUMLAH]]="","",(NOTA[[#This Row],[JUMLAH]]-NOTA[[#This Row],[DISC 1-]])*NOTA[[#This Row],[DISC 2]])</f>
        <v>16275</v>
      </c>
      <c r="Z972" s="52">
        <f>IF(NOTA[[#This Row],[JUMLAH]]="","",NOTA[[#This Row],[DISC 1-]]+NOTA[[#This Row],[DISC 2-]])</f>
        <v>62775</v>
      </c>
      <c r="AA972" s="52">
        <f>IF(NOTA[[#This Row],[JUMLAH]]="","",NOTA[[#This Row],[JUMLAH]]-NOTA[[#This Row],[DISC]])</f>
        <v>309225</v>
      </c>
      <c r="AB972" s="52"/>
      <c r="AC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2" s="64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F972" s="203">
        <f>IF(OR(NOTA[[#This Row],[QTY]]="",NOTA[[#This Row],[HARGA SATUAN]]="",),"",NOTA[[#This Row],[QTY]]*NOTA[[#This Row],[HARGA SATUAN]])</f>
        <v>372000</v>
      </c>
      <c r="AG972" s="53">
        <f ca="1">IF(NOTA[ID_H]="","",INDEX(NOTA[TANGGAL],MATCH(,INDIRECT(ADDRESS(ROW(NOTA[TANGGAL]),COLUMN(NOTA[TANGGAL]))&amp;":"&amp;ADDRESS(ROW(),COLUMN(NOTA[TANGGAL]))),-1)))</f>
        <v>45073</v>
      </c>
      <c r="AH972" s="64" t="str">
        <f ca="1">IF(NOTA[[#This Row],[NAMA BARANG]]="","",INDEX(NOTA[SUPPLIER],MATCH(,INDIRECT(ADDRESS(ROW(NOTA[ID]),COLUMN(NOTA[ID]))&amp;":"&amp;ADDRESS(ROW(),COLUMN(NOTA[ID]))),-1)))</f>
        <v>ATALI MAKMUR</v>
      </c>
      <c r="AI972" s="64" t="str">
        <f ca="1">IF(NOTA[[#This Row],[ID_H]]="","",IF(NOTA[[#This Row],[FAKTUR]]="",INDIRECT(ADDRESS(ROW()-1,COLUMN())),NOTA[[#This Row],[FAKTUR]]))</f>
        <v>ARTO MORO</v>
      </c>
      <c r="AJ972" s="66" t="str">
        <f ca="1">IF(NOTA[[#This Row],[ID]]="","",COUNTIF(NOTA[ID_H],NOTA[[#This Row],[ID_H]]))</f>
        <v/>
      </c>
      <c r="AK972" s="66">
        <f ca="1">IF(NOTA[[#This Row],[TGL.NOTA]]="",IF(NOTA[[#This Row],[SUPPLIER_H]]="","",AK971),MONTH(NOTA[[#This Row],[TGL.NOTA]]))</f>
        <v>5</v>
      </c>
      <c r="AL972" s="66" t="str">
        <f>LOWER(SUBSTITUTE(SUBSTITUTE(SUBSTITUTE(SUBSTITUTE(SUBSTITUTE(SUBSTITUTE(SUBSTITUTE(SUBSTITUTE(SUBSTITUTE(NOTA[NAMA BARANG]," ",),".",""),"-",""),"(",""),")",""),",",""),"/",""),"""",""),"+",""))</f>
        <v>tapecuttertc106jk</v>
      </c>
      <c r="AM9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tapecuttertc106jk3720000.1250.05</v>
      </c>
      <c r="AN9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tapecuttertc106jk3720000.1250.05</v>
      </c>
      <c r="AO9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2" s="66" t="str">
        <f>IF(NOTA[[#This Row],[CONCAT4]]="","",_xlfn.IFNA(MATCH(NOTA[[#This Row],[CONCAT4]],[2]!RAW[CONCAT_H],0),FALSE))</f>
        <v/>
      </c>
      <c r="AQ972" s="66">
        <f>IF(NOTA[[#This Row],[CONCAT1]]="","",MATCH(NOTA[[#This Row],[CONCAT1]],[3]!db[NB NOTA_C],0)+1)</f>
        <v>2210</v>
      </c>
    </row>
    <row r="973" spans="1:43" ht="20.100000000000001" customHeight="1" x14ac:dyDescent="0.25">
      <c r="A9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66" t="str">
        <f>IF(NOTA[[#This Row],[ID_P]]="","",MATCH(NOTA[[#This Row],[ID_P]],[1]!B_MSK[N_ID],0))</f>
        <v/>
      </c>
      <c r="D973" s="66">
        <f ca="1">IF(NOTA[[#This Row],[NAMA BARANG]]="","",INDEX(NOTA[ID],MATCH(,INDIRECT(ADDRESS(ROW(NOTA[ID]),COLUMN(NOTA[ID]))&amp;":"&amp;ADDRESS(ROW(),COLUMN(NOTA[ID]))),-1)))</f>
        <v>164</v>
      </c>
      <c r="E973" s="113"/>
      <c r="H973" s="54"/>
      <c r="L973" s="27" t="s">
        <v>1130</v>
      </c>
      <c r="M973" s="114">
        <v>1</v>
      </c>
      <c r="N973" s="66">
        <v>24</v>
      </c>
      <c r="O973" s="27" t="s">
        <v>160</v>
      </c>
      <c r="P973" s="64">
        <v>12300</v>
      </c>
      <c r="Q973" s="79"/>
      <c r="R973" s="42" t="s">
        <v>236</v>
      </c>
      <c r="S973" s="80">
        <v>0.125</v>
      </c>
      <c r="T973" s="115">
        <v>0.05</v>
      </c>
      <c r="U973" s="52"/>
      <c r="V973" s="77"/>
      <c r="W973" s="52">
        <f>IF(NOTA[[#This Row],[HARGA/ CTN]]="",NOTA[[#This Row],[JUMLAH_H]],NOTA[[#This Row],[HARGA/ CTN]]*IF(NOTA[[#This Row],[C]]="",0,NOTA[[#This Row],[C]]))</f>
        <v>295200</v>
      </c>
      <c r="X973" s="52">
        <f>IF(NOTA[[#This Row],[JUMLAH]]="","",NOTA[[#This Row],[JUMLAH]]*NOTA[[#This Row],[DISC 1]])</f>
        <v>36900</v>
      </c>
      <c r="Y973" s="52">
        <f>IF(NOTA[[#This Row],[JUMLAH]]="","",(NOTA[[#This Row],[JUMLAH]]-NOTA[[#This Row],[DISC 1-]])*NOTA[[#This Row],[DISC 2]])</f>
        <v>12915</v>
      </c>
      <c r="Z973" s="52">
        <f>IF(NOTA[[#This Row],[JUMLAH]]="","",NOTA[[#This Row],[DISC 1-]]+NOTA[[#This Row],[DISC 2-]])</f>
        <v>49815</v>
      </c>
      <c r="AA973" s="52">
        <f>IF(NOTA[[#This Row],[JUMLAH]]="","",NOTA[[#This Row],[JUMLAH]]-NOTA[[#This Row],[DISC]])</f>
        <v>245385</v>
      </c>
      <c r="AB973" s="52"/>
      <c r="AC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3" s="64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F973" s="203">
        <f>IF(OR(NOTA[[#This Row],[QTY]]="",NOTA[[#This Row],[HARGA SATUAN]]="",),"",NOTA[[#This Row],[QTY]]*NOTA[[#This Row],[HARGA SATUAN]])</f>
        <v>295200</v>
      </c>
      <c r="AG973" s="53">
        <f ca="1">IF(NOTA[ID_H]="","",INDEX(NOTA[TANGGAL],MATCH(,INDIRECT(ADDRESS(ROW(NOTA[TANGGAL]),COLUMN(NOTA[TANGGAL]))&amp;":"&amp;ADDRESS(ROW(),COLUMN(NOTA[TANGGAL]))),-1)))</f>
        <v>45073</v>
      </c>
      <c r="AH973" s="64" t="str">
        <f ca="1">IF(NOTA[[#This Row],[NAMA BARANG]]="","",INDEX(NOTA[SUPPLIER],MATCH(,INDIRECT(ADDRESS(ROW(NOTA[ID]),COLUMN(NOTA[ID]))&amp;":"&amp;ADDRESS(ROW(),COLUMN(NOTA[ID]))),-1)))</f>
        <v>ATALI MAKMUR</v>
      </c>
      <c r="AI973" s="64" t="str">
        <f ca="1">IF(NOTA[[#This Row],[ID_H]]="","",IF(NOTA[[#This Row],[FAKTUR]]="",INDIRECT(ADDRESS(ROW()-1,COLUMN())),NOTA[[#This Row],[FAKTUR]]))</f>
        <v>ARTO MORO</v>
      </c>
      <c r="AJ973" s="66" t="str">
        <f ca="1">IF(NOTA[[#This Row],[ID]]="","",COUNTIF(NOTA[ID_H],NOTA[[#This Row],[ID_H]]))</f>
        <v/>
      </c>
      <c r="AK973" s="66">
        <f ca="1">IF(NOTA[[#This Row],[TGL.NOTA]]="",IF(NOTA[[#This Row],[SUPPLIER_H]]="","",AK972),MONTH(NOTA[[#This Row],[TGL.NOTA]]))</f>
        <v>5</v>
      </c>
      <c r="AL973" s="66" t="str">
        <f>LOWER(SUBSTITUTE(SUBSTITUTE(SUBSTITUTE(SUBSTITUTE(SUBSTITUTE(SUBSTITUTE(SUBSTITUTE(SUBSTITUTE(SUBSTITUTE(NOTA[NAMA BARANG]," ",),".",""),"-",""),"(",""),")",""),",",""),"/",""),"""",""),"+",""))</f>
        <v>tapecuttertc111jk</v>
      </c>
      <c r="AM9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N9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O9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3" s="66" t="str">
        <f>IF(NOTA[[#This Row],[CONCAT4]]="","",_xlfn.IFNA(MATCH(NOTA[[#This Row],[CONCAT4]],[2]!RAW[CONCAT_H],0),FALSE))</f>
        <v/>
      </c>
      <c r="AQ973" s="66">
        <f>IF(NOTA[[#This Row],[CONCAT1]]="","",MATCH(NOTA[[#This Row],[CONCAT1]],[3]!db[NB NOTA_C],0)+1)</f>
        <v>2211</v>
      </c>
    </row>
    <row r="974" spans="1:43" ht="20.100000000000001" customHeight="1" x14ac:dyDescent="0.25">
      <c r="A9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66" t="str">
        <f>IF(NOTA[[#This Row],[ID_P]]="","",MATCH(NOTA[[#This Row],[ID_P]],[1]!B_MSK[N_ID],0))</f>
        <v/>
      </c>
      <c r="D974" s="66">
        <f ca="1">IF(NOTA[[#This Row],[NAMA BARANG]]="","",INDEX(NOTA[ID],MATCH(,INDIRECT(ADDRESS(ROW(NOTA[ID]),COLUMN(NOTA[ID]))&amp;":"&amp;ADDRESS(ROW(),COLUMN(NOTA[ID]))),-1)))</f>
        <v>164</v>
      </c>
      <c r="E974" s="113"/>
      <c r="H974" s="54"/>
      <c r="L974" s="27" t="s">
        <v>1137</v>
      </c>
      <c r="N974" s="66">
        <v>36</v>
      </c>
      <c r="O974" s="27" t="s">
        <v>160</v>
      </c>
      <c r="P974" s="64">
        <v>15800</v>
      </c>
      <c r="Q974" s="79"/>
      <c r="R974" s="42" t="s">
        <v>549</v>
      </c>
      <c r="S974" s="80">
        <v>0.125</v>
      </c>
      <c r="T974" s="115">
        <v>0.05</v>
      </c>
      <c r="U974" s="52"/>
      <c r="V974" s="77"/>
      <c r="W974" s="52">
        <f>IF(NOTA[[#This Row],[HARGA/ CTN]]="",NOTA[[#This Row],[JUMLAH_H]],NOTA[[#This Row],[HARGA/ CTN]]*IF(NOTA[[#This Row],[C]]="",0,NOTA[[#This Row],[C]]))</f>
        <v>568800</v>
      </c>
      <c r="X974" s="52">
        <f>IF(NOTA[[#This Row],[JUMLAH]]="","",NOTA[[#This Row],[JUMLAH]]*NOTA[[#This Row],[DISC 1]])</f>
        <v>71100</v>
      </c>
      <c r="Y974" s="52">
        <f>IF(NOTA[[#This Row],[JUMLAH]]="","",(NOTA[[#This Row],[JUMLAH]]-NOTA[[#This Row],[DISC 1-]])*NOTA[[#This Row],[DISC 2]])</f>
        <v>24885</v>
      </c>
      <c r="Z974" s="52">
        <f>IF(NOTA[[#This Row],[JUMLAH]]="","",NOTA[[#This Row],[DISC 1-]]+NOTA[[#This Row],[DISC 2-]])</f>
        <v>95985</v>
      </c>
      <c r="AA974" s="52">
        <f>IF(NOTA[[#This Row],[JUMLAH]]="","",NOTA[[#This Row],[JUMLAH]]-NOTA[[#This Row],[DISC]])</f>
        <v>472815</v>
      </c>
      <c r="AB974" s="52"/>
      <c r="AC9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4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4" s="203">
        <f>IF(OR(NOTA[[#This Row],[QTY]]="",NOTA[[#This Row],[HARGA SATUAN]]="",),"",NOTA[[#This Row],[QTY]]*NOTA[[#This Row],[HARGA SATUAN]])</f>
        <v>568800</v>
      </c>
      <c r="AG974" s="53">
        <f ca="1">IF(NOTA[ID_H]="","",INDEX(NOTA[TANGGAL],MATCH(,INDIRECT(ADDRESS(ROW(NOTA[TANGGAL]),COLUMN(NOTA[TANGGAL]))&amp;":"&amp;ADDRESS(ROW(),COLUMN(NOTA[TANGGAL]))),-1)))</f>
        <v>45073</v>
      </c>
      <c r="AH974" s="64" t="str">
        <f ca="1">IF(NOTA[[#This Row],[NAMA BARANG]]="","",INDEX(NOTA[SUPPLIER],MATCH(,INDIRECT(ADDRESS(ROW(NOTA[ID]),COLUMN(NOTA[ID]))&amp;":"&amp;ADDRESS(ROW(),COLUMN(NOTA[ID]))),-1)))</f>
        <v>ATALI MAKMUR</v>
      </c>
      <c r="AI974" s="64" t="str">
        <f ca="1">IF(NOTA[[#This Row],[ID_H]]="","",IF(NOTA[[#This Row],[FAKTUR]]="",INDIRECT(ADDRESS(ROW()-1,COLUMN())),NOTA[[#This Row],[FAKTUR]]))</f>
        <v>ARTO MORO</v>
      </c>
      <c r="AJ974" s="66" t="str">
        <f ca="1">IF(NOTA[[#This Row],[ID]]="","",COUNTIF(NOTA[ID_H],NOTA[[#This Row],[ID_H]]))</f>
        <v/>
      </c>
      <c r="AK974" s="66">
        <f ca="1">IF(NOTA[[#This Row],[TGL.NOTA]]="",IF(NOTA[[#This Row],[SUPPLIER_H]]="","",AK973),MONTH(NOTA[[#This Row],[TGL.NOTA]]))</f>
        <v>5</v>
      </c>
      <c r="AL974" s="66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9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9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9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4" s="66" t="str">
        <f>IF(NOTA[[#This Row],[CONCAT4]]="","",_xlfn.IFNA(MATCH(NOTA[[#This Row],[CONCAT4]],[2]!RAW[CONCAT_H],0),FALSE))</f>
        <v/>
      </c>
      <c r="AQ974" s="66">
        <f>IF(NOTA[[#This Row],[CONCAT1]]="","",MATCH(NOTA[[#This Row],[CONCAT1]],[3]!db[NB NOTA_C],0)+1)</f>
        <v>180</v>
      </c>
    </row>
    <row r="975" spans="1:43" ht="20.100000000000001" customHeight="1" x14ac:dyDescent="0.25">
      <c r="A9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66" t="str">
        <f>IF(NOTA[[#This Row],[ID_P]]="","",MATCH(NOTA[[#This Row],[ID_P]],[1]!B_MSK[N_ID],0))</f>
        <v/>
      </c>
      <c r="D975" s="66">
        <f ca="1">IF(NOTA[[#This Row],[NAMA BARANG]]="","",INDEX(NOTA[ID],MATCH(,INDIRECT(ADDRESS(ROW(NOTA[ID]),COLUMN(NOTA[ID]))&amp;":"&amp;ADDRESS(ROW(),COLUMN(NOTA[ID]))),-1)))</f>
        <v>164</v>
      </c>
      <c r="E975" s="113"/>
      <c r="H975" s="54"/>
      <c r="L975" s="27" t="s">
        <v>1138</v>
      </c>
      <c r="N975" s="66">
        <v>36</v>
      </c>
      <c r="O975" s="27" t="s">
        <v>160</v>
      </c>
      <c r="P975" s="64">
        <v>15800</v>
      </c>
      <c r="Q975" s="79"/>
      <c r="R975" s="42" t="s">
        <v>549</v>
      </c>
      <c r="S975" s="80">
        <v>0.125</v>
      </c>
      <c r="T975" s="115">
        <v>0.05</v>
      </c>
      <c r="U975" s="52"/>
      <c r="V975" s="77"/>
      <c r="W975" s="52">
        <f>IF(NOTA[[#This Row],[HARGA/ CTN]]="",NOTA[[#This Row],[JUMLAH_H]],NOTA[[#This Row],[HARGA/ CTN]]*IF(NOTA[[#This Row],[C]]="",0,NOTA[[#This Row],[C]]))</f>
        <v>568800</v>
      </c>
      <c r="X975" s="52">
        <f>IF(NOTA[[#This Row],[JUMLAH]]="","",NOTA[[#This Row],[JUMLAH]]*NOTA[[#This Row],[DISC 1]])</f>
        <v>71100</v>
      </c>
      <c r="Y975" s="52">
        <f>IF(NOTA[[#This Row],[JUMLAH]]="","",(NOTA[[#This Row],[JUMLAH]]-NOTA[[#This Row],[DISC 1-]])*NOTA[[#This Row],[DISC 2]])</f>
        <v>24885</v>
      </c>
      <c r="Z975" s="52">
        <f>IF(NOTA[[#This Row],[JUMLAH]]="","",NOTA[[#This Row],[DISC 1-]]+NOTA[[#This Row],[DISC 2-]])</f>
        <v>95985</v>
      </c>
      <c r="AA975" s="52">
        <f>IF(NOTA[[#This Row],[JUMLAH]]="","",NOTA[[#This Row],[JUMLAH]]-NOTA[[#This Row],[DISC]])</f>
        <v>472815</v>
      </c>
      <c r="AB975" s="52"/>
      <c r="AC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5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5" s="203">
        <f>IF(OR(NOTA[[#This Row],[QTY]]="",NOTA[[#This Row],[HARGA SATUAN]]="",),"",NOTA[[#This Row],[QTY]]*NOTA[[#This Row],[HARGA SATUAN]])</f>
        <v>568800</v>
      </c>
      <c r="AG975" s="53">
        <f ca="1">IF(NOTA[ID_H]="","",INDEX(NOTA[TANGGAL],MATCH(,INDIRECT(ADDRESS(ROW(NOTA[TANGGAL]),COLUMN(NOTA[TANGGAL]))&amp;":"&amp;ADDRESS(ROW(),COLUMN(NOTA[TANGGAL]))),-1)))</f>
        <v>45073</v>
      </c>
      <c r="AH975" s="64" t="str">
        <f ca="1">IF(NOTA[[#This Row],[NAMA BARANG]]="","",INDEX(NOTA[SUPPLIER],MATCH(,INDIRECT(ADDRESS(ROW(NOTA[ID]),COLUMN(NOTA[ID]))&amp;":"&amp;ADDRESS(ROW(),COLUMN(NOTA[ID]))),-1)))</f>
        <v>ATALI MAKMUR</v>
      </c>
      <c r="AI975" s="64" t="str">
        <f ca="1">IF(NOTA[[#This Row],[ID_H]]="","",IF(NOTA[[#This Row],[FAKTUR]]="",INDIRECT(ADDRESS(ROW()-1,COLUMN())),NOTA[[#This Row],[FAKTUR]]))</f>
        <v>ARTO MORO</v>
      </c>
      <c r="AJ975" s="66" t="str">
        <f ca="1">IF(NOTA[[#This Row],[ID]]="","",COUNTIF(NOTA[ID_H],NOTA[[#This Row],[ID_H]]))</f>
        <v/>
      </c>
      <c r="AK975" s="66">
        <f ca="1">IF(NOTA[[#This Row],[TGL.NOTA]]="",IF(NOTA[[#This Row],[SUPPLIER_H]]="","",AK974),MONTH(NOTA[[#This Row],[TGL.NOTA]]))</f>
        <v>5</v>
      </c>
      <c r="AL975" s="66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9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bindera5tsacm477academyjku5688000.1250.05</v>
      </c>
      <c r="AN9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bindera5tsacm477academyjku158000.1250.05</v>
      </c>
      <c r="AO9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5" s="66" t="str">
        <f>IF(NOTA[[#This Row],[CONCAT4]]="","",_xlfn.IFNA(MATCH(NOTA[[#This Row],[CONCAT4]],[2]!RAW[CONCAT_H],0),FALSE))</f>
        <v/>
      </c>
      <c r="AQ975" s="66">
        <f>IF(NOTA[[#This Row],[CONCAT1]]="","",MATCH(NOTA[[#This Row],[CONCAT1]],[3]!db[NB NOTA_C],0)+1)</f>
        <v>161</v>
      </c>
    </row>
    <row r="976" spans="1:43" ht="20.100000000000001" customHeight="1" x14ac:dyDescent="0.25">
      <c r="A9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66" t="str">
        <f>IF(NOTA[[#This Row],[ID_P]]="","",MATCH(NOTA[[#This Row],[ID_P]],[1]!B_MSK[N_ID],0))</f>
        <v/>
      </c>
      <c r="D976" s="66">
        <f ca="1">IF(NOTA[[#This Row],[NAMA BARANG]]="","",INDEX(NOTA[ID],MATCH(,INDIRECT(ADDRESS(ROW(NOTA[ID]),COLUMN(NOTA[ID]))&amp;":"&amp;ADDRESS(ROW(),COLUMN(NOTA[ID]))),-1)))</f>
        <v>164</v>
      </c>
      <c r="E976" s="113"/>
      <c r="H976" s="54"/>
      <c r="L976" s="27" t="s">
        <v>1139</v>
      </c>
      <c r="N976" s="66">
        <v>36</v>
      </c>
      <c r="O976" s="27" t="s">
        <v>160</v>
      </c>
      <c r="P976" s="64">
        <v>15800</v>
      </c>
      <c r="Q976" s="79"/>
      <c r="R976" s="42" t="s">
        <v>549</v>
      </c>
      <c r="S976" s="80">
        <v>0.125</v>
      </c>
      <c r="T976" s="115">
        <v>0.05</v>
      </c>
      <c r="U976" s="52"/>
      <c r="V976" s="77"/>
      <c r="W976" s="52">
        <f>IF(NOTA[[#This Row],[HARGA/ CTN]]="",NOTA[[#This Row],[JUMLAH_H]],NOTA[[#This Row],[HARGA/ CTN]]*IF(NOTA[[#This Row],[C]]="",0,NOTA[[#This Row],[C]]))</f>
        <v>568800</v>
      </c>
      <c r="X976" s="52">
        <f>IF(NOTA[[#This Row],[JUMLAH]]="","",NOTA[[#This Row],[JUMLAH]]*NOTA[[#This Row],[DISC 1]])</f>
        <v>71100</v>
      </c>
      <c r="Y976" s="52">
        <f>IF(NOTA[[#This Row],[JUMLAH]]="","",(NOTA[[#This Row],[JUMLAH]]-NOTA[[#This Row],[DISC 1-]])*NOTA[[#This Row],[DISC 2]])</f>
        <v>24885</v>
      </c>
      <c r="Z976" s="52">
        <f>IF(NOTA[[#This Row],[JUMLAH]]="","",NOTA[[#This Row],[DISC 1-]]+NOTA[[#This Row],[DISC 2-]])</f>
        <v>95985</v>
      </c>
      <c r="AA976" s="52">
        <f>IF(NOTA[[#This Row],[JUMLAH]]="","",NOTA[[#This Row],[JUMLAH]]-NOTA[[#This Row],[DISC]])</f>
        <v>472815</v>
      </c>
      <c r="AB976" s="52"/>
      <c r="AC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6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6" s="203">
        <f>IF(OR(NOTA[[#This Row],[QTY]]="",NOTA[[#This Row],[HARGA SATUAN]]="",),"",NOTA[[#This Row],[QTY]]*NOTA[[#This Row],[HARGA SATUAN]])</f>
        <v>568800</v>
      </c>
      <c r="AG976" s="53">
        <f ca="1">IF(NOTA[ID_H]="","",INDEX(NOTA[TANGGAL],MATCH(,INDIRECT(ADDRESS(ROW(NOTA[TANGGAL]),COLUMN(NOTA[TANGGAL]))&amp;":"&amp;ADDRESS(ROW(),COLUMN(NOTA[TANGGAL]))),-1)))</f>
        <v>45073</v>
      </c>
      <c r="AH976" s="64" t="str">
        <f ca="1">IF(NOTA[[#This Row],[NAMA BARANG]]="","",INDEX(NOTA[SUPPLIER],MATCH(,INDIRECT(ADDRESS(ROW(NOTA[ID]),COLUMN(NOTA[ID]))&amp;":"&amp;ADDRESS(ROW(),COLUMN(NOTA[ID]))),-1)))</f>
        <v>ATALI MAKMUR</v>
      </c>
      <c r="AI976" s="64" t="str">
        <f ca="1">IF(NOTA[[#This Row],[ID_H]]="","",IF(NOTA[[#This Row],[FAKTUR]]="",INDIRECT(ADDRESS(ROW()-1,COLUMN())),NOTA[[#This Row],[FAKTUR]]))</f>
        <v>ARTO MORO</v>
      </c>
      <c r="AJ976" s="66" t="str">
        <f ca="1">IF(NOTA[[#This Row],[ID]]="","",COUNTIF(NOTA[ID_H],NOTA[[#This Row],[ID_H]]))</f>
        <v/>
      </c>
      <c r="AK976" s="66">
        <f ca="1">IF(NOTA[[#This Row],[TGL.NOTA]]="",IF(NOTA[[#This Row],[SUPPLIER_H]]="","",AK975),MONTH(NOTA[[#This Row],[TGL.NOTA]]))</f>
        <v>5</v>
      </c>
      <c r="AL976" s="66" t="str">
        <f>LOWER(SUBSTITUTE(SUBSTITUTE(SUBSTITUTE(SUBSTITUTE(SUBSTITUTE(SUBSTITUTE(SUBSTITUTE(SUBSTITUTE(SUBSTITUTE(NOTA[NAMA BARANG]," ",),".",""),"-",""),"(",""),")",""),",",""),"/",""),"""",""),"+",""))</f>
        <v>bindera5tsedm503educationjku</v>
      </c>
      <c r="AM9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bindera5tsedm503educationjku5688000.1250.05</v>
      </c>
      <c r="AN9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bindera5tsedm503educationjku158000.1250.05</v>
      </c>
      <c r="AO9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6" s="66" t="str">
        <f>IF(NOTA[[#This Row],[CONCAT4]]="","",_xlfn.IFNA(MATCH(NOTA[[#This Row],[CONCAT4]],[2]!RAW[CONCAT_H],0),FALSE))</f>
        <v/>
      </c>
      <c r="AQ976" s="66">
        <f>IF(NOTA[[#This Row],[CONCAT1]]="","",MATCH(NOTA[[#This Row],[CONCAT1]],[3]!db[NB NOTA_C],0)+1)</f>
        <v>174</v>
      </c>
    </row>
    <row r="977" spans="1:43" ht="20.100000000000001" customHeight="1" x14ac:dyDescent="0.25">
      <c r="A9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66" t="str">
        <f>IF(NOTA[[#This Row],[ID_P]]="","",MATCH(NOTA[[#This Row],[ID_P]],[1]!B_MSK[N_ID],0))</f>
        <v/>
      </c>
      <c r="D977" s="66">
        <f ca="1">IF(NOTA[[#This Row],[NAMA BARANG]]="","",INDEX(NOTA[ID],MATCH(,INDIRECT(ADDRESS(ROW(NOTA[ID]),COLUMN(NOTA[ID]))&amp;":"&amp;ADDRESS(ROW(),COLUMN(NOTA[ID]))),-1)))</f>
        <v>164</v>
      </c>
      <c r="E977" s="113"/>
      <c r="H977" s="54"/>
      <c r="L977" s="27" t="s">
        <v>1140</v>
      </c>
      <c r="N977" s="66">
        <v>36</v>
      </c>
      <c r="O977" s="27" t="s">
        <v>160</v>
      </c>
      <c r="P977" s="64">
        <v>15800</v>
      </c>
      <c r="Q977" s="79"/>
      <c r="R977" s="42" t="s">
        <v>549</v>
      </c>
      <c r="S977" s="80">
        <v>0.125</v>
      </c>
      <c r="T977" s="115">
        <v>0.05</v>
      </c>
      <c r="U977" s="52"/>
      <c r="V977" s="77"/>
      <c r="W977" s="52">
        <f>IF(NOTA[[#This Row],[HARGA/ CTN]]="",NOTA[[#This Row],[JUMLAH_H]],NOTA[[#This Row],[HARGA/ CTN]]*IF(NOTA[[#This Row],[C]]="",0,NOTA[[#This Row],[C]]))</f>
        <v>568800</v>
      </c>
      <c r="X977" s="52">
        <f>IF(NOTA[[#This Row],[JUMLAH]]="","",NOTA[[#This Row],[JUMLAH]]*NOTA[[#This Row],[DISC 1]])</f>
        <v>71100</v>
      </c>
      <c r="Y977" s="52">
        <f>IF(NOTA[[#This Row],[JUMLAH]]="","",(NOTA[[#This Row],[JUMLAH]]-NOTA[[#This Row],[DISC 1-]])*NOTA[[#This Row],[DISC 2]])</f>
        <v>24885</v>
      </c>
      <c r="Z977" s="52">
        <f>IF(NOTA[[#This Row],[JUMLAH]]="","",NOTA[[#This Row],[DISC 1-]]+NOTA[[#This Row],[DISC 2-]])</f>
        <v>95985</v>
      </c>
      <c r="AA977" s="52">
        <f>IF(NOTA[[#This Row],[JUMLAH]]="","",NOTA[[#This Row],[JUMLAH]]-NOTA[[#This Row],[DISC]])</f>
        <v>472815</v>
      </c>
      <c r="AB977" s="52"/>
      <c r="AC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7" s="64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977" s="203">
        <f>IF(OR(NOTA[[#This Row],[QTY]]="",NOTA[[#This Row],[HARGA SATUAN]]="",),"",NOTA[[#This Row],[QTY]]*NOTA[[#This Row],[HARGA SATUAN]])</f>
        <v>568800</v>
      </c>
      <c r="AG977" s="53">
        <f ca="1">IF(NOTA[ID_H]="","",INDEX(NOTA[TANGGAL],MATCH(,INDIRECT(ADDRESS(ROW(NOTA[TANGGAL]),COLUMN(NOTA[TANGGAL]))&amp;":"&amp;ADDRESS(ROW(),COLUMN(NOTA[TANGGAL]))),-1)))</f>
        <v>45073</v>
      </c>
      <c r="AH977" s="64" t="str">
        <f ca="1">IF(NOTA[[#This Row],[NAMA BARANG]]="","",INDEX(NOTA[SUPPLIER],MATCH(,INDIRECT(ADDRESS(ROW(NOTA[ID]),COLUMN(NOTA[ID]))&amp;":"&amp;ADDRESS(ROW(),COLUMN(NOTA[ID]))),-1)))</f>
        <v>ATALI MAKMUR</v>
      </c>
      <c r="AI977" s="64" t="str">
        <f ca="1">IF(NOTA[[#This Row],[ID_H]]="","",IF(NOTA[[#This Row],[FAKTUR]]="",INDIRECT(ADDRESS(ROW()-1,COLUMN())),NOTA[[#This Row],[FAKTUR]]))</f>
        <v>ARTO MORO</v>
      </c>
      <c r="AJ977" s="66" t="str">
        <f ca="1">IF(NOTA[[#This Row],[ID]]="","",COUNTIF(NOTA[ID_H],NOTA[[#This Row],[ID_H]]))</f>
        <v/>
      </c>
      <c r="AK977" s="66">
        <f ca="1">IF(NOTA[[#This Row],[TGL.NOTA]]="",IF(NOTA[[#This Row],[SUPPLIER_H]]="","",AK976),MONTH(NOTA[[#This Row],[TGL.NOTA]]))</f>
        <v>5</v>
      </c>
      <c r="AL977" s="66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9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bindera5tsclm401collegejku5688000.1250.05</v>
      </c>
      <c r="AN9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bindera5tsclm401collegejku158000.1250.05</v>
      </c>
      <c r="AO9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7" s="66" t="str">
        <f>IF(NOTA[[#This Row],[CONCAT4]]="","",_xlfn.IFNA(MATCH(NOTA[[#This Row],[CONCAT4]],[2]!RAW[CONCAT_H],0),FALSE))</f>
        <v/>
      </c>
      <c r="AQ977" s="66">
        <f>IF(NOTA[[#This Row],[CONCAT1]]="","",MATCH(NOTA[[#This Row],[CONCAT1]],[3]!db[NB NOTA_C],0)+1)</f>
        <v>166</v>
      </c>
    </row>
    <row r="978" spans="1:43" ht="20.100000000000001" customHeight="1" x14ac:dyDescent="0.25">
      <c r="A9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66" t="str">
        <f>IF(NOTA[[#This Row],[ID_P]]="","",MATCH(NOTA[[#This Row],[ID_P]],[1]!B_MSK[N_ID],0))</f>
        <v/>
      </c>
      <c r="D978" s="66">
        <f ca="1">IF(NOTA[[#This Row],[NAMA BARANG]]="","",INDEX(NOTA[ID],MATCH(,INDIRECT(ADDRESS(ROW(NOTA[ID]),COLUMN(NOTA[ID]))&amp;":"&amp;ADDRESS(ROW(),COLUMN(NOTA[ID]))),-1)))</f>
        <v>164</v>
      </c>
      <c r="E978" s="113"/>
      <c r="H978" s="54"/>
      <c r="L978" s="27" t="s">
        <v>1141</v>
      </c>
      <c r="N978" s="66">
        <v>36</v>
      </c>
      <c r="O978" s="27" t="s">
        <v>160</v>
      </c>
      <c r="P978" s="64">
        <v>20700</v>
      </c>
      <c r="Q978" s="79"/>
      <c r="R978" s="42" t="s">
        <v>549</v>
      </c>
      <c r="S978" s="80">
        <v>0.125</v>
      </c>
      <c r="T978" s="115">
        <v>0.05</v>
      </c>
      <c r="U978" s="52"/>
      <c r="V978" s="77"/>
      <c r="W978" s="52">
        <f>IF(NOTA[[#This Row],[HARGA/ CTN]]="",NOTA[[#This Row],[JUMLAH_H]],NOTA[[#This Row],[HARGA/ CTN]]*IF(NOTA[[#This Row],[C]]="",0,NOTA[[#This Row],[C]]))</f>
        <v>745200</v>
      </c>
      <c r="X978" s="52">
        <f>IF(NOTA[[#This Row],[JUMLAH]]="","",NOTA[[#This Row],[JUMLAH]]*NOTA[[#This Row],[DISC 1]])</f>
        <v>93150</v>
      </c>
      <c r="Y978" s="52">
        <f>IF(NOTA[[#This Row],[JUMLAH]]="","",(NOTA[[#This Row],[JUMLAH]]-NOTA[[#This Row],[DISC 1-]])*NOTA[[#This Row],[DISC 2]])</f>
        <v>32602.5</v>
      </c>
      <c r="Z978" s="52">
        <f>IF(NOTA[[#This Row],[JUMLAH]]="","",NOTA[[#This Row],[DISC 1-]]+NOTA[[#This Row],[DISC 2-]])</f>
        <v>125752.5</v>
      </c>
      <c r="AA978" s="52">
        <f>IF(NOTA[[#This Row],[JUMLAH]]="","",NOTA[[#This Row],[JUMLAH]]-NOTA[[#This Row],[DISC]])</f>
        <v>619447.5</v>
      </c>
      <c r="AB978" s="52"/>
      <c r="AC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8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8" s="203">
        <f>IF(OR(NOTA[[#This Row],[QTY]]="",NOTA[[#This Row],[HARGA SATUAN]]="",),"",NOTA[[#This Row],[QTY]]*NOTA[[#This Row],[HARGA SATUAN]])</f>
        <v>745200</v>
      </c>
      <c r="AG978" s="53">
        <f ca="1">IF(NOTA[ID_H]="","",INDEX(NOTA[TANGGAL],MATCH(,INDIRECT(ADDRESS(ROW(NOTA[TANGGAL]),COLUMN(NOTA[TANGGAL]))&amp;":"&amp;ADDRESS(ROW(),COLUMN(NOTA[TANGGAL]))),-1)))</f>
        <v>45073</v>
      </c>
      <c r="AH978" s="64" t="str">
        <f ca="1">IF(NOTA[[#This Row],[NAMA BARANG]]="","",INDEX(NOTA[SUPPLIER],MATCH(,INDIRECT(ADDRESS(ROW(NOTA[ID]),COLUMN(NOTA[ID]))&amp;":"&amp;ADDRESS(ROW(),COLUMN(NOTA[ID]))),-1)))</f>
        <v>ATALI MAKMUR</v>
      </c>
      <c r="AI978" s="64" t="str">
        <f ca="1">IF(NOTA[[#This Row],[ID_H]]="","",IF(NOTA[[#This Row],[FAKTUR]]="",INDIRECT(ADDRESS(ROW()-1,COLUMN())),NOTA[[#This Row],[FAKTUR]]))</f>
        <v>ARTO MORO</v>
      </c>
      <c r="AJ978" s="66" t="str">
        <f ca="1">IF(NOTA[[#This Row],[ID]]="","",COUNTIF(NOTA[ID_H],NOTA[[#This Row],[ID_H]]))</f>
        <v/>
      </c>
      <c r="AK978" s="66">
        <f ca="1">IF(NOTA[[#This Row],[TGL.NOTA]]="",IF(NOTA[[#This Row],[SUPPLIER_H]]="","",AK977),MONTH(NOTA[[#This Row],[TGL.NOTA]]))</f>
        <v>5</v>
      </c>
      <c r="AL978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M9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N9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O9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8" s="66" t="str">
        <f>IF(NOTA[[#This Row],[CONCAT4]]="","",_xlfn.IFNA(MATCH(NOTA[[#This Row],[CONCAT4]],[2]!RAW[CONCAT_H],0),FALSE))</f>
        <v/>
      </c>
      <c r="AQ978" s="66">
        <f>IF(NOTA[[#This Row],[CONCAT1]]="","",MATCH(NOTA[[#This Row],[CONCAT1]],[3]!db[NB NOTA_C],0)+1)</f>
        <v>215</v>
      </c>
    </row>
    <row r="979" spans="1:43" ht="20.100000000000001" customHeight="1" x14ac:dyDescent="0.25">
      <c r="A9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66" t="str">
        <f>IF(NOTA[[#This Row],[ID_P]]="","",MATCH(NOTA[[#This Row],[ID_P]],[1]!B_MSK[N_ID],0))</f>
        <v/>
      </c>
      <c r="D979" s="66">
        <f ca="1">IF(NOTA[[#This Row],[NAMA BARANG]]="","",INDEX(NOTA[ID],MATCH(,INDIRECT(ADDRESS(ROW(NOTA[ID]),COLUMN(NOTA[ID]))&amp;":"&amp;ADDRESS(ROW(),COLUMN(NOTA[ID]))),-1)))</f>
        <v>164</v>
      </c>
      <c r="E979" s="113"/>
      <c r="H979" s="54"/>
      <c r="L979" s="27" t="s">
        <v>1142</v>
      </c>
      <c r="N979" s="66">
        <v>36</v>
      </c>
      <c r="O979" s="27" t="s">
        <v>160</v>
      </c>
      <c r="P979" s="64">
        <v>20700</v>
      </c>
      <c r="Q979" s="79"/>
      <c r="R979" s="42" t="s">
        <v>549</v>
      </c>
      <c r="S979" s="80">
        <v>0.125</v>
      </c>
      <c r="T979" s="115">
        <v>0.05</v>
      </c>
      <c r="U979" s="52"/>
      <c r="V979" s="77"/>
      <c r="W979" s="52">
        <f>IF(NOTA[[#This Row],[HARGA/ CTN]]="",NOTA[[#This Row],[JUMLAH_H]],NOTA[[#This Row],[HARGA/ CTN]]*IF(NOTA[[#This Row],[C]]="",0,NOTA[[#This Row],[C]]))</f>
        <v>745200</v>
      </c>
      <c r="X979" s="52">
        <f>IF(NOTA[[#This Row],[JUMLAH]]="","",NOTA[[#This Row],[JUMLAH]]*NOTA[[#This Row],[DISC 1]])</f>
        <v>93150</v>
      </c>
      <c r="Y979" s="52">
        <f>IF(NOTA[[#This Row],[JUMLAH]]="","",(NOTA[[#This Row],[JUMLAH]]-NOTA[[#This Row],[DISC 1-]])*NOTA[[#This Row],[DISC 2]])</f>
        <v>32602.5</v>
      </c>
      <c r="Z979" s="52">
        <f>IF(NOTA[[#This Row],[JUMLAH]]="","",NOTA[[#This Row],[DISC 1-]]+NOTA[[#This Row],[DISC 2-]])</f>
        <v>125752.5</v>
      </c>
      <c r="AA979" s="52">
        <f>IF(NOTA[[#This Row],[JUMLAH]]="","",NOTA[[#This Row],[JUMLAH]]-NOTA[[#This Row],[DISC]])</f>
        <v>619447.5</v>
      </c>
      <c r="AB979" s="52"/>
      <c r="AC97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961065</v>
      </c>
      <c r="AD97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4734135</v>
      </c>
      <c r="AE979" s="64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979" s="203">
        <f>IF(OR(NOTA[[#This Row],[QTY]]="",NOTA[[#This Row],[HARGA SATUAN]]="",),"",NOTA[[#This Row],[QTY]]*NOTA[[#This Row],[HARGA SATUAN]])</f>
        <v>745200</v>
      </c>
      <c r="AG979" s="53">
        <f ca="1">IF(NOTA[ID_H]="","",INDEX(NOTA[TANGGAL],MATCH(,INDIRECT(ADDRESS(ROW(NOTA[TANGGAL]),COLUMN(NOTA[TANGGAL]))&amp;":"&amp;ADDRESS(ROW(),COLUMN(NOTA[TANGGAL]))),-1)))</f>
        <v>45073</v>
      </c>
      <c r="AH979" s="64" t="str">
        <f ca="1">IF(NOTA[[#This Row],[NAMA BARANG]]="","",INDEX(NOTA[SUPPLIER],MATCH(,INDIRECT(ADDRESS(ROW(NOTA[ID]),COLUMN(NOTA[ID]))&amp;":"&amp;ADDRESS(ROW(),COLUMN(NOTA[ID]))),-1)))</f>
        <v>ATALI MAKMUR</v>
      </c>
      <c r="AI979" s="64" t="str">
        <f ca="1">IF(NOTA[[#This Row],[ID_H]]="","",IF(NOTA[[#This Row],[FAKTUR]]="",INDIRECT(ADDRESS(ROW()-1,COLUMN())),NOTA[[#This Row],[FAKTUR]]))</f>
        <v>ARTO MORO</v>
      </c>
      <c r="AJ979" s="66" t="str">
        <f ca="1">IF(NOTA[[#This Row],[ID]]="","",COUNTIF(NOTA[ID_H],NOTA[[#This Row],[ID_H]]))</f>
        <v/>
      </c>
      <c r="AK979" s="66">
        <f ca="1">IF(NOTA[[#This Row],[TGL.NOTA]]="",IF(NOTA[[#This Row],[SUPPLIER_H]]="","",AK978),MONTH(NOTA[[#This Row],[TGL.NOTA]]))</f>
        <v>5</v>
      </c>
      <c r="AL979" s="6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M9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binderb5tskd142kindnessjku7452000.1250.05</v>
      </c>
      <c r="AN9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binderb5tskd142kindnessjku207000.1250.05</v>
      </c>
      <c r="AO9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79" s="66" t="str">
        <f>IF(NOTA[[#This Row],[CONCAT4]]="","",_xlfn.IFNA(MATCH(NOTA[[#This Row],[CONCAT4]],[2]!RAW[CONCAT_H],0),FALSE))</f>
        <v/>
      </c>
      <c r="AQ979" s="66">
        <f>IF(NOTA[[#This Row],[CONCAT1]]="","",MATCH(NOTA[[#This Row],[CONCAT1]],[3]!db[NB NOTA_C],0)+1)</f>
        <v>220</v>
      </c>
    </row>
    <row r="980" spans="1:43" ht="20.100000000000001" customHeight="1" x14ac:dyDescent="0.25">
      <c r="A9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66" t="str">
        <f>IF(NOTA[[#This Row],[ID_P]]="","",MATCH(NOTA[[#This Row],[ID_P]],[1]!B_MSK[N_ID],0))</f>
        <v/>
      </c>
      <c r="D980" s="66" t="str">
        <f ca="1">IF(NOTA[[#This Row],[NAMA BARANG]]="","",INDEX(NOTA[ID],MATCH(,INDIRECT(ADDRESS(ROW(NOTA[ID]),COLUMN(NOTA[ID]))&amp;":"&amp;ADDRESS(ROW(),COLUMN(NOTA[ID]))),-1)))</f>
        <v/>
      </c>
      <c r="E980" s="113"/>
      <c r="H980" s="54"/>
      <c r="N980" s="66"/>
      <c r="Q980" s="79"/>
      <c r="R980" s="42"/>
      <c r="S980" s="80"/>
      <c r="U980" s="52"/>
      <c r="V980" s="77"/>
      <c r="W980" s="52" t="str">
        <f>IF(NOTA[[#This Row],[HARGA/ CTN]]="",NOTA[[#This Row],[JUMLAH_H]],NOTA[[#This Row],[HARGA/ CTN]]*IF(NOTA[[#This Row],[C]]="",0,NOTA[[#This Row],[C]]))</f>
        <v/>
      </c>
      <c r="X980" s="52" t="str">
        <f>IF(NOTA[[#This Row],[JUMLAH]]="","",NOTA[[#This Row],[JUMLAH]]*NOTA[[#This Row],[DISC 1]])</f>
        <v/>
      </c>
      <c r="Y980" s="52" t="str">
        <f>IF(NOTA[[#This Row],[JUMLAH]]="","",(NOTA[[#This Row],[JUMLAH]]-NOTA[[#This Row],[DISC 1-]])*NOTA[[#This Row],[DISC 2]])</f>
        <v/>
      </c>
      <c r="Z980" s="52" t="str">
        <f>IF(NOTA[[#This Row],[JUMLAH]]="","",NOTA[[#This Row],[DISC 1-]]+NOTA[[#This Row],[DISC 2-]])</f>
        <v/>
      </c>
      <c r="AA980" s="52" t="str">
        <f>IF(NOTA[[#This Row],[JUMLAH]]="","",NOTA[[#This Row],[JUMLAH]]-NOTA[[#This Row],[DISC]])</f>
        <v/>
      </c>
      <c r="AB980" s="52"/>
      <c r="AC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0" s="203" t="str">
        <f>IF(OR(NOTA[[#This Row],[QTY]]="",NOTA[[#This Row],[HARGA SATUAN]]="",),"",NOTA[[#This Row],[QTY]]*NOTA[[#This Row],[HARGA SATUAN]])</f>
        <v/>
      </c>
      <c r="AG980" s="53" t="str">
        <f ca="1">IF(NOTA[ID_H]="","",INDEX(NOTA[TANGGAL],MATCH(,INDIRECT(ADDRESS(ROW(NOTA[TANGGAL]),COLUMN(NOTA[TANGGAL]))&amp;":"&amp;ADDRESS(ROW(),COLUMN(NOTA[TANGGAL]))),-1)))</f>
        <v/>
      </c>
      <c r="AH980" s="64" t="str">
        <f ca="1">IF(NOTA[[#This Row],[NAMA BARANG]]="","",INDEX(NOTA[SUPPLIER],MATCH(,INDIRECT(ADDRESS(ROW(NOTA[ID]),COLUMN(NOTA[ID]))&amp;":"&amp;ADDRESS(ROW(),COLUMN(NOTA[ID]))),-1)))</f>
        <v/>
      </c>
      <c r="AI980" s="64" t="str">
        <f ca="1">IF(NOTA[[#This Row],[ID_H]]="","",IF(NOTA[[#This Row],[FAKTUR]]="",INDIRECT(ADDRESS(ROW()-1,COLUMN())),NOTA[[#This Row],[FAKTUR]]))</f>
        <v/>
      </c>
      <c r="AJ980" s="66" t="str">
        <f ca="1">IF(NOTA[[#This Row],[ID]]="","",COUNTIF(NOTA[ID_H],NOTA[[#This Row],[ID_H]]))</f>
        <v/>
      </c>
      <c r="AK980" s="66" t="str">
        <f ca="1">IF(NOTA[[#This Row],[TGL.NOTA]]="",IF(NOTA[[#This Row],[SUPPLIER_H]]="","",AK979),MONTH(NOTA[[#This Row],[TGL.NOTA]]))</f>
        <v/>
      </c>
      <c r="AL980" s="66" t="str">
        <f>LOWER(SUBSTITUTE(SUBSTITUTE(SUBSTITUTE(SUBSTITUTE(SUBSTITUTE(SUBSTITUTE(SUBSTITUTE(SUBSTITUTE(SUBSTITUTE(NOTA[NAMA BARANG]," ",),".",""),"-",""),"(",""),")",""),",",""),"/",""),"""",""),"+",""))</f>
        <v/>
      </c>
      <c r="AM9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0" s="66" t="str">
        <f>IF(NOTA[[#This Row],[CONCAT4]]="","",_xlfn.IFNA(MATCH(NOTA[[#This Row],[CONCAT4]],[2]!RAW[CONCAT_H],0),FALSE))</f>
        <v/>
      </c>
      <c r="AQ980" s="66" t="str">
        <f>IF(NOTA[[#This Row],[CONCAT1]]="","",MATCH(NOTA[[#This Row],[CONCAT1]],[3]!db[NB NOTA_C],0)+1)</f>
        <v/>
      </c>
    </row>
    <row r="981" spans="1:43" ht="20.100000000000001" customHeight="1" x14ac:dyDescent="0.25">
      <c r="A981" s="64">
        <f ca="1">IF(INDIRECT(ADDRESS(ROW()-1,COLUMN(NOTA[[#Headers],[ID]])))="ID",1,IF(NOTA[[#This Row],[FAKTUR]]="","",COUNT(INDIRECT(ADDRESS(ROW(NOTA[ID]),COLUMN(NOTA[ID]))&amp;":"&amp;ADDRESS(ROW()-1,COLUMN(NOTA[ID]))))+1))</f>
        <v>165</v>
      </c>
      <c r="B98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ATA_2705_267-7</v>
      </c>
      <c r="C981" s="66" t="e">
        <f ca="1">IF(NOTA[[#This Row],[ID_P]]="","",MATCH(NOTA[[#This Row],[ID_P]],[1]!B_MSK[N_ID],0))</f>
        <v>#REF!</v>
      </c>
      <c r="D981" s="66">
        <f ca="1">IF(NOTA[[#This Row],[NAMA BARANG]]="","",INDEX(NOTA[ID],MATCH(,INDIRECT(ADDRESS(ROW(NOTA[ID]),COLUMN(NOTA[ID]))&amp;":"&amp;ADDRESS(ROW(),COLUMN(NOTA[ID]))),-1)))</f>
        <v>165</v>
      </c>
      <c r="E981" s="113"/>
      <c r="F981" s="27" t="s">
        <v>25</v>
      </c>
      <c r="G981" s="27" t="s">
        <v>24</v>
      </c>
      <c r="H981" s="54" t="s">
        <v>1143</v>
      </c>
      <c r="J981" s="53">
        <v>45070</v>
      </c>
      <c r="L981" s="27" t="s">
        <v>1134</v>
      </c>
      <c r="M981" s="114">
        <v>1</v>
      </c>
      <c r="N981" s="66">
        <v>12</v>
      </c>
      <c r="O981" s="27" t="s">
        <v>183</v>
      </c>
      <c r="P981" s="64">
        <v>176400</v>
      </c>
      <c r="Q981" s="79"/>
      <c r="R981" s="42" t="s">
        <v>150</v>
      </c>
      <c r="S981" s="80">
        <v>0.125</v>
      </c>
      <c r="T981" s="115">
        <v>0.05</v>
      </c>
      <c r="U981" s="52"/>
      <c r="V981" s="77"/>
      <c r="W981" s="52">
        <f>IF(NOTA[[#This Row],[HARGA/ CTN]]="",NOTA[[#This Row],[JUMLAH_H]],NOTA[[#This Row],[HARGA/ CTN]]*IF(NOTA[[#This Row],[C]]="",0,NOTA[[#This Row],[C]]))</f>
        <v>2116800</v>
      </c>
      <c r="X981" s="52">
        <f>IF(NOTA[[#This Row],[JUMLAH]]="","",NOTA[[#This Row],[JUMLAH]]*NOTA[[#This Row],[DISC 1]])</f>
        <v>264600</v>
      </c>
      <c r="Y981" s="52">
        <f>IF(NOTA[[#This Row],[JUMLAH]]="","",(NOTA[[#This Row],[JUMLAH]]-NOTA[[#This Row],[DISC 1-]])*NOTA[[#This Row],[DISC 2]])</f>
        <v>92610</v>
      </c>
      <c r="Z981" s="52">
        <f>IF(NOTA[[#This Row],[JUMLAH]]="","",NOTA[[#This Row],[DISC 1-]]+NOTA[[#This Row],[DISC 2-]])</f>
        <v>357210</v>
      </c>
      <c r="AA981" s="52">
        <f>IF(NOTA[[#This Row],[JUMLAH]]="","",NOTA[[#This Row],[JUMLAH]]-NOTA[[#This Row],[DISC]])</f>
        <v>1759590</v>
      </c>
      <c r="AB981" s="52"/>
      <c r="AC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1" s="64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981" s="203">
        <f>IF(OR(NOTA[[#This Row],[QTY]]="",NOTA[[#This Row],[HARGA SATUAN]]="",),"",NOTA[[#This Row],[QTY]]*NOTA[[#This Row],[HARGA SATUAN]])</f>
        <v>2116800</v>
      </c>
      <c r="AG981" s="53">
        <f ca="1">IF(NOTA[ID_H]="","",INDEX(NOTA[TANGGAL],MATCH(,INDIRECT(ADDRESS(ROW(NOTA[TANGGAL]),COLUMN(NOTA[TANGGAL]))&amp;":"&amp;ADDRESS(ROW(),COLUMN(NOTA[TANGGAL]))),-1)))</f>
        <v>45073</v>
      </c>
      <c r="AH981" s="64" t="str">
        <f ca="1">IF(NOTA[[#This Row],[NAMA BARANG]]="","",INDEX(NOTA[SUPPLIER],MATCH(,INDIRECT(ADDRESS(ROW(NOTA[ID]),COLUMN(NOTA[ID]))&amp;":"&amp;ADDRESS(ROW(),COLUMN(NOTA[ID]))),-1)))</f>
        <v>ATALI MAKMUR</v>
      </c>
      <c r="AI981" s="64" t="str">
        <f ca="1">IF(NOTA[[#This Row],[ID_H]]="","",IF(NOTA[[#This Row],[FAKTUR]]="",INDIRECT(ADDRESS(ROW()-1,COLUMN())),NOTA[[#This Row],[FAKTUR]]))</f>
        <v>ARTO MORO</v>
      </c>
      <c r="AJ981" s="66">
        <f ca="1">IF(NOTA[[#This Row],[ID]]="","",COUNTIF(NOTA[ID_H],NOTA[[#This Row],[ID_H]]))</f>
        <v>7</v>
      </c>
      <c r="AK981" s="66">
        <f>IF(NOTA[[#This Row],[TGL.NOTA]]="",IF(NOTA[[#This Row],[SUPPLIER_H]]="","",AK980),MONTH(NOTA[[#This Row],[TGL.NOTA]]))</f>
        <v>5</v>
      </c>
      <c r="AL981" s="66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9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9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98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MOROSA23050826745070pencilleadpl052bjk</v>
      </c>
      <c r="AP981" s="66" t="e">
        <f>IF(NOTA[[#This Row],[CONCAT4]]="","",_xlfn.IFNA(MATCH(NOTA[[#This Row],[CONCAT4]],[2]!RAW[CONCAT_H],0),FALSE))</f>
        <v>#REF!</v>
      </c>
      <c r="AQ981" s="66">
        <f>IF(NOTA[[#This Row],[CONCAT1]]="","",MATCH(NOTA[[#This Row],[CONCAT1]],[3]!db[NB NOTA_C],0)+1)</f>
        <v>1922</v>
      </c>
    </row>
    <row r="982" spans="1:43" ht="20.100000000000001" customHeight="1" x14ac:dyDescent="0.25">
      <c r="A9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66" t="str">
        <f>IF(NOTA[[#This Row],[ID_P]]="","",MATCH(NOTA[[#This Row],[ID_P]],[1]!B_MSK[N_ID],0))</f>
        <v/>
      </c>
      <c r="D982" s="66">
        <f ca="1">IF(NOTA[[#This Row],[NAMA BARANG]]="","",INDEX(NOTA[ID],MATCH(,INDIRECT(ADDRESS(ROW(NOTA[ID]),COLUMN(NOTA[ID]))&amp;":"&amp;ADDRESS(ROW(),COLUMN(NOTA[ID]))),-1)))</f>
        <v>165</v>
      </c>
      <c r="E982" s="113"/>
      <c r="H982" s="54"/>
      <c r="L982" s="27" t="s">
        <v>1144</v>
      </c>
      <c r="M982" s="114">
        <v>1</v>
      </c>
      <c r="N982" s="66">
        <v>240</v>
      </c>
      <c r="O982" s="27" t="s">
        <v>252</v>
      </c>
      <c r="P982" s="64">
        <v>8800</v>
      </c>
      <c r="Q982" s="79"/>
      <c r="R982" s="42" t="s">
        <v>892</v>
      </c>
      <c r="S982" s="80">
        <v>0.125</v>
      </c>
      <c r="T982" s="115">
        <v>0.05</v>
      </c>
      <c r="U982" s="52"/>
      <c r="V982" s="77"/>
      <c r="W982" s="52">
        <f>IF(NOTA[[#This Row],[HARGA/ CTN]]="",NOTA[[#This Row],[JUMLAH_H]],NOTA[[#This Row],[HARGA/ CTN]]*IF(NOTA[[#This Row],[C]]="",0,NOTA[[#This Row],[C]]))</f>
        <v>2112000</v>
      </c>
      <c r="X982" s="52">
        <f>IF(NOTA[[#This Row],[JUMLAH]]="","",NOTA[[#This Row],[JUMLAH]]*NOTA[[#This Row],[DISC 1]])</f>
        <v>264000</v>
      </c>
      <c r="Y982" s="52">
        <f>IF(NOTA[[#This Row],[JUMLAH]]="","",(NOTA[[#This Row],[JUMLAH]]-NOTA[[#This Row],[DISC 1-]])*NOTA[[#This Row],[DISC 2]])</f>
        <v>92400</v>
      </c>
      <c r="Z982" s="52">
        <f>IF(NOTA[[#This Row],[JUMLAH]]="","",NOTA[[#This Row],[DISC 1-]]+NOTA[[#This Row],[DISC 2-]])</f>
        <v>356400</v>
      </c>
      <c r="AA982" s="52">
        <f>IF(NOTA[[#This Row],[JUMLAH]]="","",NOTA[[#This Row],[JUMLAH]]-NOTA[[#This Row],[DISC]])</f>
        <v>1755600</v>
      </c>
      <c r="AB982" s="52"/>
      <c r="AC9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2" s="64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982" s="203">
        <f>IF(OR(NOTA[[#This Row],[QTY]]="",NOTA[[#This Row],[HARGA SATUAN]]="",),"",NOTA[[#This Row],[QTY]]*NOTA[[#This Row],[HARGA SATUAN]])</f>
        <v>2112000</v>
      </c>
      <c r="AG982" s="53">
        <f ca="1">IF(NOTA[ID_H]="","",INDEX(NOTA[TANGGAL],MATCH(,INDIRECT(ADDRESS(ROW(NOTA[TANGGAL]),COLUMN(NOTA[TANGGAL]))&amp;":"&amp;ADDRESS(ROW(),COLUMN(NOTA[TANGGAL]))),-1)))</f>
        <v>45073</v>
      </c>
      <c r="AH982" s="64" t="str">
        <f ca="1">IF(NOTA[[#This Row],[NAMA BARANG]]="","",INDEX(NOTA[SUPPLIER],MATCH(,INDIRECT(ADDRESS(ROW(NOTA[ID]),COLUMN(NOTA[ID]))&amp;":"&amp;ADDRESS(ROW(),COLUMN(NOTA[ID]))),-1)))</f>
        <v>ATALI MAKMUR</v>
      </c>
      <c r="AI982" s="64" t="str">
        <f ca="1">IF(NOTA[[#This Row],[ID_H]]="","",IF(NOTA[[#This Row],[FAKTUR]]="",INDIRECT(ADDRESS(ROW()-1,COLUMN())),NOTA[[#This Row],[FAKTUR]]))</f>
        <v>ARTO MORO</v>
      </c>
      <c r="AJ982" s="66" t="str">
        <f ca="1">IF(NOTA[[#This Row],[ID]]="","",COUNTIF(NOTA[ID_H],NOTA[[#This Row],[ID_H]]))</f>
        <v/>
      </c>
      <c r="AK982" s="66">
        <f ca="1">IF(NOTA[[#This Row],[TGL.NOTA]]="",IF(NOTA[[#This Row],[SUPPLIER_H]]="","",AK981),MONTH(NOTA[[#This Row],[TGL.NOTA]]))</f>
        <v>5</v>
      </c>
      <c r="AL982" s="66" t="str">
        <f>LOWER(SUBSTITUTE(SUBSTITUTE(SUBSTITUTE(SUBSTITUTE(SUBSTITUTE(SUBSTITUTE(SUBSTITUTE(SUBSTITUTE(SUBSTITUTE(NOTA[NAMA BARANG]," ",),".",""),"-",""),"(",""),")",""),",",""),"/",""),"""",""),"+",""))</f>
        <v>brushbr1jk</v>
      </c>
      <c r="AM9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9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9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2" s="66" t="str">
        <f>IF(NOTA[[#This Row],[CONCAT4]]="","",_xlfn.IFNA(MATCH(NOTA[[#This Row],[CONCAT4]],[2]!RAW[CONCAT_H],0),FALSE))</f>
        <v/>
      </c>
      <c r="AQ982" s="66">
        <f>IF(NOTA[[#This Row],[CONCAT1]]="","",MATCH(NOTA[[#This Row],[CONCAT1]],[3]!db[NB NOTA_C],0)+1)</f>
        <v>342</v>
      </c>
    </row>
    <row r="983" spans="1:43" ht="20.100000000000001" customHeight="1" x14ac:dyDescent="0.25">
      <c r="A9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66" t="str">
        <f>IF(NOTA[[#This Row],[ID_P]]="","",MATCH(NOTA[[#This Row],[ID_P]],[1]!B_MSK[N_ID],0))</f>
        <v/>
      </c>
      <c r="D983" s="66">
        <f ca="1">IF(NOTA[[#This Row],[NAMA BARANG]]="","",INDEX(NOTA[ID],MATCH(,INDIRECT(ADDRESS(ROW(NOTA[ID]),COLUMN(NOTA[ID]))&amp;":"&amp;ADDRESS(ROW(),COLUMN(NOTA[ID]))),-1)))</f>
        <v>165</v>
      </c>
      <c r="E983" s="113"/>
      <c r="H983" s="54"/>
      <c r="L983" s="27" t="s">
        <v>1145</v>
      </c>
      <c r="M983" s="114">
        <v>1</v>
      </c>
      <c r="N983" s="66">
        <v>240</v>
      </c>
      <c r="O983" s="27" t="s">
        <v>252</v>
      </c>
      <c r="P983" s="64">
        <v>10600</v>
      </c>
      <c r="Q983" s="79"/>
      <c r="R983" s="42" t="s">
        <v>892</v>
      </c>
      <c r="S983" s="80">
        <v>0.125</v>
      </c>
      <c r="T983" s="115">
        <v>0.05</v>
      </c>
      <c r="U983" s="52"/>
      <c r="V983" s="77"/>
      <c r="W983" s="52">
        <f>IF(NOTA[[#This Row],[HARGA/ CTN]]="",NOTA[[#This Row],[JUMLAH_H]],NOTA[[#This Row],[HARGA/ CTN]]*IF(NOTA[[#This Row],[C]]="",0,NOTA[[#This Row],[C]]))</f>
        <v>2544000</v>
      </c>
      <c r="X983" s="52">
        <f>IF(NOTA[[#This Row],[JUMLAH]]="","",NOTA[[#This Row],[JUMLAH]]*NOTA[[#This Row],[DISC 1]])</f>
        <v>318000</v>
      </c>
      <c r="Y983" s="52">
        <f>IF(NOTA[[#This Row],[JUMLAH]]="","",(NOTA[[#This Row],[JUMLAH]]-NOTA[[#This Row],[DISC 1-]])*NOTA[[#This Row],[DISC 2]])</f>
        <v>111300</v>
      </c>
      <c r="Z983" s="52">
        <f>IF(NOTA[[#This Row],[JUMLAH]]="","",NOTA[[#This Row],[DISC 1-]]+NOTA[[#This Row],[DISC 2-]])</f>
        <v>429300</v>
      </c>
      <c r="AA983" s="52">
        <f>IF(NOTA[[#This Row],[JUMLAH]]="","",NOTA[[#This Row],[JUMLAH]]-NOTA[[#This Row],[DISC]])</f>
        <v>2114700</v>
      </c>
      <c r="AB983" s="52"/>
      <c r="AC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3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83" s="203">
        <f>IF(OR(NOTA[[#This Row],[QTY]]="",NOTA[[#This Row],[HARGA SATUAN]]="",),"",NOTA[[#This Row],[QTY]]*NOTA[[#This Row],[HARGA SATUAN]])</f>
        <v>2544000</v>
      </c>
      <c r="AG983" s="53">
        <f ca="1">IF(NOTA[ID_H]="","",INDEX(NOTA[TANGGAL],MATCH(,INDIRECT(ADDRESS(ROW(NOTA[TANGGAL]),COLUMN(NOTA[TANGGAL]))&amp;":"&amp;ADDRESS(ROW(),COLUMN(NOTA[TANGGAL]))),-1)))</f>
        <v>45073</v>
      </c>
      <c r="AH983" s="64" t="str">
        <f ca="1">IF(NOTA[[#This Row],[NAMA BARANG]]="","",INDEX(NOTA[SUPPLIER],MATCH(,INDIRECT(ADDRESS(ROW(NOTA[ID]),COLUMN(NOTA[ID]))&amp;":"&amp;ADDRESS(ROW(),COLUMN(NOTA[ID]))),-1)))</f>
        <v>ATALI MAKMUR</v>
      </c>
      <c r="AI983" s="64" t="str">
        <f ca="1">IF(NOTA[[#This Row],[ID_H]]="","",IF(NOTA[[#This Row],[FAKTUR]]="",INDIRECT(ADDRESS(ROW()-1,COLUMN())),NOTA[[#This Row],[FAKTUR]]))</f>
        <v>ARTO MORO</v>
      </c>
      <c r="AJ983" s="66" t="str">
        <f ca="1">IF(NOTA[[#This Row],[ID]]="","",COUNTIF(NOTA[ID_H],NOTA[[#This Row],[ID_H]]))</f>
        <v/>
      </c>
      <c r="AK983" s="66">
        <f ca="1">IF(NOTA[[#This Row],[TGL.NOTA]]="",IF(NOTA[[#This Row],[SUPPLIER_H]]="","",AK982),MONTH(NOTA[[#This Row],[TGL.NOTA]]))</f>
        <v>5</v>
      </c>
      <c r="AL983" s="66" t="str">
        <f>LOWER(SUBSTITUTE(SUBSTITUTE(SUBSTITUTE(SUBSTITUTE(SUBSTITUTE(SUBSTITUTE(SUBSTITUTE(SUBSTITUTE(SUBSTITUTE(NOTA[NAMA BARANG]," ",),".",""),"-",""),"(",""),")",""),",",""),"/",""),"""",""),"+",""))</f>
        <v>brushbr5jk</v>
      </c>
      <c r="AM9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N9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O9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3" s="66" t="str">
        <f>IF(NOTA[[#This Row],[CONCAT4]]="","",_xlfn.IFNA(MATCH(NOTA[[#This Row],[CONCAT4]],[2]!RAW[CONCAT_H],0),FALSE))</f>
        <v/>
      </c>
      <c r="AQ983" s="66">
        <f>IF(NOTA[[#This Row],[CONCAT1]]="","",MATCH(NOTA[[#This Row],[CONCAT1]],[3]!db[NB NOTA_C],0)+1)</f>
        <v>345</v>
      </c>
    </row>
    <row r="984" spans="1:43" ht="20.100000000000001" customHeight="1" x14ac:dyDescent="0.25">
      <c r="A9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66" t="str">
        <f>IF(NOTA[[#This Row],[ID_P]]="","",MATCH(NOTA[[#This Row],[ID_P]],[1]!B_MSK[N_ID],0))</f>
        <v/>
      </c>
      <c r="D984" s="66">
        <f ca="1">IF(NOTA[[#This Row],[NAMA BARANG]]="","",INDEX(NOTA[ID],MATCH(,INDIRECT(ADDRESS(ROW(NOTA[ID]),COLUMN(NOTA[ID]))&amp;":"&amp;ADDRESS(ROW(),COLUMN(NOTA[ID]))),-1)))</f>
        <v>165</v>
      </c>
      <c r="E984" s="113"/>
      <c r="H984" s="54"/>
      <c r="L984" s="27" t="s">
        <v>828</v>
      </c>
      <c r="M984" s="114">
        <v>3</v>
      </c>
      <c r="N984" s="66">
        <v>72</v>
      </c>
      <c r="O984" s="27" t="s">
        <v>160</v>
      </c>
      <c r="P984" s="64">
        <v>11100</v>
      </c>
      <c r="Q984" s="79"/>
      <c r="R984" s="42" t="s">
        <v>236</v>
      </c>
      <c r="S984" s="80">
        <v>0.125</v>
      </c>
      <c r="T984" s="115">
        <v>0.05</v>
      </c>
      <c r="U984" s="52"/>
      <c r="V984" s="77"/>
      <c r="W984" s="52">
        <f>IF(NOTA[[#This Row],[HARGA/ CTN]]="",NOTA[[#This Row],[JUMLAH_H]],NOTA[[#This Row],[HARGA/ CTN]]*IF(NOTA[[#This Row],[C]]="",0,NOTA[[#This Row],[C]]))</f>
        <v>799200</v>
      </c>
      <c r="X984" s="52">
        <f>IF(NOTA[[#This Row],[JUMLAH]]="","",NOTA[[#This Row],[JUMLAH]]*NOTA[[#This Row],[DISC 1]])</f>
        <v>99900</v>
      </c>
      <c r="Y984" s="52">
        <f>IF(NOTA[[#This Row],[JUMLAH]]="","",(NOTA[[#This Row],[JUMLAH]]-NOTA[[#This Row],[DISC 1-]])*NOTA[[#This Row],[DISC 2]])</f>
        <v>34965</v>
      </c>
      <c r="Z984" s="52">
        <f>IF(NOTA[[#This Row],[JUMLAH]]="","",NOTA[[#This Row],[DISC 1-]]+NOTA[[#This Row],[DISC 2-]])</f>
        <v>134865</v>
      </c>
      <c r="AA984" s="52">
        <f>IF(NOTA[[#This Row],[JUMLAH]]="","",NOTA[[#This Row],[JUMLAH]]-NOTA[[#This Row],[DISC]])</f>
        <v>664335</v>
      </c>
      <c r="AB984" s="52"/>
      <c r="AC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4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984" s="203">
        <f>IF(OR(NOTA[[#This Row],[QTY]]="",NOTA[[#This Row],[HARGA SATUAN]]="",),"",NOTA[[#This Row],[QTY]]*NOTA[[#This Row],[HARGA SATUAN]])</f>
        <v>799200</v>
      </c>
      <c r="AG984" s="53">
        <f ca="1">IF(NOTA[ID_H]="","",INDEX(NOTA[TANGGAL],MATCH(,INDIRECT(ADDRESS(ROW(NOTA[TANGGAL]),COLUMN(NOTA[TANGGAL]))&amp;":"&amp;ADDRESS(ROW(),COLUMN(NOTA[TANGGAL]))),-1)))</f>
        <v>45073</v>
      </c>
      <c r="AH984" s="64" t="str">
        <f ca="1">IF(NOTA[[#This Row],[NAMA BARANG]]="","",INDEX(NOTA[SUPPLIER],MATCH(,INDIRECT(ADDRESS(ROW(NOTA[ID]),COLUMN(NOTA[ID]))&amp;":"&amp;ADDRESS(ROW(),COLUMN(NOTA[ID]))),-1)))</f>
        <v>ATALI MAKMUR</v>
      </c>
      <c r="AI984" s="64" t="str">
        <f ca="1">IF(NOTA[[#This Row],[ID_H]]="","",IF(NOTA[[#This Row],[FAKTUR]]="",INDIRECT(ADDRESS(ROW()-1,COLUMN())),NOTA[[#This Row],[FAKTUR]]))</f>
        <v>ARTO MORO</v>
      </c>
      <c r="AJ984" s="66" t="str">
        <f ca="1">IF(NOTA[[#This Row],[ID]]="","",COUNTIF(NOTA[ID_H],NOTA[[#This Row],[ID_H]]))</f>
        <v/>
      </c>
      <c r="AK984" s="66">
        <f ca="1">IF(NOTA[[#This Row],[TGL.NOTA]]="",IF(NOTA[[#This Row],[SUPPLIER_H]]="","",AK983),MONTH(NOTA[[#This Row],[TGL.NOTA]]))</f>
        <v>5</v>
      </c>
      <c r="AL984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9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9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9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4" s="66" t="str">
        <f>IF(NOTA[[#This Row],[CONCAT4]]="","",_xlfn.IFNA(MATCH(NOTA[[#This Row],[CONCAT4]],[2]!RAW[CONCAT_H],0),FALSE))</f>
        <v/>
      </c>
      <c r="AQ984" s="66">
        <f>IF(NOTA[[#This Row],[CONCAT1]]="","",MATCH(NOTA[[#This Row],[CONCAT1]],[3]!db[NB NOTA_C],0)+1)</f>
        <v>2218</v>
      </c>
    </row>
    <row r="985" spans="1:43" ht="20.100000000000001" customHeight="1" x14ac:dyDescent="0.25">
      <c r="A9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66" t="str">
        <f>IF(NOTA[[#This Row],[ID_P]]="","",MATCH(NOTA[[#This Row],[ID_P]],[1]!B_MSK[N_ID],0))</f>
        <v/>
      </c>
      <c r="D985" s="66">
        <f ca="1">IF(NOTA[[#This Row],[NAMA BARANG]]="","",INDEX(NOTA[ID],MATCH(,INDIRECT(ADDRESS(ROW(NOTA[ID]),COLUMN(NOTA[ID]))&amp;":"&amp;ADDRESS(ROW(),COLUMN(NOTA[ID]))),-1)))</f>
        <v>165</v>
      </c>
      <c r="E985" s="113"/>
      <c r="H985" s="54"/>
      <c r="L985" s="27" t="s">
        <v>806</v>
      </c>
      <c r="M985" s="114">
        <v>3</v>
      </c>
      <c r="N985" s="66">
        <v>1500</v>
      </c>
      <c r="O985" s="27" t="s">
        <v>262</v>
      </c>
      <c r="P985" s="64">
        <v>1625</v>
      </c>
      <c r="Q985" s="79"/>
      <c r="R985" s="42" t="s">
        <v>807</v>
      </c>
      <c r="S985" s="80">
        <v>0.125</v>
      </c>
      <c r="T985" s="115">
        <v>0.05</v>
      </c>
      <c r="U985" s="52"/>
      <c r="V985" s="77"/>
      <c r="W985" s="52">
        <f>IF(NOTA[[#This Row],[HARGA/ CTN]]="",NOTA[[#This Row],[JUMLAH_H]],NOTA[[#This Row],[HARGA/ CTN]]*IF(NOTA[[#This Row],[C]]="",0,NOTA[[#This Row],[C]]))</f>
        <v>2437500</v>
      </c>
      <c r="X985" s="52">
        <f>IF(NOTA[[#This Row],[JUMLAH]]="","",NOTA[[#This Row],[JUMLAH]]*NOTA[[#This Row],[DISC 1]])</f>
        <v>304687.5</v>
      </c>
      <c r="Y985" s="52">
        <f>IF(NOTA[[#This Row],[JUMLAH]]="","",(NOTA[[#This Row],[JUMLAH]]-NOTA[[#This Row],[DISC 1-]])*NOTA[[#This Row],[DISC 2]])</f>
        <v>106640.625</v>
      </c>
      <c r="Z985" s="52">
        <f>IF(NOTA[[#This Row],[JUMLAH]]="","",NOTA[[#This Row],[DISC 1-]]+NOTA[[#This Row],[DISC 2-]])</f>
        <v>411328.125</v>
      </c>
      <c r="AA985" s="52">
        <f>IF(NOTA[[#This Row],[JUMLAH]]="","",NOTA[[#This Row],[JUMLAH]]-NOTA[[#This Row],[DISC]])</f>
        <v>2026171.875</v>
      </c>
      <c r="AB985" s="52"/>
      <c r="AC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5" s="64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985" s="203">
        <f>IF(OR(NOTA[[#This Row],[QTY]]="",NOTA[[#This Row],[HARGA SATUAN]]="",),"",NOTA[[#This Row],[QTY]]*NOTA[[#This Row],[HARGA SATUAN]])</f>
        <v>2437500</v>
      </c>
      <c r="AG985" s="53">
        <f ca="1">IF(NOTA[ID_H]="","",INDEX(NOTA[TANGGAL],MATCH(,INDIRECT(ADDRESS(ROW(NOTA[TANGGAL]),COLUMN(NOTA[TANGGAL]))&amp;":"&amp;ADDRESS(ROW(),COLUMN(NOTA[TANGGAL]))),-1)))</f>
        <v>45073</v>
      </c>
      <c r="AH985" s="64" t="str">
        <f ca="1">IF(NOTA[[#This Row],[NAMA BARANG]]="","",INDEX(NOTA[SUPPLIER],MATCH(,INDIRECT(ADDRESS(ROW(NOTA[ID]),COLUMN(NOTA[ID]))&amp;":"&amp;ADDRESS(ROW(),COLUMN(NOTA[ID]))),-1)))</f>
        <v>ATALI MAKMUR</v>
      </c>
      <c r="AI985" s="64" t="str">
        <f ca="1">IF(NOTA[[#This Row],[ID_H]]="","",IF(NOTA[[#This Row],[FAKTUR]]="",INDIRECT(ADDRESS(ROW()-1,COLUMN())),NOTA[[#This Row],[FAKTUR]]))</f>
        <v>ARTO MORO</v>
      </c>
      <c r="AJ985" s="66" t="str">
        <f ca="1">IF(NOTA[[#This Row],[ID]]="","",COUNTIF(NOTA[ID_H],NOTA[[#This Row],[ID_H]]))</f>
        <v/>
      </c>
      <c r="AK985" s="66">
        <f ca="1">IF(NOTA[[#This Row],[TGL.NOTA]]="",IF(NOTA[[#This Row],[SUPPLIER_H]]="","",AK984),MONTH(NOTA[[#This Row],[TGL.NOTA]]))</f>
        <v>5</v>
      </c>
      <c r="AL985" s="66" t="str">
        <f>LOWER(SUBSTITUTE(SUBSTITUTE(SUBSTITUTE(SUBSTITUTE(SUBSTITUTE(SUBSTITUTE(SUBSTITUTE(SUBSTITUTE(SUBSTITUTE(NOTA[NAMA BARANG]," ",),".",""),"-",""),"(",""),")",""),",",""),"/",""),"""",""),"+",""))</f>
        <v>trigonalclipno3jk</v>
      </c>
      <c r="AM9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9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9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5" s="66" t="str">
        <f>IF(NOTA[[#This Row],[CONCAT4]]="","",_xlfn.IFNA(MATCH(NOTA[[#This Row],[CONCAT4]],[2]!RAW[CONCAT_H],0),FALSE))</f>
        <v/>
      </c>
      <c r="AQ985" s="66">
        <f>IF(NOTA[[#This Row],[CONCAT1]]="","",MATCH(NOTA[[#This Row],[CONCAT1]],[3]!db[NB NOTA_C],0)+1)</f>
        <v>2303</v>
      </c>
    </row>
    <row r="986" spans="1:43" ht="20.100000000000001" customHeight="1" x14ac:dyDescent="0.25">
      <c r="A9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66" t="str">
        <f>IF(NOTA[[#This Row],[ID_P]]="","",MATCH(NOTA[[#This Row],[ID_P]],[1]!B_MSK[N_ID],0))</f>
        <v/>
      </c>
      <c r="D986" s="66">
        <f ca="1">IF(NOTA[[#This Row],[NAMA BARANG]]="","",INDEX(NOTA[ID],MATCH(,INDIRECT(ADDRESS(ROW(NOTA[ID]),COLUMN(NOTA[ID]))&amp;":"&amp;ADDRESS(ROW(),COLUMN(NOTA[ID]))),-1)))</f>
        <v>165</v>
      </c>
      <c r="E986" s="113"/>
      <c r="H986" s="54"/>
      <c r="L986" s="27" t="s">
        <v>1146</v>
      </c>
      <c r="M986" s="114">
        <v>2</v>
      </c>
      <c r="N986" s="66">
        <v>400</v>
      </c>
      <c r="O986" s="27" t="s">
        <v>262</v>
      </c>
      <c r="P986" s="64">
        <v>4400</v>
      </c>
      <c r="Q986" s="79"/>
      <c r="R986" s="42" t="s">
        <v>808</v>
      </c>
      <c r="S986" s="80">
        <v>0.125</v>
      </c>
      <c r="T986" s="115">
        <v>0.05</v>
      </c>
      <c r="U986" s="52"/>
      <c r="V986" s="77"/>
      <c r="W986" s="52">
        <f>IF(NOTA[[#This Row],[HARGA/ CTN]]="",NOTA[[#This Row],[JUMLAH_H]],NOTA[[#This Row],[HARGA/ CTN]]*IF(NOTA[[#This Row],[C]]="",0,NOTA[[#This Row],[C]]))</f>
        <v>1760000</v>
      </c>
      <c r="X986" s="52">
        <f>IF(NOTA[[#This Row],[JUMLAH]]="","",NOTA[[#This Row],[JUMLAH]]*NOTA[[#This Row],[DISC 1]])</f>
        <v>220000</v>
      </c>
      <c r="Y986" s="52">
        <f>IF(NOTA[[#This Row],[JUMLAH]]="","",(NOTA[[#This Row],[JUMLAH]]-NOTA[[#This Row],[DISC 1-]])*NOTA[[#This Row],[DISC 2]])</f>
        <v>77000</v>
      </c>
      <c r="Z986" s="52">
        <f>IF(NOTA[[#This Row],[JUMLAH]]="","",NOTA[[#This Row],[DISC 1-]]+NOTA[[#This Row],[DISC 2-]])</f>
        <v>297000</v>
      </c>
      <c r="AA986" s="52">
        <f>IF(NOTA[[#This Row],[JUMLAH]]="","",NOTA[[#This Row],[JUMLAH]]-NOTA[[#This Row],[DISC]])</f>
        <v>1463000</v>
      </c>
      <c r="AB986" s="52"/>
      <c r="AC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6" s="64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F986" s="203">
        <f>IF(OR(NOTA[[#This Row],[QTY]]="",NOTA[[#This Row],[HARGA SATUAN]]="",),"",NOTA[[#This Row],[QTY]]*NOTA[[#This Row],[HARGA SATUAN]])</f>
        <v>1760000</v>
      </c>
      <c r="AG986" s="53">
        <f ca="1">IF(NOTA[ID_H]="","",INDEX(NOTA[TANGGAL],MATCH(,INDIRECT(ADDRESS(ROW(NOTA[TANGGAL]),COLUMN(NOTA[TANGGAL]))&amp;":"&amp;ADDRESS(ROW(),COLUMN(NOTA[TANGGAL]))),-1)))</f>
        <v>45073</v>
      </c>
      <c r="AH986" s="64" t="str">
        <f ca="1">IF(NOTA[[#This Row],[NAMA BARANG]]="","",INDEX(NOTA[SUPPLIER],MATCH(,INDIRECT(ADDRESS(ROW(NOTA[ID]),COLUMN(NOTA[ID]))&amp;":"&amp;ADDRESS(ROW(),COLUMN(NOTA[ID]))),-1)))</f>
        <v>ATALI MAKMUR</v>
      </c>
      <c r="AI986" s="64" t="str">
        <f ca="1">IF(NOTA[[#This Row],[ID_H]]="","",IF(NOTA[[#This Row],[FAKTUR]]="",INDIRECT(ADDRESS(ROW()-1,COLUMN())),NOTA[[#This Row],[FAKTUR]]))</f>
        <v>ARTO MORO</v>
      </c>
      <c r="AJ986" s="66" t="str">
        <f ca="1">IF(NOTA[[#This Row],[ID]]="","",COUNTIF(NOTA[ID_H],NOTA[[#This Row],[ID_H]]))</f>
        <v/>
      </c>
      <c r="AK986" s="66">
        <f ca="1">IF(NOTA[[#This Row],[TGL.NOTA]]="",IF(NOTA[[#This Row],[SUPPLIER_H]]="","",AK985),MONTH(NOTA[[#This Row],[TGL.NOTA]]))</f>
        <v>5</v>
      </c>
      <c r="AL986" s="6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M9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N9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O9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6" s="66" t="str">
        <f>IF(NOTA[[#This Row],[CONCAT4]]="","",_xlfn.IFNA(MATCH(NOTA[[#This Row],[CONCAT4]],[2]!RAW[CONCAT_H],0),FALSE))</f>
        <v/>
      </c>
      <c r="AQ986" s="66">
        <f>IF(NOTA[[#This Row],[CONCAT1]]="","",MATCH(NOTA[[#This Row],[CONCAT1]],[3]!db[NB NOTA_C],0)+1)</f>
        <v>1781</v>
      </c>
    </row>
    <row r="987" spans="1:43" ht="20.100000000000001" customHeight="1" x14ac:dyDescent="0.25">
      <c r="A9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66" t="str">
        <f>IF(NOTA[[#This Row],[ID_P]]="","",MATCH(NOTA[[#This Row],[ID_P]],[1]!B_MSK[N_ID],0))</f>
        <v/>
      </c>
      <c r="D987" s="66">
        <f ca="1">IF(NOTA[[#This Row],[NAMA BARANG]]="","",INDEX(NOTA[ID],MATCH(,INDIRECT(ADDRESS(ROW(NOTA[ID]),COLUMN(NOTA[ID]))&amp;":"&amp;ADDRESS(ROW(),COLUMN(NOTA[ID]))),-1)))</f>
        <v>165</v>
      </c>
      <c r="E987" s="113"/>
      <c r="H987" s="54"/>
      <c r="L987" s="27" t="s">
        <v>1147</v>
      </c>
      <c r="M987" s="114">
        <v>1</v>
      </c>
      <c r="N987" s="66">
        <v>144</v>
      </c>
      <c r="O987" s="27" t="s">
        <v>252</v>
      </c>
      <c r="P987" s="64">
        <v>23900</v>
      </c>
      <c r="Q987" s="79"/>
      <c r="R987" s="42" t="s">
        <v>273</v>
      </c>
      <c r="S987" s="80">
        <v>0.125</v>
      </c>
      <c r="T987" s="115">
        <v>0.05</v>
      </c>
      <c r="U987" s="52"/>
      <c r="V987" s="77"/>
      <c r="W987" s="52">
        <f>IF(NOTA[[#This Row],[HARGA/ CTN]]="",NOTA[[#This Row],[JUMLAH_H]],NOTA[[#This Row],[HARGA/ CTN]]*IF(NOTA[[#This Row],[C]]="",0,NOTA[[#This Row],[C]]))</f>
        <v>3441600</v>
      </c>
      <c r="X987" s="52">
        <f>IF(NOTA[[#This Row],[JUMLAH]]="","",NOTA[[#This Row],[JUMLAH]]*NOTA[[#This Row],[DISC 1]])</f>
        <v>430200</v>
      </c>
      <c r="Y987" s="52">
        <f>IF(NOTA[[#This Row],[JUMLAH]]="","",(NOTA[[#This Row],[JUMLAH]]-NOTA[[#This Row],[DISC 1-]])*NOTA[[#This Row],[DISC 2]])</f>
        <v>150570</v>
      </c>
      <c r="Z987" s="52">
        <f>IF(NOTA[[#This Row],[JUMLAH]]="","",NOTA[[#This Row],[DISC 1-]]+NOTA[[#This Row],[DISC 2-]])</f>
        <v>580770</v>
      </c>
      <c r="AA987" s="52">
        <f>IF(NOTA[[#This Row],[JUMLAH]]="","",NOTA[[#This Row],[JUMLAH]]-NOTA[[#This Row],[DISC]])</f>
        <v>2860830</v>
      </c>
      <c r="AB987" s="52"/>
      <c r="AC9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2566873.125</v>
      </c>
      <c r="AD9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12644226.875</v>
      </c>
      <c r="AE987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987" s="203">
        <f>IF(OR(NOTA[[#This Row],[QTY]]="",NOTA[[#This Row],[HARGA SATUAN]]="",),"",NOTA[[#This Row],[QTY]]*NOTA[[#This Row],[HARGA SATUAN]])</f>
        <v>3441600</v>
      </c>
      <c r="AG987" s="53">
        <f ca="1">IF(NOTA[ID_H]="","",INDEX(NOTA[TANGGAL],MATCH(,INDIRECT(ADDRESS(ROW(NOTA[TANGGAL]),COLUMN(NOTA[TANGGAL]))&amp;":"&amp;ADDRESS(ROW(),COLUMN(NOTA[TANGGAL]))),-1)))</f>
        <v>45073</v>
      </c>
      <c r="AH987" s="64" t="str">
        <f ca="1">IF(NOTA[[#This Row],[NAMA BARANG]]="","",INDEX(NOTA[SUPPLIER],MATCH(,INDIRECT(ADDRESS(ROW(NOTA[ID]),COLUMN(NOTA[ID]))&amp;":"&amp;ADDRESS(ROW(),COLUMN(NOTA[ID]))),-1)))</f>
        <v>ATALI MAKMUR</v>
      </c>
      <c r="AI987" s="64" t="str">
        <f ca="1">IF(NOTA[[#This Row],[ID_H]]="","",IF(NOTA[[#This Row],[FAKTUR]]="",INDIRECT(ADDRESS(ROW()-1,COLUMN())),NOTA[[#This Row],[FAKTUR]]))</f>
        <v>ARTO MORO</v>
      </c>
      <c r="AJ987" s="66" t="str">
        <f ca="1">IF(NOTA[[#This Row],[ID]]="","",COUNTIF(NOTA[ID_H],NOTA[[#This Row],[ID_H]]))</f>
        <v/>
      </c>
      <c r="AK987" s="66">
        <f ca="1">IF(NOTA[[#This Row],[TGL.NOTA]]="",IF(NOTA[[#This Row],[SUPPLIER_H]]="","",AK986),MONTH(NOTA[[#This Row],[TGL.NOTA]]))</f>
        <v>5</v>
      </c>
      <c r="AL987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9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9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9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7" s="66" t="str">
        <f>IF(NOTA[[#This Row],[CONCAT4]]="","",_xlfn.IFNA(MATCH(NOTA[[#This Row],[CONCAT4]],[2]!RAW[CONCAT_H],0),FALSE))</f>
        <v/>
      </c>
      <c r="AQ987" s="66">
        <f>IF(NOTA[[#This Row],[CONCAT1]]="","",MATCH(NOTA[[#This Row],[CONCAT1]],[3]!db[NB NOTA_C],0)+1)</f>
        <v>603</v>
      </c>
    </row>
    <row r="988" spans="1:43" ht="20.100000000000001" customHeight="1" x14ac:dyDescent="0.25">
      <c r="A9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66" t="str">
        <f>IF(NOTA[[#This Row],[ID_P]]="","",MATCH(NOTA[[#This Row],[ID_P]],[1]!B_MSK[N_ID],0))</f>
        <v/>
      </c>
      <c r="D988" s="66" t="str">
        <f ca="1">IF(NOTA[[#This Row],[NAMA BARANG]]="","",INDEX(NOTA[ID],MATCH(,INDIRECT(ADDRESS(ROW(NOTA[ID]),COLUMN(NOTA[ID]))&amp;":"&amp;ADDRESS(ROW(),COLUMN(NOTA[ID]))),-1)))</f>
        <v/>
      </c>
      <c r="E988" s="113"/>
      <c r="H988" s="54"/>
      <c r="N988" s="66"/>
      <c r="Q988" s="79"/>
      <c r="R988" s="42"/>
      <c r="S988" s="80"/>
      <c r="U988" s="52"/>
      <c r="V988" s="77"/>
      <c r="W988" s="52" t="str">
        <f>IF(NOTA[[#This Row],[HARGA/ CTN]]="",NOTA[[#This Row],[JUMLAH_H]],NOTA[[#This Row],[HARGA/ CTN]]*IF(NOTA[[#This Row],[C]]="",0,NOTA[[#This Row],[C]]))</f>
        <v/>
      </c>
      <c r="X988" s="52" t="str">
        <f>IF(NOTA[[#This Row],[JUMLAH]]="","",NOTA[[#This Row],[JUMLAH]]*NOTA[[#This Row],[DISC 1]])</f>
        <v/>
      </c>
      <c r="Y988" s="52" t="str">
        <f>IF(NOTA[[#This Row],[JUMLAH]]="","",(NOTA[[#This Row],[JUMLAH]]-NOTA[[#This Row],[DISC 1-]])*NOTA[[#This Row],[DISC 2]])</f>
        <v/>
      </c>
      <c r="Z988" s="52" t="str">
        <f>IF(NOTA[[#This Row],[JUMLAH]]="","",NOTA[[#This Row],[DISC 1-]]+NOTA[[#This Row],[DISC 2-]])</f>
        <v/>
      </c>
      <c r="AA988" s="52" t="str">
        <f>IF(NOTA[[#This Row],[JUMLAH]]="","",NOTA[[#This Row],[JUMLAH]]-NOTA[[#This Row],[DISC]])</f>
        <v/>
      </c>
      <c r="AB988" s="52"/>
      <c r="AC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88" s="203" t="str">
        <f>IF(OR(NOTA[[#This Row],[QTY]]="",NOTA[[#This Row],[HARGA SATUAN]]="",),"",NOTA[[#This Row],[QTY]]*NOTA[[#This Row],[HARGA SATUAN]])</f>
        <v/>
      </c>
      <c r="AG988" s="53" t="str">
        <f ca="1">IF(NOTA[ID_H]="","",INDEX(NOTA[TANGGAL],MATCH(,INDIRECT(ADDRESS(ROW(NOTA[TANGGAL]),COLUMN(NOTA[TANGGAL]))&amp;":"&amp;ADDRESS(ROW(),COLUMN(NOTA[TANGGAL]))),-1)))</f>
        <v/>
      </c>
      <c r="AH988" s="64" t="str">
        <f ca="1">IF(NOTA[[#This Row],[NAMA BARANG]]="","",INDEX(NOTA[SUPPLIER],MATCH(,INDIRECT(ADDRESS(ROW(NOTA[ID]),COLUMN(NOTA[ID]))&amp;":"&amp;ADDRESS(ROW(),COLUMN(NOTA[ID]))),-1)))</f>
        <v/>
      </c>
      <c r="AI988" s="64" t="str">
        <f ca="1">IF(NOTA[[#This Row],[ID_H]]="","",IF(NOTA[[#This Row],[FAKTUR]]="",INDIRECT(ADDRESS(ROW()-1,COLUMN())),NOTA[[#This Row],[FAKTUR]]))</f>
        <v/>
      </c>
      <c r="AJ988" s="66" t="str">
        <f ca="1">IF(NOTA[[#This Row],[ID]]="","",COUNTIF(NOTA[ID_H],NOTA[[#This Row],[ID_H]]))</f>
        <v/>
      </c>
      <c r="AK988" s="66" t="str">
        <f ca="1">IF(NOTA[[#This Row],[TGL.NOTA]]="",IF(NOTA[[#This Row],[SUPPLIER_H]]="","",AK987),MONTH(NOTA[[#This Row],[TGL.NOTA]]))</f>
        <v/>
      </c>
      <c r="AL988" s="66" t="str">
        <f>LOWER(SUBSTITUTE(SUBSTITUTE(SUBSTITUTE(SUBSTITUTE(SUBSTITUTE(SUBSTITUTE(SUBSTITUTE(SUBSTITUTE(SUBSTITUTE(NOTA[NAMA BARANG]," ",),".",""),"-",""),"(",""),")",""),",",""),"/",""),"""",""),"+",""))</f>
        <v/>
      </c>
      <c r="AM9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8" s="66" t="str">
        <f>IF(NOTA[[#This Row],[CONCAT4]]="","",_xlfn.IFNA(MATCH(NOTA[[#This Row],[CONCAT4]],[2]!RAW[CONCAT_H],0),FALSE))</f>
        <v/>
      </c>
      <c r="AQ988" s="66" t="str">
        <f>IF(NOTA[[#This Row],[CONCAT1]]="","",MATCH(NOTA[[#This Row],[CONCAT1]],[3]!db[NB NOTA_C],0)+1)</f>
        <v/>
      </c>
    </row>
    <row r="989" spans="1:43" ht="20.100000000000001" customHeight="1" x14ac:dyDescent="0.25">
      <c r="A989" s="64">
        <f ca="1">IF(INDIRECT(ADDRESS(ROW()-1,COLUMN(NOTA[[#Headers],[ID]])))="ID",1,IF(NOTA[[#This Row],[FAKTUR]]="","",COUNT(INDIRECT(ADDRESS(ROW(NOTA[ID]),COLUMN(NOTA[ID]))&amp;":"&amp;ADDRESS(ROW()-1,COLUMN(NOTA[ID]))))+1))</f>
        <v>166</v>
      </c>
      <c r="B9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ATA_2705_298-9</v>
      </c>
      <c r="C989" s="66" t="e">
        <f ca="1">IF(NOTA[[#This Row],[ID_P]]="","",MATCH(NOTA[[#This Row],[ID_P]],[1]!B_MSK[N_ID],0))</f>
        <v>#REF!</v>
      </c>
      <c r="D989" s="66">
        <f ca="1">IF(NOTA[[#This Row],[NAMA BARANG]]="","",INDEX(NOTA[ID],MATCH(,INDIRECT(ADDRESS(ROW(NOTA[ID]),COLUMN(NOTA[ID]))&amp;":"&amp;ADDRESS(ROW(),COLUMN(NOTA[ID]))),-1)))</f>
        <v>166</v>
      </c>
      <c r="E989" s="113"/>
      <c r="F989" s="27" t="s">
        <v>25</v>
      </c>
      <c r="G989" s="27" t="s">
        <v>24</v>
      </c>
      <c r="H989" s="54" t="s">
        <v>1148</v>
      </c>
      <c r="J989" s="53">
        <v>45070</v>
      </c>
      <c r="L989" s="27" t="s">
        <v>1149</v>
      </c>
      <c r="M989" s="114">
        <v>1</v>
      </c>
      <c r="N989" s="66">
        <v>144</v>
      </c>
      <c r="O989" s="27" t="s">
        <v>146</v>
      </c>
      <c r="P989" s="64">
        <v>28200</v>
      </c>
      <c r="Q989" s="79"/>
      <c r="R989" s="42" t="s">
        <v>293</v>
      </c>
      <c r="S989" s="80">
        <v>0.125</v>
      </c>
      <c r="T989" s="115">
        <v>0.05</v>
      </c>
      <c r="U989" s="52"/>
      <c r="V989" s="77"/>
      <c r="W989" s="52">
        <f>IF(NOTA[[#This Row],[HARGA/ CTN]]="",NOTA[[#This Row],[JUMLAH_H]],NOTA[[#This Row],[HARGA/ CTN]]*IF(NOTA[[#This Row],[C]]="",0,NOTA[[#This Row],[C]]))</f>
        <v>4060800</v>
      </c>
      <c r="X989" s="52">
        <f>IF(NOTA[[#This Row],[JUMLAH]]="","",NOTA[[#This Row],[JUMLAH]]*NOTA[[#This Row],[DISC 1]])</f>
        <v>507600</v>
      </c>
      <c r="Y989" s="52">
        <f>IF(NOTA[[#This Row],[JUMLAH]]="","",(NOTA[[#This Row],[JUMLAH]]-NOTA[[#This Row],[DISC 1-]])*NOTA[[#This Row],[DISC 2]])</f>
        <v>177660</v>
      </c>
      <c r="Z989" s="52">
        <f>IF(NOTA[[#This Row],[JUMLAH]]="","",NOTA[[#This Row],[DISC 1-]]+NOTA[[#This Row],[DISC 2-]])</f>
        <v>685260</v>
      </c>
      <c r="AA989" s="52">
        <f>IF(NOTA[[#This Row],[JUMLAH]]="","",NOTA[[#This Row],[JUMLAH]]-NOTA[[#This Row],[DISC]])</f>
        <v>3375540</v>
      </c>
      <c r="AB989" s="52"/>
      <c r="AC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9" s="64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989" s="203">
        <f>IF(OR(NOTA[[#This Row],[QTY]]="",NOTA[[#This Row],[HARGA SATUAN]]="",),"",NOTA[[#This Row],[QTY]]*NOTA[[#This Row],[HARGA SATUAN]])</f>
        <v>4060800</v>
      </c>
      <c r="AG989" s="53">
        <f ca="1">IF(NOTA[ID_H]="","",INDEX(NOTA[TANGGAL],MATCH(,INDIRECT(ADDRESS(ROW(NOTA[TANGGAL]),COLUMN(NOTA[TANGGAL]))&amp;":"&amp;ADDRESS(ROW(),COLUMN(NOTA[TANGGAL]))),-1)))</f>
        <v>45073</v>
      </c>
      <c r="AH989" s="64" t="str">
        <f ca="1">IF(NOTA[[#This Row],[NAMA BARANG]]="","",INDEX(NOTA[SUPPLIER],MATCH(,INDIRECT(ADDRESS(ROW(NOTA[ID]),COLUMN(NOTA[ID]))&amp;":"&amp;ADDRESS(ROW(),COLUMN(NOTA[ID]))),-1)))</f>
        <v>ATALI MAKMUR</v>
      </c>
      <c r="AI989" s="64" t="str">
        <f ca="1">IF(NOTA[[#This Row],[ID_H]]="","",IF(NOTA[[#This Row],[FAKTUR]]="",INDIRECT(ADDRESS(ROW()-1,COLUMN())),NOTA[[#This Row],[FAKTUR]]))</f>
        <v>ARTO MORO</v>
      </c>
      <c r="AJ989" s="66">
        <f ca="1">IF(NOTA[[#This Row],[ID]]="","",COUNTIF(NOTA[ID_H],NOTA[[#This Row],[ID_H]]))</f>
        <v>9</v>
      </c>
      <c r="AK989" s="66">
        <f>IF(NOTA[[#This Row],[TGL.NOTA]]="",IF(NOTA[[#This Row],[SUPPLIER_H]]="","",AK988),MONTH(NOTA[[#This Row],[TGL.NOTA]]))</f>
        <v>5</v>
      </c>
      <c r="AL989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9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9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989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MOROSA23050829845070gelpengp265qgelblackjk</v>
      </c>
      <c r="AP989" s="66" t="e">
        <f>IF(NOTA[[#This Row],[CONCAT4]]="","",_xlfn.IFNA(MATCH(NOTA[[#This Row],[CONCAT4]],[2]!RAW[CONCAT_H],0),FALSE))</f>
        <v>#REF!</v>
      </c>
      <c r="AQ989" s="66">
        <f>IF(NOTA[[#This Row],[CONCAT1]]="","",MATCH(NOTA[[#This Row],[CONCAT1]],[3]!db[NB NOTA_C],0)+1)</f>
        <v>800</v>
      </c>
    </row>
    <row r="990" spans="1:43" ht="20.100000000000001" customHeight="1" x14ac:dyDescent="0.25">
      <c r="A9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66" t="str">
        <f>IF(NOTA[[#This Row],[ID_P]]="","",MATCH(NOTA[[#This Row],[ID_P]],[1]!B_MSK[N_ID],0))</f>
        <v/>
      </c>
      <c r="D990" s="66">
        <f ca="1">IF(NOTA[[#This Row],[NAMA BARANG]]="","",INDEX(NOTA[ID],MATCH(,INDIRECT(ADDRESS(ROW(NOTA[ID]),COLUMN(NOTA[ID]))&amp;":"&amp;ADDRESS(ROW(),COLUMN(NOTA[ID]))),-1)))</f>
        <v>166</v>
      </c>
      <c r="E990" s="113"/>
      <c r="H990" s="54"/>
      <c r="L990" s="27" t="s">
        <v>1150</v>
      </c>
      <c r="M990" s="114">
        <v>1</v>
      </c>
      <c r="N990" s="66">
        <v>96</v>
      </c>
      <c r="O990" s="27" t="s">
        <v>457</v>
      </c>
      <c r="P990" s="64">
        <v>7000</v>
      </c>
      <c r="Q990" s="79"/>
      <c r="R990" s="42" t="s">
        <v>1151</v>
      </c>
      <c r="S990" s="80">
        <v>0.125</v>
      </c>
      <c r="T990" s="115">
        <v>0.05</v>
      </c>
      <c r="U990" s="52"/>
      <c r="V990" s="77"/>
      <c r="W990" s="52">
        <f>IF(NOTA[[#This Row],[HARGA/ CTN]]="",NOTA[[#This Row],[JUMLAH_H]],NOTA[[#This Row],[HARGA/ CTN]]*IF(NOTA[[#This Row],[C]]="",0,NOTA[[#This Row],[C]]))</f>
        <v>672000</v>
      </c>
      <c r="X990" s="52">
        <f>IF(NOTA[[#This Row],[JUMLAH]]="","",NOTA[[#This Row],[JUMLAH]]*NOTA[[#This Row],[DISC 1]])</f>
        <v>84000</v>
      </c>
      <c r="Y990" s="52">
        <f>IF(NOTA[[#This Row],[JUMLAH]]="","",(NOTA[[#This Row],[JUMLAH]]-NOTA[[#This Row],[DISC 1-]])*NOTA[[#This Row],[DISC 2]])</f>
        <v>29400</v>
      </c>
      <c r="Z990" s="52">
        <f>IF(NOTA[[#This Row],[JUMLAH]]="","",NOTA[[#This Row],[DISC 1-]]+NOTA[[#This Row],[DISC 2-]])</f>
        <v>113400</v>
      </c>
      <c r="AA990" s="52">
        <f>IF(NOTA[[#This Row],[JUMLAH]]="","",NOTA[[#This Row],[JUMLAH]]-NOTA[[#This Row],[DISC]])</f>
        <v>558600</v>
      </c>
      <c r="AB990" s="52"/>
      <c r="AC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0" s="64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990" s="203">
        <f>IF(OR(NOTA[[#This Row],[QTY]]="",NOTA[[#This Row],[HARGA SATUAN]]="",),"",NOTA[[#This Row],[QTY]]*NOTA[[#This Row],[HARGA SATUAN]])</f>
        <v>672000</v>
      </c>
      <c r="AG990" s="53">
        <f ca="1">IF(NOTA[ID_H]="","",INDEX(NOTA[TANGGAL],MATCH(,INDIRECT(ADDRESS(ROW(NOTA[TANGGAL]),COLUMN(NOTA[TANGGAL]))&amp;":"&amp;ADDRESS(ROW(),COLUMN(NOTA[TANGGAL]))),-1)))</f>
        <v>45073</v>
      </c>
      <c r="AH990" s="64" t="str">
        <f ca="1">IF(NOTA[[#This Row],[NAMA BARANG]]="","",INDEX(NOTA[SUPPLIER],MATCH(,INDIRECT(ADDRESS(ROW(NOTA[ID]),COLUMN(NOTA[ID]))&amp;":"&amp;ADDRESS(ROW(),COLUMN(NOTA[ID]))),-1)))</f>
        <v>ATALI MAKMUR</v>
      </c>
      <c r="AI990" s="64" t="str">
        <f ca="1">IF(NOTA[[#This Row],[ID_H]]="","",IF(NOTA[[#This Row],[FAKTUR]]="",INDIRECT(ADDRESS(ROW()-1,COLUMN())),NOTA[[#This Row],[FAKTUR]]))</f>
        <v>ARTO MORO</v>
      </c>
      <c r="AJ990" s="66" t="str">
        <f ca="1">IF(NOTA[[#This Row],[ID]]="","",COUNTIF(NOTA[ID_H],NOTA[[#This Row],[ID_H]]))</f>
        <v/>
      </c>
      <c r="AK990" s="66">
        <f ca="1">IF(NOTA[[#This Row],[TGL.NOTA]]="",IF(NOTA[[#This Row],[SUPPLIER_H]]="","",AK989),MONTH(NOTA[[#This Row],[TGL.NOTA]]))</f>
        <v>5</v>
      </c>
      <c r="AL990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M9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N9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O9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0" s="66" t="str">
        <f>IF(NOTA[[#This Row],[CONCAT4]]="","",_xlfn.IFNA(MATCH(NOTA[[#This Row],[CONCAT4]],[2]!RAW[CONCAT_H],0),FALSE))</f>
        <v/>
      </c>
      <c r="AQ990" s="66">
        <f>IF(NOTA[[#This Row],[CONCAT1]]="","",MATCH(NOTA[[#This Row],[CONCAT1]],[3]!db[NB NOTA_C],0)+1)</f>
        <v>1526</v>
      </c>
    </row>
    <row r="991" spans="1:43" ht="20.100000000000001" customHeight="1" x14ac:dyDescent="0.25">
      <c r="A9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66" t="str">
        <f>IF(NOTA[[#This Row],[ID_P]]="","",MATCH(NOTA[[#This Row],[ID_P]],[1]!B_MSK[N_ID],0))</f>
        <v/>
      </c>
      <c r="D991" s="66">
        <f ca="1">IF(NOTA[[#This Row],[NAMA BARANG]]="","",INDEX(NOTA[ID],MATCH(,INDIRECT(ADDRESS(ROW(NOTA[ID]),COLUMN(NOTA[ID]))&amp;":"&amp;ADDRESS(ROW(),COLUMN(NOTA[ID]))),-1)))</f>
        <v>166</v>
      </c>
      <c r="E991" s="113"/>
      <c r="H991" s="54"/>
      <c r="L991" s="27" t="s">
        <v>1152</v>
      </c>
      <c r="M991" s="114">
        <v>2</v>
      </c>
      <c r="N991" s="66">
        <v>576</v>
      </c>
      <c r="O991" s="27" t="s">
        <v>160</v>
      </c>
      <c r="P991" s="64">
        <v>2150</v>
      </c>
      <c r="Q991" s="79"/>
      <c r="R991" s="42" t="s">
        <v>1153</v>
      </c>
      <c r="S991" s="80">
        <v>0.125</v>
      </c>
      <c r="T991" s="115">
        <v>0.05</v>
      </c>
      <c r="U991" s="52"/>
      <c r="V991" s="77"/>
      <c r="W991" s="52">
        <f>IF(NOTA[[#This Row],[HARGA/ CTN]]="",NOTA[[#This Row],[JUMLAH_H]],NOTA[[#This Row],[HARGA/ CTN]]*IF(NOTA[[#This Row],[C]]="",0,NOTA[[#This Row],[C]]))</f>
        <v>1238400</v>
      </c>
      <c r="X991" s="52">
        <f>IF(NOTA[[#This Row],[JUMLAH]]="","",NOTA[[#This Row],[JUMLAH]]*NOTA[[#This Row],[DISC 1]])</f>
        <v>154800</v>
      </c>
      <c r="Y991" s="52">
        <f>IF(NOTA[[#This Row],[JUMLAH]]="","",(NOTA[[#This Row],[JUMLAH]]-NOTA[[#This Row],[DISC 1-]])*NOTA[[#This Row],[DISC 2]])</f>
        <v>54180</v>
      </c>
      <c r="Z991" s="52">
        <f>IF(NOTA[[#This Row],[JUMLAH]]="","",NOTA[[#This Row],[DISC 1-]]+NOTA[[#This Row],[DISC 2-]])</f>
        <v>208980</v>
      </c>
      <c r="AA991" s="52">
        <f>IF(NOTA[[#This Row],[JUMLAH]]="","",NOTA[[#This Row],[JUMLAH]]-NOTA[[#This Row],[DISC]])</f>
        <v>1029420</v>
      </c>
      <c r="AB991" s="52"/>
      <c r="AC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1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991" s="203">
        <f>IF(OR(NOTA[[#This Row],[QTY]]="",NOTA[[#This Row],[HARGA SATUAN]]="",),"",NOTA[[#This Row],[QTY]]*NOTA[[#This Row],[HARGA SATUAN]])</f>
        <v>1238400</v>
      </c>
      <c r="AG991" s="53">
        <f ca="1">IF(NOTA[ID_H]="","",INDEX(NOTA[TANGGAL],MATCH(,INDIRECT(ADDRESS(ROW(NOTA[TANGGAL]),COLUMN(NOTA[TANGGAL]))&amp;":"&amp;ADDRESS(ROW(),COLUMN(NOTA[TANGGAL]))),-1)))</f>
        <v>45073</v>
      </c>
      <c r="AH991" s="64" t="str">
        <f ca="1">IF(NOTA[[#This Row],[NAMA BARANG]]="","",INDEX(NOTA[SUPPLIER],MATCH(,INDIRECT(ADDRESS(ROW(NOTA[ID]),COLUMN(NOTA[ID]))&amp;":"&amp;ADDRESS(ROW(),COLUMN(NOTA[ID]))),-1)))</f>
        <v>ATALI MAKMUR</v>
      </c>
      <c r="AI991" s="64" t="str">
        <f ca="1">IF(NOTA[[#This Row],[ID_H]]="","",IF(NOTA[[#This Row],[FAKTUR]]="",INDIRECT(ADDRESS(ROW()-1,COLUMN())),NOTA[[#This Row],[FAKTUR]]))</f>
        <v>ARTO MORO</v>
      </c>
      <c r="AJ991" s="66" t="str">
        <f ca="1">IF(NOTA[[#This Row],[ID]]="","",COUNTIF(NOTA[ID_H],NOTA[[#This Row],[ID_H]]))</f>
        <v/>
      </c>
      <c r="AK991" s="66">
        <f ca="1">IF(NOTA[[#This Row],[TGL.NOTA]]="",IF(NOTA[[#This Row],[SUPPLIER_H]]="","",AK990),MONTH(NOTA[[#This Row],[TGL.NOTA]]))</f>
        <v>5</v>
      </c>
      <c r="AL991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9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9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9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1" s="66" t="str">
        <f>IF(NOTA[[#This Row],[CONCAT4]]="","",_xlfn.IFNA(MATCH(NOTA[[#This Row],[CONCAT4]],[2]!RAW[CONCAT_H],0),FALSE))</f>
        <v/>
      </c>
      <c r="AQ991" s="66">
        <f>IF(NOTA[[#This Row],[CONCAT1]]="","",MATCH(NOTA[[#This Row],[CONCAT1]],[3]!db[NB NOTA_C],0)+1)</f>
        <v>999</v>
      </c>
    </row>
    <row r="992" spans="1:43" ht="20.100000000000001" customHeight="1" x14ac:dyDescent="0.25">
      <c r="A9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66" t="str">
        <f>IF(NOTA[[#This Row],[ID_P]]="","",MATCH(NOTA[[#This Row],[ID_P]],[1]!B_MSK[N_ID],0))</f>
        <v/>
      </c>
      <c r="D992" s="66">
        <f ca="1">IF(NOTA[[#This Row],[NAMA BARANG]]="","",INDEX(NOTA[ID],MATCH(,INDIRECT(ADDRESS(ROW(NOTA[ID]),COLUMN(NOTA[ID]))&amp;":"&amp;ADDRESS(ROW(),COLUMN(NOTA[ID]))),-1)))</f>
        <v>166</v>
      </c>
      <c r="E992" s="113"/>
      <c r="H992" s="54"/>
      <c r="L992" s="27" t="s">
        <v>1096</v>
      </c>
      <c r="M992" s="114">
        <v>2</v>
      </c>
      <c r="N992" s="66">
        <v>144</v>
      </c>
      <c r="O992" s="27" t="s">
        <v>252</v>
      </c>
      <c r="P992" s="64">
        <v>23000</v>
      </c>
      <c r="Q992" s="79"/>
      <c r="R992" s="42"/>
      <c r="S992" s="80">
        <v>0.125</v>
      </c>
      <c r="T992" s="115">
        <v>0.05</v>
      </c>
      <c r="U992" s="52"/>
      <c r="V992" s="77"/>
      <c r="W992" s="52">
        <f>IF(NOTA[[#This Row],[HARGA/ CTN]]="",NOTA[[#This Row],[JUMLAH_H]],NOTA[[#This Row],[HARGA/ CTN]]*IF(NOTA[[#This Row],[C]]="",0,NOTA[[#This Row],[C]]))</f>
        <v>3312000</v>
      </c>
      <c r="X992" s="52">
        <f>IF(NOTA[[#This Row],[JUMLAH]]="","",NOTA[[#This Row],[JUMLAH]]*NOTA[[#This Row],[DISC 1]])</f>
        <v>414000</v>
      </c>
      <c r="Y992" s="52">
        <f>IF(NOTA[[#This Row],[JUMLAH]]="","",(NOTA[[#This Row],[JUMLAH]]-NOTA[[#This Row],[DISC 1-]])*NOTA[[#This Row],[DISC 2]])</f>
        <v>144900</v>
      </c>
      <c r="Z992" s="52">
        <f>IF(NOTA[[#This Row],[JUMLAH]]="","",NOTA[[#This Row],[DISC 1-]]+NOTA[[#This Row],[DISC 2-]])</f>
        <v>558900</v>
      </c>
      <c r="AA992" s="52">
        <f>IF(NOTA[[#This Row],[JUMLAH]]="","",NOTA[[#This Row],[JUMLAH]]-NOTA[[#This Row],[DISC]])</f>
        <v>2753100</v>
      </c>
      <c r="AB992" s="52"/>
      <c r="AC9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2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92" s="203">
        <f>IF(OR(NOTA[[#This Row],[QTY]]="",NOTA[[#This Row],[HARGA SATUAN]]="",),"",NOTA[[#This Row],[QTY]]*NOTA[[#This Row],[HARGA SATUAN]])</f>
        <v>3312000</v>
      </c>
      <c r="AG992" s="53">
        <f ca="1">IF(NOTA[ID_H]="","",INDEX(NOTA[TANGGAL],MATCH(,INDIRECT(ADDRESS(ROW(NOTA[TANGGAL]),COLUMN(NOTA[TANGGAL]))&amp;":"&amp;ADDRESS(ROW(),COLUMN(NOTA[TANGGAL]))),-1)))</f>
        <v>45073</v>
      </c>
      <c r="AH992" s="64" t="str">
        <f ca="1">IF(NOTA[[#This Row],[NAMA BARANG]]="","",INDEX(NOTA[SUPPLIER],MATCH(,INDIRECT(ADDRESS(ROW(NOTA[ID]),COLUMN(NOTA[ID]))&amp;":"&amp;ADDRESS(ROW(),COLUMN(NOTA[ID]))),-1)))</f>
        <v>ATALI MAKMUR</v>
      </c>
      <c r="AI992" s="64" t="str">
        <f ca="1">IF(NOTA[[#This Row],[ID_H]]="","",IF(NOTA[[#This Row],[FAKTUR]]="",INDIRECT(ADDRESS(ROW()-1,COLUMN())),NOTA[[#This Row],[FAKTUR]]))</f>
        <v>ARTO MORO</v>
      </c>
      <c r="AJ992" s="66" t="str">
        <f ca="1">IF(NOTA[[#This Row],[ID]]="","",COUNTIF(NOTA[ID_H],NOTA[[#This Row],[ID_H]]))</f>
        <v/>
      </c>
      <c r="AK992" s="66">
        <f ca="1">IF(NOTA[[#This Row],[TGL.NOTA]]="",IF(NOTA[[#This Row],[SUPPLIER_H]]="","",AK991),MONTH(NOTA[[#This Row],[TGL.NOTA]]))</f>
        <v>5</v>
      </c>
      <c r="AL992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9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9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2" s="66" t="str">
        <f>IF(NOTA[[#This Row],[CONCAT4]]="","",_xlfn.IFNA(MATCH(NOTA[[#This Row],[CONCAT4]],[2]!RAW[CONCAT_H],0),FALSE))</f>
        <v/>
      </c>
      <c r="AQ992" s="66">
        <f>IF(NOTA[[#This Row],[CONCAT1]]="","",MATCH(NOTA[[#This Row],[CONCAT1]],[3]!db[NB NOTA_C],0)+1)</f>
        <v>1705</v>
      </c>
    </row>
    <row r="993" spans="1:43" ht="20.100000000000001" customHeight="1" x14ac:dyDescent="0.25">
      <c r="A9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66" t="str">
        <f>IF(NOTA[[#This Row],[ID_P]]="","",MATCH(NOTA[[#This Row],[ID_P]],[1]!B_MSK[N_ID],0))</f>
        <v/>
      </c>
      <c r="D993" s="66">
        <f ca="1">IF(NOTA[[#This Row],[NAMA BARANG]]="","",INDEX(NOTA[ID],MATCH(,INDIRECT(ADDRESS(ROW(NOTA[ID]),COLUMN(NOTA[ID]))&amp;":"&amp;ADDRESS(ROW(),COLUMN(NOTA[ID]))),-1)))</f>
        <v>166</v>
      </c>
      <c r="E993" s="113"/>
      <c r="H993" s="54"/>
      <c r="L993" s="27" t="s">
        <v>1097</v>
      </c>
      <c r="M993" s="114">
        <v>2</v>
      </c>
      <c r="N993" s="66">
        <v>96</v>
      </c>
      <c r="O993" s="27" t="s">
        <v>252</v>
      </c>
      <c r="P993" s="64">
        <v>29600</v>
      </c>
      <c r="Q993" s="79"/>
      <c r="R993" s="42"/>
      <c r="S993" s="80">
        <v>0.125</v>
      </c>
      <c r="T993" s="115">
        <v>0.05</v>
      </c>
      <c r="U993" s="52"/>
      <c r="V993" s="77"/>
      <c r="W993" s="52">
        <f>IF(NOTA[[#This Row],[HARGA/ CTN]]="",NOTA[[#This Row],[JUMLAH_H]],NOTA[[#This Row],[HARGA/ CTN]]*IF(NOTA[[#This Row],[C]]="",0,NOTA[[#This Row],[C]]))</f>
        <v>2841600</v>
      </c>
      <c r="X993" s="52">
        <f>IF(NOTA[[#This Row],[JUMLAH]]="","",NOTA[[#This Row],[JUMLAH]]*NOTA[[#This Row],[DISC 1]])</f>
        <v>355200</v>
      </c>
      <c r="Y993" s="52">
        <f>IF(NOTA[[#This Row],[JUMLAH]]="","",(NOTA[[#This Row],[JUMLAH]]-NOTA[[#This Row],[DISC 1-]])*NOTA[[#This Row],[DISC 2]])</f>
        <v>124320</v>
      </c>
      <c r="Z993" s="52">
        <f>IF(NOTA[[#This Row],[JUMLAH]]="","",NOTA[[#This Row],[DISC 1-]]+NOTA[[#This Row],[DISC 2-]])</f>
        <v>479520</v>
      </c>
      <c r="AA993" s="52">
        <f>IF(NOTA[[#This Row],[JUMLAH]]="","",NOTA[[#This Row],[JUMLAH]]-NOTA[[#This Row],[DISC]])</f>
        <v>2362080</v>
      </c>
      <c r="AB993" s="52"/>
      <c r="AC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3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93" s="203">
        <f>IF(OR(NOTA[[#This Row],[QTY]]="",NOTA[[#This Row],[HARGA SATUAN]]="",),"",NOTA[[#This Row],[QTY]]*NOTA[[#This Row],[HARGA SATUAN]])</f>
        <v>2841600</v>
      </c>
      <c r="AG993" s="53">
        <f ca="1">IF(NOTA[ID_H]="","",INDEX(NOTA[TANGGAL],MATCH(,INDIRECT(ADDRESS(ROW(NOTA[TANGGAL]),COLUMN(NOTA[TANGGAL]))&amp;":"&amp;ADDRESS(ROW(),COLUMN(NOTA[TANGGAL]))),-1)))</f>
        <v>45073</v>
      </c>
      <c r="AH993" s="64" t="str">
        <f ca="1">IF(NOTA[[#This Row],[NAMA BARANG]]="","",INDEX(NOTA[SUPPLIER],MATCH(,INDIRECT(ADDRESS(ROW(NOTA[ID]),COLUMN(NOTA[ID]))&amp;":"&amp;ADDRESS(ROW(),COLUMN(NOTA[ID]))),-1)))</f>
        <v>ATALI MAKMUR</v>
      </c>
      <c r="AI993" s="64" t="str">
        <f ca="1">IF(NOTA[[#This Row],[ID_H]]="","",IF(NOTA[[#This Row],[FAKTUR]]="",INDIRECT(ADDRESS(ROW()-1,COLUMN())),NOTA[[#This Row],[FAKTUR]]))</f>
        <v>ARTO MORO</v>
      </c>
      <c r="AJ993" s="66" t="str">
        <f ca="1">IF(NOTA[[#This Row],[ID]]="","",COUNTIF(NOTA[ID_H],NOTA[[#This Row],[ID_H]]))</f>
        <v/>
      </c>
      <c r="AK993" s="66">
        <f ca="1">IF(NOTA[[#This Row],[TGL.NOTA]]="",IF(NOTA[[#This Row],[SUPPLIER_H]]="","",AK992),MONTH(NOTA[[#This Row],[TGL.NOTA]]))</f>
        <v>5</v>
      </c>
      <c r="AL993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9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9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3" s="66" t="str">
        <f>IF(NOTA[[#This Row],[CONCAT4]]="","",_xlfn.IFNA(MATCH(NOTA[[#This Row],[CONCAT4]],[2]!RAW[CONCAT_H],0),FALSE))</f>
        <v/>
      </c>
      <c r="AQ993" s="66">
        <f>IF(NOTA[[#This Row],[CONCAT1]]="","",MATCH(NOTA[[#This Row],[CONCAT1]],[3]!db[NB NOTA_C],0)+1)</f>
        <v>1706</v>
      </c>
    </row>
    <row r="994" spans="1:43" ht="20.100000000000001" customHeight="1" x14ac:dyDescent="0.25">
      <c r="A9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66" t="str">
        <f>IF(NOTA[[#This Row],[ID_P]]="","",MATCH(NOTA[[#This Row],[ID_P]],[1]!B_MSK[N_ID],0))</f>
        <v/>
      </c>
      <c r="D994" s="66">
        <f ca="1">IF(NOTA[[#This Row],[NAMA BARANG]]="","",INDEX(NOTA[ID],MATCH(,INDIRECT(ADDRESS(ROW(NOTA[ID]),COLUMN(NOTA[ID]))&amp;":"&amp;ADDRESS(ROW(),COLUMN(NOTA[ID]))),-1)))</f>
        <v>166</v>
      </c>
      <c r="E994" s="113"/>
      <c r="H994" s="54"/>
      <c r="L994" s="27" t="s">
        <v>1098</v>
      </c>
      <c r="M994" s="114">
        <v>2</v>
      </c>
      <c r="N994" s="66">
        <v>72</v>
      </c>
      <c r="O994" s="27" t="s">
        <v>252</v>
      </c>
      <c r="P994" s="64">
        <v>41500</v>
      </c>
      <c r="Q994" s="79"/>
      <c r="R994" s="42"/>
      <c r="S994" s="80">
        <v>0.125</v>
      </c>
      <c r="T994" s="115">
        <v>0.05</v>
      </c>
      <c r="U994" s="52"/>
      <c r="V994" s="77"/>
      <c r="W994" s="52">
        <f>IF(NOTA[[#This Row],[HARGA/ CTN]]="",NOTA[[#This Row],[JUMLAH_H]],NOTA[[#This Row],[HARGA/ CTN]]*IF(NOTA[[#This Row],[C]]="",0,NOTA[[#This Row],[C]]))</f>
        <v>2988000</v>
      </c>
      <c r="X994" s="52">
        <f>IF(NOTA[[#This Row],[JUMLAH]]="","",NOTA[[#This Row],[JUMLAH]]*NOTA[[#This Row],[DISC 1]])</f>
        <v>373500</v>
      </c>
      <c r="Y994" s="52">
        <f>IF(NOTA[[#This Row],[JUMLAH]]="","",(NOTA[[#This Row],[JUMLAH]]-NOTA[[#This Row],[DISC 1-]])*NOTA[[#This Row],[DISC 2]])</f>
        <v>130725</v>
      </c>
      <c r="Z994" s="52">
        <f>IF(NOTA[[#This Row],[JUMLAH]]="","",NOTA[[#This Row],[DISC 1-]]+NOTA[[#This Row],[DISC 2-]])</f>
        <v>504225</v>
      </c>
      <c r="AA994" s="52">
        <f>IF(NOTA[[#This Row],[JUMLAH]]="","",NOTA[[#This Row],[JUMLAH]]-NOTA[[#This Row],[DISC]])</f>
        <v>2483775</v>
      </c>
      <c r="AB994" s="52"/>
      <c r="AC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4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94" s="203">
        <f>IF(OR(NOTA[[#This Row],[QTY]]="",NOTA[[#This Row],[HARGA SATUAN]]="",),"",NOTA[[#This Row],[QTY]]*NOTA[[#This Row],[HARGA SATUAN]])</f>
        <v>2988000</v>
      </c>
      <c r="AG994" s="53">
        <f ca="1">IF(NOTA[ID_H]="","",INDEX(NOTA[TANGGAL],MATCH(,INDIRECT(ADDRESS(ROW(NOTA[TANGGAL]),COLUMN(NOTA[TANGGAL]))&amp;":"&amp;ADDRESS(ROW(),COLUMN(NOTA[TANGGAL]))),-1)))</f>
        <v>45073</v>
      </c>
      <c r="AH994" s="64" t="str">
        <f ca="1">IF(NOTA[[#This Row],[NAMA BARANG]]="","",INDEX(NOTA[SUPPLIER],MATCH(,INDIRECT(ADDRESS(ROW(NOTA[ID]),COLUMN(NOTA[ID]))&amp;":"&amp;ADDRESS(ROW(),COLUMN(NOTA[ID]))),-1)))</f>
        <v>ATALI MAKMUR</v>
      </c>
      <c r="AI994" s="64" t="str">
        <f ca="1">IF(NOTA[[#This Row],[ID_H]]="","",IF(NOTA[[#This Row],[FAKTUR]]="",INDIRECT(ADDRESS(ROW()-1,COLUMN())),NOTA[[#This Row],[FAKTUR]]))</f>
        <v>ARTO MORO</v>
      </c>
      <c r="AJ994" s="66" t="str">
        <f ca="1">IF(NOTA[[#This Row],[ID]]="","",COUNTIF(NOTA[ID_H],NOTA[[#This Row],[ID_H]]))</f>
        <v/>
      </c>
      <c r="AK994" s="66">
        <f ca="1">IF(NOTA[[#This Row],[TGL.NOTA]]="",IF(NOTA[[#This Row],[SUPPLIER_H]]="","",AK993),MONTH(NOTA[[#This Row],[TGL.NOTA]]))</f>
        <v>5</v>
      </c>
      <c r="AL994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9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9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4" s="66" t="str">
        <f>IF(NOTA[[#This Row],[CONCAT4]]="","",_xlfn.IFNA(MATCH(NOTA[[#This Row],[CONCAT4]],[2]!RAW[CONCAT_H],0),FALSE))</f>
        <v/>
      </c>
      <c r="AQ994" s="66">
        <f>IF(NOTA[[#This Row],[CONCAT1]]="","",MATCH(NOTA[[#This Row],[CONCAT1]],[3]!db[NB NOTA_C],0)+1)</f>
        <v>1707</v>
      </c>
    </row>
    <row r="995" spans="1:43" ht="20.100000000000001" customHeight="1" x14ac:dyDescent="0.25">
      <c r="A9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66" t="str">
        <f>IF(NOTA[[#This Row],[ID_P]]="","",MATCH(NOTA[[#This Row],[ID_P]],[1]!B_MSK[N_ID],0))</f>
        <v/>
      </c>
      <c r="D995" s="66">
        <f ca="1">IF(NOTA[[#This Row],[NAMA BARANG]]="","",INDEX(NOTA[ID],MATCH(,INDIRECT(ADDRESS(ROW(NOTA[ID]),COLUMN(NOTA[ID]))&amp;":"&amp;ADDRESS(ROW(),COLUMN(NOTA[ID]))),-1)))</f>
        <v>166</v>
      </c>
      <c r="E995" s="113"/>
      <c r="H995" s="54"/>
      <c r="L995" s="27" t="s">
        <v>1099</v>
      </c>
      <c r="M995" s="114">
        <v>1</v>
      </c>
      <c r="N995" s="66">
        <v>24</v>
      </c>
      <c r="O995" s="27" t="s">
        <v>252</v>
      </c>
      <c r="P995" s="64">
        <v>58900</v>
      </c>
      <c r="Q995" s="79"/>
      <c r="R995" s="42"/>
      <c r="S995" s="80">
        <v>0.125</v>
      </c>
      <c r="T995" s="115">
        <v>0.05</v>
      </c>
      <c r="U995" s="52"/>
      <c r="V995" s="77"/>
      <c r="W995" s="52">
        <f>IF(NOTA[[#This Row],[HARGA/ CTN]]="",NOTA[[#This Row],[JUMLAH_H]],NOTA[[#This Row],[HARGA/ CTN]]*IF(NOTA[[#This Row],[C]]="",0,NOTA[[#This Row],[C]]))</f>
        <v>1413600</v>
      </c>
      <c r="X995" s="52">
        <f>IF(NOTA[[#This Row],[JUMLAH]]="","",NOTA[[#This Row],[JUMLAH]]*NOTA[[#This Row],[DISC 1]])</f>
        <v>176700</v>
      </c>
      <c r="Y995" s="52">
        <f>IF(NOTA[[#This Row],[JUMLAH]]="","",(NOTA[[#This Row],[JUMLAH]]-NOTA[[#This Row],[DISC 1-]])*NOTA[[#This Row],[DISC 2]])</f>
        <v>61845</v>
      </c>
      <c r="Z995" s="52">
        <f>IF(NOTA[[#This Row],[JUMLAH]]="","",NOTA[[#This Row],[DISC 1-]]+NOTA[[#This Row],[DISC 2-]])</f>
        <v>238545</v>
      </c>
      <c r="AA995" s="52">
        <f>IF(NOTA[[#This Row],[JUMLAH]]="","",NOTA[[#This Row],[JUMLAH]]-NOTA[[#This Row],[DISC]])</f>
        <v>1175055</v>
      </c>
      <c r="AB995" s="52"/>
      <c r="AC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5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95" s="203">
        <f>IF(OR(NOTA[[#This Row],[QTY]]="",NOTA[[#This Row],[HARGA SATUAN]]="",),"",NOTA[[#This Row],[QTY]]*NOTA[[#This Row],[HARGA SATUAN]])</f>
        <v>1413600</v>
      </c>
      <c r="AG995" s="53">
        <f ca="1">IF(NOTA[ID_H]="","",INDEX(NOTA[TANGGAL],MATCH(,INDIRECT(ADDRESS(ROW(NOTA[TANGGAL]),COLUMN(NOTA[TANGGAL]))&amp;":"&amp;ADDRESS(ROW(),COLUMN(NOTA[TANGGAL]))),-1)))</f>
        <v>45073</v>
      </c>
      <c r="AH995" s="64" t="str">
        <f ca="1">IF(NOTA[[#This Row],[NAMA BARANG]]="","",INDEX(NOTA[SUPPLIER],MATCH(,INDIRECT(ADDRESS(ROW(NOTA[ID]),COLUMN(NOTA[ID]))&amp;":"&amp;ADDRESS(ROW(),COLUMN(NOTA[ID]))),-1)))</f>
        <v>ATALI MAKMUR</v>
      </c>
      <c r="AI995" s="64" t="str">
        <f ca="1">IF(NOTA[[#This Row],[ID_H]]="","",IF(NOTA[[#This Row],[FAKTUR]]="",INDIRECT(ADDRESS(ROW()-1,COLUMN())),NOTA[[#This Row],[FAKTUR]]))</f>
        <v>ARTO MORO</v>
      </c>
      <c r="AJ995" s="66" t="str">
        <f ca="1">IF(NOTA[[#This Row],[ID]]="","",COUNTIF(NOTA[ID_H],NOTA[[#This Row],[ID_H]]))</f>
        <v/>
      </c>
      <c r="AK995" s="66">
        <f ca="1">IF(NOTA[[#This Row],[TGL.NOTA]]="",IF(NOTA[[#This Row],[SUPPLIER_H]]="","",AK994),MONTH(NOTA[[#This Row],[TGL.NOTA]]))</f>
        <v>5</v>
      </c>
      <c r="AL995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9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9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5" s="66" t="str">
        <f>IF(NOTA[[#This Row],[CONCAT4]]="","",_xlfn.IFNA(MATCH(NOTA[[#This Row],[CONCAT4]],[2]!RAW[CONCAT_H],0),FALSE))</f>
        <v/>
      </c>
      <c r="AQ995" s="66">
        <f>IF(NOTA[[#This Row],[CONCAT1]]="","",MATCH(NOTA[[#This Row],[CONCAT1]],[3]!db[NB NOTA_C],0)+1)</f>
        <v>1708</v>
      </c>
    </row>
    <row r="996" spans="1:43" ht="20.100000000000001" customHeight="1" x14ac:dyDescent="0.25">
      <c r="A99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66" t="str">
        <f>IF(NOTA[[#This Row],[ID_P]]="","",MATCH(NOTA[[#This Row],[ID_P]],[1]!B_MSK[N_ID],0))</f>
        <v/>
      </c>
      <c r="D996" s="66">
        <f ca="1">IF(NOTA[[#This Row],[NAMA BARANG]]="","",INDEX(NOTA[ID],MATCH(,INDIRECT(ADDRESS(ROW(NOTA[ID]),COLUMN(NOTA[ID]))&amp;":"&amp;ADDRESS(ROW(),COLUMN(NOTA[ID]))),-1)))</f>
        <v>166</v>
      </c>
      <c r="E996" s="113"/>
      <c r="H996" s="54"/>
      <c r="L996" s="27" t="s">
        <v>1100</v>
      </c>
      <c r="M996" s="114">
        <v>1</v>
      </c>
      <c r="N996" s="66">
        <v>24</v>
      </c>
      <c r="O996" s="27" t="s">
        <v>252</v>
      </c>
      <c r="P996" s="64">
        <v>66900</v>
      </c>
      <c r="Q996" s="79"/>
      <c r="R996" s="42"/>
      <c r="S996" s="80">
        <v>0.125</v>
      </c>
      <c r="T996" s="115">
        <v>0.05</v>
      </c>
      <c r="U996" s="52"/>
      <c r="V996" s="77"/>
      <c r="W996" s="52">
        <f>IF(NOTA[[#This Row],[HARGA/ CTN]]="",NOTA[[#This Row],[JUMLAH_H]],NOTA[[#This Row],[HARGA/ CTN]]*IF(NOTA[[#This Row],[C]]="",0,NOTA[[#This Row],[C]]))</f>
        <v>1605600</v>
      </c>
      <c r="X996" s="52">
        <f>IF(NOTA[[#This Row],[JUMLAH]]="","",NOTA[[#This Row],[JUMLAH]]*NOTA[[#This Row],[DISC 1]])</f>
        <v>200700</v>
      </c>
      <c r="Y996" s="52">
        <f>IF(NOTA[[#This Row],[JUMLAH]]="","",(NOTA[[#This Row],[JUMLAH]]-NOTA[[#This Row],[DISC 1-]])*NOTA[[#This Row],[DISC 2]])</f>
        <v>70245</v>
      </c>
      <c r="Z996" s="52">
        <f>IF(NOTA[[#This Row],[JUMLAH]]="","",NOTA[[#This Row],[DISC 1-]]+NOTA[[#This Row],[DISC 2-]])</f>
        <v>270945</v>
      </c>
      <c r="AA996" s="52">
        <f>IF(NOTA[[#This Row],[JUMLAH]]="","",NOTA[[#This Row],[JUMLAH]]-NOTA[[#This Row],[DISC]])</f>
        <v>1334655</v>
      </c>
      <c r="AB996" s="52"/>
      <c r="AC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6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6" s="203">
        <f>IF(OR(NOTA[[#This Row],[QTY]]="",NOTA[[#This Row],[HARGA SATUAN]]="",),"",NOTA[[#This Row],[QTY]]*NOTA[[#This Row],[HARGA SATUAN]])</f>
        <v>1605600</v>
      </c>
      <c r="AG996" s="53">
        <f ca="1">IF(NOTA[ID_H]="","",INDEX(NOTA[TANGGAL],MATCH(,INDIRECT(ADDRESS(ROW(NOTA[TANGGAL]),COLUMN(NOTA[TANGGAL]))&amp;":"&amp;ADDRESS(ROW(),COLUMN(NOTA[TANGGAL]))),-1)))</f>
        <v>45073</v>
      </c>
      <c r="AH996" s="64" t="str">
        <f ca="1">IF(NOTA[[#This Row],[NAMA BARANG]]="","",INDEX(NOTA[SUPPLIER],MATCH(,INDIRECT(ADDRESS(ROW(NOTA[ID]),COLUMN(NOTA[ID]))&amp;":"&amp;ADDRESS(ROW(),COLUMN(NOTA[ID]))),-1)))</f>
        <v>ATALI MAKMUR</v>
      </c>
      <c r="AI996" s="64" t="str">
        <f ca="1">IF(NOTA[[#This Row],[ID_H]]="","",IF(NOTA[[#This Row],[FAKTUR]]="",INDIRECT(ADDRESS(ROW()-1,COLUMN())),NOTA[[#This Row],[FAKTUR]]))</f>
        <v>ARTO MORO</v>
      </c>
      <c r="AJ996" s="66" t="str">
        <f ca="1">IF(NOTA[[#This Row],[ID]]="","",COUNTIF(NOTA[ID_H],NOTA[[#This Row],[ID_H]]))</f>
        <v/>
      </c>
      <c r="AK996" s="66">
        <f ca="1">IF(NOTA[[#This Row],[TGL.NOTA]]="",IF(NOTA[[#This Row],[SUPPLIER_H]]="","",AK995),MONTH(NOTA[[#This Row],[TGL.NOTA]]))</f>
        <v>5</v>
      </c>
      <c r="AL996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9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9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6" s="66" t="str">
        <f>IF(NOTA[[#This Row],[CONCAT4]]="","",_xlfn.IFNA(MATCH(NOTA[[#This Row],[CONCAT4]],[2]!RAW[CONCAT_H],0),FALSE))</f>
        <v/>
      </c>
      <c r="AQ996" s="66">
        <f>IF(NOTA[[#This Row],[CONCAT1]]="","",MATCH(NOTA[[#This Row],[CONCAT1]],[3]!db[NB NOTA_C],0)+1)</f>
        <v>1709</v>
      </c>
    </row>
    <row r="997" spans="1:43" ht="20.100000000000001" customHeight="1" x14ac:dyDescent="0.25">
      <c r="A9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66" t="str">
        <f>IF(NOTA[[#This Row],[ID_P]]="","",MATCH(NOTA[[#This Row],[ID_P]],[1]!B_MSK[N_ID],0))</f>
        <v/>
      </c>
      <c r="D997" s="66">
        <f ca="1">IF(NOTA[[#This Row],[NAMA BARANG]]="","",INDEX(NOTA[ID],MATCH(,INDIRECT(ADDRESS(ROW(NOTA[ID]),COLUMN(NOTA[ID]))&amp;":"&amp;ADDRESS(ROW(),COLUMN(NOTA[ID]))),-1)))</f>
        <v>166</v>
      </c>
      <c r="E997" s="113"/>
      <c r="H997" s="54"/>
      <c r="L997" s="27" t="s">
        <v>1101</v>
      </c>
      <c r="N997" s="66">
        <v>4</v>
      </c>
      <c r="O997" s="27" t="s">
        <v>252</v>
      </c>
      <c r="P997" s="64">
        <v>145000</v>
      </c>
      <c r="Q997" s="79"/>
      <c r="R997" s="42"/>
      <c r="S997" s="80">
        <v>0.1</v>
      </c>
      <c r="T997" s="115">
        <v>0.05</v>
      </c>
      <c r="U997" s="52">
        <v>495900</v>
      </c>
      <c r="V997" s="77"/>
      <c r="W997" s="52">
        <f>IF(NOTA[[#This Row],[HARGA/ CTN]]="",NOTA[[#This Row],[JUMLAH_H]],NOTA[[#This Row],[HARGA/ CTN]]*IF(NOTA[[#This Row],[C]]="",0,NOTA[[#This Row],[C]]))</f>
        <v>580000</v>
      </c>
      <c r="X997" s="52">
        <f>IF(NOTA[[#This Row],[JUMLAH]]="","",NOTA[[#This Row],[JUMLAH]]*NOTA[[#This Row],[DISC 1]])</f>
        <v>58000</v>
      </c>
      <c r="Y997" s="52">
        <f>IF(NOTA[[#This Row],[JUMLAH]]="","",(NOTA[[#This Row],[JUMLAH]]-NOTA[[#This Row],[DISC 1-]])*NOTA[[#This Row],[DISC 2]])</f>
        <v>26100</v>
      </c>
      <c r="Z997" s="52">
        <f>IF(NOTA[[#This Row],[JUMLAH]]="","",NOTA[[#This Row],[DISC 1-]]+NOTA[[#This Row],[DISC 2-]])</f>
        <v>84100</v>
      </c>
      <c r="AA997" s="52">
        <f>IF(NOTA[[#This Row],[JUMLAH]]="","",NOTA[[#This Row],[JUMLAH]]-NOTA[[#This Row],[DISC]])</f>
        <v>495900</v>
      </c>
      <c r="AB997" s="52"/>
      <c r="AC9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3639775</v>
      </c>
      <c r="AD99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15072225</v>
      </c>
      <c r="AE997" s="64">
        <f>IF(NOTA[[#This Row],[NAMA BARANG]]="","",IF(NOTA[[#This Row],[JUMLAH_H]]="",NOTA[[#This Row],[HARGA/ CTN]],NOTA[[#This Row],[QTY]]*NOTA[[#This Row],[HARGA SATUAN]]/IF(ISNUMBER(NOTA[[#This Row],[C]]),NOTA[[#This Row],[C]],1)))</f>
        <v>580000</v>
      </c>
      <c r="AF997" s="203">
        <f>IF(OR(NOTA[[#This Row],[QTY]]="",NOTA[[#This Row],[HARGA SATUAN]]="",),"",NOTA[[#This Row],[QTY]]*NOTA[[#This Row],[HARGA SATUAN]])</f>
        <v>580000</v>
      </c>
      <c r="AG997" s="53">
        <f ca="1">IF(NOTA[ID_H]="","",INDEX(NOTA[TANGGAL],MATCH(,INDIRECT(ADDRESS(ROW(NOTA[TANGGAL]),COLUMN(NOTA[TANGGAL]))&amp;":"&amp;ADDRESS(ROW(),COLUMN(NOTA[TANGGAL]))),-1)))</f>
        <v>45073</v>
      </c>
      <c r="AH997" s="64" t="str">
        <f ca="1">IF(NOTA[[#This Row],[NAMA BARANG]]="","",INDEX(NOTA[SUPPLIER],MATCH(,INDIRECT(ADDRESS(ROW(NOTA[ID]),COLUMN(NOTA[ID]))&amp;":"&amp;ADDRESS(ROW(),COLUMN(NOTA[ID]))),-1)))</f>
        <v>ATALI MAKMUR</v>
      </c>
      <c r="AI997" s="64" t="str">
        <f ca="1">IF(NOTA[[#This Row],[ID_H]]="","",IF(NOTA[[#This Row],[FAKTUR]]="",INDIRECT(ADDRESS(ROW()-1,COLUMN())),NOTA[[#This Row],[FAKTUR]]))</f>
        <v>ARTO MORO</v>
      </c>
      <c r="AJ997" s="66" t="str">
        <f ca="1">IF(NOTA[[#This Row],[ID]]="","",COUNTIF(NOTA[ID_H],NOTA[[#This Row],[ID_H]]))</f>
        <v/>
      </c>
      <c r="AK997" s="66">
        <f ca="1">IF(NOTA[[#This Row],[TGL.NOTA]]="",IF(NOTA[[#This Row],[SUPPLIER_H]]="","",AK996),MONTH(NOTA[[#This Row],[TGL.NOTA]]))</f>
        <v>5</v>
      </c>
      <c r="AL997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9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premiumoilcolorpencilcptc12648jkbonus5800000.10.05</v>
      </c>
      <c r="AN9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9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7" s="66" t="str">
        <f>IF(NOTA[[#This Row],[CONCAT4]]="","",_xlfn.IFNA(MATCH(NOTA[[#This Row],[CONCAT4]],[2]!RAW[CONCAT_H],0),FALSE))</f>
        <v/>
      </c>
      <c r="AQ997" s="66">
        <f>IF(NOTA[[#This Row],[CONCAT1]]="","",MATCH(NOTA[[#This Row],[CONCAT1]],[3]!db[NB NOTA_C],0)+1)</f>
        <v>2063</v>
      </c>
    </row>
    <row r="998" spans="1:43" ht="20.100000000000001" customHeight="1" x14ac:dyDescent="0.25">
      <c r="A9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66" t="str">
        <f>IF(NOTA[[#This Row],[ID_P]]="","",MATCH(NOTA[[#This Row],[ID_P]],[1]!B_MSK[N_ID],0))</f>
        <v/>
      </c>
      <c r="D998" s="66" t="str">
        <f ca="1">IF(NOTA[[#This Row],[NAMA BARANG]]="","",INDEX(NOTA[ID],MATCH(,INDIRECT(ADDRESS(ROW(NOTA[ID]),COLUMN(NOTA[ID]))&amp;":"&amp;ADDRESS(ROW(),COLUMN(NOTA[ID]))),-1)))</f>
        <v/>
      </c>
      <c r="E998" s="113"/>
      <c r="H998" s="54"/>
      <c r="N998" s="66"/>
      <c r="Q998" s="79"/>
      <c r="R998" s="42"/>
      <c r="S998" s="80"/>
      <c r="U998" s="52"/>
      <c r="V998" s="77"/>
      <c r="W998" s="52" t="str">
        <f>IF(NOTA[[#This Row],[HARGA/ CTN]]="",NOTA[[#This Row],[JUMLAH_H]],NOTA[[#This Row],[HARGA/ CTN]]*IF(NOTA[[#This Row],[C]]="",0,NOTA[[#This Row],[C]]))</f>
        <v/>
      </c>
      <c r="X998" s="52" t="str">
        <f>IF(NOTA[[#This Row],[JUMLAH]]="","",NOTA[[#This Row],[JUMLAH]]*NOTA[[#This Row],[DISC 1]])</f>
        <v/>
      </c>
      <c r="Y998" s="52" t="str">
        <f>IF(NOTA[[#This Row],[JUMLAH]]="","",(NOTA[[#This Row],[JUMLAH]]-NOTA[[#This Row],[DISC 1-]])*NOTA[[#This Row],[DISC 2]])</f>
        <v/>
      </c>
      <c r="Z998" s="52" t="str">
        <f>IF(NOTA[[#This Row],[JUMLAH]]="","",NOTA[[#This Row],[DISC 1-]]+NOTA[[#This Row],[DISC 2-]])</f>
        <v/>
      </c>
      <c r="AA998" s="52" t="str">
        <f>IF(NOTA[[#This Row],[JUMLAH]]="","",NOTA[[#This Row],[JUMLAH]]-NOTA[[#This Row],[DISC]])</f>
        <v/>
      </c>
      <c r="AB998" s="52"/>
      <c r="AC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8" s="203" t="str">
        <f>IF(OR(NOTA[[#This Row],[QTY]]="",NOTA[[#This Row],[HARGA SATUAN]]="",),"",NOTA[[#This Row],[QTY]]*NOTA[[#This Row],[HARGA SATUAN]])</f>
        <v/>
      </c>
      <c r="AG998" s="53" t="str">
        <f ca="1">IF(NOTA[ID_H]="","",INDEX(NOTA[TANGGAL],MATCH(,INDIRECT(ADDRESS(ROW(NOTA[TANGGAL]),COLUMN(NOTA[TANGGAL]))&amp;":"&amp;ADDRESS(ROW(),COLUMN(NOTA[TANGGAL]))),-1)))</f>
        <v/>
      </c>
      <c r="AH998" s="64" t="str">
        <f ca="1">IF(NOTA[[#This Row],[NAMA BARANG]]="","",INDEX(NOTA[SUPPLIER],MATCH(,INDIRECT(ADDRESS(ROW(NOTA[ID]),COLUMN(NOTA[ID]))&amp;":"&amp;ADDRESS(ROW(),COLUMN(NOTA[ID]))),-1)))</f>
        <v/>
      </c>
      <c r="AI998" s="64" t="str">
        <f ca="1">IF(NOTA[[#This Row],[ID_H]]="","",IF(NOTA[[#This Row],[FAKTUR]]="",INDIRECT(ADDRESS(ROW()-1,COLUMN())),NOTA[[#This Row],[FAKTUR]]))</f>
        <v/>
      </c>
      <c r="AJ998" s="66" t="str">
        <f ca="1">IF(NOTA[[#This Row],[ID]]="","",COUNTIF(NOTA[ID_H],NOTA[[#This Row],[ID_H]]))</f>
        <v/>
      </c>
      <c r="AK998" s="66" t="str">
        <f ca="1">IF(NOTA[[#This Row],[TGL.NOTA]]="",IF(NOTA[[#This Row],[SUPPLIER_H]]="","",AK997),MONTH(NOTA[[#This Row],[TGL.NOTA]]))</f>
        <v/>
      </c>
      <c r="AL998" s="66" t="str">
        <f>LOWER(SUBSTITUTE(SUBSTITUTE(SUBSTITUTE(SUBSTITUTE(SUBSTITUTE(SUBSTITUTE(SUBSTITUTE(SUBSTITUTE(SUBSTITUTE(NOTA[NAMA BARANG]," ",),".",""),"-",""),"(",""),")",""),",",""),"/",""),"""",""),"+",""))</f>
        <v/>
      </c>
      <c r="AM9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8" s="66" t="str">
        <f>IF(NOTA[[#This Row],[CONCAT4]]="","",_xlfn.IFNA(MATCH(NOTA[[#This Row],[CONCAT4]],[2]!RAW[CONCAT_H],0),FALSE))</f>
        <v/>
      </c>
      <c r="AQ998" s="66" t="str">
        <f>IF(NOTA[[#This Row],[CONCAT1]]="","",MATCH(NOTA[[#This Row],[CONCAT1]],[3]!db[NB NOTA_C],0)+1)</f>
        <v/>
      </c>
    </row>
    <row r="999" spans="1:43" ht="20.100000000000001" customHeight="1" x14ac:dyDescent="0.25">
      <c r="A999" s="64">
        <f ca="1">IF(INDIRECT(ADDRESS(ROW()-1,COLUMN(NOTA[[#Headers],[ID]])))="ID",1,IF(NOTA[[#This Row],[FAKTUR]]="","",COUNT(INDIRECT(ADDRESS(ROW(NOTA[ID]),COLUMN(NOTA[ID]))&amp;":"&amp;ADDRESS(ROW()-1,COLUMN(NOTA[ID]))))+1))</f>
        <v>167</v>
      </c>
      <c r="B99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ATA_2705_268-9</v>
      </c>
      <c r="C999" s="66" t="e">
        <f ca="1">IF(NOTA[[#This Row],[ID_P]]="","",MATCH(NOTA[[#This Row],[ID_P]],[1]!B_MSK[N_ID],0))</f>
        <v>#REF!</v>
      </c>
      <c r="D999" s="66">
        <f ca="1">IF(NOTA[[#This Row],[NAMA BARANG]]="","",INDEX(NOTA[ID],MATCH(,INDIRECT(ADDRESS(ROW(NOTA[ID]),COLUMN(NOTA[ID]))&amp;":"&amp;ADDRESS(ROW(),COLUMN(NOTA[ID]))),-1)))</f>
        <v>167</v>
      </c>
      <c r="E999" s="113"/>
      <c r="F999" s="27" t="s">
        <v>25</v>
      </c>
      <c r="G999" s="27" t="s">
        <v>24</v>
      </c>
      <c r="H999" s="54" t="s">
        <v>1154</v>
      </c>
      <c r="J999" s="53">
        <v>45070</v>
      </c>
      <c r="L999" s="27" t="s">
        <v>276</v>
      </c>
      <c r="M999" s="114">
        <v>1</v>
      </c>
      <c r="N999" s="66">
        <v>24</v>
      </c>
      <c r="O999" s="27" t="s">
        <v>146</v>
      </c>
      <c r="P999" s="64">
        <v>162000</v>
      </c>
      <c r="Q999" s="79"/>
      <c r="R999" s="42" t="s">
        <v>277</v>
      </c>
      <c r="S999" s="80">
        <v>0.125</v>
      </c>
      <c r="T999" s="115">
        <v>0.05</v>
      </c>
      <c r="U999" s="52"/>
      <c r="V999" s="77"/>
      <c r="W999" s="52">
        <f>IF(NOTA[[#This Row],[HARGA/ CTN]]="",NOTA[[#This Row],[JUMLAH_H]],NOTA[[#This Row],[HARGA/ CTN]]*IF(NOTA[[#This Row],[C]]="",0,NOTA[[#This Row],[C]]))</f>
        <v>3888000</v>
      </c>
      <c r="X999" s="52">
        <f>IF(NOTA[[#This Row],[JUMLAH]]="","",NOTA[[#This Row],[JUMLAH]]*NOTA[[#This Row],[DISC 1]])</f>
        <v>486000</v>
      </c>
      <c r="Y999" s="52">
        <f>IF(NOTA[[#This Row],[JUMLAH]]="","",(NOTA[[#This Row],[JUMLAH]]-NOTA[[#This Row],[DISC 1-]])*NOTA[[#This Row],[DISC 2]])</f>
        <v>170100</v>
      </c>
      <c r="Z999" s="52">
        <f>IF(NOTA[[#This Row],[JUMLAH]]="","",NOTA[[#This Row],[DISC 1-]]+NOTA[[#This Row],[DISC 2-]])</f>
        <v>656100</v>
      </c>
      <c r="AA999" s="52">
        <f>IF(NOTA[[#This Row],[JUMLAH]]="","",NOTA[[#This Row],[JUMLAH]]-NOTA[[#This Row],[DISC]])</f>
        <v>3231900</v>
      </c>
      <c r="AB999" s="52"/>
      <c r="AC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9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999" s="203">
        <f>IF(OR(NOTA[[#This Row],[QTY]]="",NOTA[[#This Row],[HARGA SATUAN]]="",),"",NOTA[[#This Row],[QTY]]*NOTA[[#This Row],[HARGA SATUAN]])</f>
        <v>3888000</v>
      </c>
      <c r="AG999" s="53">
        <f ca="1">IF(NOTA[ID_H]="","",INDEX(NOTA[TANGGAL],MATCH(,INDIRECT(ADDRESS(ROW(NOTA[TANGGAL]),COLUMN(NOTA[TANGGAL]))&amp;":"&amp;ADDRESS(ROW(),COLUMN(NOTA[TANGGAL]))),-1)))</f>
        <v>45073</v>
      </c>
      <c r="AH999" s="64" t="str">
        <f ca="1">IF(NOTA[[#This Row],[NAMA BARANG]]="","",INDEX(NOTA[SUPPLIER],MATCH(,INDIRECT(ADDRESS(ROW(NOTA[ID]),COLUMN(NOTA[ID]))&amp;":"&amp;ADDRESS(ROW(),COLUMN(NOTA[ID]))),-1)))</f>
        <v>ATALI MAKMUR</v>
      </c>
      <c r="AI999" s="64" t="str">
        <f ca="1">IF(NOTA[[#This Row],[ID_H]]="","",IF(NOTA[[#This Row],[FAKTUR]]="",INDIRECT(ADDRESS(ROW()-1,COLUMN())),NOTA[[#This Row],[FAKTUR]]))</f>
        <v>ARTO MORO</v>
      </c>
      <c r="AJ999" s="66">
        <f ca="1">IF(NOTA[[#This Row],[ID]]="","",COUNTIF(NOTA[ID_H],NOTA[[#This Row],[ID_H]]))</f>
        <v>9</v>
      </c>
      <c r="AK999" s="66">
        <f>IF(NOTA[[#This Row],[TGL.NOTA]]="",IF(NOTA[[#This Row],[SUPPLIER_H]]="","",AK998),MONTH(NOTA[[#This Row],[TGL.NOTA]]))</f>
        <v>5</v>
      </c>
      <c r="AL999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M9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N9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O999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MOROSA23050826845070cutterl500jk</v>
      </c>
      <c r="AP999" s="66" t="e">
        <f>IF(NOTA[[#This Row],[CONCAT4]]="","",_xlfn.IFNA(MATCH(NOTA[[#This Row],[CONCAT4]],[2]!RAW[CONCAT_H],0),FALSE))</f>
        <v>#REF!</v>
      </c>
      <c r="AQ999" s="66">
        <f>IF(NOTA[[#This Row],[CONCAT1]]="","",MATCH(NOTA[[#This Row],[CONCAT1]],[3]!db[NB NOTA_C],0)+1)</f>
        <v>621</v>
      </c>
    </row>
    <row r="1000" spans="1:43" ht="20.100000000000001" customHeight="1" x14ac:dyDescent="0.25">
      <c r="A10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66" t="str">
        <f>IF(NOTA[[#This Row],[ID_P]]="","",MATCH(NOTA[[#This Row],[ID_P]],[1]!B_MSK[N_ID],0))</f>
        <v/>
      </c>
      <c r="D1000" s="66">
        <f ca="1">IF(NOTA[[#This Row],[NAMA BARANG]]="","",INDEX(NOTA[ID],MATCH(,INDIRECT(ADDRESS(ROW(NOTA[ID]),COLUMN(NOTA[ID]))&amp;":"&amp;ADDRESS(ROW(),COLUMN(NOTA[ID]))),-1)))</f>
        <v>167</v>
      </c>
      <c r="E1000" s="113"/>
      <c r="H1000" s="54"/>
      <c r="L1000" s="27" t="s">
        <v>1196</v>
      </c>
      <c r="N1000" s="66">
        <v>24</v>
      </c>
      <c r="O1000" s="27" t="s">
        <v>146</v>
      </c>
      <c r="Q1000" s="79"/>
      <c r="R1000" s="42" t="s">
        <v>279</v>
      </c>
      <c r="S1000" s="80"/>
      <c r="U1000" s="52"/>
      <c r="V1000" s="77" t="s">
        <v>181</v>
      </c>
      <c r="W1000" s="52" t="str">
        <f>IF(NOTA[[#This Row],[HARGA/ CTN]]="",NOTA[[#This Row],[JUMLAH_H]],NOTA[[#This Row],[HARGA/ CTN]]*IF(NOTA[[#This Row],[C]]="",0,NOTA[[#This Row],[C]]))</f>
        <v/>
      </c>
      <c r="X1000" s="52" t="str">
        <f>IF(NOTA[[#This Row],[JUMLAH]]="","",NOTA[[#This Row],[JUMLAH]]*NOTA[[#This Row],[DISC 1]])</f>
        <v/>
      </c>
      <c r="Y1000" s="52" t="str">
        <f>IF(NOTA[[#This Row],[JUMLAH]]="","",(NOTA[[#This Row],[JUMLAH]]-NOTA[[#This Row],[DISC 1-]])*NOTA[[#This Row],[DISC 2]])</f>
        <v/>
      </c>
      <c r="Z1000" s="52" t="str">
        <f>IF(NOTA[[#This Row],[JUMLAH]]="","",NOTA[[#This Row],[DISC 1-]]+NOTA[[#This Row],[DISC 2-]])</f>
        <v/>
      </c>
      <c r="AA1000" s="52" t="str">
        <f>IF(NOTA[[#This Row],[JUMLAH]]="","",NOTA[[#This Row],[JUMLAH]]-NOTA[[#This Row],[DISC]])</f>
        <v/>
      </c>
      <c r="AB1000" s="52"/>
      <c r="AC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0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000" s="203" t="str">
        <f>IF(OR(NOTA[[#This Row],[QTY]]="",NOTA[[#This Row],[HARGA SATUAN]]="",),"",NOTA[[#This Row],[QTY]]*NOTA[[#This Row],[HARGA SATUAN]])</f>
        <v/>
      </c>
      <c r="AG1000" s="53">
        <f ca="1">IF(NOTA[ID_H]="","",INDEX(NOTA[TANGGAL],MATCH(,INDIRECT(ADDRESS(ROW(NOTA[TANGGAL]),COLUMN(NOTA[TANGGAL]))&amp;":"&amp;ADDRESS(ROW(),COLUMN(NOTA[TANGGAL]))),-1)))</f>
        <v>45073</v>
      </c>
      <c r="AH1000" s="64" t="str">
        <f ca="1">IF(NOTA[[#This Row],[NAMA BARANG]]="","",INDEX(NOTA[SUPPLIER],MATCH(,INDIRECT(ADDRESS(ROW(NOTA[ID]),COLUMN(NOTA[ID]))&amp;":"&amp;ADDRESS(ROW(),COLUMN(NOTA[ID]))),-1)))</f>
        <v>ATALI MAKMUR</v>
      </c>
      <c r="AI1000" s="64" t="str">
        <f ca="1">IF(NOTA[[#This Row],[ID_H]]="","",IF(NOTA[[#This Row],[FAKTUR]]="",INDIRECT(ADDRESS(ROW()-1,COLUMN())),NOTA[[#This Row],[FAKTUR]]))</f>
        <v>ARTO MORO</v>
      </c>
      <c r="AJ1000" s="66" t="str">
        <f ca="1">IF(NOTA[[#This Row],[ID]]="","",COUNTIF(NOTA[ID_H],NOTA[[#This Row],[ID_H]]))</f>
        <v/>
      </c>
      <c r="AK1000" s="66">
        <f ca="1">IF(NOTA[[#This Row],[TGL.NOTA]]="",IF(NOTA[[#This Row],[SUPPLIER_H]]="","",AK999),MONTH(NOTA[[#This Row],[TGL.NOTA]]))</f>
        <v>5</v>
      </c>
      <c r="AL1000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M10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N10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O10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0" s="66" t="str">
        <f>IF(NOTA[[#This Row],[CONCAT4]]="","",_xlfn.IFNA(MATCH(NOTA[[#This Row],[CONCAT4]],[2]!RAW[CONCAT_H],0),FALSE))</f>
        <v/>
      </c>
      <c r="AQ1000" s="66">
        <f>IF(NOTA[[#This Row],[CONCAT1]]="","",MATCH(NOTA[[#This Row],[CONCAT1]],[3]!db[NB NOTA_C],0)+1)</f>
        <v>614</v>
      </c>
    </row>
    <row r="1001" spans="1:43" ht="20.100000000000001" customHeight="1" x14ac:dyDescent="0.25">
      <c r="A10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66" t="str">
        <f>IF(NOTA[[#This Row],[ID_P]]="","",MATCH(NOTA[[#This Row],[ID_P]],[1]!B_MSK[N_ID],0))</f>
        <v/>
      </c>
      <c r="D1001" s="66">
        <f ca="1">IF(NOTA[[#This Row],[NAMA BARANG]]="","",INDEX(NOTA[ID],MATCH(,INDIRECT(ADDRESS(ROW(NOTA[ID]),COLUMN(NOTA[ID]))&amp;":"&amp;ADDRESS(ROW(),COLUMN(NOTA[ID]))),-1)))</f>
        <v>167</v>
      </c>
      <c r="E1001" s="113"/>
      <c r="H1001" s="54"/>
      <c r="L1001" s="27" t="s">
        <v>881</v>
      </c>
      <c r="M1001" s="114">
        <v>4</v>
      </c>
      <c r="N1001" s="66">
        <v>576</v>
      </c>
      <c r="O1001" s="27" t="s">
        <v>252</v>
      </c>
      <c r="P1001" s="64">
        <v>11900</v>
      </c>
      <c r="Q1001" s="79"/>
      <c r="R1001" s="42"/>
      <c r="S1001" s="80">
        <v>0.125</v>
      </c>
      <c r="T1001" s="115">
        <v>0.05</v>
      </c>
      <c r="U1001" s="52"/>
      <c r="V1001" s="77"/>
      <c r="W1001" s="52">
        <f>IF(NOTA[[#This Row],[HARGA/ CTN]]="",NOTA[[#This Row],[JUMLAH_H]],NOTA[[#This Row],[HARGA/ CTN]]*IF(NOTA[[#This Row],[C]]="",0,NOTA[[#This Row],[C]]))</f>
        <v>6854400</v>
      </c>
      <c r="X1001" s="52">
        <f>IF(NOTA[[#This Row],[JUMLAH]]="","",NOTA[[#This Row],[JUMLAH]]*NOTA[[#This Row],[DISC 1]])</f>
        <v>856800</v>
      </c>
      <c r="Y1001" s="52">
        <f>IF(NOTA[[#This Row],[JUMLAH]]="","",(NOTA[[#This Row],[JUMLAH]]-NOTA[[#This Row],[DISC 1-]])*NOTA[[#This Row],[DISC 2]])</f>
        <v>299880</v>
      </c>
      <c r="Z1001" s="52">
        <f>IF(NOTA[[#This Row],[JUMLAH]]="","",NOTA[[#This Row],[DISC 1-]]+NOTA[[#This Row],[DISC 2-]])</f>
        <v>1156680</v>
      </c>
      <c r="AA1001" s="52">
        <f>IF(NOTA[[#This Row],[JUMLAH]]="","",NOTA[[#This Row],[JUMLAH]]-NOTA[[#This Row],[DISC]])</f>
        <v>5697720</v>
      </c>
      <c r="AB1001" s="52"/>
      <c r="AC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1" s="64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001" s="203">
        <f>IF(OR(NOTA[[#This Row],[QTY]]="",NOTA[[#This Row],[HARGA SATUAN]]="",),"",NOTA[[#This Row],[QTY]]*NOTA[[#This Row],[HARGA SATUAN]])</f>
        <v>6854400</v>
      </c>
      <c r="AG1001" s="53">
        <f ca="1">IF(NOTA[ID_H]="","",INDEX(NOTA[TANGGAL],MATCH(,INDIRECT(ADDRESS(ROW(NOTA[TANGGAL]),COLUMN(NOTA[TANGGAL]))&amp;":"&amp;ADDRESS(ROW(),COLUMN(NOTA[TANGGAL]))),-1)))</f>
        <v>45073</v>
      </c>
      <c r="AH1001" s="64" t="str">
        <f ca="1">IF(NOTA[[#This Row],[NAMA BARANG]]="","",INDEX(NOTA[SUPPLIER],MATCH(,INDIRECT(ADDRESS(ROW(NOTA[ID]),COLUMN(NOTA[ID]))&amp;":"&amp;ADDRESS(ROW(),COLUMN(NOTA[ID]))),-1)))</f>
        <v>ATALI MAKMUR</v>
      </c>
      <c r="AI1001" s="64" t="str">
        <f ca="1">IF(NOTA[[#This Row],[ID_H]]="","",IF(NOTA[[#This Row],[FAKTUR]]="",INDIRECT(ADDRESS(ROW()-1,COLUMN())),NOTA[[#This Row],[FAKTUR]]))</f>
        <v>ARTO MORO</v>
      </c>
      <c r="AJ1001" s="66" t="str">
        <f ca="1">IF(NOTA[[#This Row],[ID]]="","",COUNTIF(NOTA[ID_H],NOTA[[#This Row],[ID_H]]))</f>
        <v/>
      </c>
      <c r="AK1001" s="66">
        <f ca="1">IF(NOTA[[#This Row],[TGL.NOTA]]="",IF(NOTA[[#This Row],[SUPPLIER_H]]="","",AK1000),MONTH(NOTA[[#This Row],[TGL.NOTA]]))</f>
        <v>5</v>
      </c>
      <c r="AL1001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M10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N10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0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1" s="66" t="str">
        <f>IF(NOTA[[#This Row],[CONCAT4]]="","",_xlfn.IFNA(MATCH(NOTA[[#This Row],[CONCAT4]],[2]!RAW[CONCAT_H],0),FALSE))</f>
        <v/>
      </c>
      <c r="AQ1001" s="66">
        <f>IF(NOTA[[#This Row],[CONCAT1]]="","",MATCH(NOTA[[#This Row],[CONCAT1]],[3]!db[NB NOTA_C],0)+1)</f>
        <v>1704</v>
      </c>
    </row>
    <row r="1002" spans="1:43" ht="20.100000000000001" customHeight="1" x14ac:dyDescent="0.25">
      <c r="A10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66" t="str">
        <f>IF(NOTA[[#This Row],[ID_P]]="","",MATCH(NOTA[[#This Row],[ID_P]],[1]!B_MSK[N_ID],0))</f>
        <v/>
      </c>
      <c r="D1002" s="66">
        <f ca="1">IF(NOTA[[#This Row],[NAMA BARANG]]="","",INDEX(NOTA[ID],MATCH(,INDIRECT(ADDRESS(ROW(NOTA[ID]),COLUMN(NOTA[ID]))&amp;":"&amp;ADDRESS(ROW(),COLUMN(NOTA[ID]))),-1)))</f>
        <v>167</v>
      </c>
      <c r="E1002" s="113"/>
      <c r="H1002" s="54"/>
      <c r="L1002" s="27" t="s">
        <v>1096</v>
      </c>
      <c r="M1002" s="114">
        <v>3</v>
      </c>
      <c r="N1002" s="66">
        <v>216</v>
      </c>
      <c r="O1002" s="27" t="s">
        <v>252</v>
      </c>
      <c r="P1002" s="64">
        <v>23000</v>
      </c>
      <c r="Q1002" s="79"/>
      <c r="R1002" s="42"/>
      <c r="S1002" s="80">
        <v>0.125</v>
      </c>
      <c r="T1002" s="115">
        <v>0.05</v>
      </c>
      <c r="U1002" s="52"/>
      <c r="V1002" s="77"/>
      <c r="W1002" s="52">
        <f>IF(NOTA[[#This Row],[HARGA/ CTN]]="",NOTA[[#This Row],[JUMLAH_H]],NOTA[[#This Row],[HARGA/ CTN]]*IF(NOTA[[#This Row],[C]]="",0,NOTA[[#This Row],[C]]))</f>
        <v>4968000</v>
      </c>
      <c r="X1002" s="52">
        <f>IF(NOTA[[#This Row],[JUMLAH]]="","",NOTA[[#This Row],[JUMLAH]]*NOTA[[#This Row],[DISC 1]])</f>
        <v>621000</v>
      </c>
      <c r="Y1002" s="52">
        <f>IF(NOTA[[#This Row],[JUMLAH]]="","",(NOTA[[#This Row],[JUMLAH]]-NOTA[[#This Row],[DISC 1-]])*NOTA[[#This Row],[DISC 2]])</f>
        <v>217350</v>
      </c>
      <c r="Z1002" s="52">
        <f>IF(NOTA[[#This Row],[JUMLAH]]="","",NOTA[[#This Row],[DISC 1-]]+NOTA[[#This Row],[DISC 2-]])</f>
        <v>838350</v>
      </c>
      <c r="AA1002" s="52">
        <f>IF(NOTA[[#This Row],[JUMLAH]]="","",NOTA[[#This Row],[JUMLAH]]-NOTA[[#This Row],[DISC]])</f>
        <v>4129650</v>
      </c>
      <c r="AB1002" s="52"/>
      <c r="AC10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2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02" s="203">
        <f>IF(OR(NOTA[[#This Row],[QTY]]="",NOTA[[#This Row],[HARGA SATUAN]]="",),"",NOTA[[#This Row],[QTY]]*NOTA[[#This Row],[HARGA SATUAN]])</f>
        <v>4968000</v>
      </c>
      <c r="AG1002" s="53">
        <f ca="1">IF(NOTA[ID_H]="","",INDEX(NOTA[TANGGAL],MATCH(,INDIRECT(ADDRESS(ROW(NOTA[TANGGAL]),COLUMN(NOTA[TANGGAL]))&amp;":"&amp;ADDRESS(ROW(),COLUMN(NOTA[TANGGAL]))),-1)))</f>
        <v>45073</v>
      </c>
      <c r="AH1002" s="64" t="str">
        <f ca="1">IF(NOTA[[#This Row],[NAMA BARANG]]="","",INDEX(NOTA[SUPPLIER],MATCH(,INDIRECT(ADDRESS(ROW(NOTA[ID]),COLUMN(NOTA[ID]))&amp;":"&amp;ADDRESS(ROW(),COLUMN(NOTA[ID]))),-1)))</f>
        <v>ATALI MAKMUR</v>
      </c>
      <c r="AI1002" s="64" t="str">
        <f ca="1">IF(NOTA[[#This Row],[ID_H]]="","",IF(NOTA[[#This Row],[FAKTUR]]="",INDIRECT(ADDRESS(ROW()-1,COLUMN())),NOTA[[#This Row],[FAKTUR]]))</f>
        <v>ARTO MORO</v>
      </c>
      <c r="AJ1002" s="66" t="str">
        <f ca="1">IF(NOTA[[#This Row],[ID]]="","",COUNTIF(NOTA[ID_H],NOTA[[#This Row],[ID_H]]))</f>
        <v/>
      </c>
      <c r="AK1002" s="66">
        <f ca="1">IF(NOTA[[#This Row],[TGL.NOTA]]="",IF(NOTA[[#This Row],[SUPPLIER_H]]="","",AK1000),MONTH(NOTA[[#This Row],[TGL.NOTA]]))</f>
        <v>5</v>
      </c>
      <c r="AL1002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0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0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0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2" s="66" t="str">
        <f>IF(NOTA[[#This Row],[CONCAT4]]="","",_xlfn.IFNA(MATCH(NOTA[[#This Row],[CONCAT4]],[2]!RAW[CONCAT_H],0),FALSE))</f>
        <v/>
      </c>
      <c r="AQ1002" s="66">
        <f>IF(NOTA[[#This Row],[CONCAT1]]="","",MATCH(NOTA[[#This Row],[CONCAT1]],[3]!db[NB NOTA_C],0)+1)</f>
        <v>1705</v>
      </c>
    </row>
    <row r="1003" spans="1:43" ht="20.100000000000001" customHeight="1" x14ac:dyDescent="0.25">
      <c r="A10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66" t="str">
        <f>IF(NOTA[[#This Row],[ID_P]]="","",MATCH(NOTA[[#This Row],[ID_P]],[1]!B_MSK[N_ID],0))</f>
        <v/>
      </c>
      <c r="D1003" s="66">
        <f ca="1">IF(NOTA[[#This Row],[NAMA BARANG]]="","",INDEX(NOTA[ID],MATCH(,INDIRECT(ADDRESS(ROW(NOTA[ID]),COLUMN(NOTA[ID]))&amp;":"&amp;ADDRESS(ROW(),COLUMN(NOTA[ID]))),-1)))</f>
        <v>167</v>
      </c>
      <c r="E1003" s="113"/>
      <c r="H1003" s="54"/>
      <c r="L1003" s="27" t="s">
        <v>1097</v>
      </c>
      <c r="M1003" s="114">
        <v>2</v>
      </c>
      <c r="N1003" s="66">
        <v>96</v>
      </c>
      <c r="O1003" s="27" t="s">
        <v>252</v>
      </c>
      <c r="P1003" s="64">
        <v>29600</v>
      </c>
      <c r="Q1003" s="79"/>
      <c r="R1003" s="42"/>
      <c r="S1003" s="80">
        <v>0.125</v>
      </c>
      <c r="T1003" s="115">
        <v>0.05</v>
      </c>
      <c r="U1003" s="52"/>
      <c r="V1003" s="77"/>
      <c r="W1003" s="52">
        <f>IF(NOTA[[#This Row],[HARGA/ CTN]]="",NOTA[[#This Row],[JUMLAH_H]],NOTA[[#This Row],[HARGA/ CTN]]*IF(NOTA[[#This Row],[C]]="",0,NOTA[[#This Row],[C]]))</f>
        <v>2841600</v>
      </c>
      <c r="X1003" s="52">
        <f>IF(NOTA[[#This Row],[JUMLAH]]="","",NOTA[[#This Row],[JUMLAH]]*NOTA[[#This Row],[DISC 1]])</f>
        <v>355200</v>
      </c>
      <c r="Y1003" s="52">
        <f>IF(NOTA[[#This Row],[JUMLAH]]="","",(NOTA[[#This Row],[JUMLAH]]-NOTA[[#This Row],[DISC 1-]])*NOTA[[#This Row],[DISC 2]])</f>
        <v>124320</v>
      </c>
      <c r="Z1003" s="52">
        <f>IF(NOTA[[#This Row],[JUMLAH]]="","",NOTA[[#This Row],[DISC 1-]]+NOTA[[#This Row],[DISC 2-]])</f>
        <v>479520</v>
      </c>
      <c r="AA1003" s="52">
        <f>IF(NOTA[[#This Row],[JUMLAH]]="","",NOTA[[#This Row],[JUMLAH]]-NOTA[[#This Row],[DISC]])</f>
        <v>2362080</v>
      </c>
      <c r="AB1003" s="52"/>
      <c r="AC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3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003" s="203">
        <f>IF(OR(NOTA[[#This Row],[QTY]]="",NOTA[[#This Row],[HARGA SATUAN]]="",),"",NOTA[[#This Row],[QTY]]*NOTA[[#This Row],[HARGA SATUAN]])</f>
        <v>2841600</v>
      </c>
      <c r="AG1003" s="53">
        <f ca="1">IF(NOTA[ID_H]="","",INDEX(NOTA[TANGGAL],MATCH(,INDIRECT(ADDRESS(ROW(NOTA[TANGGAL]),COLUMN(NOTA[TANGGAL]))&amp;":"&amp;ADDRESS(ROW(),COLUMN(NOTA[TANGGAL]))),-1)))</f>
        <v>45073</v>
      </c>
      <c r="AH1003" s="64" t="str">
        <f ca="1">IF(NOTA[[#This Row],[NAMA BARANG]]="","",INDEX(NOTA[SUPPLIER],MATCH(,INDIRECT(ADDRESS(ROW(NOTA[ID]),COLUMN(NOTA[ID]))&amp;":"&amp;ADDRESS(ROW(),COLUMN(NOTA[ID]))),-1)))</f>
        <v>ATALI MAKMUR</v>
      </c>
      <c r="AI1003" s="64" t="str">
        <f ca="1">IF(NOTA[[#This Row],[ID_H]]="","",IF(NOTA[[#This Row],[FAKTUR]]="",INDIRECT(ADDRESS(ROW()-1,COLUMN())),NOTA[[#This Row],[FAKTUR]]))</f>
        <v>ARTO MORO</v>
      </c>
      <c r="AJ1003" s="66" t="str">
        <f ca="1">IF(NOTA[[#This Row],[ID]]="","",COUNTIF(NOTA[ID_H],NOTA[[#This Row],[ID_H]]))</f>
        <v/>
      </c>
      <c r="AK1003" s="66">
        <f ca="1">IF(NOTA[[#This Row],[TGL.NOTA]]="",IF(NOTA[[#This Row],[SUPPLIER_H]]="","",AK1002),MONTH(NOTA[[#This Row],[TGL.NOTA]]))</f>
        <v>5</v>
      </c>
      <c r="AL1003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0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0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0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3" s="66" t="str">
        <f>IF(NOTA[[#This Row],[CONCAT4]]="","",_xlfn.IFNA(MATCH(NOTA[[#This Row],[CONCAT4]],[2]!RAW[CONCAT_H],0),FALSE))</f>
        <v/>
      </c>
      <c r="AQ1003" s="66">
        <f>IF(NOTA[[#This Row],[CONCAT1]]="","",MATCH(NOTA[[#This Row],[CONCAT1]],[3]!db[NB NOTA_C],0)+1)</f>
        <v>1706</v>
      </c>
    </row>
    <row r="1004" spans="1:43" ht="20.100000000000001" customHeight="1" x14ac:dyDescent="0.25">
      <c r="A100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66" t="str">
        <f>IF(NOTA[[#This Row],[ID_P]]="","",MATCH(NOTA[[#This Row],[ID_P]],[1]!B_MSK[N_ID],0))</f>
        <v/>
      </c>
      <c r="D1004" s="66">
        <f ca="1">IF(NOTA[[#This Row],[NAMA BARANG]]="","",INDEX(NOTA[ID],MATCH(,INDIRECT(ADDRESS(ROW(NOTA[ID]),COLUMN(NOTA[ID]))&amp;":"&amp;ADDRESS(ROW(),COLUMN(NOTA[ID]))),-1)))</f>
        <v>167</v>
      </c>
      <c r="E1004" s="113"/>
      <c r="H1004" s="54"/>
      <c r="L1004" s="27" t="s">
        <v>1098</v>
      </c>
      <c r="M1004" s="114">
        <v>2</v>
      </c>
      <c r="N1004" s="66">
        <v>72</v>
      </c>
      <c r="O1004" s="27" t="s">
        <v>252</v>
      </c>
      <c r="P1004" s="64">
        <v>41500</v>
      </c>
      <c r="Q1004" s="79"/>
      <c r="R1004" s="42"/>
      <c r="S1004" s="80">
        <v>0.125</v>
      </c>
      <c r="T1004" s="115">
        <v>0.05</v>
      </c>
      <c r="U1004" s="52"/>
      <c r="V1004" s="77"/>
      <c r="W1004" s="52">
        <f>IF(NOTA[[#This Row],[HARGA/ CTN]]="",NOTA[[#This Row],[JUMLAH_H]],NOTA[[#This Row],[HARGA/ CTN]]*IF(NOTA[[#This Row],[C]]="",0,NOTA[[#This Row],[C]]))</f>
        <v>2988000</v>
      </c>
      <c r="X1004" s="52">
        <f>IF(NOTA[[#This Row],[JUMLAH]]="","",NOTA[[#This Row],[JUMLAH]]*NOTA[[#This Row],[DISC 1]])</f>
        <v>373500</v>
      </c>
      <c r="Y1004" s="52">
        <f>IF(NOTA[[#This Row],[JUMLAH]]="","",(NOTA[[#This Row],[JUMLAH]]-NOTA[[#This Row],[DISC 1-]])*NOTA[[#This Row],[DISC 2]])</f>
        <v>130725</v>
      </c>
      <c r="Z1004" s="52">
        <f>IF(NOTA[[#This Row],[JUMLAH]]="","",NOTA[[#This Row],[DISC 1-]]+NOTA[[#This Row],[DISC 2-]])</f>
        <v>504225</v>
      </c>
      <c r="AA1004" s="52">
        <f>IF(NOTA[[#This Row],[JUMLAH]]="","",NOTA[[#This Row],[JUMLAH]]-NOTA[[#This Row],[DISC]])</f>
        <v>2483775</v>
      </c>
      <c r="AB1004" s="52"/>
      <c r="AC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4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004" s="203">
        <f>IF(OR(NOTA[[#This Row],[QTY]]="",NOTA[[#This Row],[HARGA SATUAN]]="",),"",NOTA[[#This Row],[QTY]]*NOTA[[#This Row],[HARGA SATUAN]])</f>
        <v>2988000</v>
      </c>
      <c r="AG1004" s="53">
        <f ca="1">IF(NOTA[ID_H]="","",INDEX(NOTA[TANGGAL],MATCH(,INDIRECT(ADDRESS(ROW(NOTA[TANGGAL]),COLUMN(NOTA[TANGGAL]))&amp;":"&amp;ADDRESS(ROW(),COLUMN(NOTA[TANGGAL]))),-1)))</f>
        <v>45073</v>
      </c>
      <c r="AH1004" s="64" t="str">
        <f ca="1">IF(NOTA[[#This Row],[NAMA BARANG]]="","",INDEX(NOTA[SUPPLIER],MATCH(,INDIRECT(ADDRESS(ROW(NOTA[ID]),COLUMN(NOTA[ID]))&amp;":"&amp;ADDRESS(ROW(),COLUMN(NOTA[ID]))),-1)))</f>
        <v>ATALI MAKMUR</v>
      </c>
      <c r="AI1004" s="64" t="str">
        <f ca="1">IF(NOTA[[#This Row],[ID_H]]="","",IF(NOTA[[#This Row],[FAKTUR]]="",INDIRECT(ADDRESS(ROW()-1,COLUMN())),NOTA[[#This Row],[FAKTUR]]))</f>
        <v>ARTO MORO</v>
      </c>
      <c r="AJ1004" s="66" t="str">
        <f ca="1">IF(NOTA[[#This Row],[ID]]="","",COUNTIF(NOTA[ID_H],NOTA[[#This Row],[ID_H]]))</f>
        <v/>
      </c>
      <c r="AK1004" s="66">
        <f ca="1">IF(NOTA[[#This Row],[TGL.NOTA]]="",IF(NOTA[[#This Row],[SUPPLIER_H]]="","",AK1003),MONTH(NOTA[[#This Row],[TGL.NOTA]]))</f>
        <v>5</v>
      </c>
      <c r="AL1004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0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0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0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4" s="66" t="str">
        <f>IF(NOTA[[#This Row],[CONCAT4]]="","",_xlfn.IFNA(MATCH(NOTA[[#This Row],[CONCAT4]],[2]!RAW[CONCAT_H],0),FALSE))</f>
        <v/>
      </c>
      <c r="AQ1004" s="66">
        <f>IF(NOTA[[#This Row],[CONCAT1]]="","",MATCH(NOTA[[#This Row],[CONCAT1]],[3]!db[NB NOTA_C],0)+1)</f>
        <v>1707</v>
      </c>
    </row>
    <row r="1005" spans="1:43" ht="20.100000000000001" customHeight="1" x14ac:dyDescent="0.25">
      <c r="A10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66" t="str">
        <f>IF(NOTA[[#This Row],[ID_P]]="","",MATCH(NOTA[[#This Row],[ID_P]],[1]!B_MSK[N_ID],0))</f>
        <v/>
      </c>
      <c r="D1005" s="66">
        <f ca="1">IF(NOTA[[#This Row],[NAMA BARANG]]="","",INDEX(NOTA[ID],MATCH(,INDIRECT(ADDRESS(ROW(NOTA[ID]),COLUMN(NOTA[ID]))&amp;":"&amp;ADDRESS(ROW(),COLUMN(NOTA[ID]))),-1)))</f>
        <v>167</v>
      </c>
      <c r="E1005" s="113"/>
      <c r="H1005" s="54"/>
      <c r="L1005" s="27" t="s">
        <v>1099</v>
      </c>
      <c r="M1005" s="114">
        <v>1</v>
      </c>
      <c r="N1005" s="66">
        <v>24</v>
      </c>
      <c r="O1005" s="27" t="s">
        <v>252</v>
      </c>
      <c r="P1005" s="64">
        <v>58900</v>
      </c>
      <c r="Q1005" s="79"/>
      <c r="R1005" s="42"/>
      <c r="S1005" s="80">
        <v>0.125</v>
      </c>
      <c r="T1005" s="115">
        <v>0.05</v>
      </c>
      <c r="U1005" s="52"/>
      <c r="V1005" s="77"/>
      <c r="W1005" s="52">
        <f>IF(NOTA[[#This Row],[HARGA/ CTN]]="",NOTA[[#This Row],[JUMLAH_H]],NOTA[[#This Row],[HARGA/ CTN]]*IF(NOTA[[#This Row],[C]]="",0,NOTA[[#This Row],[C]]))</f>
        <v>1413600</v>
      </c>
      <c r="X1005" s="52">
        <f>IF(NOTA[[#This Row],[JUMLAH]]="","",NOTA[[#This Row],[JUMLAH]]*NOTA[[#This Row],[DISC 1]])</f>
        <v>176700</v>
      </c>
      <c r="Y1005" s="52">
        <f>IF(NOTA[[#This Row],[JUMLAH]]="","",(NOTA[[#This Row],[JUMLAH]]-NOTA[[#This Row],[DISC 1-]])*NOTA[[#This Row],[DISC 2]])</f>
        <v>61845</v>
      </c>
      <c r="Z1005" s="52">
        <f>IF(NOTA[[#This Row],[JUMLAH]]="","",NOTA[[#This Row],[DISC 1-]]+NOTA[[#This Row],[DISC 2-]])</f>
        <v>238545</v>
      </c>
      <c r="AA1005" s="52">
        <f>IF(NOTA[[#This Row],[JUMLAH]]="","",NOTA[[#This Row],[JUMLAH]]-NOTA[[#This Row],[DISC]])</f>
        <v>1175055</v>
      </c>
      <c r="AB1005" s="52"/>
      <c r="AC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5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005" s="203">
        <f>IF(OR(NOTA[[#This Row],[QTY]]="",NOTA[[#This Row],[HARGA SATUAN]]="",),"",NOTA[[#This Row],[QTY]]*NOTA[[#This Row],[HARGA SATUAN]])</f>
        <v>1413600</v>
      </c>
      <c r="AG1005" s="53">
        <f ca="1">IF(NOTA[ID_H]="","",INDEX(NOTA[TANGGAL],MATCH(,INDIRECT(ADDRESS(ROW(NOTA[TANGGAL]),COLUMN(NOTA[TANGGAL]))&amp;":"&amp;ADDRESS(ROW(),COLUMN(NOTA[TANGGAL]))),-1)))</f>
        <v>45073</v>
      </c>
      <c r="AH1005" s="64" t="str">
        <f ca="1">IF(NOTA[[#This Row],[NAMA BARANG]]="","",INDEX(NOTA[SUPPLIER],MATCH(,INDIRECT(ADDRESS(ROW(NOTA[ID]),COLUMN(NOTA[ID]))&amp;":"&amp;ADDRESS(ROW(),COLUMN(NOTA[ID]))),-1)))</f>
        <v>ATALI MAKMUR</v>
      </c>
      <c r="AI1005" s="64" t="str">
        <f ca="1">IF(NOTA[[#This Row],[ID_H]]="","",IF(NOTA[[#This Row],[FAKTUR]]="",INDIRECT(ADDRESS(ROW()-1,COLUMN())),NOTA[[#This Row],[FAKTUR]]))</f>
        <v>ARTO MORO</v>
      </c>
      <c r="AJ1005" s="66" t="str">
        <f ca="1">IF(NOTA[[#This Row],[ID]]="","",COUNTIF(NOTA[ID_H],NOTA[[#This Row],[ID_H]]))</f>
        <v/>
      </c>
      <c r="AK1005" s="66">
        <f ca="1">IF(NOTA[[#This Row],[TGL.NOTA]]="",IF(NOTA[[#This Row],[SUPPLIER_H]]="","",AK1004),MONTH(NOTA[[#This Row],[TGL.NOTA]]))</f>
        <v>5</v>
      </c>
      <c r="AL1005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0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0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5" s="66" t="str">
        <f>IF(NOTA[[#This Row],[CONCAT4]]="","",_xlfn.IFNA(MATCH(NOTA[[#This Row],[CONCAT4]],[2]!RAW[CONCAT_H],0),FALSE))</f>
        <v/>
      </c>
      <c r="AQ1005" s="66">
        <f>IF(NOTA[[#This Row],[CONCAT1]]="","",MATCH(NOTA[[#This Row],[CONCAT1]],[3]!db[NB NOTA_C],0)+1)</f>
        <v>1708</v>
      </c>
    </row>
    <row r="1006" spans="1:43" ht="20.100000000000001" customHeight="1" x14ac:dyDescent="0.25">
      <c r="A10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66" t="str">
        <f>IF(NOTA[[#This Row],[ID_P]]="","",MATCH(NOTA[[#This Row],[ID_P]],[1]!B_MSK[N_ID],0))</f>
        <v/>
      </c>
      <c r="D1006" s="66">
        <f ca="1">IF(NOTA[[#This Row],[NAMA BARANG]]="","",INDEX(NOTA[ID],MATCH(,INDIRECT(ADDRESS(ROW(NOTA[ID]),COLUMN(NOTA[ID]))&amp;":"&amp;ADDRESS(ROW(),COLUMN(NOTA[ID]))),-1)))</f>
        <v>167</v>
      </c>
      <c r="E1006" s="113"/>
      <c r="H1006" s="54"/>
      <c r="L1006" s="27" t="s">
        <v>1100</v>
      </c>
      <c r="M1006" s="114">
        <v>2</v>
      </c>
      <c r="N1006" s="66">
        <v>48</v>
      </c>
      <c r="O1006" s="27" t="s">
        <v>252</v>
      </c>
      <c r="P1006" s="64">
        <v>66900</v>
      </c>
      <c r="Q1006" s="79"/>
      <c r="R1006" s="42"/>
      <c r="S1006" s="80">
        <v>0.125</v>
      </c>
      <c r="T1006" s="115">
        <v>0.05</v>
      </c>
      <c r="U1006" s="52"/>
      <c r="V1006" s="77"/>
      <c r="W1006" s="52">
        <f>IF(NOTA[[#This Row],[HARGA/ CTN]]="",NOTA[[#This Row],[JUMLAH_H]],NOTA[[#This Row],[HARGA/ CTN]]*IF(NOTA[[#This Row],[C]]="",0,NOTA[[#This Row],[C]]))</f>
        <v>3211200</v>
      </c>
      <c r="X1006" s="52">
        <f>IF(NOTA[[#This Row],[JUMLAH]]="","",NOTA[[#This Row],[JUMLAH]]*NOTA[[#This Row],[DISC 1]])</f>
        <v>401400</v>
      </c>
      <c r="Y1006" s="52">
        <f>IF(NOTA[[#This Row],[JUMLAH]]="","",(NOTA[[#This Row],[JUMLAH]]-NOTA[[#This Row],[DISC 1-]])*NOTA[[#This Row],[DISC 2]])</f>
        <v>140490</v>
      </c>
      <c r="Z1006" s="52">
        <f>IF(NOTA[[#This Row],[JUMLAH]]="","",NOTA[[#This Row],[DISC 1-]]+NOTA[[#This Row],[DISC 2-]])</f>
        <v>541890</v>
      </c>
      <c r="AA1006" s="52">
        <f>IF(NOTA[[#This Row],[JUMLAH]]="","",NOTA[[#This Row],[JUMLAH]]-NOTA[[#This Row],[DISC]])</f>
        <v>2669310</v>
      </c>
      <c r="AB1006" s="52"/>
      <c r="AC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6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006" s="203">
        <f>IF(OR(NOTA[[#This Row],[QTY]]="",NOTA[[#This Row],[HARGA SATUAN]]="",),"",NOTA[[#This Row],[QTY]]*NOTA[[#This Row],[HARGA SATUAN]])</f>
        <v>3211200</v>
      </c>
      <c r="AG1006" s="53">
        <f ca="1">IF(NOTA[ID_H]="","",INDEX(NOTA[TANGGAL],MATCH(,INDIRECT(ADDRESS(ROW(NOTA[TANGGAL]),COLUMN(NOTA[TANGGAL]))&amp;":"&amp;ADDRESS(ROW(),COLUMN(NOTA[TANGGAL]))),-1)))</f>
        <v>45073</v>
      </c>
      <c r="AH1006" s="64" t="str">
        <f ca="1">IF(NOTA[[#This Row],[NAMA BARANG]]="","",INDEX(NOTA[SUPPLIER],MATCH(,INDIRECT(ADDRESS(ROW(NOTA[ID]),COLUMN(NOTA[ID]))&amp;":"&amp;ADDRESS(ROW(),COLUMN(NOTA[ID]))),-1)))</f>
        <v>ATALI MAKMUR</v>
      </c>
      <c r="AI1006" s="64" t="str">
        <f ca="1">IF(NOTA[[#This Row],[ID_H]]="","",IF(NOTA[[#This Row],[FAKTUR]]="",INDIRECT(ADDRESS(ROW()-1,COLUMN())),NOTA[[#This Row],[FAKTUR]]))</f>
        <v>ARTO MORO</v>
      </c>
      <c r="AJ1006" s="66" t="str">
        <f ca="1">IF(NOTA[[#This Row],[ID]]="","",COUNTIF(NOTA[ID_H],NOTA[[#This Row],[ID_H]]))</f>
        <v/>
      </c>
      <c r="AK1006" s="66">
        <f ca="1">IF(NOTA[[#This Row],[TGL.NOTA]]="",IF(NOTA[[#This Row],[SUPPLIER_H]]="","",AK1005),MONTH(NOTA[[#This Row],[TGL.NOTA]]))</f>
        <v>5</v>
      </c>
      <c r="AL1006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0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0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6" s="66" t="str">
        <f>IF(NOTA[[#This Row],[CONCAT4]]="","",_xlfn.IFNA(MATCH(NOTA[[#This Row],[CONCAT4]],[2]!RAW[CONCAT_H],0),FALSE))</f>
        <v/>
      </c>
      <c r="AQ1006" s="66">
        <f>IF(NOTA[[#This Row],[CONCAT1]]="","",MATCH(NOTA[[#This Row],[CONCAT1]],[3]!db[NB NOTA_C],0)+1)</f>
        <v>1709</v>
      </c>
    </row>
    <row r="1007" spans="1:43" ht="20.100000000000001" customHeight="1" x14ac:dyDescent="0.25">
      <c r="A10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66" t="str">
        <f>IF(NOTA[[#This Row],[ID_P]]="","",MATCH(NOTA[[#This Row],[ID_P]],[1]!B_MSK[N_ID],0))</f>
        <v/>
      </c>
      <c r="D1007" s="66">
        <f ca="1">IF(NOTA[[#This Row],[NAMA BARANG]]="","",INDEX(NOTA[ID],MATCH(,INDIRECT(ADDRESS(ROW(NOTA[ID]),COLUMN(NOTA[ID]))&amp;":"&amp;ADDRESS(ROW(),COLUMN(NOTA[ID]))),-1)))</f>
        <v>167</v>
      </c>
      <c r="E1007" s="113"/>
      <c r="H1007" s="54"/>
      <c r="L1007" s="27" t="s">
        <v>1101</v>
      </c>
      <c r="N1007" s="66">
        <v>7</v>
      </c>
      <c r="O1007" s="27" t="s">
        <v>252</v>
      </c>
      <c r="P1007" s="64">
        <v>145000</v>
      </c>
      <c r="Q1007" s="79"/>
      <c r="R1007" s="42"/>
      <c r="S1007" s="80">
        <v>0.1</v>
      </c>
      <c r="T1007" s="115">
        <v>0.05</v>
      </c>
      <c r="U1007" s="52">
        <v>867825</v>
      </c>
      <c r="V1007" s="77" t="s">
        <v>181</v>
      </c>
      <c r="W1007" s="52">
        <f>IF(NOTA[[#This Row],[HARGA/ CTN]]="",NOTA[[#This Row],[JUMLAH_H]],NOTA[[#This Row],[HARGA/ CTN]]*IF(NOTA[[#This Row],[C]]="",0,NOTA[[#This Row],[C]]))</f>
        <v>1015000</v>
      </c>
      <c r="X1007" s="52">
        <f>IF(NOTA[[#This Row],[JUMLAH]]="","",NOTA[[#This Row],[JUMLAH]]*NOTA[[#This Row],[DISC 1]])</f>
        <v>101500</v>
      </c>
      <c r="Y1007" s="52">
        <f>IF(NOTA[[#This Row],[JUMLAH]]="","",(NOTA[[#This Row],[JUMLAH]]-NOTA[[#This Row],[DISC 1-]])*NOTA[[#This Row],[DISC 2]])</f>
        <v>45675</v>
      </c>
      <c r="Z1007" s="52">
        <f>IF(NOTA[[#This Row],[JUMLAH]]="","",NOTA[[#This Row],[DISC 1-]]+NOTA[[#This Row],[DISC 2-]])</f>
        <v>147175</v>
      </c>
      <c r="AA1007" s="52">
        <f>IF(NOTA[[#This Row],[JUMLAH]]="","",NOTA[[#This Row],[JUMLAH]]-NOTA[[#This Row],[DISC]])</f>
        <v>867825</v>
      </c>
      <c r="AB1007" s="52"/>
      <c r="AC100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5430310</v>
      </c>
      <c r="AD100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21749490</v>
      </c>
      <c r="AE1007" s="64">
        <f>IF(NOTA[[#This Row],[NAMA BARANG]]="","",IF(NOTA[[#This Row],[JUMLAH_H]]="",NOTA[[#This Row],[HARGA/ CTN]],NOTA[[#This Row],[QTY]]*NOTA[[#This Row],[HARGA SATUAN]]/IF(ISNUMBER(NOTA[[#This Row],[C]]),NOTA[[#This Row],[C]],1)))</f>
        <v>1015000</v>
      </c>
      <c r="AF1007" s="203">
        <f>IF(OR(NOTA[[#This Row],[QTY]]="",NOTA[[#This Row],[HARGA SATUAN]]="",),"",NOTA[[#This Row],[QTY]]*NOTA[[#This Row],[HARGA SATUAN]])</f>
        <v>1015000</v>
      </c>
      <c r="AG1007" s="53">
        <f ca="1">IF(NOTA[ID_H]="","",INDEX(NOTA[TANGGAL],MATCH(,INDIRECT(ADDRESS(ROW(NOTA[TANGGAL]),COLUMN(NOTA[TANGGAL]))&amp;":"&amp;ADDRESS(ROW(),COLUMN(NOTA[TANGGAL]))),-1)))</f>
        <v>45073</v>
      </c>
      <c r="AH1007" s="64" t="str">
        <f ca="1">IF(NOTA[[#This Row],[NAMA BARANG]]="","",INDEX(NOTA[SUPPLIER],MATCH(,INDIRECT(ADDRESS(ROW(NOTA[ID]),COLUMN(NOTA[ID]))&amp;":"&amp;ADDRESS(ROW(),COLUMN(NOTA[ID]))),-1)))</f>
        <v>ATALI MAKMUR</v>
      </c>
      <c r="AI1007" s="64" t="str">
        <f ca="1">IF(NOTA[[#This Row],[ID_H]]="","",IF(NOTA[[#This Row],[FAKTUR]]="",INDIRECT(ADDRESS(ROW()-1,COLUMN())),NOTA[[#This Row],[FAKTUR]]))</f>
        <v>ARTO MORO</v>
      </c>
      <c r="AJ1007" s="66" t="str">
        <f ca="1">IF(NOTA[[#This Row],[ID]]="","",COUNTIF(NOTA[ID_H],NOTA[[#This Row],[ID_H]]))</f>
        <v/>
      </c>
      <c r="AK1007" s="66">
        <f ca="1">IF(NOTA[[#This Row],[TGL.NOTA]]="",IF(NOTA[[#This Row],[SUPPLIER_H]]="","",AK1006),MONTH(NOTA[[#This Row],[TGL.NOTA]]))</f>
        <v>5</v>
      </c>
      <c r="AL1007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0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premiumoilcolorpencilcptc12648jkbonus10150000.10.05</v>
      </c>
      <c r="AN10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0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7" s="66" t="str">
        <f>IF(NOTA[[#This Row],[CONCAT4]]="","",_xlfn.IFNA(MATCH(NOTA[[#This Row],[CONCAT4]],[2]!RAW[CONCAT_H],0),FALSE))</f>
        <v/>
      </c>
      <c r="AQ1007" s="66">
        <f>IF(NOTA[[#This Row],[CONCAT1]]="","",MATCH(NOTA[[#This Row],[CONCAT1]],[3]!db[NB NOTA_C],0)+1)</f>
        <v>2063</v>
      </c>
    </row>
    <row r="1008" spans="1:43" ht="20.100000000000001" customHeight="1" x14ac:dyDescent="0.25">
      <c r="A10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66" t="str">
        <f>IF(NOTA[[#This Row],[ID_P]]="","",MATCH(NOTA[[#This Row],[ID_P]],[1]!B_MSK[N_ID],0))</f>
        <v/>
      </c>
      <c r="D1008" s="66" t="str">
        <f ca="1">IF(NOTA[[#This Row],[NAMA BARANG]]="","",INDEX(NOTA[ID],MATCH(,INDIRECT(ADDRESS(ROW(NOTA[ID]),COLUMN(NOTA[ID]))&amp;":"&amp;ADDRESS(ROW(),COLUMN(NOTA[ID]))),-1)))</f>
        <v/>
      </c>
      <c r="E1008" s="113"/>
      <c r="H1008" s="54"/>
      <c r="N1008" s="66"/>
      <c r="Q1008" s="79"/>
      <c r="R1008" s="42"/>
      <c r="S1008" s="80"/>
      <c r="U1008" s="52"/>
      <c r="V1008" s="77"/>
      <c r="W1008" s="52" t="str">
        <f>IF(NOTA[[#This Row],[HARGA/ CTN]]="",NOTA[[#This Row],[JUMLAH_H]],NOTA[[#This Row],[HARGA/ CTN]]*IF(NOTA[[#This Row],[C]]="",0,NOTA[[#This Row],[C]]))</f>
        <v/>
      </c>
      <c r="X1008" s="52" t="str">
        <f>IF(NOTA[[#This Row],[JUMLAH]]="","",NOTA[[#This Row],[JUMLAH]]*NOTA[[#This Row],[DISC 1]])</f>
        <v/>
      </c>
      <c r="Y1008" s="52" t="str">
        <f>IF(NOTA[[#This Row],[JUMLAH]]="","",(NOTA[[#This Row],[JUMLAH]]-NOTA[[#This Row],[DISC 1-]])*NOTA[[#This Row],[DISC 2]])</f>
        <v/>
      </c>
      <c r="Z1008" s="52" t="str">
        <f>IF(NOTA[[#This Row],[JUMLAH]]="","",NOTA[[#This Row],[DISC 1-]]+NOTA[[#This Row],[DISC 2-]])</f>
        <v/>
      </c>
      <c r="AA1008" s="52" t="str">
        <f>IF(NOTA[[#This Row],[JUMLAH]]="","",NOTA[[#This Row],[JUMLAH]]-NOTA[[#This Row],[DISC]])</f>
        <v/>
      </c>
      <c r="AB1008" s="52"/>
      <c r="AC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08" s="203" t="str">
        <f>IF(OR(NOTA[[#This Row],[QTY]]="",NOTA[[#This Row],[HARGA SATUAN]]="",),"",NOTA[[#This Row],[QTY]]*NOTA[[#This Row],[HARGA SATUAN]])</f>
        <v/>
      </c>
      <c r="AG1008" s="53" t="str">
        <f ca="1">IF(NOTA[ID_H]="","",INDEX(NOTA[TANGGAL],MATCH(,INDIRECT(ADDRESS(ROW(NOTA[TANGGAL]),COLUMN(NOTA[TANGGAL]))&amp;":"&amp;ADDRESS(ROW(),COLUMN(NOTA[TANGGAL]))),-1)))</f>
        <v/>
      </c>
      <c r="AH1008" s="64" t="str">
        <f ca="1">IF(NOTA[[#This Row],[NAMA BARANG]]="","",INDEX(NOTA[SUPPLIER],MATCH(,INDIRECT(ADDRESS(ROW(NOTA[ID]),COLUMN(NOTA[ID]))&amp;":"&amp;ADDRESS(ROW(),COLUMN(NOTA[ID]))),-1)))</f>
        <v/>
      </c>
      <c r="AI1008" s="64" t="str">
        <f ca="1">IF(NOTA[[#This Row],[ID_H]]="","",IF(NOTA[[#This Row],[FAKTUR]]="",INDIRECT(ADDRESS(ROW()-1,COLUMN())),NOTA[[#This Row],[FAKTUR]]))</f>
        <v/>
      </c>
      <c r="AJ1008" s="66" t="str">
        <f ca="1">IF(NOTA[[#This Row],[ID]]="","",COUNTIF(NOTA[ID_H],NOTA[[#This Row],[ID_H]]))</f>
        <v/>
      </c>
      <c r="AK1008" s="66" t="str">
        <f ca="1">IF(NOTA[[#This Row],[TGL.NOTA]]="",IF(NOTA[[#This Row],[SUPPLIER_H]]="","",AK1007),MONTH(NOTA[[#This Row],[TGL.NOTA]]))</f>
        <v/>
      </c>
      <c r="AL1008" s="66" t="str">
        <f>LOWER(SUBSTITUTE(SUBSTITUTE(SUBSTITUTE(SUBSTITUTE(SUBSTITUTE(SUBSTITUTE(SUBSTITUTE(SUBSTITUTE(SUBSTITUTE(NOTA[NAMA BARANG]," ",),".",""),"-",""),"(",""),")",""),",",""),"/",""),"""",""),"+",""))</f>
        <v/>
      </c>
      <c r="AM10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08" s="66" t="str">
        <f>IF(NOTA[[#This Row],[CONCAT4]]="","",_xlfn.IFNA(MATCH(NOTA[[#This Row],[CONCAT4]],[2]!RAW[CONCAT_H],0),FALSE))</f>
        <v/>
      </c>
      <c r="AQ1008" s="66" t="str">
        <f>IF(NOTA[[#This Row],[CONCAT1]]="","",MATCH(NOTA[[#This Row],[CONCAT1]],[3]!db[NB NOTA_C],0)+1)</f>
        <v/>
      </c>
    </row>
    <row r="1009" spans="1:43" ht="20.100000000000001" customHeight="1" x14ac:dyDescent="0.25">
      <c r="A1009" s="64">
        <f ca="1">IF(INDIRECT(ADDRESS(ROW()-1,COLUMN(NOTA[[#Headers],[ID]])))="ID",1,IF(NOTA[[#This Row],[FAKTUR]]="","",COUNT(INDIRECT(ADDRESS(ROW(NOTA[ID]),COLUMN(NOTA[ID]))&amp;":"&amp;ADDRESS(ROW()-1,COLUMN(NOTA[ID]))))+1))</f>
        <v>168</v>
      </c>
      <c r="B100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ATA_2905_319-1</v>
      </c>
      <c r="C1009" s="66" t="e">
        <f ca="1">IF(NOTA[[#This Row],[ID_P]]="","",MATCH(NOTA[[#This Row],[ID_P]],[1]!B_MSK[N_ID],0))</f>
        <v>#REF!</v>
      </c>
      <c r="D1009" s="66">
        <f ca="1">IF(NOTA[[#This Row],[NAMA BARANG]]="","",INDEX(NOTA[ID],MATCH(,INDIRECT(ADDRESS(ROW(NOTA[ID]),COLUMN(NOTA[ID]))&amp;":"&amp;ADDRESS(ROW(),COLUMN(NOTA[ID]))),-1)))</f>
        <v>168</v>
      </c>
      <c r="E1009" s="113">
        <v>45075</v>
      </c>
      <c r="F1009" s="27" t="s">
        <v>25</v>
      </c>
      <c r="G1009" s="27" t="s">
        <v>24</v>
      </c>
      <c r="H1009" s="54" t="s">
        <v>1155</v>
      </c>
      <c r="J1009" s="53">
        <v>45071</v>
      </c>
      <c r="L1009" s="27" t="s">
        <v>1131</v>
      </c>
      <c r="M1009" s="114">
        <v>2</v>
      </c>
      <c r="N1009" s="66">
        <v>576</v>
      </c>
      <c r="O1009" s="27" t="s">
        <v>160</v>
      </c>
      <c r="P1009" s="64">
        <v>2150</v>
      </c>
      <c r="Q1009" s="79"/>
      <c r="R1009" s="42" t="s">
        <v>1153</v>
      </c>
      <c r="S1009" s="80">
        <v>0.125</v>
      </c>
      <c r="T1009" s="115">
        <v>0.05</v>
      </c>
      <c r="U1009" s="52"/>
      <c r="V1009" s="77"/>
      <c r="W1009" s="52">
        <f>IF(NOTA[[#This Row],[HARGA/ CTN]]="",NOTA[[#This Row],[JUMLAH_H]],NOTA[[#This Row],[HARGA/ CTN]]*IF(NOTA[[#This Row],[C]]="",0,NOTA[[#This Row],[C]]))</f>
        <v>1238400</v>
      </c>
      <c r="X1009" s="52">
        <f>IF(NOTA[[#This Row],[JUMLAH]]="","",NOTA[[#This Row],[JUMLAH]]*NOTA[[#This Row],[DISC 1]])</f>
        <v>154800</v>
      </c>
      <c r="Y1009" s="52">
        <f>IF(NOTA[[#This Row],[JUMLAH]]="","",(NOTA[[#This Row],[JUMLAH]]-NOTA[[#This Row],[DISC 1-]])*NOTA[[#This Row],[DISC 2]])</f>
        <v>54180</v>
      </c>
      <c r="Z1009" s="52">
        <f>IF(NOTA[[#This Row],[JUMLAH]]="","",NOTA[[#This Row],[DISC 1-]]+NOTA[[#This Row],[DISC 2-]])</f>
        <v>208980</v>
      </c>
      <c r="AA1009" s="52">
        <f>IF(NOTA[[#This Row],[JUMLAH]]="","",NOTA[[#This Row],[JUMLAH]]-NOTA[[#This Row],[DISC]])</f>
        <v>1029420</v>
      </c>
      <c r="AB1009" s="52"/>
      <c r="AC100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208980</v>
      </c>
      <c r="AD100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1029420</v>
      </c>
      <c r="AE1009" s="64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1009" s="203">
        <f>IF(OR(NOTA[[#This Row],[QTY]]="",NOTA[[#This Row],[HARGA SATUAN]]="",),"",NOTA[[#This Row],[QTY]]*NOTA[[#This Row],[HARGA SATUAN]])</f>
        <v>1238400</v>
      </c>
      <c r="AG1009" s="53">
        <f ca="1">IF(NOTA[ID_H]="","",INDEX(NOTA[TANGGAL],MATCH(,INDIRECT(ADDRESS(ROW(NOTA[TANGGAL]),COLUMN(NOTA[TANGGAL]))&amp;":"&amp;ADDRESS(ROW(),COLUMN(NOTA[TANGGAL]))),-1)))</f>
        <v>45075</v>
      </c>
      <c r="AH1009" s="64" t="str">
        <f ca="1">IF(NOTA[[#This Row],[NAMA BARANG]]="","",INDEX(NOTA[SUPPLIER],MATCH(,INDIRECT(ADDRESS(ROW(NOTA[ID]),COLUMN(NOTA[ID]))&amp;":"&amp;ADDRESS(ROW(),COLUMN(NOTA[ID]))),-1)))</f>
        <v>ATALI MAKMUR</v>
      </c>
      <c r="AI1009" s="64" t="str">
        <f ca="1">IF(NOTA[[#This Row],[ID_H]]="","",IF(NOTA[[#This Row],[FAKTUR]]="",INDIRECT(ADDRESS(ROW()-1,COLUMN())),NOTA[[#This Row],[FAKTUR]]))</f>
        <v>ARTO MORO</v>
      </c>
      <c r="AJ1009" s="66">
        <f ca="1">IF(NOTA[[#This Row],[ID]]="","",COUNTIF(NOTA[ID_H],NOTA[[#This Row],[ID_H]]))</f>
        <v>1</v>
      </c>
      <c r="AK1009" s="66">
        <f>IF(NOTA[[#This Row],[TGL.NOTA]]="",IF(NOTA[[#This Row],[SUPPLIER_H]]="","",AK1008),MONTH(NOTA[[#This Row],[TGL.NOTA]]))</f>
        <v>5</v>
      </c>
      <c r="AL1009" s="66" t="str">
        <f>LOWER(SUBSTITUTE(SUBSTITUTE(SUBSTITUTE(SUBSTITUTE(SUBSTITUTE(SUBSTITUTE(SUBSTITUTE(SUBSTITUTE(SUBSTITUTE(NOTA[NAMA BARANG]," ",),".",""),"-",""),"(",""),")",""),",",""),"/",""),"""",""),"+",""))</f>
        <v>glueglr50jk</v>
      </c>
      <c r="AM10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N10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O1009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MOROSA23050831945071glueglr50jk</v>
      </c>
      <c r="AP1009" s="66" t="e">
        <f>IF(NOTA[[#This Row],[CONCAT4]]="","",_xlfn.IFNA(MATCH(NOTA[[#This Row],[CONCAT4]],[2]!RAW[CONCAT_H],0),FALSE))</f>
        <v>#REF!</v>
      </c>
      <c r="AQ1009" s="66">
        <f>IF(NOTA[[#This Row],[CONCAT1]]="","",MATCH(NOTA[[#This Row],[CONCAT1]],[3]!db[NB NOTA_C],0)+1)</f>
        <v>999</v>
      </c>
    </row>
    <row r="1010" spans="1:43" ht="20.100000000000001" customHeight="1" x14ac:dyDescent="0.25">
      <c r="A10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66" t="str">
        <f>IF(NOTA[[#This Row],[ID_P]]="","",MATCH(NOTA[[#This Row],[ID_P]],[1]!B_MSK[N_ID],0))</f>
        <v/>
      </c>
      <c r="D1010" s="66" t="str">
        <f ca="1">IF(NOTA[[#This Row],[NAMA BARANG]]="","",INDEX(NOTA[ID],MATCH(,INDIRECT(ADDRESS(ROW(NOTA[ID]),COLUMN(NOTA[ID]))&amp;":"&amp;ADDRESS(ROW(),COLUMN(NOTA[ID]))),-1)))</f>
        <v/>
      </c>
      <c r="E1010" s="113"/>
      <c r="H1010" s="54"/>
      <c r="N1010" s="66"/>
      <c r="Q1010" s="79"/>
      <c r="R1010" s="42"/>
      <c r="S1010" s="80"/>
      <c r="U1010" s="52"/>
      <c r="V1010" s="77"/>
      <c r="W1010" s="52" t="str">
        <f>IF(NOTA[[#This Row],[HARGA/ CTN]]="",NOTA[[#This Row],[JUMLAH_H]],NOTA[[#This Row],[HARGA/ CTN]]*IF(NOTA[[#This Row],[C]]="",0,NOTA[[#This Row],[C]]))</f>
        <v/>
      </c>
      <c r="X1010" s="52" t="str">
        <f>IF(NOTA[[#This Row],[JUMLAH]]="","",NOTA[[#This Row],[JUMLAH]]*NOTA[[#This Row],[DISC 1]])</f>
        <v/>
      </c>
      <c r="Y1010" s="52" t="str">
        <f>IF(NOTA[[#This Row],[JUMLAH]]="","",(NOTA[[#This Row],[JUMLAH]]-NOTA[[#This Row],[DISC 1-]])*NOTA[[#This Row],[DISC 2]])</f>
        <v/>
      </c>
      <c r="Z1010" s="52" t="str">
        <f>IF(NOTA[[#This Row],[JUMLAH]]="","",NOTA[[#This Row],[DISC 1-]]+NOTA[[#This Row],[DISC 2-]])</f>
        <v/>
      </c>
      <c r="AA1010" s="52" t="str">
        <f>IF(NOTA[[#This Row],[JUMLAH]]="","",NOTA[[#This Row],[JUMLAH]]-NOTA[[#This Row],[DISC]])</f>
        <v/>
      </c>
      <c r="AB1010" s="52"/>
      <c r="AC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0" s="203" t="str">
        <f>IF(OR(NOTA[[#This Row],[QTY]]="",NOTA[[#This Row],[HARGA SATUAN]]="",),"",NOTA[[#This Row],[QTY]]*NOTA[[#This Row],[HARGA SATUAN]])</f>
        <v/>
      </c>
      <c r="AG1010" s="53" t="str">
        <f ca="1">IF(NOTA[ID_H]="","",INDEX(NOTA[TANGGAL],MATCH(,INDIRECT(ADDRESS(ROW(NOTA[TANGGAL]),COLUMN(NOTA[TANGGAL]))&amp;":"&amp;ADDRESS(ROW(),COLUMN(NOTA[TANGGAL]))),-1)))</f>
        <v/>
      </c>
      <c r="AH1010" s="64" t="str">
        <f ca="1">IF(NOTA[[#This Row],[NAMA BARANG]]="","",INDEX(NOTA[SUPPLIER],MATCH(,INDIRECT(ADDRESS(ROW(NOTA[ID]),COLUMN(NOTA[ID]))&amp;":"&amp;ADDRESS(ROW(),COLUMN(NOTA[ID]))),-1)))</f>
        <v/>
      </c>
      <c r="AI1010" s="64" t="str">
        <f ca="1">IF(NOTA[[#This Row],[ID_H]]="","",IF(NOTA[[#This Row],[FAKTUR]]="",INDIRECT(ADDRESS(ROW()-1,COLUMN())),NOTA[[#This Row],[FAKTUR]]))</f>
        <v/>
      </c>
      <c r="AJ1010" s="66" t="str">
        <f ca="1">IF(NOTA[[#This Row],[ID]]="","",COUNTIF(NOTA[ID_H],NOTA[[#This Row],[ID_H]]))</f>
        <v/>
      </c>
      <c r="AK1010" s="66" t="str">
        <f ca="1">IF(NOTA[[#This Row],[TGL.NOTA]]="",IF(NOTA[[#This Row],[SUPPLIER_H]]="","",AK1009),MONTH(NOTA[[#This Row],[TGL.NOTA]]))</f>
        <v/>
      </c>
      <c r="AL1010" s="66" t="str">
        <f>LOWER(SUBSTITUTE(SUBSTITUTE(SUBSTITUTE(SUBSTITUTE(SUBSTITUTE(SUBSTITUTE(SUBSTITUTE(SUBSTITUTE(SUBSTITUTE(NOTA[NAMA BARANG]," ",),".",""),"-",""),"(",""),")",""),",",""),"/",""),"""",""),"+",""))</f>
        <v/>
      </c>
      <c r="AM10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0" s="66" t="str">
        <f>IF(NOTA[[#This Row],[CONCAT4]]="","",_xlfn.IFNA(MATCH(NOTA[[#This Row],[CONCAT4]],[2]!RAW[CONCAT_H],0),FALSE))</f>
        <v/>
      </c>
      <c r="AQ1010" s="66" t="str">
        <f>IF(NOTA[[#This Row],[CONCAT1]]="","",MATCH(NOTA[[#This Row],[CONCAT1]],[3]!db[NB NOTA_C],0)+1)</f>
        <v/>
      </c>
    </row>
    <row r="1011" spans="1:43" ht="20.100000000000001" customHeight="1" x14ac:dyDescent="0.25">
      <c r="A1011" s="64">
        <f ca="1">IF(INDIRECT(ADDRESS(ROW()-1,COLUMN(NOTA[[#Headers],[ID]])))="ID",1,IF(NOTA[[#This Row],[FAKTUR]]="","",COUNT(INDIRECT(ADDRESS(ROW(NOTA[ID]),COLUMN(NOTA[ID]))&amp;":"&amp;ADDRESS(ROW()-1,COLUMN(NOTA[ID]))))+1))</f>
        <v>169</v>
      </c>
      <c r="B10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ATA_2905_396-2</v>
      </c>
      <c r="C1011" s="66" t="e">
        <f ca="1">IF(NOTA[[#This Row],[ID_P]]="","",MATCH(NOTA[[#This Row],[ID_P]],[1]!B_MSK[N_ID],0))</f>
        <v>#REF!</v>
      </c>
      <c r="D1011" s="66">
        <f ca="1">IF(NOTA[[#This Row],[NAMA BARANG]]="","",INDEX(NOTA[ID],MATCH(,INDIRECT(ADDRESS(ROW(NOTA[ID]),COLUMN(NOTA[ID]))&amp;":"&amp;ADDRESS(ROW(),COLUMN(NOTA[ID]))),-1)))</f>
        <v>169</v>
      </c>
      <c r="E1011" s="113"/>
      <c r="F1011" s="27" t="s">
        <v>25</v>
      </c>
      <c r="G1011" s="27" t="s">
        <v>24</v>
      </c>
      <c r="H1011" s="54" t="s">
        <v>1156</v>
      </c>
      <c r="J1011" s="53">
        <v>45072</v>
      </c>
      <c r="L1011" s="27" t="s">
        <v>1157</v>
      </c>
      <c r="M1011" s="114">
        <v>2</v>
      </c>
      <c r="N1011" s="66">
        <v>1000</v>
      </c>
      <c r="O1011" s="27" t="s">
        <v>288</v>
      </c>
      <c r="P1011" s="64">
        <v>4300</v>
      </c>
      <c r="Q1011" s="79"/>
      <c r="R1011" s="42" t="s">
        <v>289</v>
      </c>
      <c r="S1011" s="80">
        <v>0.125</v>
      </c>
      <c r="T1011" s="115">
        <v>0.05</v>
      </c>
      <c r="U1011" s="52"/>
      <c r="V1011" s="77"/>
      <c r="W1011" s="52">
        <f>IF(NOTA[[#This Row],[HARGA/ CTN]]="",NOTA[[#This Row],[JUMLAH_H]],NOTA[[#This Row],[HARGA/ CTN]]*IF(NOTA[[#This Row],[C]]="",0,NOTA[[#This Row],[C]]))</f>
        <v>4300000</v>
      </c>
      <c r="X1011" s="52">
        <f>IF(NOTA[[#This Row],[JUMLAH]]="","",NOTA[[#This Row],[JUMLAH]]*NOTA[[#This Row],[DISC 1]])</f>
        <v>537500</v>
      </c>
      <c r="Y1011" s="52">
        <f>IF(NOTA[[#This Row],[JUMLAH]]="","",(NOTA[[#This Row],[JUMLAH]]-NOTA[[#This Row],[DISC 1-]])*NOTA[[#This Row],[DISC 2]])</f>
        <v>188125</v>
      </c>
      <c r="Z1011" s="52">
        <f>IF(NOTA[[#This Row],[JUMLAH]]="","",NOTA[[#This Row],[DISC 1-]]+NOTA[[#This Row],[DISC 2-]])</f>
        <v>725625</v>
      </c>
      <c r="AA1011" s="52">
        <f>IF(NOTA[[#This Row],[JUMLAH]]="","",NOTA[[#This Row],[JUMLAH]]-NOTA[[#This Row],[DISC]])</f>
        <v>3574375</v>
      </c>
      <c r="AB1011" s="52"/>
      <c r="AC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1" s="64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1011" s="203">
        <f>IF(OR(NOTA[[#This Row],[QTY]]="",NOTA[[#This Row],[HARGA SATUAN]]="",),"",NOTA[[#This Row],[QTY]]*NOTA[[#This Row],[HARGA SATUAN]])</f>
        <v>4300000</v>
      </c>
      <c r="AG1011" s="53">
        <f ca="1">IF(NOTA[ID_H]="","",INDEX(NOTA[TANGGAL],MATCH(,INDIRECT(ADDRESS(ROW(NOTA[TANGGAL]),COLUMN(NOTA[TANGGAL]))&amp;":"&amp;ADDRESS(ROW(),COLUMN(NOTA[TANGGAL]))),-1)))</f>
        <v>45075</v>
      </c>
      <c r="AH1011" s="64" t="str">
        <f ca="1">IF(NOTA[[#This Row],[NAMA BARANG]]="","",INDEX(NOTA[SUPPLIER],MATCH(,INDIRECT(ADDRESS(ROW(NOTA[ID]),COLUMN(NOTA[ID]))&amp;":"&amp;ADDRESS(ROW(),COLUMN(NOTA[ID]))),-1)))</f>
        <v>ATALI MAKMUR</v>
      </c>
      <c r="AI1011" s="64" t="str">
        <f ca="1">IF(NOTA[[#This Row],[ID_H]]="","",IF(NOTA[[#This Row],[FAKTUR]]="",INDIRECT(ADDRESS(ROW()-1,COLUMN())),NOTA[[#This Row],[FAKTUR]]))</f>
        <v>ARTO MORO</v>
      </c>
      <c r="AJ1011" s="66">
        <f ca="1">IF(NOTA[[#This Row],[ID]]="","",COUNTIF(NOTA[ID_H],NOTA[[#This Row],[ID_H]]))</f>
        <v>2</v>
      </c>
      <c r="AK1011" s="66">
        <f>IF(NOTA[[#This Row],[TGL.NOTA]]="",IF(NOTA[[#This Row],[SUPPLIER_H]]="","",AK1010),MONTH(NOTA[[#This Row],[TGL.NOTA]]))</f>
        <v>5</v>
      </c>
      <c r="AL1011" s="66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10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10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101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MOROSA23050839645072labellb32barisyellowfluorjk</v>
      </c>
      <c r="AP1011" s="66" t="e">
        <f>IF(NOTA[[#This Row],[CONCAT4]]="","",_xlfn.IFNA(MATCH(NOTA[[#This Row],[CONCAT4]],[2]!RAW[CONCAT_H],0),FALSE))</f>
        <v>#REF!</v>
      </c>
      <c r="AQ1011" s="66">
        <f>IF(NOTA[[#This Row],[CONCAT1]]="","",MATCH(NOTA[[#This Row],[CONCAT1]],[3]!db[NB NOTA_C],0)+1)</f>
        <v>1465</v>
      </c>
    </row>
    <row r="1012" spans="1:43" ht="20.100000000000001" customHeight="1" x14ac:dyDescent="0.25">
      <c r="A10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66" t="str">
        <f>IF(NOTA[[#This Row],[ID_P]]="","",MATCH(NOTA[[#This Row],[ID_P]],[1]!B_MSK[N_ID],0))</f>
        <v/>
      </c>
      <c r="D1012" s="66">
        <f ca="1">IF(NOTA[[#This Row],[NAMA BARANG]]="","",INDEX(NOTA[ID],MATCH(,INDIRECT(ADDRESS(ROW(NOTA[ID]),COLUMN(NOTA[ID]))&amp;":"&amp;ADDRESS(ROW(),COLUMN(NOTA[ID]))),-1)))</f>
        <v>169</v>
      </c>
      <c r="E1012" s="113"/>
      <c r="H1012" s="54"/>
      <c r="L1012" s="27" t="s">
        <v>1158</v>
      </c>
      <c r="M1012" s="114">
        <v>1</v>
      </c>
      <c r="N1012" s="66">
        <v>8</v>
      </c>
      <c r="O1012" s="27" t="s">
        <v>262</v>
      </c>
      <c r="P1012" s="64">
        <v>120000</v>
      </c>
      <c r="Q1012" s="79"/>
      <c r="R1012" s="42" t="s">
        <v>1159</v>
      </c>
      <c r="S1012" s="80">
        <v>0.125</v>
      </c>
      <c r="T1012" s="115">
        <v>0.05</v>
      </c>
      <c r="U1012" s="52"/>
      <c r="V1012" s="77"/>
      <c r="W1012" s="52">
        <f>IF(NOTA[[#This Row],[HARGA/ CTN]]="",NOTA[[#This Row],[JUMLAH_H]],NOTA[[#This Row],[HARGA/ CTN]]*IF(NOTA[[#This Row],[C]]="",0,NOTA[[#This Row],[C]]))</f>
        <v>960000</v>
      </c>
      <c r="X1012" s="52">
        <f>IF(NOTA[[#This Row],[JUMLAH]]="","",NOTA[[#This Row],[JUMLAH]]*NOTA[[#This Row],[DISC 1]])</f>
        <v>120000</v>
      </c>
      <c r="Y1012" s="52">
        <f>IF(NOTA[[#This Row],[JUMLAH]]="","",(NOTA[[#This Row],[JUMLAH]]-NOTA[[#This Row],[DISC 1-]])*NOTA[[#This Row],[DISC 2]])</f>
        <v>42000</v>
      </c>
      <c r="Z1012" s="52">
        <f>IF(NOTA[[#This Row],[JUMLAH]]="","",NOTA[[#This Row],[DISC 1-]]+NOTA[[#This Row],[DISC 2-]])</f>
        <v>162000</v>
      </c>
      <c r="AA1012" s="52">
        <f>IF(NOTA[[#This Row],[JUMLAH]]="","",NOTA[[#This Row],[JUMLAH]]-NOTA[[#This Row],[DISC]])</f>
        <v>798000</v>
      </c>
      <c r="AB1012" s="52"/>
      <c r="AC10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887625</v>
      </c>
      <c r="AD101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4372375</v>
      </c>
      <c r="AE1012" s="64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012" s="203">
        <f>IF(OR(NOTA[[#This Row],[QTY]]="",NOTA[[#This Row],[HARGA SATUAN]]="",),"",NOTA[[#This Row],[QTY]]*NOTA[[#This Row],[HARGA SATUAN]])</f>
        <v>960000</v>
      </c>
      <c r="AG1012" s="53">
        <f ca="1">IF(NOTA[ID_H]="","",INDEX(NOTA[TANGGAL],MATCH(,INDIRECT(ADDRESS(ROW(NOTA[TANGGAL]),COLUMN(NOTA[TANGGAL]))&amp;":"&amp;ADDRESS(ROW(),COLUMN(NOTA[TANGGAL]))),-1)))</f>
        <v>45075</v>
      </c>
      <c r="AH1012" s="64" t="str">
        <f ca="1">IF(NOTA[[#This Row],[NAMA BARANG]]="","",INDEX(NOTA[SUPPLIER],MATCH(,INDIRECT(ADDRESS(ROW(NOTA[ID]),COLUMN(NOTA[ID]))&amp;":"&amp;ADDRESS(ROW(),COLUMN(NOTA[ID]))),-1)))</f>
        <v>ATALI MAKMUR</v>
      </c>
      <c r="AI1012" s="64" t="str">
        <f ca="1">IF(NOTA[[#This Row],[ID_H]]="","",IF(NOTA[[#This Row],[FAKTUR]]="",INDIRECT(ADDRESS(ROW()-1,COLUMN())),NOTA[[#This Row],[FAKTUR]]))</f>
        <v>ARTO MORO</v>
      </c>
      <c r="AJ1012" s="66" t="str">
        <f ca="1">IF(NOTA[[#This Row],[ID]]="","",COUNTIF(NOTA[ID_H],NOTA[[#This Row],[ID_H]]))</f>
        <v/>
      </c>
      <c r="AK1012" s="66">
        <f ca="1">IF(NOTA[[#This Row],[TGL.NOTA]]="",IF(NOTA[[#This Row],[SUPPLIER_H]]="","",AK1011),MONTH(NOTA[[#This Row],[TGL.NOTA]]))</f>
        <v>5</v>
      </c>
      <c r="AL1012" s="66" t="str">
        <f>LOWER(SUBSTITUTE(SUBSTITUTE(SUBSTITUTE(SUBSTITUTE(SUBSTITUTE(SUBSTITUTE(SUBSTITUTE(SUBSTITUTE(SUBSTITUTE(NOTA[NAMA BARANG]," ",),".",""),"-",""),"(",""),")",""),",",""),"/",""),"""",""),"+",""))</f>
        <v>keyringkr6jk</v>
      </c>
      <c r="AM10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keyringkr6jk9600000.1250.05</v>
      </c>
      <c r="AN10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keyringkr6jk9600000.1250.05</v>
      </c>
      <c r="AO10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2" s="66" t="str">
        <f>IF(NOTA[[#This Row],[CONCAT4]]="","",_xlfn.IFNA(MATCH(NOTA[[#This Row],[CONCAT4]],[2]!RAW[CONCAT_H],0),FALSE))</f>
        <v/>
      </c>
      <c r="AQ1012" s="66">
        <f>IF(NOTA[[#This Row],[CONCAT1]]="","",MATCH(NOTA[[#This Row],[CONCAT1]],[3]!db[NB NOTA_C],0)+1)</f>
        <v>1438</v>
      </c>
    </row>
    <row r="1013" spans="1:43" ht="20.100000000000001" customHeight="1" x14ac:dyDescent="0.25">
      <c r="A10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66" t="str">
        <f>IF(NOTA[[#This Row],[ID_P]]="","",MATCH(NOTA[[#This Row],[ID_P]],[1]!B_MSK[N_ID],0))</f>
        <v/>
      </c>
      <c r="D1013" s="66" t="str">
        <f ca="1">IF(NOTA[[#This Row],[NAMA BARANG]]="","",INDEX(NOTA[ID],MATCH(,INDIRECT(ADDRESS(ROW(NOTA[ID]),COLUMN(NOTA[ID]))&amp;":"&amp;ADDRESS(ROW(),COLUMN(NOTA[ID]))),-1)))</f>
        <v/>
      </c>
      <c r="E1013" s="113"/>
      <c r="H1013" s="54"/>
      <c r="N1013" s="66"/>
      <c r="Q1013" s="79"/>
      <c r="R1013" s="42"/>
      <c r="S1013" s="80"/>
      <c r="U1013" s="52"/>
      <c r="V1013" s="77"/>
      <c r="W1013" s="52" t="str">
        <f>IF(NOTA[[#This Row],[HARGA/ CTN]]="",NOTA[[#This Row],[JUMLAH_H]],NOTA[[#This Row],[HARGA/ CTN]]*IF(NOTA[[#This Row],[C]]="",0,NOTA[[#This Row],[C]]))</f>
        <v/>
      </c>
      <c r="X1013" s="52" t="str">
        <f>IF(NOTA[[#This Row],[JUMLAH]]="","",NOTA[[#This Row],[JUMLAH]]*NOTA[[#This Row],[DISC 1]])</f>
        <v/>
      </c>
      <c r="Y1013" s="52" t="str">
        <f>IF(NOTA[[#This Row],[JUMLAH]]="","",(NOTA[[#This Row],[JUMLAH]]-NOTA[[#This Row],[DISC 1-]])*NOTA[[#This Row],[DISC 2]])</f>
        <v/>
      </c>
      <c r="Z1013" s="52" t="str">
        <f>IF(NOTA[[#This Row],[JUMLAH]]="","",NOTA[[#This Row],[DISC 1-]]+NOTA[[#This Row],[DISC 2-]])</f>
        <v/>
      </c>
      <c r="AA1013" s="52" t="str">
        <f>IF(NOTA[[#This Row],[JUMLAH]]="","",NOTA[[#This Row],[JUMLAH]]-NOTA[[#This Row],[DISC]])</f>
        <v/>
      </c>
      <c r="AB1013" s="52"/>
      <c r="AC10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3" s="203" t="str">
        <f>IF(OR(NOTA[[#This Row],[QTY]]="",NOTA[[#This Row],[HARGA SATUAN]]="",),"",NOTA[[#This Row],[QTY]]*NOTA[[#This Row],[HARGA SATUAN]])</f>
        <v/>
      </c>
      <c r="AG1013" s="53" t="str">
        <f ca="1">IF(NOTA[ID_H]="","",INDEX(NOTA[TANGGAL],MATCH(,INDIRECT(ADDRESS(ROW(NOTA[TANGGAL]),COLUMN(NOTA[TANGGAL]))&amp;":"&amp;ADDRESS(ROW(),COLUMN(NOTA[TANGGAL]))),-1)))</f>
        <v/>
      </c>
      <c r="AH1013" s="64" t="str">
        <f ca="1">IF(NOTA[[#This Row],[NAMA BARANG]]="","",INDEX(NOTA[SUPPLIER],MATCH(,INDIRECT(ADDRESS(ROW(NOTA[ID]),COLUMN(NOTA[ID]))&amp;":"&amp;ADDRESS(ROW(),COLUMN(NOTA[ID]))),-1)))</f>
        <v/>
      </c>
      <c r="AI1013" s="64" t="str">
        <f ca="1">IF(NOTA[[#This Row],[ID_H]]="","",IF(NOTA[[#This Row],[FAKTUR]]="",INDIRECT(ADDRESS(ROW()-1,COLUMN())),NOTA[[#This Row],[FAKTUR]]))</f>
        <v/>
      </c>
      <c r="AJ1013" s="66" t="str">
        <f ca="1">IF(NOTA[[#This Row],[ID]]="","",COUNTIF(NOTA[ID_H],NOTA[[#This Row],[ID_H]]))</f>
        <v/>
      </c>
      <c r="AK1013" s="66" t="str">
        <f ca="1">IF(NOTA[[#This Row],[TGL.NOTA]]="",IF(NOTA[[#This Row],[SUPPLIER_H]]="","",AK1012),MONTH(NOTA[[#This Row],[TGL.NOTA]]))</f>
        <v/>
      </c>
      <c r="AL1013" s="66" t="str">
        <f>LOWER(SUBSTITUTE(SUBSTITUTE(SUBSTITUTE(SUBSTITUTE(SUBSTITUTE(SUBSTITUTE(SUBSTITUTE(SUBSTITUTE(SUBSTITUTE(NOTA[NAMA BARANG]," ",),".",""),"-",""),"(",""),")",""),",",""),"/",""),"""",""),"+",""))</f>
        <v/>
      </c>
      <c r="AM10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3" s="66" t="str">
        <f>IF(NOTA[[#This Row],[CONCAT4]]="","",_xlfn.IFNA(MATCH(NOTA[[#This Row],[CONCAT4]],[2]!RAW[CONCAT_H],0),FALSE))</f>
        <v/>
      </c>
      <c r="AQ1013" s="66" t="str">
        <f>IF(NOTA[[#This Row],[CONCAT1]]="","",MATCH(NOTA[[#This Row],[CONCAT1]],[3]!db[NB NOTA_C],0)+1)</f>
        <v/>
      </c>
    </row>
    <row r="1014" spans="1:43" ht="20.100000000000001" customHeight="1" x14ac:dyDescent="0.25">
      <c r="A1014" s="64">
        <f ca="1">IF(INDIRECT(ADDRESS(ROW()-1,COLUMN(NOTA[[#Headers],[ID]])))="ID",1,IF(NOTA[[#This Row],[FAKTUR]]="","",COUNT(INDIRECT(ADDRESS(ROW(NOTA[ID]),COLUMN(NOTA[ID]))&amp;":"&amp;ADDRESS(ROW()-1,COLUMN(NOTA[ID]))))+1))</f>
        <v>170</v>
      </c>
      <c r="B101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KEN_2705_394-10</v>
      </c>
      <c r="C1014" s="66" t="e">
        <f ca="1">IF(NOTA[[#This Row],[ID_P]]="","",MATCH(NOTA[[#This Row],[ID_P]],[1]!B_MSK[N_ID],0))</f>
        <v>#REF!</v>
      </c>
      <c r="D1014" s="66">
        <f ca="1">IF(NOTA[[#This Row],[NAMA BARANG]]="","",INDEX(NOTA[ID],MATCH(,INDIRECT(ADDRESS(ROW(NOTA[ID]),COLUMN(NOTA[ID]))&amp;":"&amp;ADDRESS(ROW(),COLUMN(NOTA[ID]))),-1)))</f>
        <v>170</v>
      </c>
      <c r="E1014" s="113">
        <v>45073</v>
      </c>
      <c r="F1014" s="27" t="s">
        <v>23</v>
      </c>
      <c r="G1014" s="27" t="s">
        <v>24</v>
      </c>
      <c r="H1014" s="54" t="s">
        <v>1160</v>
      </c>
      <c r="I1014" s="27" t="s">
        <v>1164</v>
      </c>
      <c r="J1014" s="53">
        <v>45071</v>
      </c>
      <c r="L1014" s="27" t="s">
        <v>1161</v>
      </c>
      <c r="M1014" s="114">
        <v>2</v>
      </c>
      <c r="N1014" s="66"/>
      <c r="Q1014" s="79">
        <v>2052000</v>
      </c>
      <c r="R1014" s="42"/>
      <c r="S1014" s="80">
        <v>0.17</v>
      </c>
      <c r="U1014" s="52"/>
      <c r="V1014" s="77"/>
      <c r="W1014" s="52">
        <f>IF(NOTA[[#This Row],[HARGA/ CTN]]="",NOTA[[#This Row],[JUMLAH_H]],NOTA[[#This Row],[HARGA/ CTN]]*IF(NOTA[[#This Row],[C]]="",0,NOTA[[#This Row],[C]]))</f>
        <v>4104000</v>
      </c>
      <c r="X1014" s="52">
        <f>IF(NOTA[[#This Row],[JUMLAH]]="","",NOTA[[#This Row],[JUMLAH]]*NOTA[[#This Row],[DISC 1]])</f>
        <v>697680</v>
      </c>
      <c r="Y1014" s="52">
        <f>IF(NOTA[[#This Row],[JUMLAH]]="","",(NOTA[[#This Row],[JUMLAH]]-NOTA[[#This Row],[DISC 1-]])*NOTA[[#This Row],[DISC 2]])</f>
        <v>0</v>
      </c>
      <c r="Z1014" s="52">
        <f>IF(NOTA[[#This Row],[JUMLAH]]="","",NOTA[[#This Row],[DISC 1-]]+NOTA[[#This Row],[DISC 2-]])</f>
        <v>697680</v>
      </c>
      <c r="AA1014" s="52">
        <f>IF(NOTA[[#This Row],[JUMLAH]]="","",NOTA[[#This Row],[JUMLAH]]-NOTA[[#This Row],[DISC]])</f>
        <v>3406320</v>
      </c>
      <c r="AB1014" s="52"/>
      <c r="AC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4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14" s="203" t="str">
        <f>IF(OR(NOTA[[#This Row],[QTY]]="",NOTA[[#This Row],[HARGA SATUAN]]="",),"",NOTA[[#This Row],[QTY]]*NOTA[[#This Row],[HARGA SATUAN]])</f>
        <v/>
      </c>
      <c r="AG1014" s="53">
        <f ca="1">IF(NOTA[ID_H]="","",INDEX(NOTA[TANGGAL],MATCH(,INDIRECT(ADDRESS(ROW(NOTA[TANGGAL]),COLUMN(NOTA[TANGGAL]))&amp;":"&amp;ADDRESS(ROW(),COLUMN(NOTA[TANGGAL]))),-1)))</f>
        <v>45073</v>
      </c>
      <c r="AH1014" s="64" t="str">
        <f ca="1">IF(NOTA[[#This Row],[NAMA BARANG]]="","",INDEX(NOTA[SUPPLIER],MATCH(,INDIRECT(ADDRESS(ROW(NOTA[ID]),COLUMN(NOTA[ID]))&amp;":"&amp;ADDRESS(ROW(),COLUMN(NOTA[ID]))),-1)))</f>
        <v>KENKO SINAR INDONESIA</v>
      </c>
      <c r="AI1014" s="64" t="str">
        <f ca="1">IF(NOTA[[#This Row],[ID_H]]="","",IF(NOTA[[#This Row],[FAKTUR]]="",INDIRECT(ADDRESS(ROW()-1,COLUMN())),NOTA[[#This Row],[FAKTUR]]))</f>
        <v>ARTO MORO</v>
      </c>
      <c r="AJ1014" s="66">
        <f ca="1">IF(NOTA[[#This Row],[ID]]="","",COUNTIF(NOTA[ID_H],NOTA[[#This Row],[ID_H]]))</f>
        <v>10</v>
      </c>
      <c r="AK1014" s="66">
        <f>IF(NOTA[[#This Row],[TGL.NOTA]]="",IF(NOTA[[#This Row],[SUPPLIER_H]]="","",AK1013),MONTH(NOTA[[#This Row],[TGL.NOTA]]))</f>
        <v>5</v>
      </c>
      <c r="AL1014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1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MORO23052394SA 4199045071kenkocorrectionfluidke823m</v>
      </c>
      <c r="AP1014" s="66" t="e">
        <f>IF(NOTA[[#This Row],[CONCAT4]]="","",_xlfn.IFNA(MATCH(NOTA[[#This Row],[CONCAT4]],[2]!RAW[CONCAT_H],0),FALSE))</f>
        <v>#REF!</v>
      </c>
      <c r="AQ1014" s="66">
        <f>IF(NOTA[[#This Row],[CONCAT1]]="","",MATCH(NOTA[[#This Row],[CONCAT1]],[3]!db[NB NOTA_C],0)+1)</f>
        <v>1202</v>
      </c>
    </row>
    <row r="1015" spans="1:43" ht="20.100000000000001" customHeight="1" x14ac:dyDescent="0.25">
      <c r="A10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66" t="str">
        <f>IF(NOTA[[#This Row],[ID_P]]="","",MATCH(NOTA[[#This Row],[ID_P]],[1]!B_MSK[N_ID],0))</f>
        <v/>
      </c>
      <c r="D1015" s="66">
        <f ca="1">IF(NOTA[[#This Row],[NAMA BARANG]]="","",INDEX(NOTA[ID],MATCH(,INDIRECT(ADDRESS(ROW(NOTA[ID]),COLUMN(NOTA[ID]))&amp;":"&amp;ADDRESS(ROW(),COLUMN(NOTA[ID]))),-1)))</f>
        <v>170</v>
      </c>
      <c r="E1015" s="113"/>
      <c r="H1015" s="54"/>
      <c r="L1015" s="27" t="s">
        <v>1181</v>
      </c>
      <c r="M1015" s="114">
        <v>2</v>
      </c>
      <c r="N1015" s="66"/>
      <c r="Q1015" s="79">
        <v>1020000</v>
      </c>
      <c r="R1015" s="42"/>
      <c r="S1015" s="80">
        <v>0.17</v>
      </c>
      <c r="U1015" s="52"/>
      <c r="V1015" s="77"/>
      <c r="W1015" s="52">
        <f>IF(NOTA[[#This Row],[HARGA/ CTN]]="",NOTA[[#This Row],[JUMLAH_H]],NOTA[[#This Row],[HARGA/ CTN]]*IF(NOTA[[#This Row],[C]]="",0,NOTA[[#This Row],[C]]))</f>
        <v>2040000</v>
      </c>
      <c r="X1015" s="52">
        <f>IF(NOTA[[#This Row],[JUMLAH]]="","",NOTA[[#This Row],[JUMLAH]]*NOTA[[#This Row],[DISC 1]])</f>
        <v>346800</v>
      </c>
      <c r="Y1015" s="52">
        <f>IF(NOTA[[#This Row],[JUMLAH]]="","",(NOTA[[#This Row],[JUMLAH]]-NOTA[[#This Row],[DISC 1-]])*NOTA[[#This Row],[DISC 2]])</f>
        <v>0</v>
      </c>
      <c r="Z1015" s="52">
        <f>IF(NOTA[[#This Row],[JUMLAH]]="","",NOTA[[#This Row],[DISC 1-]]+NOTA[[#This Row],[DISC 2-]])</f>
        <v>346800</v>
      </c>
      <c r="AA1015" s="52">
        <f>IF(NOTA[[#This Row],[JUMLAH]]="","",NOTA[[#This Row],[JUMLAH]]-NOTA[[#This Row],[DISC]])</f>
        <v>1693200</v>
      </c>
      <c r="AB1015" s="52"/>
      <c r="AC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5" s="64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F1015" s="203" t="str">
        <f>IF(OR(NOTA[[#This Row],[QTY]]="",NOTA[[#This Row],[HARGA SATUAN]]="",),"",NOTA[[#This Row],[QTY]]*NOTA[[#This Row],[HARGA SATUAN]])</f>
        <v/>
      </c>
      <c r="AG1015" s="53">
        <f ca="1">IF(NOTA[ID_H]="","",INDEX(NOTA[TANGGAL],MATCH(,INDIRECT(ADDRESS(ROW(NOTA[TANGGAL]),COLUMN(NOTA[TANGGAL]))&amp;":"&amp;ADDRESS(ROW(),COLUMN(NOTA[TANGGAL]))),-1)))</f>
        <v>45073</v>
      </c>
      <c r="AH1015" s="64" t="str">
        <f ca="1">IF(NOTA[[#This Row],[NAMA BARANG]]="","",INDEX(NOTA[SUPPLIER],MATCH(,INDIRECT(ADDRESS(ROW(NOTA[ID]),COLUMN(NOTA[ID]))&amp;":"&amp;ADDRESS(ROW(),COLUMN(NOTA[ID]))),-1)))</f>
        <v>KENKO SINAR INDONESIA</v>
      </c>
      <c r="AI1015" s="64" t="str">
        <f ca="1">IF(NOTA[[#This Row],[ID_H]]="","",IF(NOTA[[#This Row],[FAKTUR]]="",INDIRECT(ADDRESS(ROW()-1,COLUMN())),NOTA[[#This Row],[FAKTUR]]))</f>
        <v>ARTO MORO</v>
      </c>
      <c r="AJ1015" s="66" t="str">
        <f ca="1">IF(NOTA[[#This Row],[ID]]="","",COUNTIF(NOTA[ID_H],NOTA[[#This Row],[ID_H]]))</f>
        <v/>
      </c>
      <c r="AK1015" s="66">
        <f ca="1">IF(NOTA[[#This Row],[TGL.NOTA]]="",IF(NOTA[[#This Row],[SUPPLIER_H]]="","",AK1014),MONTH(NOTA[[#This Row],[TGL.NOTA]]))</f>
        <v>5</v>
      </c>
      <c r="AL1015" s="66" t="str">
        <f>LOWER(SUBSTITUTE(SUBSTITUTE(SUBSTITUTE(SUBSTITUTE(SUBSTITUTE(SUBSTITUTE(SUBSTITUTE(SUBSTITUTE(SUBSTITUTE(NOTA[NAMA BARANG]," ",),".",""),"-",""),"(",""),")",""),",",""),"/",""),"""",""),"+",""))</f>
        <v>kenkopunchno85n</v>
      </c>
      <c r="AM10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N10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O10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5" s="66" t="str">
        <f>IF(NOTA[[#This Row],[CONCAT4]]="","",_xlfn.IFNA(MATCH(NOTA[[#This Row],[CONCAT4]],[2]!RAW[CONCAT_H],0),FALSE))</f>
        <v/>
      </c>
      <c r="AQ1015" s="66">
        <f>IF(NOTA[[#This Row],[CONCAT1]]="","",MATCH(NOTA[[#This Row],[CONCAT1]],[3]!db[NB NOTA_C],0)+1)</f>
        <v>1377</v>
      </c>
    </row>
    <row r="1016" spans="1:43" ht="20.100000000000001" customHeight="1" x14ac:dyDescent="0.25">
      <c r="A101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66" t="str">
        <f>IF(NOTA[[#This Row],[ID_P]]="","",MATCH(NOTA[[#This Row],[ID_P]],[1]!B_MSK[N_ID],0))</f>
        <v/>
      </c>
      <c r="D1016" s="66">
        <f ca="1">IF(NOTA[[#This Row],[NAMA BARANG]]="","",INDEX(NOTA[ID],MATCH(,INDIRECT(ADDRESS(ROW(NOTA[ID]),COLUMN(NOTA[ID]))&amp;":"&amp;ADDRESS(ROW(),COLUMN(NOTA[ID]))),-1)))</f>
        <v>170</v>
      </c>
      <c r="E1016" s="113"/>
      <c r="H1016" s="54"/>
      <c r="L1016" s="27" t="s">
        <v>1162</v>
      </c>
      <c r="M1016" s="114">
        <v>2</v>
      </c>
      <c r="N1016" s="66"/>
      <c r="Q1016" s="79">
        <v>930000</v>
      </c>
      <c r="R1016" s="42"/>
      <c r="S1016" s="80">
        <v>0.17</v>
      </c>
      <c r="U1016" s="52"/>
      <c r="V1016" s="77"/>
      <c r="W1016" s="52">
        <f>IF(NOTA[[#This Row],[HARGA/ CTN]]="",NOTA[[#This Row],[JUMLAH_H]],NOTA[[#This Row],[HARGA/ CTN]]*IF(NOTA[[#This Row],[C]]="",0,NOTA[[#This Row],[C]]))</f>
        <v>1860000</v>
      </c>
      <c r="X1016" s="52">
        <f>IF(NOTA[[#This Row],[JUMLAH]]="","",NOTA[[#This Row],[JUMLAH]]*NOTA[[#This Row],[DISC 1]])</f>
        <v>316200</v>
      </c>
      <c r="Y1016" s="52">
        <f>IF(NOTA[[#This Row],[JUMLAH]]="","",(NOTA[[#This Row],[JUMLAH]]-NOTA[[#This Row],[DISC 1-]])*NOTA[[#This Row],[DISC 2]])</f>
        <v>0</v>
      </c>
      <c r="Z1016" s="52">
        <f>IF(NOTA[[#This Row],[JUMLAH]]="","",NOTA[[#This Row],[DISC 1-]]+NOTA[[#This Row],[DISC 2-]])</f>
        <v>316200</v>
      </c>
      <c r="AA1016" s="52">
        <f>IF(NOTA[[#This Row],[JUMLAH]]="","",NOTA[[#This Row],[JUMLAH]]-NOTA[[#This Row],[DISC]])</f>
        <v>1543800</v>
      </c>
      <c r="AB1016" s="52"/>
      <c r="AC10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6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16" s="203" t="str">
        <f>IF(OR(NOTA[[#This Row],[QTY]]="",NOTA[[#This Row],[HARGA SATUAN]]="",),"",NOTA[[#This Row],[QTY]]*NOTA[[#This Row],[HARGA SATUAN]])</f>
        <v/>
      </c>
      <c r="AG1016" s="53">
        <f ca="1">IF(NOTA[ID_H]="","",INDEX(NOTA[TANGGAL],MATCH(,INDIRECT(ADDRESS(ROW(NOTA[TANGGAL]),COLUMN(NOTA[TANGGAL]))&amp;":"&amp;ADDRESS(ROW(),COLUMN(NOTA[TANGGAL]))),-1)))</f>
        <v>45073</v>
      </c>
      <c r="AH1016" s="64" t="str">
        <f ca="1">IF(NOTA[[#This Row],[NAMA BARANG]]="","",INDEX(NOTA[SUPPLIER],MATCH(,INDIRECT(ADDRESS(ROW(NOTA[ID]),COLUMN(NOTA[ID]))&amp;":"&amp;ADDRESS(ROW(),COLUMN(NOTA[ID]))),-1)))</f>
        <v>KENKO SINAR INDONESIA</v>
      </c>
      <c r="AI1016" s="64" t="str">
        <f ca="1">IF(NOTA[[#This Row],[ID_H]]="","",IF(NOTA[[#This Row],[FAKTUR]]="",INDIRECT(ADDRESS(ROW()-1,COLUMN())),NOTA[[#This Row],[FAKTUR]]))</f>
        <v>ARTO MORO</v>
      </c>
      <c r="AJ1016" s="66" t="str">
        <f ca="1">IF(NOTA[[#This Row],[ID]]="","",COUNTIF(NOTA[ID_H],NOTA[[#This Row],[ID_H]]))</f>
        <v/>
      </c>
      <c r="AK1016" s="66">
        <f ca="1">IF(NOTA[[#This Row],[TGL.NOTA]]="",IF(NOTA[[#This Row],[SUPPLIER_H]]="","",AK1015),MONTH(NOTA[[#This Row],[TGL.NOTA]]))</f>
        <v>5</v>
      </c>
      <c r="AL1016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6" s="66" t="str">
        <f>IF(NOTA[[#This Row],[CONCAT4]]="","",_xlfn.IFNA(MATCH(NOTA[[#This Row],[CONCAT4]],[2]!RAW[CONCAT_H],0),FALSE))</f>
        <v/>
      </c>
      <c r="AQ1016" s="66">
        <f>IF(NOTA[[#This Row],[CONCAT1]]="","",MATCH(NOTA[[#This Row],[CONCAT1]],[3]!db[NB NOTA_C],0)+1)</f>
        <v>1307</v>
      </c>
    </row>
    <row r="1017" spans="1:43" ht="20.100000000000001" customHeight="1" x14ac:dyDescent="0.25">
      <c r="A10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66" t="str">
        <f>IF(NOTA[[#This Row],[ID_P]]="","",MATCH(NOTA[[#This Row],[ID_P]],[1]!B_MSK[N_ID],0))</f>
        <v/>
      </c>
      <c r="D1017" s="66">
        <f ca="1">IF(NOTA[[#This Row],[NAMA BARANG]]="","",INDEX(NOTA[ID],MATCH(,INDIRECT(ADDRESS(ROW(NOTA[ID]),COLUMN(NOTA[ID]))&amp;":"&amp;ADDRESS(ROW(),COLUMN(NOTA[ID]))),-1)))</f>
        <v>170</v>
      </c>
      <c r="E1017" s="113"/>
      <c r="H1017" s="54"/>
      <c r="L1017" s="27" t="s">
        <v>449</v>
      </c>
      <c r="M1017" s="114">
        <v>2</v>
      </c>
      <c r="N1017" s="66"/>
      <c r="Q1017" s="79">
        <v>2952000</v>
      </c>
      <c r="R1017" s="42"/>
      <c r="S1017" s="80">
        <v>0.17</v>
      </c>
      <c r="U1017" s="52"/>
      <c r="V1017" s="77"/>
      <c r="W1017" s="52">
        <f>IF(NOTA[[#This Row],[HARGA/ CTN]]="",NOTA[[#This Row],[JUMLAH_H]],NOTA[[#This Row],[HARGA/ CTN]]*IF(NOTA[[#This Row],[C]]="",0,NOTA[[#This Row],[C]]))</f>
        <v>5904000</v>
      </c>
      <c r="X1017" s="52">
        <f>IF(NOTA[[#This Row],[JUMLAH]]="","",NOTA[[#This Row],[JUMLAH]]*NOTA[[#This Row],[DISC 1]])</f>
        <v>1003680.0000000001</v>
      </c>
      <c r="Y1017" s="52">
        <f>IF(NOTA[[#This Row],[JUMLAH]]="","",(NOTA[[#This Row],[JUMLAH]]-NOTA[[#This Row],[DISC 1-]])*NOTA[[#This Row],[DISC 2]])</f>
        <v>0</v>
      </c>
      <c r="Z1017" s="52">
        <f>IF(NOTA[[#This Row],[JUMLAH]]="","",NOTA[[#This Row],[DISC 1-]]+NOTA[[#This Row],[DISC 2-]])</f>
        <v>1003680.0000000001</v>
      </c>
      <c r="AA1017" s="52">
        <f>IF(NOTA[[#This Row],[JUMLAH]]="","",NOTA[[#This Row],[JUMLAH]]-NOTA[[#This Row],[DISC]])</f>
        <v>4900320</v>
      </c>
      <c r="AB1017" s="52"/>
      <c r="AC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7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017" s="203" t="str">
        <f>IF(OR(NOTA[[#This Row],[QTY]]="",NOTA[[#This Row],[HARGA SATUAN]]="",),"",NOTA[[#This Row],[QTY]]*NOTA[[#This Row],[HARGA SATUAN]])</f>
        <v/>
      </c>
      <c r="AG1017" s="53">
        <f ca="1">IF(NOTA[ID_H]="","",INDEX(NOTA[TANGGAL],MATCH(,INDIRECT(ADDRESS(ROW(NOTA[TANGGAL]),COLUMN(NOTA[TANGGAL]))&amp;":"&amp;ADDRESS(ROW(),COLUMN(NOTA[TANGGAL]))),-1)))</f>
        <v>45073</v>
      </c>
      <c r="AH1017" s="64" t="str">
        <f ca="1">IF(NOTA[[#This Row],[NAMA BARANG]]="","",INDEX(NOTA[SUPPLIER],MATCH(,INDIRECT(ADDRESS(ROW(NOTA[ID]),COLUMN(NOTA[ID]))&amp;":"&amp;ADDRESS(ROW(),COLUMN(NOTA[ID]))),-1)))</f>
        <v>KENKO SINAR INDONESIA</v>
      </c>
      <c r="AI1017" s="64" t="str">
        <f ca="1">IF(NOTA[[#This Row],[ID_H]]="","",IF(NOTA[[#This Row],[FAKTUR]]="",INDIRECT(ADDRESS(ROW()-1,COLUMN())),NOTA[[#This Row],[FAKTUR]]))</f>
        <v>ARTO MORO</v>
      </c>
      <c r="AJ1017" s="66" t="str">
        <f ca="1">IF(NOTA[[#This Row],[ID]]="","",COUNTIF(NOTA[ID_H],NOTA[[#This Row],[ID_H]]))</f>
        <v/>
      </c>
      <c r="AK1017" s="66">
        <f ca="1">IF(NOTA[[#This Row],[TGL.NOTA]]="",IF(NOTA[[#This Row],[SUPPLIER_H]]="","",AK1016),MONTH(NOTA[[#This Row],[TGL.NOTA]]))</f>
        <v>5</v>
      </c>
      <c r="AL1017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0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0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0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7" s="66" t="str">
        <f>IF(NOTA[[#This Row],[CONCAT4]]="","",_xlfn.IFNA(MATCH(NOTA[[#This Row],[CONCAT4]],[2]!RAW[CONCAT_H],0),FALSE))</f>
        <v/>
      </c>
      <c r="AQ1017" s="66">
        <f>IF(NOTA[[#This Row],[CONCAT1]]="","",MATCH(NOTA[[#This Row],[CONCAT1]],[3]!db[NB NOTA_C],0)+1)</f>
        <v>1239</v>
      </c>
    </row>
    <row r="1018" spans="1:43" ht="20.100000000000001" customHeight="1" x14ac:dyDescent="0.25">
      <c r="A10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66" t="str">
        <f>IF(NOTA[[#This Row],[ID_P]]="","",MATCH(NOTA[[#This Row],[ID_P]],[1]!B_MSK[N_ID],0))</f>
        <v/>
      </c>
      <c r="D1018" s="66">
        <f ca="1">IF(NOTA[[#This Row],[NAMA BARANG]]="","",INDEX(NOTA[ID],MATCH(,INDIRECT(ADDRESS(ROW(NOTA[ID]),COLUMN(NOTA[ID]))&amp;":"&amp;ADDRESS(ROW(),COLUMN(NOTA[ID]))),-1)))</f>
        <v>170</v>
      </c>
      <c r="E1018" s="113"/>
      <c r="H1018" s="54"/>
      <c r="L1018" s="27" t="s">
        <v>862</v>
      </c>
      <c r="M1018" s="114">
        <v>2</v>
      </c>
      <c r="N1018" s="66"/>
      <c r="Q1018" s="79">
        <v>1200000</v>
      </c>
      <c r="R1018" s="42"/>
      <c r="S1018" s="80">
        <v>0.17</v>
      </c>
      <c r="U1018" s="52"/>
      <c r="V1018" s="77"/>
      <c r="W1018" s="52">
        <f>IF(NOTA[[#This Row],[HARGA/ CTN]]="",NOTA[[#This Row],[JUMLAH_H]],NOTA[[#This Row],[HARGA/ CTN]]*IF(NOTA[[#This Row],[C]]="",0,NOTA[[#This Row],[C]]))</f>
        <v>2400000</v>
      </c>
      <c r="X1018" s="52">
        <f>IF(NOTA[[#This Row],[JUMLAH]]="","",NOTA[[#This Row],[JUMLAH]]*NOTA[[#This Row],[DISC 1]])</f>
        <v>408000.00000000006</v>
      </c>
      <c r="Y1018" s="52">
        <f>IF(NOTA[[#This Row],[JUMLAH]]="","",(NOTA[[#This Row],[JUMLAH]]-NOTA[[#This Row],[DISC 1-]])*NOTA[[#This Row],[DISC 2]])</f>
        <v>0</v>
      </c>
      <c r="Z1018" s="52">
        <f>IF(NOTA[[#This Row],[JUMLAH]]="","",NOTA[[#This Row],[DISC 1-]]+NOTA[[#This Row],[DISC 2-]])</f>
        <v>408000.00000000006</v>
      </c>
      <c r="AA1018" s="52">
        <f>IF(NOTA[[#This Row],[JUMLAH]]="","",NOTA[[#This Row],[JUMLAH]]-NOTA[[#This Row],[DISC]])</f>
        <v>1992000</v>
      </c>
      <c r="AB1018" s="52"/>
      <c r="AC10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8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018" s="203" t="str">
        <f>IF(OR(NOTA[[#This Row],[QTY]]="",NOTA[[#This Row],[HARGA SATUAN]]="",),"",NOTA[[#This Row],[QTY]]*NOTA[[#This Row],[HARGA SATUAN]])</f>
        <v/>
      </c>
      <c r="AG1018" s="53">
        <f ca="1">IF(NOTA[ID_H]="","",INDEX(NOTA[TANGGAL],MATCH(,INDIRECT(ADDRESS(ROW(NOTA[TANGGAL]),COLUMN(NOTA[TANGGAL]))&amp;":"&amp;ADDRESS(ROW(),COLUMN(NOTA[TANGGAL]))),-1)))</f>
        <v>45073</v>
      </c>
      <c r="AH1018" s="64" t="str">
        <f ca="1">IF(NOTA[[#This Row],[NAMA BARANG]]="","",INDEX(NOTA[SUPPLIER],MATCH(,INDIRECT(ADDRESS(ROW(NOTA[ID]),COLUMN(NOTA[ID]))&amp;":"&amp;ADDRESS(ROW(),COLUMN(NOTA[ID]))),-1)))</f>
        <v>KENKO SINAR INDONESIA</v>
      </c>
      <c r="AI1018" s="64" t="str">
        <f ca="1">IF(NOTA[[#This Row],[ID_H]]="","",IF(NOTA[[#This Row],[FAKTUR]]="",INDIRECT(ADDRESS(ROW()-1,COLUMN())),NOTA[[#This Row],[FAKTUR]]))</f>
        <v>ARTO MORO</v>
      </c>
      <c r="AJ1018" s="66" t="str">
        <f ca="1">IF(NOTA[[#This Row],[ID]]="","",COUNTIF(NOTA[ID_H],NOTA[[#This Row],[ID_H]]))</f>
        <v/>
      </c>
      <c r="AK1018" s="66">
        <f ca="1">IF(NOTA[[#This Row],[TGL.NOTA]]="",IF(NOTA[[#This Row],[SUPPLIER_H]]="","",AK1017),MONTH(NOTA[[#This Row],[TGL.NOTA]]))</f>
        <v>5</v>
      </c>
      <c r="AL1018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0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0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0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8" s="66" t="str">
        <f>IF(NOTA[[#This Row],[CONCAT4]]="","",_xlfn.IFNA(MATCH(NOTA[[#This Row],[CONCAT4]],[2]!RAW[CONCAT_H],0),FALSE))</f>
        <v/>
      </c>
      <c r="AQ1018" s="66">
        <f>IF(NOTA[[#This Row],[CONCAT1]]="","",MATCH(NOTA[[#This Row],[CONCAT1]],[3]!db[NB NOTA_C],0)+1)</f>
        <v>1146</v>
      </c>
    </row>
    <row r="1019" spans="1:43" ht="20.100000000000001" customHeight="1" x14ac:dyDescent="0.25">
      <c r="A10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66" t="str">
        <f>IF(NOTA[[#This Row],[ID_P]]="","",MATCH(NOTA[[#This Row],[ID_P]],[1]!B_MSK[N_ID],0))</f>
        <v/>
      </c>
      <c r="D1019" s="66">
        <f ca="1">IF(NOTA[[#This Row],[NAMA BARANG]]="","",INDEX(NOTA[ID],MATCH(,INDIRECT(ADDRESS(ROW(NOTA[ID]),COLUMN(NOTA[ID]))&amp;":"&amp;ADDRESS(ROW(),COLUMN(NOTA[ID]))),-1)))</f>
        <v>170</v>
      </c>
      <c r="E1019" s="113"/>
      <c r="H1019" s="54"/>
      <c r="L1019" s="27" t="s">
        <v>448</v>
      </c>
      <c r="M1019" s="114">
        <v>2</v>
      </c>
      <c r="N1019" s="66"/>
      <c r="Q1019" s="79">
        <v>1710000</v>
      </c>
      <c r="R1019" s="42"/>
      <c r="S1019" s="80">
        <v>0.17</v>
      </c>
      <c r="U1019" s="52"/>
      <c r="V1019" s="77"/>
      <c r="W1019" s="52">
        <f>IF(NOTA[[#This Row],[HARGA/ CTN]]="",NOTA[[#This Row],[JUMLAH_H]],NOTA[[#This Row],[HARGA/ CTN]]*IF(NOTA[[#This Row],[C]]="",0,NOTA[[#This Row],[C]]))</f>
        <v>3420000</v>
      </c>
      <c r="X1019" s="52">
        <f>IF(NOTA[[#This Row],[JUMLAH]]="","",NOTA[[#This Row],[JUMLAH]]*NOTA[[#This Row],[DISC 1]])</f>
        <v>581400</v>
      </c>
      <c r="Y1019" s="52">
        <f>IF(NOTA[[#This Row],[JUMLAH]]="","",(NOTA[[#This Row],[JUMLAH]]-NOTA[[#This Row],[DISC 1-]])*NOTA[[#This Row],[DISC 2]])</f>
        <v>0</v>
      </c>
      <c r="Z1019" s="52">
        <f>IF(NOTA[[#This Row],[JUMLAH]]="","",NOTA[[#This Row],[DISC 1-]]+NOTA[[#This Row],[DISC 2-]])</f>
        <v>581400</v>
      </c>
      <c r="AA1019" s="52">
        <f>IF(NOTA[[#This Row],[JUMLAH]]="","",NOTA[[#This Row],[JUMLAH]]-NOTA[[#This Row],[DISC]])</f>
        <v>2838600</v>
      </c>
      <c r="AB1019" s="52"/>
      <c r="AC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9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19" s="203" t="str">
        <f>IF(OR(NOTA[[#This Row],[QTY]]="",NOTA[[#This Row],[HARGA SATUAN]]="",),"",NOTA[[#This Row],[QTY]]*NOTA[[#This Row],[HARGA SATUAN]])</f>
        <v/>
      </c>
      <c r="AG1019" s="53">
        <f ca="1">IF(NOTA[ID_H]="","",INDEX(NOTA[TANGGAL],MATCH(,INDIRECT(ADDRESS(ROW(NOTA[TANGGAL]),COLUMN(NOTA[TANGGAL]))&amp;":"&amp;ADDRESS(ROW(),COLUMN(NOTA[TANGGAL]))),-1)))</f>
        <v>45073</v>
      </c>
      <c r="AH1019" s="64" t="str">
        <f ca="1">IF(NOTA[[#This Row],[NAMA BARANG]]="","",INDEX(NOTA[SUPPLIER],MATCH(,INDIRECT(ADDRESS(ROW(NOTA[ID]),COLUMN(NOTA[ID]))&amp;":"&amp;ADDRESS(ROW(),COLUMN(NOTA[ID]))),-1)))</f>
        <v>KENKO SINAR INDONESIA</v>
      </c>
      <c r="AI1019" s="64" t="str">
        <f ca="1">IF(NOTA[[#This Row],[ID_H]]="","",IF(NOTA[[#This Row],[FAKTUR]]="",INDIRECT(ADDRESS(ROW()-1,COLUMN())),NOTA[[#This Row],[FAKTUR]]))</f>
        <v>ARTO MORO</v>
      </c>
      <c r="AJ1019" s="66" t="str">
        <f ca="1">IF(NOTA[[#This Row],[ID]]="","",COUNTIF(NOTA[ID_H],NOTA[[#This Row],[ID_H]]))</f>
        <v/>
      </c>
      <c r="AK1019" s="66">
        <f ca="1">IF(NOTA[[#This Row],[TGL.NOTA]]="",IF(NOTA[[#This Row],[SUPPLIER_H]]="","",AK1018),MONTH(NOTA[[#This Row],[TGL.NOTA]]))</f>
        <v>5</v>
      </c>
      <c r="AL1019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0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0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0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9" s="66" t="str">
        <f>IF(NOTA[[#This Row],[CONCAT4]]="","",_xlfn.IFNA(MATCH(NOTA[[#This Row],[CONCAT4]],[2]!RAW[CONCAT_H],0),FALSE))</f>
        <v/>
      </c>
      <c r="AQ1019" s="66">
        <f>IF(NOTA[[#This Row],[CONCAT1]]="","",MATCH(NOTA[[#This Row],[CONCAT1]],[3]!db[NB NOTA_C],0)+1)</f>
        <v>1234</v>
      </c>
    </row>
    <row r="1020" spans="1:43" ht="20.100000000000001" customHeight="1" x14ac:dyDescent="0.25">
      <c r="A10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66" t="str">
        <f>IF(NOTA[[#This Row],[ID_P]]="","",MATCH(NOTA[[#This Row],[ID_P]],[1]!B_MSK[N_ID],0))</f>
        <v/>
      </c>
      <c r="D1020" s="66">
        <f ca="1">IF(NOTA[[#This Row],[NAMA BARANG]]="","",INDEX(NOTA[ID],MATCH(,INDIRECT(ADDRESS(ROW(NOTA[ID]),COLUMN(NOTA[ID]))&amp;":"&amp;ADDRESS(ROW(),COLUMN(NOTA[ID]))),-1)))</f>
        <v>170</v>
      </c>
      <c r="E1020" s="113"/>
      <c r="H1020" s="54"/>
      <c r="L1020" s="27" t="s">
        <v>738</v>
      </c>
      <c r="M1020" s="114">
        <v>2</v>
      </c>
      <c r="N1020" s="66"/>
      <c r="Q1020" s="79">
        <v>3888000</v>
      </c>
      <c r="R1020" s="42"/>
      <c r="S1020" s="80">
        <v>0.17</v>
      </c>
      <c r="U1020" s="52"/>
      <c r="V1020" s="77"/>
      <c r="W1020" s="52">
        <f>IF(NOTA[[#This Row],[HARGA/ CTN]]="",NOTA[[#This Row],[JUMLAH_H]],NOTA[[#This Row],[HARGA/ CTN]]*IF(NOTA[[#This Row],[C]]="",0,NOTA[[#This Row],[C]]))</f>
        <v>7776000</v>
      </c>
      <c r="X1020" s="52">
        <f>IF(NOTA[[#This Row],[JUMLAH]]="","",NOTA[[#This Row],[JUMLAH]]*NOTA[[#This Row],[DISC 1]])</f>
        <v>1321920</v>
      </c>
      <c r="Y1020" s="52">
        <f>IF(NOTA[[#This Row],[JUMLAH]]="","",(NOTA[[#This Row],[JUMLAH]]-NOTA[[#This Row],[DISC 1-]])*NOTA[[#This Row],[DISC 2]])</f>
        <v>0</v>
      </c>
      <c r="Z1020" s="52">
        <f>IF(NOTA[[#This Row],[JUMLAH]]="","",NOTA[[#This Row],[DISC 1-]]+NOTA[[#This Row],[DISC 2-]])</f>
        <v>1321920</v>
      </c>
      <c r="AA1020" s="52">
        <f>IF(NOTA[[#This Row],[JUMLAH]]="","",NOTA[[#This Row],[JUMLAH]]-NOTA[[#This Row],[DISC]])</f>
        <v>6454080</v>
      </c>
      <c r="AB1020" s="52"/>
      <c r="AC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0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20" s="203" t="str">
        <f>IF(OR(NOTA[[#This Row],[QTY]]="",NOTA[[#This Row],[HARGA SATUAN]]="",),"",NOTA[[#This Row],[QTY]]*NOTA[[#This Row],[HARGA SATUAN]])</f>
        <v/>
      </c>
      <c r="AG1020" s="53">
        <f ca="1">IF(NOTA[ID_H]="","",INDEX(NOTA[TANGGAL],MATCH(,INDIRECT(ADDRESS(ROW(NOTA[TANGGAL]),COLUMN(NOTA[TANGGAL]))&amp;":"&amp;ADDRESS(ROW(),COLUMN(NOTA[TANGGAL]))),-1)))</f>
        <v>45073</v>
      </c>
      <c r="AH1020" s="64" t="str">
        <f ca="1">IF(NOTA[[#This Row],[NAMA BARANG]]="","",INDEX(NOTA[SUPPLIER],MATCH(,INDIRECT(ADDRESS(ROW(NOTA[ID]),COLUMN(NOTA[ID]))&amp;":"&amp;ADDRESS(ROW(),COLUMN(NOTA[ID]))),-1)))</f>
        <v>KENKO SINAR INDONESIA</v>
      </c>
      <c r="AI1020" s="64" t="str">
        <f ca="1">IF(NOTA[[#This Row],[ID_H]]="","",IF(NOTA[[#This Row],[FAKTUR]]="",INDIRECT(ADDRESS(ROW()-1,COLUMN())),NOTA[[#This Row],[FAKTUR]]))</f>
        <v>ARTO MORO</v>
      </c>
      <c r="AJ1020" s="66" t="str">
        <f ca="1">IF(NOTA[[#This Row],[ID]]="","",COUNTIF(NOTA[ID_H],NOTA[[#This Row],[ID_H]]))</f>
        <v/>
      </c>
      <c r="AK1020" s="66">
        <f ca="1">IF(NOTA[[#This Row],[TGL.NOTA]]="",IF(NOTA[[#This Row],[SUPPLIER_H]]="","",AK1019),MONTH(NOTA[[#This Row],[TGL.NOTA]]))</f>
        <v>5</v>
      </c>
      <c r="AL1020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10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10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10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0" s="66" t="str">
        <f>IF(NOTA[[#This Row],[CONCAT4]]="","",_xlfn.IFNA(MATCH(NOTA[[#This Row],[CONCAT4]],[2]!RAW[CONCAT_H],0),FALSE))</f>
        <v/>
      </c>
      <c r="AQ1020" s="66">
        <f>IF(NOTA[[#This Row],[CONCAT1]]="","",MATCH(NOTA[[#This Row],[CONCAT1]],[3]!db[NB NOTA_C],0)+1)</f>
        <v>1235</v>
      </c>
    </row>
    <row r="1021" spans="1:43" ht="20.100000000000001" customHeight="1" x14ac:dyDescent="0.25">
      <c r="A10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66" t="str">
        <f>IF(NOTA[[#This Row],[ID_P]]="","",MATCH(NOTA[[#This Row],[ID_P]],[1]!B_MSK[N_ID],0))</f>
        <v/>
      </c>
      <c r="D1021" s="66">
        <f ca="1">IF(NOTA[[#This Row],[NAMA BARANG]]="","",INDEX(NOTA[ID],MATCH(,INDIRECT(ADDRESS(ROW(NOTA[ID]),COLUMN(NOTA[ID]))&amp;":"&amp;ADDRESS(ROW(),COLUMN(NOTA[ID]))),-1)))</f>
        <v>170</v>
      </c>
      <c r="E1021" s="113"/>
      <c r="H1021" s="54"/>
      <c r="L1021" s="27" t="s">
        <v>324</v>
      </c>
      <c r="M1021" s="114">
        <v>1</v>
      </c>
      <c r="N1021" s="66"/>
      <c r="Q1021" s="79">
        <v>1995000</v>
      </c>
      <c r="R1021" s="42"/>
      <c r="S1021" s="80">
        <v>0.17</v>
      </c>
      <c r="U1021" s="52"/>
      <c r="V1021" s="77"/>
      <c r="W1021" s="52">
        <f>IF(NOTA[[#This Row],[HARGA/ CTN]]="",NOTA[[#This Row],[JUMLAH_H]],NOTA[[#This Row],[HARGA/ CTN]]*IF(NOTA[[#This Row],[C]]="",0,NOTA[[#This Row],[C]]))</f>
        <v>1995000</v>
      </c>
      <c r="X1021" s="52">
        <f>IF(NOTA[[#This Row],[JUMLAH]]="","",NOTA[[#This Row],[JUMLAH]]*NOTA[[#This Row],[DISC 1]])</f>
        <v>339150</v>
      </c>
      <c r="Y1021" s="52">
        <f>IF(NOTA[[#This Row],[JUMLAH]]="","",(NOTA[[#This Row],[JUMLAH]]-NOTA[[#This Row],[DISC 1-]])*NOTA[[#This Row],[DISC 2]])</f>
        <v>0</v>
      </c>
      <c r="Z1021" s="52">
        <f>IF(NOTA[[#This Row],[JUMLAH]]="","",NOTA[[#This Row],[DISC 1-]]+NOTA[[#This Row],[DISC 2-]])</f>
        <v>339150</v>
      </c>
      <c r="AA1021" s="52">
        <f>IF(NOTA[[#This Row],[JUMLAH]]="","",NOTA[[#This Row],[JUMLAH]]-NOTA[[#This Row],[DISC]])</f>
        <v>1655850</v>
      </c>
      <c r="AB1021" s="52"/>
      <c r="AC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1" s="64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1021" s="203" t="str">
        <f>IF(OR(NOTA[[#This Row],[QTY]]="",NOTA[[#This Row],[HARGA SATUAN]]="",),"",NOTA[[#This Row],[QTY]]*NOTA[[#This Row],[HARGA SATUAN]])</f>
        <v/>
      </c>
      <c r="AG1021" s="53">
        <f ca="1">IF(NOTA[ID_H]="","",INDEX(NOTA[TANGGAL],MATCH(,INDIRECT(ADDRESS(ROW(NOTA[TANGGAL]),COLUMN(NOTA[TANGGAL]))&amp;":"&amp;ADDRESS(ROW(),COLUMN(NOTA[TANGGAL]))),-1)))</f>
        <v>45073</v>
      </c>
      <c r="AH1021" s="64" t="str">
        <f ca="1">IF(NOTA[[#This Row],[NAMA BARANG]]="","",INDEX(NOTA[SUPPLIER],MATCH(,INDIRECT(ADDRESS(ROW(NOTA[ID]),COLUMN(NOTA[ID]))&amp;":"&amp;ADDRESS(ROW(),COLUMN(NOTA[ID]))),-1)))</f>
        <v>KENKO SINAR INDONESIA</v>
      </c>
      <c r="AI1021" s="64" t="str">
        <f ca="1">IF(NOTA[[#This Row],[ID_H]]="","",IF(NOTA[[#This Row],[FAKTUR]]="",INDIRECT(ADDRESS(ROW()-1,COLUMN())),NOTA[[#This Row],[FAKTUR]]))</f>
        <v>ARTO MORO</v>
      </c>
      <c r="AJ1021" s="66" t="str">
        <f ca="1">IF(NOTA[[#This Row],[ID]]="","",COUNTIF(NOTA[ID_H],NOTA[[#This Row],[ID_H]]))</f>
        <v/>
      </c>
      <c r="AK1021" s="66">
        <f ca="1">IF(NOTA[[#This Row],[TGL.NOTA]]="",IF(NOTA[[#This Row],[SUPPLIER_H]]="","",AK1020),MONTH(NOTA[[#This Row],[TGL.NOTA]]))</f>
        <v>5</v>
      </c>
      <c r="AL1021" s="6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10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10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10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1" s="66" t="str">
        <f>IF(NOTA[[#This Row],[CONCAT4]]="","",_xlfn.IFNA(MATCH(NOTA[[#This Row],[CONCAT4]],[2]!RAW[CONCAT_H],0),FALSE))</f>
        <v/>
      </c>
      <c r="AQ1021" s="66">
        <f>IF(NOTA[[#This Row],[CONCAT1]]="","",MATCH(NOTA[[#This Row],[CONCAT1]],[3]!db[NB NOTA_C],0)+1)</f>
        <v>1381</v>
      </c>
    </row>
    <row r="1022" spans="1:43" ht="20.100000000000001" customHeight="1" x14ac:dyDescent="0.25">
      <c r="A10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66" t="str">
        <f>IF(NOTA[[#This Row],[ID_P]]="","",MATCH(NOTA[[#This Row],[ID_P]],[1]!B_MSK[N_ID],0))</f>
        <v/>
      </c>
      <c r="D1022" s="66">
        <f ca="1">IF(NOTA[[#This Row],[NAMA BARANG]]="","",INDEX(NOTA[ID],MATCH(,INDIRECT(ADDRESS(ROW(NOTA[ID]),COLUMN(NOTA[ID]))&amp;":"&amp;ADDRESS(ROW(),COLUMN(NOTA[ID]))),-1)))</f>
        <v>170</v>
      </c>
      <c r="E1022" s="113"/>
      <c r="H1022" s="54"/>
      <c r="L1022" s="27" t="s">
        <v>1163</v>
      </c>
      <c r="M1022" s="114">
        <v>1</v>
      </c>
      <c r="N1022" s="66"/>
      <c r="Q1022" s="79">
        <v>2160000</v>
      </c>
      <c r="R1022" s="42"/>
      <c r="S1022" s="80">
        <v>0.17</v>
      </c>
      <c r="U1022" s="52"/>
      <c r="V1022" s="77"/>
      <c r="W1022" s="52">
        <f>IF(NOTA[[#This Row],[HARGA/ CTN]]="",NOTA[[#This Row],[JUMLAH_H]],NOTA[[#This Row],[HARGA/ CTN]]*IF(NOTA[[#This Row],[C]]="",0,NOTA[[#This Row],[C]]))</f>
        <v>2160000</v>
      </c>
      <c r="X1022" s="52">
        <f>IF(NOTA[[#This Row],[JUMLAH]]="","",NOTA[[#This Row],[JUMLAH]]*NOTA[[#This Row],[DISC 1]])</f>
        <v>367200</v>
      </c>
      <c r="Y1022" s="52">
        <f>IF(NOTA[[#This Row],[JUMLAH]]="","",(NOTA[[#This Row],[JUMLAH]]-NOTA[[#This Row],[DISC 1-]])*NOTA[[#This Row],[DISC 2]])</f>
        <v>0</v>
      </c>
      <c r="Z1022" s="52">
        <f>IF(NOTA[[#This Row],[JUMLAH]]="","",NOTA[[#This Row],[DISC 1-]]+NOTA[[#This Row],[DISC 2-]])</f>
        <v>367200</v>
      </c>
      <c r="AA1022" s="52">
        <f>IF(NOTA[[#This Row],[JUMLAH]]="","",NOTA[[#This Row],[JUMLAH]]-NOTA[[#This Row],[DISC]])</f>
        <v>1792800</v>
      </c>
      <c r="AB1022" s="52"/>
      <c r="AC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2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022" s="203" t="str">
        <f>IF(OR(NOTA[[#This Row],[QTY]]="",NOTA[[#This Row],[HARGA SATUAN]]="",),"",NOTA[[#This Row],[QTY]]*NOTA[[#This Row],[HARGA SATUAN]])</f>
        <v/>
      </c>
      <c r="AG1022" s="53">
        <f ca="1">IF(NOTA[ID_H]="","",INDEX(NOTA[TANGGAL],MATCH(,INDIRECT(ADDRESS(ROW(NOTA[TANGGAL]),COLUMN(NOTA[TANGGAL]))&amp;":"&amp;ADDRESS(ROW(),COLUMN(NOTA[TANGGAL]))),-1)))</f>
        <v>45073</v>
      </c>
      <c r="AH1022" s="64" t="str">
        <f ca="1">IF(NOTA[[#This Row],[NAMA BARANG]]="","",INDEX(NOTA[SUPPLIER],MATCH(,INDIRECT(ADDRESS(ROW(NOTA[ID]),COLUMN(NOTA[ID]))&amp;":"&amp;ADDRESS(ROW(),COLUMN(NOTA[ID]))),-1)))</f>
        <v>KENKO SINAR INDONESIA</v>
      </c>
      <c r="AI1022" s="64" t="str">
        <f ca="1">IF(NOTA[[#This Row],[ID_H]]="","",IF(NOTA[[#This Row],[FAKTUR]]="",INDIRECT(ADDRESS(ROW()-1,COLUMN())),NOTA[[#This Row],[FAKTUR]]))</f>
        <v>ARTO MORO</v>
      </c>
      <c r="AJ1022" s="66" t="str">
        <f ca="1">IF(NOTA[[#This Row],[ID]]="","",COUNTIF(NOTA[ID_H],NOTA[[#This Row],[ID_H]]))</f>
        <v/>
      </c>
      <c r="AK1022" s="66">
        <f ca="1">IF(NOTA[[#This Row],[TGL.NOTA]]="",IF(NOTA[[#This Row],[SUPPLIER_H]]="","",AK1021),MONTH(NOTA[[#This Row],[TGL.NOTA]]))</f>
        <v>5</v>
      </c>
      <c r="AL1022" s="6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10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10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10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2" s="66" t="str">
        <f>IF(NOTA[[#This Row],[CONCAT4]]="","",_xlfn.IFNA(MATCH(NOTA[[#This Row],[CONCAT4]],[2]!RAW[CONCAT_H],0),FALSE))</f>
        <v/>
      </c>
      <c r="AQ1022" s="66">
        <f>IF(NOTA[[#This Row],[CONCAT1]]="","",MATCH(NOTA[[#This Row],[CONCAT1]],[3]!db[NB NOTA_C],0)+1)</f>
        <v>1297</v>
      </c>
    </row>
    <row r="1023" spans="1:43" ht="20.100000000000001" customHeight="1" x14ac:dyDescent="0.25">
      <c r="A10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66" t="str">
        <f>IF(NOTA[[#This Row],[ID_P]]="","",MATCH(NOTA[[#This Row],[ID_P]],[1]!B_MSK[N_ID],0))</f>
        <v/>
      </c>
      <c r="D1023" s="66">
        <f ca="1">IF(NOTA[[#This Row],[NAMA BARANG]]="","",INDEX(NOTA[ID],MATCH(,INDIRECT(ADDRESS(ROW(NOTA[ID]),COLUMN(NOTA[ID]))&amp;":"&amp;ADDRESS(ROW(),COLUMN(NOTA[ID]))),-1)))</f>
        <v>170</v>
      </c>
      <c r="E1023" s="113"/>
      <c r="H1023" s="54"/>
      <c r="L1023" s="27" t="s">
        <v>698</v>
      </c>
      <c r="M1023" s="114">
        <v>2</v>
      </c>
      <c r="N1023" s="66"/>
      <c r="Q1023" s="79">
        <v>801600</v>
      </c>
      <c r="R1023" s="42"/>
      <c r="S1023" s="80">
        <v>0.17</v>
      </c>
      <c r="U1023" s="52"/>
      <c r="V1023" s="77"/>
      <c r="W1023" s="52">
        <f>IF(NOTA[[#This Row],[HARGA/ CTN]]="",NOTA[[#This Row],[JUMLAH_H]],NOTA[[#This Row],[HARGA/ CTN]]*IF(NOTA[[#This Row],[C]]="",0,NOTA[[#This Row],[C]]))</f>
        <v>1603200</v>
      </c>
      <c r="X1023" s="52">
        <f>IF(NOTA[[#This Row],[JUMLAH]]="","",NOTA[[#This Row],[JUMLAH]]*NOTA[[#This Row],[DISC 1]])</f>
        <v>272544</v>
      </c>
      <c r="Y1023" s="52">
        <f>IF(NOTA[[#This Row],[JUMLAH]]="","",(NOTA[[#This Row],[JUMLAH]]-NOTA[[#This Row],[DISC 1-]])*NOTA[[#This Row],[DISC 2]])</f>
        <v>0</v>
      </c>
      <c r="Z1023" s="52">
        <f>IF(NOTA[[#This Row],[JUMLAH]]="","",NOTA[[#This Row],[DISC 1-]]+NOTA[[#This Row],[DISC 2-]])</f>
        <v>272544</v>
      </c>
      <c r="AA1023" s="52">
        <f>IF(NOTA[[#This Row],[JUMLAH]]="","",NOTA[[#This Row],[JUMLAH]]-NOTA[[#This Row],[DISC]])</f>
        <v>1330656</v>
      </c>
      <c r="AB1023" s="52"/>
      <c r="AC10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5654574</v>
      </c>
      <c r="AD102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27607626</v>
      </c>
      <c r="AE1023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23" s="203" t="str">
        <f>IF(OR(NOTA[[#This Row],[QTY]]="",NOTA[[#This Row],[HARGA SATUAN]]="",),"",NOTA[[#This Row],[QTY]]*NOTA[[#This Row],[HARGA SATUAN]])</f>
        <v/>
      </c>
      <c r="AG1023" s="53">
        <f ca="1">IF(NOTA[ID_H]="","",INDEX(NOTA[TANGGAL],MATCH(,INDIRECT(ADDRESS(ROW(NOTA[TANGGAL]),COLUMN(NOTA[TANGGAL]))&amp;":"&amp;ADDRESS(ROW(),COLUMN(NOTA[TANGGAL]))),-1)))</f>
        <v>45073</v>
      </c>
      <c r="AH1023" s="64" t="str">
        <f ca="1">IF(NOTA[[#This Row],[NAMA BARANG]]="","",INDEX(NOTA[SUPPLIER],MATCH(,INDIRECT(ADDRESS(ROW(NOTA[ID]),COLUMN(NOTA[ID]))&amp;":"&amp;ADDRESS(ROW(),COLUMN(NOTA[ID]))),-1)))</f>
        <v>KENKO SINAR INDONESIA</v>
      </c>
      <c r="AI1023" s="64" t="str">
        <f ca="1">IF(NOTA[[#This Row],[ID_H]]="","",IF(NOTA[[#This Row],[FAKTUR]]="",INDIRECT(ADDRESS(ROW()-1,COLUMN())),NOTA[[#This Row],[FAKTUR]]))</f>
        <v>ARTO MORO</v>
      </c>
      <c r="AJ1023" s="66" t="str">
        <f ca="1">IF(NOTA[[#This Row],[ID]]="","",COUNTIF(NOTA[ID_H],NOTA[[#This Row],[ID_H]]))</f>
        <v/>
      </c>
      <c r="AK1023" s="66">
        <f ca="1">IF(NOTA[[#This Row],[TGL.NOTA]]="",IF(NOTA[[#This Row],[SUPPLIER_H]]="","",AK1022),MONTH(NOTA[[#This Row],[TGL.NOTA]]))</f>
        <v>5</v>
      </c>
      <c r="AL1023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3" s="66" t="str">
        <f>IF(NOTA[[#This Row],[CONCAT4]]="","",_xlfn.IFNA(MATCH(NOTA[[#This Row],[CONCAT4]],[2]!RAW[CONCAT_H],0),FALSE))</f>
        <v/>
      </c>
      <c r="AQ1023" s="66">
        <f>IF(NOTA[[#This Row],[CONCAT1]]="","",MATCH(NOTA[[#This Row],[CONCAT1]],[3]!db[NB NOTA_C],0)+1)</f>
        <v>1324</v>
      </c>
    </row>
    <row r="1024" spans="1:43" ht="20.100000000000001" customHeight="1" x14ac:dyDescent="0.25">
      <c r="A102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66" t="str">
        <f>IF(NOTA[[#This Row],[ID_P]]="","",MATCH(NOTA[[#This Row],[ID_P]],[1]!B_MSK[N_ID],0))</f>
        <v/>
      </c>
      <c r="D1024" s="66" t="str">
        <f ca="1">IF(NOTA[[#This Row],[NAMA BARANG]]="","",INDEX(NOTA[ID],MATCH(,INDIRECT(ADDRESS(ROW(NOTA[ID]),COLUMN(NOTA[ID]))&amp;":"&amp;ADDRESS(ROW(),COLUMN(NOTA[ID]))),-1)))</f>
        <v/>
      </c>
      <c r="E1024" s="113"/>
      <c r="H1024" s="54"/>
      <c r="N1024" s="66"/>
      <c r="Q1024" s="79"/>
      <c r="R1024" s="42"/>
      <c r="S1024" s="80"/>
      <c r="U1024" s="52"/>
      <c r="V1024" s="77"/>
      <c r="W1024" s="52" t="str">
        <f>IF(NOTA[[#This Row],[HARGA/ CTN]]="",NOTA[[#This Row],[JUMLAH_H]],NOTA[[#This Row],[HARGA/ CTN]]*IF(NOTA[[#This Row],[C]]="",0,NOTA[[#This Row],[C]]))</f>
        <v/>
      </c>
      <c r="X1024" s="52" t="str">
        <f>IF(NOTA[[#This Row],[JUMLAH]]="","",NOTA[[#This Row],[JUMLAH]]*NOTA[[#This Row],[DISC 1]])</f>
        <v/>
      </c>
      <c r="Y1024" s="52" t="str">
        <f>IF(NOTA[[#This Row],[JUMLAH]]="","",(NOTA[[#This Row],[JUMLAH]]-NOTA[[#This Row],[DISC 1-]])*NOTA[[#This Row],[DISC 2]])</f>
        <v/>
      </c>
      <c r="Z1024" s="52" t="str">
        <f>IF(NOTA[[#This Row],[JUMLAH]]="","",NOTA[[#This Row],[DISC 1-]]+NOTA[[#This Row],[DISC 2-]])</f>
        <v/>
      </c>
      <c r="AA1024" s="52" t="str">
        <f>IF(NOTA[[#This Row],[JUMLAH]]="","",NOTA[[#This Row],[JUMLAH]]-NOTA[[#This Row],[DISC]])</f>
        <v/>
      </c>
      <c r="AB1024" s="52"/>
      <c r="AC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24" s="203" t="str">
        <f>IF(OR(NOTA[[#This Row],[QTY]]="",NOTA[[#This Row],[HARGA SATUAN]]="",),"",NOTA[[#This Row],[QTY]]*NOTA[[#This Row],[HARGA SATUAN]])</f>
        <v/>
      </c>
      <c r="AG1024" s="53" t="str">
        <f ca="1">IF(NOTA[ID_H]="","",INDEX(NOTA[TANGGAL],MATCH(,INDIRECT(ADDRESS(ROW(NOTA[TANGGAL]),COLUMN(NOTA[TANGGAL]))&amp;":"&amp;ADDRESS(ROW(),COLUMN(NOTA[TANGGAL]))),-1)))</f>
        <v/>
      </c>
      <c r="AH1024" s="64" t="str">
        <f ca="1">IF(NOTA[[#This Row],[NAMA BARANG]]="","",INDEX(NOTA[SUPPLIER],MATCH(,INDIRECT(ADDRESS(ROW(NOTA[ID]),COLUMN(NOTA[ID]))&amp;":"&amp;ADDRESS(ROW(),COLUMN(NOTA[ID]))),-1)))</f>
        <v/>
      </c>
      <c r="AI1024" s="64" t="str">
        <f ca="1">IF(NOTA[[#This Row],[ID_H]]="","",IF(NOTA[[#This Row],[FAKTUR]]="",INDIRECT(ADDRESS(ROW()-1,COLUMN())),NOTA[[#This Row],[FAKTUR]]))</f>
        <v/>
      </c>
      <c r="AJ1024" s="66" t="str">
        <f ca="1">IF(NOTA[[#This Row],[ID]]="","",COUNTIF(NOTA[ID_H],NOTA[[#This Row],[ID_H]]))</f>
        <v/>
      </c>
      <c r="AK1024" s="66" t="str">
        <f ca="1">IF(NOTA[[#This Row],[TGL.NOTA]]="",IF(NOTA[[#This Row],[SUPPLIER_H]]="","",AK1023),MONTH(NOTA[[#This Row],[TGL.NOTA]]))</f>
        <v/>
      </c>
      <c r="AL1024" s="66" t="str">
        <f>LOWER(SUBSTITUTE(SUBSTITUTE(SUBSTITUTE(SUBSTITUTE(SUBSTITUTE(SUBSTITUTE(SUBSTITUTE(SUBSTITUTE(SUBSTITUTE(NOTA[NAMA BARANG]," ",),".",""),"-",""),"(",""),")",""),",",""),"/",""),"""",""),"+",""))</f>
        <v/>
      </c>
      <c r="AM10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4" s="66" t="str">
        <f>IF(NOTA[[#This Row],[CONCAT4]]="","",_xlfn.IFNA(MATCH(NOTA[[#This Row],[CONCAT4]],[2]!RAW[CONCAT_H],0),FALSE))</f>
        <v/>
      </c>
      <c r="AQ1024" s="66" t="str">
        <f>IF(NOTA[[#This Row],[CONCAT1]]="","",MATCH(NOTA[[#This Row],[CONCAT1]],[3]!db[NB NOTA_C],0)+1)</f>
        <v/>
      </c>
    </row>
    <row r="1025" spans="1:43" ht="20.100000000000001" customHeight="1" x14ac:dyDescent="0.25">
      <c r="A1025" s="64">
        <f ca="1">IF(INDIRECT(ADDRESS(ROW()-1,COLUMN(NOTA[[#Headers],[ID]])))="ID",1,IF(NOTA[[#This Row],[FAKTUR]]="","",COUNT(INDIRECT(ADDRESS(ROW(NOTA[ID]),COLUMN(NOTA[ID]))&amp;":"&amp;ADDRESS(ROW()-1,COLUMN(NOTA[ID]))))+1))</f>
        <v>171</v>
      </c>
      <c r="B10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KEN_2905_506-9</v>
      </c>
      <c r="C1025" s="66" t="e">
        <f ca="1">IF(NOTA[[#This Row],[ID_P]]="","",MATCH(NOTA[[#This Row],[ID_P]],[1]!B_MSK[N_ID],0))</f>
        <v>#REF!</v>
      </c>
      <c r="D1025" s="66">
        <f ca="1">IF(NOTA[[#This Row],[NAMA BARANG]]="","",INDEX(NOTA[ID],MATCH(,INDIRECT(ADDRESS(ROW(NOTA[ID]),COLUMN(NOTA[ID]))&amp;":"&amp;ADDRESS(ROW(),COLUMN(NOTA[ID]))),-1)))</f>
        <v>171</v>
      </c>
      <c r="E1025" s="113">
        <v>45075</v>
      </c>
      <c r="F1025" s="53" t="s">
        <v>23</v>
      </c>
      <c r="G1025" s="27" t="s">
        <v>24</v>
      </c>
      <c r="H1025" s="54" t="s">
        <v>1165</v>
      </c>
      <c r="I1025" s="27" t="s">
        <v>1170</v>
      </c>
      <c r="J1025" s="53">
        <v>45072</v>
      </c>
      <c r="L1025" s="27" t="s">
        <v>1166</v>
      </c>
      <c r="M1025" s="114">
        <v>1</v>
      </c>
      <c r="N1025" s="66"/>
      <c r="Q1025" s="79">
        <v>1497600</v>
      </c>
      <c r="R1025" s="42"/>
      <c r="S1025" s="80">
        <v>0.17</v>
      </c>
      <c r="U1025" s="52"/>
      <c r="V1025" s="77"/>
      <c r="W1025" s="52">
        <f>IF(NOTA[[#This Row],[HARGA/ CTN]]="",NOTA[[#This Row],[JUMLAH_H]],NOTA[[#This Row],[HARGA/ CTN]]*IF(NOTA[[#This Row],[C]]="",0,NOTA[[#This Row],[C]]))</f>
        <v>1497600</v>
      </c>
      <c r="X1025" s="52">
        <f>IF(NOTA[[#This Row],[JUMLAH]]="","",NOTA[[#This Row],[JUMLAH]]*NOTA[[#This Row],[DISC 1]])</f>
        <v>254592.00000000003</v>
      </c>
      <c r="Y1025" s="52">
        <f>IF(NOTA[[#This Row],[JUMLAH]]="","",(NOTA[[#This Row],[JUMLAH]]-NOTA[[#This Row],[DISC 1-]])*NOTA[[#This Row],[DISC 2]])</f>
        <v>0</v>
      </c>
      <c r="Z1025" s="52">
        <f>IF(NOTA[[#This Row],[JUMLAH]]="","",NOTA[[#This Row],[DISC 1-]]+NOTA[[#This Row],[DISC 2-]])</f>
        <v>254592.00000000003</v>
      </c>
      <c r="AA1025" s="52">
        <f>IF(NOTA[[#This Row],[JUMLAH]]="","",NOTA[[#This Row],[JUMLAH]]-NOTA[[#This Row],[DISC]])</f>
        <v>1243008</v>
      </c>
      <c r="AB1025" s="52"/>
      <c r="AC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5" s="64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F1025" s="203" t="str">
        <f>IF(OR(NOTA[[#This Row],[QTY]]="",NOTA[[#This Row],[HARGA SATUAN]]="",),"",NOTA[[#This Row],[QTY]]*NOTA[[#This Row],[HARGA SATUAN]])</f>
        <v/>
      </c>
      <c r="AG1025" s="53">
        <f ca="1">IF(NOTA[ID_H]="","",INDEX(NOTA[TANGGAL],MATCH(,INDIRECT(ADDRESS(ROW(NOTA[TANGGAL]),COLUMN(NOTA[TANGGAL]))&amp;":"&amp;ADDRESS(ROW(),COLUMN(NOTA[TANGGAL]))),-1)))</f>
        <v>45075</v>
      </c>
      <c r="AH1025" s="64" t="str">
        <f ca="1">IF(NOTA[[#This Row],[NAMA BARANG]]="","",INDEX(NOTA[SUPPLIER],MATCH(,INDIRECT(ADDRESS(ROW(NOTA[ID]),COLUMN(NOTA[ID]))&amp;":"&amp;ADDRESS(ROW(),COLUMN(NOTA[ID]))),-1)))</f>
        <v>KENKO SINAR INDONESIA</v>
      </c>
      <c r="AI1025" s="64" t="str">
        <f ca="1">IF(NOTA[[#This Row],[ID_H]]="","",IF(NOTA[[#This Row],[FAKTUR]]="",INDIRECT(ADDRESS(ROW()-1,COLUMN())),NOTA[[#This Row],[FAKTUR]]))</f>
        <v>ARTO MORO</v>
      </c>
      <c r="AJ1025" s="66">
        <f ca="1">IF(NOTA[[#This Row],[ID]]="","",COUNTIF(NOTA[ID_H],NOTA[[#This Row],[ID_H]]))</f>
        <v>9</v>
      </c>
      <c r="AK1025" s="66">
        <f>IF(NOTA[[#This Row],[TGL.NOTA]]="",IF(NOTA[[#This Row],[SUPPLIER_H]]="","",AK1024),MONTH(NOTA[[#This Row],[TGL.NOTA]]))</f>
        <v>5</v>
      </c>
      <c r="AL1025" s="66" t="str">
        <f>LOWER(SUBSTITUTE(SUBSTITUTE(SUBSTITUTE(SUBSTITUTE(SUBSTITUTE(SUBSTITUTE(SUBSTITUTE(SUBSTITUTE(SUBSTITUTE(NOTA[NAMA BARANG]," ",),".",""),"-",""),"(",""),")",""),",",""),"/",""),"""",""),"+",""))</f>
        <v>kenkopencilcasepc0719pastel</v>
      </c>
      <c r="AM10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kenkopencilcasepc0719pastel14976000.17</v>
      </c>
      <c r="AN10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kenkopencilcasepc0719pastel14976000.17</v>
      </c>
      <c r="AO1025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MORO23052506SA 4201145072kenkopencilcasepc0719pastel</v>
      </c>
      <c r="AP1025" s="66" t="e">
        <f>IF(NOTA[[#This Row],[CONCAT4]]="","",_xlfn.IFNA(MATCH(NOTA[[#This Row],[CONCAT4]],[2]!RAW[CONCAT_H],0),FALSE))</f>
        <v>#REF!</v>
      </c>
      <c r="AQ1025" s="66">
        <f>IF(NOTA[[#This Row],[CONCAT1]]="","",MATCH(NOTA[[#This Row],[CONCAT1]],[3]!db[NB NOTA_C],0)+1)</f>
        <v>1356</v>
      </c>
    </row>
    <row r="1026" spans="1:43" ht="20.100000000000001" customHeight="1" x14ac:dyDescent="0.25">
      <c r="A102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66" t="str">
        <f>IF(NOTA[[#This Row],[ID_P]]="","",MATCH(NOTA[[#This Row],[ID_P]],[1]!B_MSK[N_ID],0))</f>
        <v/>
      </c>
      <c r="D1026" s="66">
        <f ca="1">IF(NOTA[[#This Row],[NAMA BARANG]]="","",INDEX(NOTA[ID],MATCH(,INDIRECT(ADDRESS(ROW(NOTA[ID]),COLUMN(NOTA[ID]))&amp;":"&amp;ADDRESS(ROW(),COLUMN(NOTA[ID]))),-1)))</f>
        <v>171</v>
      </c>
      <c r="E1026" s="113"/>
      <c r="H1026" s="54"/>
      <c r="L1026" s="27" t="s">
        <v>1167</v>
      </c>
      <c r="M1026" s="114">
        <v>1</v>
      </c>
      <c r="N1026" s="66"/>
      <c r="Q1026" s="79">
        <v>801600</v>
      </c>
      <c r="R1026" s="42"/>
      <c r="S1026" s="80">
        <v>0.17</v>
      </c>
      <c r="U1026" s="52"/>
      <c r="V1026" s="77"/>
      <c r="W1026" s="52">
        <f>IF(NOTA[[#This Row],[HARGA/ CTN]]="",NOTA[[#This Row],[JUMLAH_H]],NOTA[[#This Row],[HARGA/ CTN]]*IF(NOTA[[#This Row],[C]]="",0,NOTA[[#This Row],[C]]))</f>
        <v>801600</v>
      </c>
      <c r="X1026" s="52">
        <f>IF(NOTA[[#This Row],[JUMLAH]]="","",NOTA[[#This Row],[JUMLAH]]*NOTA[[#This Row],[DISC 1]])</f>
        <v>136272</v>
      </c>
      <c r="Y1026" s="52">
        <f>IF(NOTA[[#This Row],[JUMLAH]]="","",(NOTA[[#This Row],[JUMLAH]]-NOTA[[#This Row],[DISC 1-]])*NOTA[[#This Row],[DISC 2]])</f>
        <v>0</v>
      </c>
      <c r="Z1026" s="52">
        <f>IF(NOTA[[#This Row],[JUMLAH]]="","",NOTA[[#This Row],[DISC 1-]]+NOTA[[#This Row],[DISC 2-]])</f>
        <v>136272</v>
      </c>
      <c r="AA1026" s="52">
        <f>IF(NOTA[[#This Row],[JUMLAH]]="","",NOTA[[#This Row],[JUMLAH]]-NOTA[[#This Row],[DISC]])</f>
        <v>665328</v>
      </c>
      <c r="AB1026" s="52"/>
      <c r="AC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6" s="64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1026" s="203" t="str">
        <f>IF(OR(NOTA[[#This Row],[QTY]]="",NOTA[[#This Row],[HARGA SATUAN]]="",),"",NOTA[[#This Row],[QTY]]*NOTA[[#This Row],[HARGA SATUAN]])</f>
        <v/>
      </c>
      <c r="AG1026" s="53">
        <f ca="1">IF(NOTA[ID_H]="","",INDEX(NOTA[TANGGAL],MATCH(,INDIRECT(ADDRESS(ROW(NOTA[TANGGAL]),COLUMN(NOTA[TANGGAL]))&amp;":"&amp;ADDRESS(ROW(),COLUMN(NOTA[TANGGAL]))),-1)))</f>
        <v>45075</v>
      </c>
      <c r="AH1026" s="64" t="str">
        <f ca="1">IF(NOTA[[#This Row],[NAMA BARANG]]="","",INDEX(NOTA[SUPPLIER],MATCH(,INDIRECT(ADDRESS(ROW(NOTA[ID]),COLUMN(NOTA[ID]))&amp;":"&amp;ADDRESS(ROW(),COLUMN(NOTA[ID]))),-1)))</f>
        <v>KENKO SINAR INDONESIA</v>
      </c>
      <c r="AI1026" s="64" t="str">
        <f ca="1">IF(NOTA[[#This Row],[ID_H]]="","",IF(NOTA[[#This Row],[FAKTUR]]="",INDIRECT(ADDRESS(ROW()-1,COLUMN())),NOTA[[#This Row],[FAKTUR]]))</f>
        <v>ARTO MORO</v>
      </c>
      <c r="AJ1026" s="66" t="str">
        <f ca="1">IF(NOTA[[#This Row],[ID]]="","",COUNTIF(NOTA[ID_H],NOTA[[#This Row],[ID_H]]))</f>
        <v/>
      </c>
      <c r="AK1026" s="66">
        <f ca="1">IF(NOTA[[#This Row],[TGL.NOTA]]="",IF(NOTA[[#This Row],[SUPPLIER_H]]="","",AK1025),MONTH(NOTA[[#This Row],[TGL.NOTA]]))</f>
        <v>5</v>
      </c>
      <c r="AL1026" s="6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10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10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10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6" s="66" t="str">
        <f>IF(NOTA[[#This Row],[CONCAT4]]="","",_xlfn.IFNA(MATCH(NOTA[[#This Row],[CONCAT4]],[2]!RAW[CONCAT_H],0),FALSE))</f>
        <v/>
      </c>
      <c r="AQ1026" s="66">
        <f>IF(NOTA[[#This Row],[CONCAT1]]="","",MATCH(NOTA[[#This Row],[CONCAT1]],[3]!db[NB NOTA_C],0)+1)</f>
        <v>1324</v>
      </c>
    </row>
    <row r="1027" spans="1:43" ht="20.100000000000001" customHeight="1" x14ac:dyDescent="0.25">
      <c r="A10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66" t="str">
        <f>IF(NOTA[[#This Row],[ID_P]]="","",MATCH(NOTA[[#This Row],[ID_P]],[1]!B_MSK[N_ID],0))</f>
        <v/>
      </c>
      <c r="D1027" s="66">
        <f ca="1">IF(NOTA[[#This Row],[NAMA BARANG]]="","",INDEX(NOTA[ID],MATCH(,INDIRECT(ADDRESS(ROW(NOTA[ID]),COLUMN(NOTA[ID]))&amp;":"&amp;ADDRESS(ROW(),COLUMN(NOTA[ID]))),-1)))</f>
        <v>171</v>
      </c>
      <c r="E1027" s="113"/>
      <c r="H1027" s="54"/>
      <c r="L1027" s="27" t="s">
        <v>1168</v>
      </c>
      <c r="M1027" s="114">
        <v>1</v>
      </c>
      <c r="N1027" s="66"/>
      <c r="Q1027" s="79">
        <v>420000</v>
      </c>
      <c r="R1027" s="42"/>
      <c r="S1027" s="80">
        <v>0.17</v>
      </c>
      <c r="U1027" s="52"/>
      <c r="V1027" s="77"/>
      <c r="W1027" s="52">
        <f>IF(NOTA[[#This Row],[HARGA/ CTN]]="",NOTA[[#This Row],[JUMLAH_H]],NOTA[[#This Row],[HARGA/ CTN]]*IF(NOTA[[#This Row],[C]]="",0,NOTA[[#This Row],[C]]))</f>
        <v>420000</v>
      </c>
      <c r="X1027" s="52">
        <f>IF(NOTA[[#This Row],[JUMLAH]]="","",NOTA[[#This Row],[JUMLAH]]*NOTA[[#This Row],[DISC 1]])</f>
        <v>71400</v>
      </c>
      <c r="Y1027" s="52">
        <f>IF(NOTA[[#This Row],[JUMLAH]]="","",(NOTA[[#This Row],[JUMLAH]]-NOTA[[#This Row],[DISC 1-]])*NOTA[[#This Row],[DISC 2]])</f>
        <v>0</v>
      </c>
      <c r="Z1027" s="52">
        <f>IF(NOTA[[#This Row],[JUMLAH]]="","",NOTA[[#This Row],[DISC 1-]]+NOTA[[#This Row],[DISC 2-]])</f>
        <v>71400</v>
      </c>
      <c r="AA1027" s="52">
        <f>IF(NOTA[[#This Row],[JUMLAH]]="","",NOTA[[#This Row],[JUMLAH]]-NOTA[[#This Row],[DISC]])</f>
        <v>348600</v>
      </c>
      <c r="AB1027" s="52"/>
      <c r="AC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7" s="64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F1027" s="203" t="str">
        <f>IF(OR(NOTA[[#This Row],[QTY]]="",NOTA[[#This Row],[HARGA SATUAN]]="",),"",NOTA[[#This Row],[QTY]]*NOTA[[#This Row],[HARGA SATUAN]])</f>
        <v/>
      </c>
      <c r="AG1027" s="53">
        <f ca="1">IF(NOTA[ID_H]="","",INDEX(NOTA[TANGGAL],MATCH(,INDIRECT(ADDRESS(ROW(NOTA[TANGGAL]),COLUMN(NOTA[TANGGAL]))&amp;":"&amp;ADDRESS(ROW(),COLUMN(NOTA[TANGGAL]))),-1)))</f>
        <v>45075</v>
      </c>
      <c r="AH1027" s="64" t="str">
        <f ca="1">IF(NOTA[[#This Row],[NAMA BARANG]]="","",INDEX(NOTA[SUPPLIER],MATCH(,INDIRECT(ADDRESS(ROW(NOTA[ID]),COLUMN(NOTA[ID]))&amp;":"&amp;ADDRESS(ROW(),COLUMN(NOTA[ID]))),-1)))</f>
        <v>KENKO SINAR INDONESIA</v>
      </c>
      <c r="AI1027" s="64" t="str">
        <f ca="1">IF(NOTA[[#This Row],[ID_H]]="","",IF(NOTA[[#This Row],[FAKTUR]]="",INDIRECT(ADDRESS(ROW()-1,COLUMN())),NOTA[[#This Row],[FAKTUR]]))</f>
        <v>ARTO MORO</v>
      </c>
      <c r="AJ1027" s="66" t="str">
        <f ca="1">IF(NOTA[[#This Row],[ID]]="","",COUNTIF(NOTA[ID_H],NOTA[[#This Row],[ID_H]]))</f>
        <v/>
      </c>
      <c r="AK1027" s="66">
        <f ca="1">IF(NOTA[[#This Row],[TGL.NOTA]]="",IF(NOTA[[#This Row],[SUPPLIER_H]]="","",AK1026),MONTH(NOTA[[#This Row],[TGL.NOTA]]))</f>
        <v>5</v>
      </c>
      <c r="AL1027" s="66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M10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N10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O10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7" s="66" t="str">
        <f>IF(NOTA[[#This Row],[CONCAT4]]="","",_xlfn.IFNA(MATCH(NOTA[[#This Row],[CONCAT4]],[2]!RAW[CONCAT_H],0),FALSE))</f>
        <v/>
      </c>
      <c r="AQ1027" s="66">
        <f>IF(NOTA[[#This Row],[CONCAT1]]="","",MATCH(NOTA[[#This Row],[CONCAT1]],[3]!db[NB NOTA_C],0)+1)</f>
        <v>1422</v>
      </c>
    </row>
    <row r="1028" spans="1:43" ht="20.100000000000001" customHeight="1" x14ac:dyDescent="0.25">
      <c r="A102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66" t="str">
        <f>IF(NOTA[[#This Row],[ID_P]]="","",MATCH(NOTA[[#This Row],[ID_P]],[1]!B_MSK[N_ID],0))</f>
        <v/>
      </c>
      <c r="D1028" s="66">
        <f ca="1">IF(NOTA[[#This Row],[NAMA BARANG]]="","",INDEX(NOTA[ID],MATCH(,INDIRECT(ADDRESS(ROW(NOTA[ID]),COLUMN(NOTA[ID]))&amp;":"&amp;ADDRESS(ROW(),COLUMN(NOTA[ID]))),-1)))</f>
        <v>171</v>
      </c>
      <c r="E1028" s="113"/>
      <c r="H1028" s="54"/>
      <c r="L1028" s="27" t="s">
        <v>218</v>
      </c>
      <c r="M1028" s="114">
        <v>2</v>
      </c>
      <c r="N1028" s="66"/>
      <c r="Q1028" s="79">
        <v>2088000</v>
      </c>
      <c r="R1028" s="42"/>
      <c r="S1028" s="80">
        <v>0.17</v>
      </c>
      <c r="U1028" s="52"/>
      <c r="V1028" s="77"/>
      <c r="W1028" s="52">
        <f>IF(NOTA[[#This Row],[HARGA/ CTN]]="",NOTA[[#This Row],[JUMLAH_H]],NOTA[[#This Row],[HARGA/ CTN]]*IF(NOTA[[#This Row],[C]]="",0,NOTA[[#This Row],[C]]))</f>
        <v>4176000</v>
      </c>
      <c r="X1028" s="52">
        <f>IF(NOTA[[#This Row],[JUMLAH]]="","",NOTA[[#This Row],[JUMLAH]]*NOTA[[#This Row],[DISC 1]])</f>
        <v>709920</v>
      </c>
      <c r="Y1028" s="52">
        <f>IF(NOTA[[#This Row],[JUMLAH]]="","",(NOTA[[#This Row],[JUMLAH]]-NOTA[[#This Row],[DISC 1-]])*NOTA[[#This Row],[DISC 2]])</f>
        <v>0</v>
      </c>
      <c r="Z1028" s="52">
        <f>IF(NOTA[[#This Row],[JUMLAH]]="","",NOTA[[#This Row],[DISC 1-]]+NOTA[[#This Row],[DISC 2-]])</f>
        <v>709920</v>
      </c>
      <c r="AA1028" s="52">
        <f>IF(NOTA[[#This Row],[JUMLAH]]="","",NOTA[[#This Row],[JUMLAH]]-NOTA[[#This Row],[DISC]])</f>
        <v>3466080</v>
      </c>
      <c r="AB1028" s="52"/>
      <c r="AC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8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1028" s="203" t="str">
        <f>IF(OR(NOTA[[#This Row],[QTY]]="",NOTA[[#This Row],[HARGA SATUAN]]="",),"",NOTA[[#This Row],[QTY]]*NOTA[[#This Row],[HARGA SATUAN]])</f>
        <v/>
      </c>
      <c r="AG1028" s="53">
        <f ca="1">IF(NOTA[ID_H]="","",INDEX(NOTA[TANGGAL],MATCH(,INDIRECT(ADDRESS(ROW(NOTA[TANGGAL]),COLUMN(NOTA[TANGGAL]))&amp;":"&amp;ADDRESS(ROW(),COLUMN(NOTA[TANGGAL]))),-1)))</f>
        <v>45075</v>
      </c>
      <c r="AH1028" s="64" t="str">
        <f ca="1">IF(NOTA[[#This Row],[NAMA BARANG]]="","",INDEX(NOTA[SUPPLIER],MATCH(,INDIRECT(ADDRESS(ROW(NOTA[ID]),COLUMN(NOTA[ID]))&amp;":"&amp;ADDRESS(ROW(),COLUMN(NOTA[ID]))),-1)))</f>
        <v>KENKO SINAR INDONESIA</v>
      </c>
      <c r="AI1028" s="64" t="str">
        <f ca="1">IF(NOTA[[#This Row],[ID_H]]="","",IF(NOTA[[#This Row],[FAKTUR]]="",INDIRECT(ADDRESS(ROW()-1,COLUMN())),NOTA[[#This Row],[FAKTUR]]))</f>
        <v>ARTO MORO</v>
      </c>
      <c r="AJ1028" s="66" t="str">
        <f ca="1">IF(NOTA[[#This Row],[ID]]="","",COUNTIF(NOTA[ID_H],NOTA[[#This Row],[ID_H]]))</f>
        <v/>
      </c>
      <c r="AK1028" s="66">
        <f ca="1">IF(NOTA[[#This Row],[TGL.NOTA]]="",IF(NOTA[[#This Row],[SUPPLIER_H]]="","",AK1027),MONTH(NOTA[[#This Row],[TGL.NOTA]]))</f>
        <v>5</v>
      </c>
      <c r="AL1028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10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10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10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8" s="66" t="str">
        <f>IF(NOTA[[#This Row],[CONCAT4]]="","",_xlfn.IFNA(MATCH(NOTA[[#This Row],[CONCAT4]],[2]!RAW[CONCAT_H],0),FALSE))</f>
        <v/>
      </c>
      <c r="AQ1028" s="66">
        <f>IF(NOTA[[#This Row],[CONCAT1]]="","",MATCH(NOTA[[#This Row],[CONCAT1]],[3]!db[NB NOTA_C],0)+1)</f>
        <v>2264</v>
      </c>
    </row>
    <row r="1029" spans="1:43" ht="20.100000000000001" customHeight="1" x14ac:dyDescent="0.25">
      <c r="A10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66" t="str">
        <f>IF(NOTA[[#This Row],[ID_P]]="","",MATCH(NOTA[[#This Row],[ID_P]],[1]!B_MSK[N_ID],0))</f>
        <v/>
      </c>
      <c r="D1029" s="66">
        <f ca="1">IF(NOTA[[#This Row],[NAMA BARANG]]="","",INDEX(NOTA[ID],MATCH(,INDIRECT(ADDRESS(ROW(NOTA[ID]),COLUMN(NOTA[ID]))&amp;":"&amp;ADDRESS(ROW(),COLUMN(NOTA[ID]))),-1)))</f>
        <v>171</v>
      </c>
      <c r="E1029" s="113"/>
      <c r="H1029" s="54"/>
      <c r="L1029" s="27" t="s">
        <v>682</v>
      </c>
      <c r="M1029" s="114">
        <v>2</v>
      </c>
      <c r="N1029" s="66"/>
      <c r="Q1029" s="79">
        <v>1944000</v>
      </c>
      <c r="R1029" s="42"/>
      <c r="S1029" s="80">
        <v>0.17</v>
      </c>
      <c r="U1029" s="52"/>
      <c r="V1029" s="77"/>
      <c r="W1029" s="52">
        <f>IF(NOTA[[#This Row],[HARGA/ CTN]]="",NOTA[[#This Row],[JUMLAH_H]],NOTA[[#This Row],[HARGA/ CTN]]*IF(NOTA[[#This Row],[C]]="",0,NOTA[[#This Row],[C]]))</f>
        <v>3888000</v>
      </c>
      <c r="X1029" s="52">
        <f>IF(NOTA[[#This Row],[JUMLAH]]="","",NOTA[[#This Row],[JUMLAH]]*NOTA[[#This Row],[DISC 1]])</f>
        <v>660960</v>
      </c>
      <c r="Y1029" s="52">
        <f>IF(NOTA[[#This Row],[JUMLAH]]="","",(NOTA[[#This Row],[JUMLAH]]-NOTA[[#This Row],[DISC 1-]])*NOTA[[#This Row],[DISC 2]])</f>
        <v>0</v>
      </c>
      <c r="Z1029" s="52">
        <f>IF(NOTA[[#This Row],[JUMLAH]]="","",NOTA[[#This Row],[DISC 1-]]+NOTA[[#This Row],[DISC 2-]])</f>
        <v>660960</v>
      </c>
      <c r="AA1029" s="52">
        <f>IF(NOTA[[#This Row],[JUMLAH]]="","",NOTA[[#This Row],[JUMLAH]]-NOTA[[#This Row],[DISC]])</f>
        <v>3227040</v>
      </c>
      <c r="AB1029" s="52"/>
      <c r="AC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9" s="64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1029" s="203" t="str">
        <f>IF(OR(NOTA[[#This Row],[QTY]]="",NOTA[[#This Row],[HARGA SATUAN]]="",),"",NOTA[[#This Row],[QTY]]*NOTA[[#This Row],[HARGA SATUAN]])</f>
        <v/>
      </c>
      <c r="AG1029" s="53">
        <f ca="1">IF(NOTA[ID_H]="","",INDEX(NOTA[TANGGAL],MATCH(,INDIRECT(ADDRESS(ROW(NOTA[TANGGAL]),COLUMN(NOTA[TANGGAL]))&amp;":"&amp;ADDRESS(ROW(),COLUMN(NOTA[TANGGAL]))),-1)))</f>
        <v>45075</v>
      </c>
      <c r="AH1029" s="64" t="str">
        <f ca="1">IF(NOTA[[#This Row],[NAMA BARANG]]="","",INDEX(NOTA[SUPPLIER],MATCH(,INDIRECT(ADDRESS(ROW(NOTA[ID]),COLUMN(NOTA[ID]))&amp;":"&amp;ADDRESS(ROW(),COLUMN(NOTA[ID]))),-1)))</f>
        <v>KENKO SINAR INDONESIA</v>
      </c>
      <c r="AI1029" s="64" t="str">
        <f ca="1">IF(NOTA[[#This Row],[ID_H]]="","",IF(NOTA[[#This Row],[FAKTUR]]="",INDIRECT(ADDRESS(ROW()-1,COLUMN())),NOTA[[#This Row],[FAKTUR]]))</f>
        <v>ARTO MORO</v>
      </c>
      <c r="AJ1029" s="66" t="str">
        <f ca="1">IF(NOTA[[#This Row],[ID]]="","",COUNTIF(NOTA[ID_H],NOTA[[#This Row],[ID_H]]))</f>
        <v/>
      </c>
      <c r="AK1029" s="66">
        <f ca="1">IF(NOTA[[#This Row],[TGL.NOTA]]="",IF(NOTA[[#This Row],[SUPPLIER_H]]="","",AK1028),MONTH(NOTA[[#This Row],[TGL.NOTA]]))</f>
        <v>5</v>
      </c>
      <c r="AL1029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10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10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10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29" s="66" t="str">
        <f>IF(NOTA[[#This Row],[CONCAT4]]="","",_xlfn.IFNA(MATCH(NOTA[[#This Row],[CONCAT4]],[2]!RAW[CONCAT_H],0),FALSE))</f>
        <v/>
      </c>
      <c r="AQ1029" s="66">
        <f>IF(NOTA[[#This Row],[CONCAT1]]="","",MATCH(NOTA[[#This Row],[CONCAT1]],[3]!db[NB NOTA_C],0)+1)</f>
        <v>2266</v>
      </c>
    </row>
    <row r="1030" spans="1:43" ht="20.100000000000001" customHeight="1" x14ac:dyDescent="0.25">
      <c r="A10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66" t="str">
        <f>IF(NOTA[[#This Row],[ID_P]]="","",MATCH(NOTA[[#This Row],[ID_P]],[1]!B_MSK[N_ID],0))</f>
        <v/>
      </c>
      <c r="D1030" s="66">
        <f ca="1">IF(NOTA[[#This Row],[NAMA BARANG]]="","",INDEX(NOTA[ID],MATCH(,INDIRECT(ADDRESS(ROW(NOTA[ID]),COLUMN(NOTA[ID]))&amp;":"&amp;ADDRESS(ROW(),COLUMN(NOTA[ID]))),-1)))</f>
        <v>171</v>
      </c>
      <c r="E1030" s="113"/>
      <c r="H1030" s="54"/>
      <c r="L1030" s="27" t="s">
        <v>676</v>
      </c>
      <c r="M1030" s="114">
        <v>2</v>
      </c>
      <c r="N1030" s="66"/>
      <c r="Q1030" s="79">
        <v>1632000</v>
      </c>
      <c r="R1030" s="42"/>
      <c r="S1030" s="80">
        <v>0.17</v>
      </c>
      <c r="U1030" s="52"/>
      <c r="V1030" s="77"/>
      <c r="W1030" s="52">
        <f>IF(NOTA[[#This Row],[HARGA/ CTN]]="",NOTA[[#This Row],[JUMLAH_H]],NOTA[[#This Row],[HARGA/ CTN]]*IF(NOTA[[#This Row],[C]]="",0,NOTA[[#This Row],[C]]))</f>
        <v>3264000</v>
      </c>
      <c r="X1030" s="52">
        <f>IF(NOTA[[#This Row],[JUMLAH]]="","",NOTA[[#This Row],[JUMLAH]]*NOTA[[#This Row],[DISC 1]])</f>
        <v>554880</v>
      </c>
      <c r="Y1030" s="52">
        <f>IF(NOTA[[#This Row],[JUMLAH]]="","",(NOTA[[#This Row],[JUMLAH]]-NOTA[[#This Row],[DISC 1-]])*NOTA[[#This Row],[DISC 2]])</f>
        <v>0</v>
      </c>
      <c r="Z1030" s="52">
        <f>IF(NOTA[[#This Row],[JUMLAH]]="","",NOTA[[#This Row],[DISC 1-]]+NOTA[[#This Row],[DISC 2-]])</f>
        <v>554880</v>
      </c>
      <c r="AA1030" s="52">
        <f>IF(NOTA[[#This Row],[JUMLAH]]="","",NOTA[[#This Row],[JUMLAH]]-NOTA[[#This Row],[DISC]])</f>
        <v>2709120</v>
      </c>
      <c r="AB1030" s="52"/>
      <c r="AC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0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030" s="203" t="str">
        <f>IF(OR(NOTA[[#This Row],[QTY]]="",NOTA[[#This Row],[HARGA SATUAN]]="",),"",NOTA[[#This Row],[QTY]]*NOTA[[#This Row],[HARGA SATUAN]])</f>
        <v/>
      </c>
      <c r="AG1030" s="53">
        <f ca="1">IF(NOTA[ID_H]="","",INDEX(NOTA[TANGGAL],MATCH(,INDIRECT(ADDRESS(ROW(NOTA[TANGGAL]),COLUMN(NOTA[TANGGAL]))&amp;":"&amp;ADDRESS(ROW(),COLUMN(NOTA[TANGGAL]))),-1)))</f>
        <v>45075</v>
      </c>
      <c r="AH1030" s="64" t="str">
        <f ca="1">IF(NOTA[[#This Row],[NAMA BARANG]]="","",INDEX(NOTA[SUPPLIER],MATCH(,INDIRECT(ADDRESS(ROW(NOTA[ID]),COLUMN(NOTA[ID]))&amp;":"&amp;ADDRESS(ROW(),COLUMN(NOTA[ID]))),-1)))</f>
        <v>KENKO SINAR INDONESIA</v>
      </c>
      <c r="AI1030" s="64" t="str">
        <f ca="1">IF(NOTA[[#This Row],[ID_H]]="","",IF(NOTA[[#This Row],[FAKTUR]]="",INDIRECT(ADDRESS(ROW()-1,COLUMN())),NOTA[[#This Row],[FAKTUR]]))</f>
        <v>ARTO MORO</v>
      </c>
      <c r="AJ1030" s="66" t="str">
        <f ca="1">IF(NOTA[[#This Row],[ID]]="","",COUNTIF(NOTA[ID_H],NOTA[[#This Row],[ID_H]]))</f>
        <v/>
      </c>
      <c r="AK1030" s="66">
        <f ca="1">IF(NOTA[[#This Row],[TGL.NOTA]]="",IF(NOTA[[#This Row],[SUPPLIER_H]]="","",AK1029),MONTH(NOTA[[#This Row],[TGL.NOTA]]))</f>
        <v>5</v>
      </c>
      <c r="AL1030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10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10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10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0" s="66" t="str">
        <f>IF(NOTA[[#This Row],[CONCAT4]]="","",_xlfn.IFNA(MATCH(NOTA[[#This Row],[CONCAT4]],[2]!RAW[CONCAT_H],0),FALSE))</f>
        <v/>
      </c>
      <c r="AQ1030" s="66">
        <f>IF(NOTA[[#This Row],[CONCAT1]]="","",MATCH(NOTA[[#This Row],[CONCAT1]],[3]!db[NB NOTA_C],0)+1)</f>
        <v>2267</v>
      </c>
    </row>
    <row r="1031" spans="1:43" ht="20.100000000000001" customHeight="1" x14ac:dyDescent="0.25">
      <c r="A10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66" t="str">
        <f>IF(NOTA[[#This Row],[ID_P]]="","",MATCH(NOTA[[#This Row],[ID_P]],[1]!B_MSK[N_ID],0))</f>
        <v/>
      </c>
      <c r="D1031" s="66">
        <f ca="1">IF(NOTA[[#This Row],[NAMA BARANG]]="","",INDEX(NOTA[ID],MATCH(,INDIRECT(ADDRESS(ROW(NOTA[ID]),COLUMN(NOTA[ID]))&amp;":"&amp;ADDRESS(ROW(),COLUMN(NOTA[ID]))),-1)))</f>
        <v>171</v>
      </c>
      <c r="E1031" s="113"/>
      <c r="H1031" s="54"/>
      <c r="L1031" s="27" t="s">
        <v>677</v>
      </c>
      <c r="M1031" s="114">
        <v>2</v>
      </c>
      <c r="N1031" s="66"/>
      <c r="Q1031" s="79">
        <v>1710000</v>
      </c>
      <c r="R1031" s="42"/>
      <c r="S1031" s="80">
        <v>0.17</v>
      </c>
      <c r="U1031" s="52"/>
      <c r="V1031" s="77"/>
      <c r="W1031" s="52">
        <f>IF(NOTA[[#This Row],[HARGA/ CTN]]="",NOTA[[#This Row],[JUMLAH_H]],NOTA[[#This Row],[HARGA/ CTN]]*IF(NOTA[[#This Row],[C]]="",0,NOTA[[#This Row],[C]]))</f>
        <v>3420000</v>
      </c>
      <c r="X1031" s="52">
        <f>IF(NOTA[[#This Row],[JUMLAH]]="","",NOTA[[#This Row],[JUMLAH]]*NOTA[[#This Row],[DISC 1]])</f>
        <v>581400</v>
      </c>
      <c r="Y1031" s="52">
        <f>IF(NOTA[[#This Row],[JUMLAH]]="","",(NOTA[[#This Row],[JUMLAH]]-NOTA[[#This Row],[DISC 1-]])*NOTA[[#This Row],[DISC 2]])</f>
        <v>0</v>
      </c>
      <c r="Z1031" s="52">
        <f>IF(NOTA[[#This Row],[JUMLAH]]="","",NOTA[[#This Row],[DISC 1-]]+NOTA[[#This Row],[DISC 2-]])</f>
        <v>581400</v>
      </c>
      <c r="AA1031" s="52">
        <f>IF(NOTA[[#This Row],[JUMLAH]]="","",NOTA[[#This Row],[JUMLAH]]-NOTA[[#This Row],[DISC]])</f>
        <v>2838600</v>
      </c>
      <c r="AB1031" s="52"/>
      <c r="AC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1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31" s="203" t="str">
        <f>IF(OR(NOTA[[#This Row],[QTY]]="",NOTA[[#This Row],[HARGA SATUAN]]="",),"",NOTA[[#This Row],[QTY]]*NOTA[[#This Row],[HARGA SATUAN]])</f>
        <v/>
      </c>
      <c r="AG1031" s="53">
        <f ca="1">IF(NOTA[ID_H]="","",INDEX(NOTA[TANGGAL],MATCH(,INDIRECT(ADDRESS(ROW(NOTA[TANGGAL]),COLUMN(NOTA[TANGGAL]))&amp;":"&amp;ADDRESS(ROW(),COLUMN(NOTA[TANGGAL]))),-1)))</f>
        <v>45075</v>
      </c>
      <c r="AH1031" s="64" t="str">
        <f ca="1">IF(NOTA[[#This Row],[NAMA BARANG]]="","",INDEX(NOTA[SUPPLIER],MATCH(,INDIRECT(ADDRESS(ROW(NOTA[ID]),COLUMN(NOTA[ID]))&amp;":"&amp;ADDRESS(ROW(),COLUMN(NOTA[ID]))),-1)))</f>
        <v>KENKO SINAR INDONESIA</v>
      </c>
      <c r="AI1031" s="64" t="str">
        <f ca="1">IF(NOTA[[#This Row],[ID_H]]="","",IF(NOTA[[#This Row],[FAKTUR]]="",INDIRECT(ADDRESS(ROW()-1,COLUMN())),NOTA[[#This Row],[FAKTUR]]))</f>
        <v>ARTO MORO</v>
      </c>
      <c r="AJ1031" s="66" t="str">
        <f ca="1">IF(NOTA[[#This Row],[ID]]="","",COUNTIF(NOTA[ID_H],NOTA[[#This Row],[ID_H]]))</f>
        <v/>
      </c>
      <c r="AK1031" s="66">
        <f ca="1">IF(NOTA[[#This Row],[TGL.NOTA]]="",IF(NOTA[[#This Row],[SUPPLIER_H]]="","",AK1030),MONTH(NOTA[[#This Row],[TGL.NOTA]]))</f>
        <v>5</v>
      </c>
      <c r="AL1031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10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10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10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1" s="66" t="str">
        <f>IF(NOTA[[#This Row],[CONCAT4]]="","",_xlfn.IFNA(MATCH(NOTA[[#This Row],[CONCAT4]],[2]!RAW[CONCAT_H],0),FALSE))</f>
        <v/>
      </c>
      <c r="AQ1031" s="66">
        <f>IF(NOTA[[#This Row],[CONCAT1]]="","",MATCH(NOTA[[#This Row],[CONCAT1]],[3]!db[NB NOTA_C],0)+1)</f>
        <v>2268</v>
      </c>
    </row>
    <row r="1032" spans="1:43" ht="20.100000000000001" customHeight="1" x14ac:dyDescent="0.25">
      <c r="A10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66" t="str">
        <f>IF(NOTA[[#This Row],[ID_P]]="","",MATCH(NOTA[[#This Row],[ID_P]],[1]!B_MSK[N_ID],0))</f>
        <v/>
      </c>
      <c r="D1032" s="66">
        <f ca="1">IF(NOTA[[#This Row],[NAMA BARANG]]="","",INDEX(NOTA[ID],MATCH(,INDIRECT(ADDRESS(ROW(NOTA[ID]),COLUMN(NOTA[ID]))&amp;":"&amp;ADDRESS(ROW(),COLUMN(NOTA[ID]))),-1)))</f>
        <v>171</v>
      </c>
      <c r="E1032" s="113"/>
      <c r="H1032" s="54"/>
      <c r="L1032" s="27" t="s">
        <v>1169</v>
      </c>
      <c r="M1032" s="114">
        <v>1</v>
      </c>
      <c r="N1032" s="66"/>
      <c r="Q1032" s="79">
        <v>1656000</v>
      </c>
      <c r="R1032" s="42"/>
      <c r="S1032" s="80">
        <v>0.17</v>
      </c>
      <c r="U1032" s="52"/>
      <c r="V1032" s="77"/>
      <c r="W1032" s="52">
        <f>IF(NOTA[[#This Row],[HARGA/ CTN]]="",NOTA[[#This Row],[JUMLAH_H]],NOTA[[#This Row],[HARGA/ CTN]]*IF(NOTA[[#This Row],[C]]="",0,NOTA[[#This Row],[C]]))</f>
        <v>1656000</v>
      </c>
      <c r="X1032" s="52">
        <f>IF(NOTA[[#This Row],[JUMLAH]]="","",NOTA[[#This Row],[JUMLAH]]*NOTA[[#This Row],[DISC 1]])</f>
        <v>281520</v>
      </c>
      <c r="Y1032" s="52">
        <f>IF(NOTA[[#This Row],[JUMLAH]]="","",(NOTA[[#This Row],[JUMLAH]]-NOTA[[#This Row],[DISC 1-]])*NOTA[[#This Row],[DISC 2]])</f>
        <v>0</v>
      </c>
      <c r="Z1032" s="52">
        <f>IF(NOTA[[#This Row],[JUMLAH]]="","",NOTA[[#This Row],[DISC 1-]]+NOTA[[#This Row],[DISC 2-]])</f>
        <v>281520</v>
      </c>
      <c r="AA1032" s="52">
        <f>IF(NOTA[[#This Row],[JUMLAH]]="","",NOTA[[#This Row],[JUMLAH]]-NOTA[[#This Row],[DISC]])</f>
        <v>1374480</v>
      </c>
      <c r="AB1032" s="52"/>
      <c r="AC10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2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32" s="203" t="str">
        <f>IF(OR(NOTA[[#This Row],[QTY]]="",NOTA[[#This Row],[HARGA SATUAN]]="",),"",NOTA[[#This Row],[QTY]]*NOTA[[#This Row],[HARGA SATUAN]])</f>
        <v/>
      </c>
      <c r="AG1032" s="53">
        <f ca="1">IF(NOTA[ID_H]="","",INDEX(NOTA[TANGGAL],MATCH(,INDIRECT(ADDRESS(ROW(NOTA[TANGGAL]),COLUMN(NOTA[TANGGAL]))&amp;":"&amp;ADDRESS(ROW(),COLUMN(NOTA[TANGGAL]))),-1)))</f>
        <v>45075</v>
      </c>
      <c r="AH1032" s="64" t="str">
        <f ca="1">IF(NOTA[[#This Row],[NAMA BARANG]]="","",INDEX(NOTA[SUPPLIER],MATCH(,INDIRECT(ADDRESS(ROW(NOTA[ID]),COLUMN(NOTA[ID]))&amp;":"&amp;ADDRESS(ROW(),COLUMN(NOTA[ID]))),-1)))</f>
        <v>KENKO SINAR INDONESIA</v>
      </c>
      <c r="AI1032" s="64" t="str">
        <f ca="1">IF(NOTA[[#This Row],[ID_H]]="","",IF(NOTA[[#This Row],[FAKTUR]]="",INDIRECT(ADDRESS(ROW()-1,COLUMN())),NOTA[[#This Row],[FAKTUR]]))</f>
        <v>ARTO MORO</v>
      </c>
      <c r="AJ1032" s="66" t="str">
        <f ca="1">IF(NOTA[[#This Row],[ID]]="","",COUNTIF(NOTA[ID_H],NOTA[[#This Row],[ID_H]]))</f>
        <v/>
      </c>
      <c r="AK1032" s="66">
        <f ca="1">IF(NOTA[[#This Row],[TGL.NOTA]]="",IF(NOTA[[#This Row],[SUPPLIER_H]]="","",AK1031),MONTH(NOTA[[#This Row],[TGL.NOTA]]))</f>
        <v>5</v>
      </c>
      <c r="AL1032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10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10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10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2" s="66" t="str">
        <f>IF(NOTA[[#This Row],[CONCAT4]]="","",_xlfn.IFNA(MATCH(NOTA[[#This Row],[CONCAT4]],[2]!RAW[CONCAT_H],0),FALSE))</f>
        <v/>
      </c>
      <c r="AQ1032" s="66">
        <f>IF(NOTA[[#This Row],[CONCAT1]]="","",MATCH(NOTA[[#This Row],[CONCAT1]],[3]!db[NB NOTA_C],0)+1)</f>
        <v>2269</v>
      </c>
    </row>
    <row r="1033" spans="1:43" ht="20.100000000000001" customHeight="1" x14ac:dyDescent="0.25">
      <c r="A10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66" t="str">
        <f>IF(NOTA[[#This Row],[ID_P]]="","",MATCH(NOTA[[#This Row],[ID_P]],[1]!B_MSK[N_ID],0))</f>
        <v/>
      </c>
      <c r="D1033" s="66">
        <f ca="1">IF(NOTA[[#This Row],[NAMA BARANG]]="","",INDEX(NOTA[ID],MATCH(,INDIRECT(ADDRESS(ROW(NOTA[ID]),COLUMN(NOTA[ID]))&amp;":"&amp;ADDRESS(ROW(),COLUMN(NOTA[ID]))),-1)))</f>
        <v>171</v>
      </c>
      <c r="E1033" s="113"/>
      <c r="H1033" s="54"/>
      <c r="L1033" s="27" t="s">
        <v>678</v>
      </c>
      <c r="M1033" s="114">
        <v>1</v>
      </c>
      <c r="N1033" s="66"/>
      <c r="Q1033" s="79">
        <v>1824000</v>
      </c>
      <c r="R1033" s="42"/>
      <c r="S1033" s="80">
        <v>0.17</v>
      </c>
      <c r="U1033" s="52"/>
      <c r="V1033" s="77"/>
      <c r="W1033" s="52">
        <f>IF(NOTA[[#This Row],[HARGA/ CTN]]="",NOTA[[#This Row],[JUMLAH_H]],NOTA[[#This Row],[HARGA/ CTN]]*IF(NOTA[[#This Row],[C]]="",0,NOTA[[#This Row],[C]]))</f>
        <v>1824000</v>
      </c>
      <c r="X1033" s="52">
        <f>IF(NOTA[[#This Row],[JUMLAH]]="","",NOTA[[#This Row],[JUMLAH]]*NOTA[[#This Row],[DISC 1]])</f>
        <v>310080</v>
      </c>
      <c r="Y1033" s="52">
        <f>IF(NOTA[[#This Row],[JUMLAH]]="","",(NOTA[[#This Row],[JUMLAH]]-NOTA[[#This Row],[DISC 1-]])*NOTA[[#This Row],[DISC 2]])</f>
        <v>0</v>
      </c>
      <c r="Z1033" s="52">
        <f>IF(NOTA[[#This Row],[JUMLAH]]="","",NOTA[[#This Row],[DISC 1-]]+NOTA[[#This Row],[DISC 2-]])</f>
        <v>310080</v>
      </c>
      <c r="AA1033" s="52">
        <f>IF(NOTA[[#This Row],[JUMLAH]]="","",NOTA[[#This Row],[JUMLAH]]-NOTA[[#This Row],[DISC]])</f>
        <v>1513920</v>
      </c>
      <c r="AB1033" s="52"/>
      <c r="AC103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3561024</v>
      </c>
      <c r="AD103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17386176</v>
      </c>
      <c r="AE1033" s="6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1033" s="203" t="str">
        <f>IF(OR(NOTA[[#This Row],[QTY]]="",NOTA[[#This Row],[HARGA SATUAN]]="",),"",NOTA[[#This Row],[QTY]]*NOTA[[#This Row],[HARGA SATUAN]])</f>
        <v/>
      </c>
      <c r="AG1033" s="53">
        <f ca="1">IF(NOTA[ID_H]="","",INDEX(NOTA[TANGGAL],MATCH(,INDIRECT(ADDRESS(ROW(NOTA[TANGGAL]),COLUMN(NOTA[TANGGAL]))&amp;":"&amp;ADDRESS(ROW(),COLUMN(NOTA[TANGGAL]))),-1)))</f>
        <v>45075</v>
      </c>
      <c r="AH1033" s="64" t="str">
        <f ca="1">IF(NOTA[[#This Row],[NAMA BARANG]]="","",INDEX(NOTA[SUPPLIER],MATCH(,INDIRECT(ADDRESS(ROW(NOTA[ID]),COLUMN(NOTA[ID]))&amp;":"&amp;ADDRESS(ROW(),COLUMN(NOTA[ID]))),-1)))</f>
        <v>KENKO SINAR INDONESIA</v>
      </c>
      <c r="AI1033" s="64" t="str">
        <f ca="1">IF(NOTA[[#This Row],[ID_H]]="","",IF(NOTA[[#This Row],[FAKTUR]]="",INDIRECT(ADDRESS(ROW()-1,COLUMN())),NOTA[[#This Row],[FAKTUR]]))</f>
        <v>ARTO MORO</v>
      </c>
      <c r="AJ1033" s="66" t="str">
        <f ca="1">IF(NOTA[[#This Row],[ID]]="","",COUNTIF(NOTA[ID_H],NOTA[[#This Row],[ID_H]]))</f>
        <v/>
      </c>
      <c r="AK1033" s="66">
        <f ca="1">IF(NOTA[[#This Row],[TGL.NOTA]]="",IF(NOTA[[#This Row],[SUPPLIER_H]]="","",AK1032),MONTH(NOTA[[#This Row],[TGL.NOTA]]))</f>
        <v>5</v>
      </c>
      <c r="AL1033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10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10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10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3" s="66" t="str">
        <f>IF(NOTA[[#This Row],[CONCAT4]]="","",_xlfn.IFNA(MATCH(NOTA[[#This Row],[CONCAT4]],[2]!RAW[CONCAT_H],0),FALSE))</f>
        <v/>
      </c>
      <c r="AQ1033" s="66">
        <f>IF(NOTA[[#This Row],[CONCAT1]]="","",MATCH(NOTA[[#This Row],[CONCAT1]],[3]!db[NB NOTA_C],0)+1)</f>
        <v>2270</v>
      </c>
    </row>
    <row r="1034" spans="1:43" ht="20.100000000000001" customHeight="1" x14ac:dyDescent="0.25">
      <c r="A10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66" t="str">
        <f>IF(NOTA[[#This Row],[ID_P]]="","",MATCH(NOTA[[#This Row],[ID_P]],[1]!B_MSK[N_ID],0))</f>
        <v/>
      </c>
      <c r="D1034" s="66" t="str">
        <f ca="1">IF(NOTA[[#This Row],[NAMA BARANG]]="","",INDEX(NOTA[ID],MATCH(,INDIRECT(ADDRESS(ROW(NOTA[ID]),COLUMN(NOTA[ID]))&amp;":"&amp;ADDRESS(ROW(),COLUMN(NOTA[ID]))),-1)))</f>
        <v/>
      </c>
      <c r="E1034" s="113"/>
      <c r="H1034" s="54"/>
      <c r="N1034" s="66"/>
      <c r="Q1034" s="79"/>
      <c r="R1034" s="42"/>
      <c r="S1034" s="80"/>
      <c r="U1034" s="52"/>
      <c r="V1034" s="77"/>
      <c r="W1034" s="52" t="str">
        <f>IF(NOTA[[#This Row],[HARGA/ CTN]]="",NOTA[[#This Row],[JUMLAH_H]],NOTA[[#This Row],[HARGA/ CTN]]*IF(NOTA[[#This Row],[C]]="",0,NOTA[[#This Row],[C]]))</f>
        <v/>
      </c>
      <c r="X1034" s="52" t="str">
        <f>IF(NOTA[[#This Row],[JUMLAH]]="","",NOTA[[#This Row],[JUMLAH]]*NOTA[[#This Row],[DISC 1]])</f>
        <v/>
      </c>
      <c r="Y1034" s="52" t="str">
        <f>IF(NOTA[[#This Row],[JUMLAH]]="","",(NOTA[[#This Row],[JUMLAH]]-NOTA[[#This Row],[DISC 1-]])*NOTA[[#This Row],[DISC 2]])</f>
        <v/>
      </c>
      <c r="Z1034" s="52" t="str">
        <f>IF(NOTA[[#This Row],[JUMLAH]]="","",NOTA[[#This Row],[DISC 1-]]+NOTA[[#This Row],[DISC 2-]])</f>
        <v/>
      </c>
      <c r="AA1034" s="52" t="str">
        <f>IF(NOTA[[#This Row],[JUMLAH]]="","",NOTA[[#This Row],[JUMLAH]]-NOTA[[#This Row],[DISC]])</f>
        <v/>
      </c>
      <c r="AB1034" s="52"/>
      <c r="AC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4" s="203" t="str">
        <f>IF(OR(NOTA[[#This Row],[QTY]]="",NOTA[[#This Row],[HARGA SATUAN]]="",),"",NOTA[[#This Row],[QTY]]*NOTA[[#This Row],[HARGA SATUAN]])</f>
        <v/>
      </c>
      <c r="AG1034" s="53" t="str">
        <f ca="1">IF(NOTA[ID_H]="","",INDEX(NOTA[TANGGAL],MATCH(,INDIRECT(ADDRESS(ROW(NOTA[TANGGAL]),COLUMN(NOTA[TANGGAL]))&amp;":"&amp;ADDRESS(ROW(),COLUMN(NOTA[TANGGAL]))),-1)))</f>
        <v/>
      </c>
      <c r="AH1034" s="64" t="str">
        <f ca="1">IF(NOTA[[#This Row],[NAMA BARANG]]="","",INDEX(NOTA[SUPPLIER],MATCH(,INDIRECT(ADDRESS(ROW(NOTA[ID]),COLUMN(NOTA[ID]))&amp;":"&amp;ADDRESS(ROW(),COLUMN(NOTA[ID]))),-1)))</f>
        <v/>
      </c>
      <c r="AI1034" s="64" t="str">
        <f ca="1">IF(NOTA[[#This Row],[ID_H]]="","",IF(NOTA[[#This Row],[FAKTUR]]="",INDIRECT(ADDRESS(ROW()-1,COLUMN())),NOTA[[#This Row],[FAKTUR]]))</f>
        <v/>
      </c>
      <c r="AJ1034" s="66" t="str">
        <f ca="1">IF(NOTA[[#This Row],[ID]]="","",COUNTIF(NOTA[ID_H],NOTA[[#This Row],[ID_H]]))</f>
        <v/>
      </c>
      <c r="AK1034" s="66" t="str">
        <f ca="1">IF(NOTA[[#This Row],[TGL.NOTA]]="",IF(NOTA[[#This Row],[SUPPLIER_H]]="","",AK1033),MONTH(NOTA[[#This Row],[TGL.NOTA]]))</f>
        <v/>
      </c>
      <c r="AL1034" s="66" t="str">
        <f>LOWER(SUBSTITUTE(SUBSTITUTE(SUBSTITUTE(SUBSTITUTE(SUBSTITUTE(SUBSTITUTE(SUBSTITUTE(SUBSTITUTE(SUBSTITUTE(NOTA[NAMA BARANG]," ",),".",""),"-",""),"(",""),")",""),",",""),"/",""),"""",""),"+",""))</f>
        <v/>
      </c>
      <c r="AM10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4" s="66" t="str">
        <f>IF(NOTA[[#This Row],[CONCAT4]]="","",_xlfn.IFNA(MATCH(NOTA[[#This Row],[CONCAT4]],[2]!RAW[CONCAT_H],0),FALSE))</f>
        <v/>
      </c>
      <c r="AQ1034" s="66" t="str">
        <f>IF(NOTA[[#This Row],[CONCAT1]]="","",MATCH(NOTA[[#This Row],[CONCAT1]],[3]!db[NB NOTA_C],0)+1)</f>
        <v/>
      </c>
    </row>
    <row r="1035" spans="1:43" ht="20.100000000000001" customHeight="1" x14ac:dyDescent="0.25">
      <c r="A1035" s="64">
        <f ca="1">IF(INDIRECT(ADDRESS(ROW()-1,COLUMN(NOTA[[#Headers],[ID]])))="ID",1,IF(NOTA[[#This Row],[FAKTUR]]="","",COUNT(INDIRECT(ADDRESS(ROW(NOTA[ID]),COLUMN(NOTA[ID]))&amp;":"&amp;ADDRESS(ROW()-1,COLUMN(NOTA[ID]))))+1))</f>
        <v>172</v>
      </c>
      <c r="B10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KEN_2905_563-7</v>
      </c>
      <c r="C1035" s="66" t="e">
        <f ca="1">IF(NOTA[[#This Row],[ID_P]]="","",MATCH(NOTA[[#This Row],[ID_P]],[1]!B_MSK[N_ID],0))</f>
        <v>#REF!</v>
      </c>
      <c r="D1035" s="66">
        <f ca="1">IF(NOTA[[#This Row],[NAMA BARANG]]="","",INDEX(NOTA[ID],MATCH(,INDIRECT(ADDRESS(ROW(NOTA[ID]),COLUMN(NOTA[ID]))&amp;":"&amp;ADDRESS(ROW(),COLUMN(NOTA[ID]))),-1)))</f>
        <v>172</v>
      </c>
      <c r="E1035" s="113"/>
      <c r="F1035" s="27" t="s">
        <v>23</v>
      </c>
      <c r="G1035" s="27" t="s">
        <v>24</v>
      </c>
      <c r="H1035" s="54" t="s">
        <v>1171</v>
      </c>
      <c r="I1035" s="27" t="s">
        <v>1176</v>
      </c>
      <c r="J1035" s="53">
        <v>45072</v>
      </c>
      <c r="L1035" s="27" t="s">
        <v>1172</v>
      </c>
      <c r="M1035" s="114">
        <v>2</v>
      </c>
      <c r="N1035" s="66"/>
      <c r="Q1035" s="79">
        <v>3110400</v>
      </c>
      <c r="R1035" s="42"/>
      <c r="S1035" s="80">
        <v>0.17</v>
      </c>
      <c r="U1035" s="52"/>
      <c r="V1035" s="77"/>
      <c r="W1035" s="52">
        <f>IF(NOTA[[#This Row],[HARGA/ CTN]]="",NOTA[[#This Row],[JUMLAH_H]],NOTA[[#This Row],[HARGA/ CTN]]*IF(NOTA[[#This Row],[C]]="",0,NOTA[[#This Row],[C]]))</f>
        <v>6220800</v>
      </c>
      <c r="X1035" s="52">
        <f>IF(NOTA[[#This Row],[JUMLAH]]="","",NOTA[[#This Row],[JUMLAH]]*NOTA[[#This Row],[DISC 1]])</f>
        <v>1057536</v>
      </c>
      <c r="Y1035" s="52">
        <f>IF(NOTA[[#This Row],[JUMLAH]]="","",(NOTA[[#This Row],[JUMLAH]]-NOTA[[#This Row],[DISC 1-]])*NOTA[[#This Row],[DISC 2]])</f>
        <v>0</v>
      </c>
      <c r="Z1035" s="52">
        <f>IF(NOTA[[#This Row],[JUMLAH]]="","",NOTA[[#This Row],[DISC 1-]]+NOTA[[#This Row],[DISC 2-]])</f>
        <v>1057536</v>
      </c>
      <c r="AA1035" s="52">
        <f>IF(NOTA[[#This Row],[JUMLAH]]="","",NOTA[[#This Row],[JUMLAH]]-NOTA[[#This Row],[DISC]])</f>
        <v>5163264</v>
      </c>
      <c r="AB1035" s="52"/>
      <c r="AC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5" s="64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035" s="203" t="str">
        <f>IF(OR(NOTA[[#This Row],[QTY]]="",NOTA[[#This Row],[HARGA SATUAN]]="",),"",NOTA[[#This Row],[QTY]]*NOTA[[#This Row],[HARGA SATUAN]])</f>
        <v/>
      </c>
      <c r="AG1035" s="53">
        <f ca="1">IF(NOTA[ID_H]="","",INDEX(NOTA[TANGGAL],MATCH(,INDIRECT(ADDRESS(ROW(NOTA[TANGGAL]),COLUMN(NOTA[TANGGAL]))&amp;":"&amp;ADDRESS(ROW(),COLUMN(NOTA[TANGGAL]))),-1)))</f>
        <v>45075</v>
      </c>
      <c r="AH1035" s="64" t="str">
        <f ca="1">IF(NOTA[[#This Row],[NAMA BARANG]]="","",INDEX(NOTA[SUPPLIER],MATCH(,INDIRECT(ADDRESS(ROW(NOTA[ID]),COLUMN(NOTA[ID]))&amp;":"&amp;ADDRESS(ROW(),COLUMN(NOTA[ID]))),-1)))</f>
        <v>KENKO SINAR INDONESIA</v>
      </c>
      <c r="AI1035" s="64" t="str">
        <f ca="1">IF(NOTA[[#This Row],[ID_H]]="","",IF(NOTA[[#This Row],[FAKTUR]]="",INDIRECT(ADDRESS(ROW()-1,COLUMN())),NOTA[[#This Row],[FAKTUR]]))</f>
        <v>ARTO MORO</v>
      </c>
      <c r="AJ1035" s="66">
        <f ca="1">IF(NOTA[[#This Row],[ID]]="","",COUNTIF(NOTA[ID_H],NOTA[[#This Row],[ID_H]]))</f>
        <v>7</v>
      </c>
      <c r="AK1035" s="66">
        <f>IF(NOTA[[#This Row],[TGL.NOTA]]="",IF(NOTA[[#This Row],[SUPPLIER_H]]="","",AK1034),MONTH(NOTA[[#This Row],[TGL.NOTA]]))</f>
        <v>5</v>
      </c>
      <c r="AL1035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M10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N10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035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MORO23052563SA 4204145072kenkogelpenke303tgeltriangularblack</v>
      </c>
      <c r="AP1035" s="66" t="e">
        <f>IF(NOTA[[#This Row],[CONCAT4]]="","",_xlfn.IFNA(MATCH(NOTA[[#This Row],[CONCAT4]],[2]!RAW[CONCAT_H],0),FALSE))</f>
        <v>#REF!</v>
      </c>
      <c r="AQ1035" s="66">
        <f>IF(NOTA[[#This Row],[CONCAT1]]="","",MATCH(NOTA[[#This Row],[CONCAT1]],[3]!db[NB NOTA_C],0)+1)</f>
        <v>1280</v>
      </c>
    </row>
    <row r="1036" spans="1:43" ht="20.100000000000001" customHeight="1" x14ac:dyDescent="0.25">
      <c r="A10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66" t="str">
        <f>IF(NOTA[[#This Row],[ID_P]]="","",MATCH(NOTA[[#This Row],[ID_P]],[1]!B_MSK[N_ID],0))</f>
        <v/>
      </c>
      <c r="D1036" s="66">
        <f ca="1">IF(NOTA[[#This Row],[NAMA BARANG]]="","",INDEX(NOTA[ID],MATCH(,INDIRECT(ADDRESS(ROW(NOTA[ID]),COLUMN(NOTA[ID]))&amp;":"&amp;ADDRESS(ROW(),COLUMN(NOTA[ID]))),-1)))</f>
        <v>172</v>
      </c>
      <c r="E1036" s="113"/>
      <c r="H1036" s="54"/>
      <c r="L1036" s="27" t="s">
        <v>1175</v>
      </c>
      <c r="M1036" s="114">
        <v>4</v>
      </c>
      <c r="N1036" s="66"/>
      <c r="Q1036" s="79">
        <v>5616000</v>
      </c>
      <c r="R1036" s="42"/>
      <c r="S1036" s="80">
        <v>0.17</v>
      </c>
      <c r="U1036" s="52"/>
      <c r="V1036" s="77"/>
      <c r="W1036" s="52">
        <f>IF(NOTA[[#This Row],[HARGA/ CTN]]="",NOTA[[#This Row],[JUMLAH_H]],NOTA[[#This Row],[HARGA/ CTN]]*IF(NOTA[[#This Row],[C]]="",0,NOTA[[#This Row],[C]]))</f>
        <v>22464000</v>
      </c>
      <c r="X1036" s="52">
        <f>IF(NOTA[[#This Row],[JUMLAH]]="","",NOTA[[#This Row],[JUMLAH]]*NOTA[[#This Row],[DISC 1]])</f>
        <v>3818880.0000000005</v>
      </c>
      <c r="Y1036" s="52">
        <f>IF(NOTA[[#This Row],[JUMLAH]]="","",(NOTA[[#This Row],[JUMLAH]]-NOTA[[#This Row],[DISC 1-]])*NOTA[[#This Row],[DISC 2]])</f>
        <v>0</v>
      </c>
      <c r="Z1036" s="52">
        <f>IF(NOTA[[#This Row],[JUMLAH]]="","",NOTA[[#This Row],[DISC 1-]]+NOTA[[#This Row],[DISC 2-]])</f>
        <v>3818880.0000000005</v>
      </c>
      <c r="AA1036" s="52">
        <f>IF(NOTA[[#This Row],[JUMLAH]]="","",NOTA[[#This Row],[JUMLAH]]-NOTA[[#This Row],[DISC]])</f>
        <v>18645120</v>
      </c>
      <c r="AB1036" s="52"/>
      <c r="AC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6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36" s="203" t="str">
        <f>IF(OR(NOTA[[#This Row],[QTY]]="",NOTA[[#This Row],[HARGA SATUAN]]="",),"",NOTA[[#This Row],[QTY]]*NOTA[[#This Row],[HARGA SATUAN]])</f>
        <v/>
      </c>
      <c r="AG1036" s="53">
        <f ca="1">IF(NOTA[ID_H]="","",INDEX(NOTA[TANGGAL],MATCH(,INDIRECT(ADDRESS(ROW(NOTA[TANGGAL]),COLUMN(NOTA[TANGGAL]))&amp;":"&amp;ADDRESS(ROW(),COLUMN(NOTA[TANGGAL]))),-1)))</f>
        <v>45075</v>
      </c>
      <c r="AH1036" s="64" t="str">
        <f ca="1">IF(NOTA[[#This Row],[NAMA BARANG]]="","",INDEX(NOTA[SUPPLIER],MATCH(,INDIRECT(ADDRESS(ROW(NOTA[ID]),COLUMN(NOTA[ID]))&amp;":"&amp;ADDRESS(ROW(),COLUMN(NOTA[ID]))),-1)))</f>
        <v>KENKO SINAR INDONESIA</v>
      </c>
      <c r="AI1036" s="64" t="str">
        <f ca="1">IF(NOTA[[#This Row],[ID_H]]="","",IF(NOTA[[#This Row],[FAKTUR]]="",INDIRECT(ADDRESS(ROW()-1,COLUMN())),NOTA[[#This Row],[FAKTUR]]))</f>
        <v>ARTO MORO</v>
      </c>
      <c r="AJ1036" s="66" t="str">
        <f ca="1">IF(NOTA[[#This Row],[ID]]="","",COUNTIF(NOTA[ID_H],NOTA[[#This Row],[ID_H]]))</f>
        <v/>
      </c>
      <c r="AK1036" s="66">
        <f ca="1">IF(NOTA[[#This Row],[TGL.NOTA]]="",IF(NOTA[[#This Row],[SUPPLIER_H]]="","",AK1035),MONTH(NOTA[[#This Row],[TGL.NOTA]]))</f>
        <v>5</v>
      </c>
      <c r="AL1036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6" s="66" t="str">
        <f>IF(NOTA[[#This Row],[CONCAT4]]="","",_xlfn.IFNA(MATCH(NOTA[[#This Row],[CONCAT4]],[2]!RAW[CONCAT_H],0),FALSE))</f>
        <v/>
      </c>
      <c r="AQ1036" s="66">
        <f>IF(NOTA[[#This Row],[CONCAT1]]="","",MATCH(NOTA[[#This Row],[CONCAT1]],[3]!db[NB NOTA_C],0)+1)</f>
        <v>1259</v>
      </c>
    </row>
    <row r="1037" spans="1:43" ht="20.100000000000001" customHeight="1" x14ac:dyDescent="0.25">
      <c r="A103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66" t="str">
        <f>IF(NOTA[[#This Row],[ID_P]]="","",MATCH(NOTA[[#This Row],[ID_P]],[1]!B_MSK[N_ID],0))</f>
        <v/>
      </c>
      <c r="D1037" s="66">
        <f ca="1">IF(NOTA[[#This Row],[NAMA BARANG]]="","",INDEX(NOTA[ID],MATCH(,INDIRECT(ADDRESS(ROW(NOTA[ID]),COLUMN(NOTA[ID]))&amp;":"&amp;ADDRESS(ROW(),COLUMN(NOTA[ID]))),-1)))</f>
        <v>172</v>
      </c>
      <c r="E1037" s="113"/>
      <c r="H1037" s="54"/>
      <c r="L1037" s="27" t="s">
        <v>1173</v>
      </c>
      <c r="M1037" s="114">
        <v>4</v>
      </c>
      <c r="N1037" s="66"/>
      <c r="Q1037" s="79">
        <v>5616000</v>
      </c>
      <c r="R1037" s="42"/>
      <c r="S1037" s="80">
        <v>0.17</v>
      </c>
      <c r="U1037" s="52"/>
      <c r="V1037" s="77"/>
      <c r="W1037" s="52">
        <f>IF(NOTA[[#This Row],[HARGA/ CTN]]="",NOTA[[#This Row],[JUMLAH_H]],NOTA[[#This Row],[HARGA/ CTN]]*IF(NOTA[[#This Row],[C]]="",0,NOTA[[#This Row],[C]]))</f>
        <v>22464000</v>
      </c>
      <c r="X1037" s="52">
        <f>IF(NOTA[[#This Row],[JUMLAH]]="","",NOTA[[#This Row],[JUMLAH]]*NOTA[[#This Row],[DISC 1]])</f>
        <v>3818880.0000000005</v>
      </c>
      <c r="Y1037" s="52">
        <f>IF(NOTA[[#This Row],[JUMLAH]]="","",(NOTA[[#This Row],[JUMLAH]]-NOTA[[#This Row],[DISC 1-]])*NOTA[[#This Row],[DISC 2]])</f>
        <v>0</v>
      </c>
      <c r="Z1037" s="52">
        <f>IF(NOTA[[#This Row],[JUMLAH]]="","",NOTA[[#This Row],[DISC 1-]]+NOTA[[#This Row],[DISC 2-]])</f>
        <v>3818880.0000000005</v>
      </c>
      <c r="AA1037" s="52">
        <f>IF(NOTA[[#This Row],[JUMLAH]]="","",NOTA[[#This Row],[JUMLAH]]-NOTA[[#This Row],[DISC]])</f>
        <v>18645120</v>
      </c>
      <c r="AB1037" s="52"/>
      <c r="AC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7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37" s="203" t="str">
        <f>IF(OR(NOTA[[#This Row],[QTY]]="",NOTA[[#This Row],[HARGA SATUAN]]="",),"",NOTA[[#This Row],[QTY]]*NOTA[[#This Row],[HARGA SATUAN]])</f>
        <v/>
      </c>
      <c r="AG1037" s="53">
        <f ca="1">IF(NOTA[ID_H]="","",INDEX(NOTA[TANGGAL],MATCH(,INDIRECT(ADDRESS(ROW(NOTA[TANGGAL]),COLUMN(NOTA[TANGGAL]))&amp;":"&amp;ADDRESS(ROW(),COLUMN(NOTA[TANGGAL]))),-1)))</f>
        <v>45075</v>
      </c>
      <c r="AH1037" s="64" t="str">
        <f ca="1">IF(NOTA[[#This Row],[NAMA BARANG]]="","",INDEX(NOTA[SUPPLIER],MATCH(,INDIRECT(ADDRESS(ROW(NOTA[ID]),COLUMN(NOTA[ID]))&amp;":"&amp;ADDRESS(ROW(),COLUMN(NOTA[ID]))),-1)))</f>
        <v>KENKO SINAR INDONESIA</v>
      </c>
      <c r="AI1037" s="64" t="str">
        <f ca="1">IF(NOTA[[#This Row],[ID_H]]="","",IF(NOTA[[#This Row],[FAKTUR]]="",INDIRECT(ADDRESS(ROW()-1,COLUMN())),NOTA[[#This Row],[FAKTUR]]))</f>
        <v>ARTO MORO</v>
      </c>
      <c r="AJ1037" s="66" t="str">
        <f ca="1">IF(NOTA[[#This Row],[ID]]="","",COUNTIF(NOTA[ID_H],NOTA[[#This Row],[ID_H]]))</f>
        <v/>
      </c>
      <c r="AK1037" s="66">
        <f ca="1">IF(NOTA[[#This Row],[TGL.NOTA]]="",IF(NOTA[[#This Row],[SUPPLIER_H]]="","",AK1036),MONTH(NOTA[[#This Row],[TGL.NOTA]]))</f>
        <v>5</v>
      </c>
      <c r="AL1037" s="66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M10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N10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10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7" s="66" t="str">
        <f>IF(NOTA[[#This Row],[CONCAT4]]="","",_xlfn.IFNA(MATCH(NOTA[[#This Row],[CONCAT4]],[2]!RAW[CONCAT_H],0),FALSE))</f>
        <v/>
      </c>
      <c r="AQ1037" s="66">
        <f>IF(NOTA[[#This Row],[CONCAT1]]="","",MATCH(NOTA[[#This Row],[CONCAT1]],[3]!db[NB NOTA_C],0)+1)</f>
        <v>1268</v>
      </c>
    </row>
    <row r="1038" spans="1:43" ht="20.100000000000001" customHeight="1" x14ac:dyDescent="0.25">
      <c r="A10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66" t="str">
        <f>IF(NOTA[[#This Row],[ID_P]]="","",MATCH(NOTA[[#This Row],[ID_P]],[1]!B_MSK[N_ID],0))</f>
        <v/>
      </c>
      <c r="D1038" s="66">
        <f ca="1">IF(NOTA[[#This Row],[NAMA BARANG]]="","",INDEX(NOTA[ID],MATCH(,INDIRECT(ADDRESS(ROW(NOTA[ID]),COLUMN(NOTA[ID]))&amp;":"&amp;ADDRESS(ROW(),COLUMN(NOTA[ID]))),-1)))</f>
        <v>172</v>
      </c>
      <c r="E1038" s="113"/>
      <c r="H1038" s="54"/>
      <c r="L1038" s="27" t="s">
        <v>856</v>
      </c>
      <c r="M1038" s="114">
        <v>2</v>
      </c>
      <c r="N1038" s="66"/>
      <c r="Q1038" s="79">
        <v>1440000</v>
      </c>
      <c r="R1038" s="42"/>
      <c r="S1038" s="80">
        <v>0.17</v>
      </c>
      <c r="U1038" s="52"/>
      <c r="V1038" s="77"/>
      <c r="W1038" s="52">
        <f>IF(NOTA[[#This Row],[HARGA/ CTN]]="",NOTA[[#This Row],[JUMLAH_H]],NOTA[[#This Row],[HARGA/ CTN]]*IF(NOTA[[#This Row],[C]]="",0,NOTA[[#This Row],[C]]))</f>
        <v>2880000</v>
      </c>
      <c r="X1038" s="52">
        <f>IF(NOTA[[#This Row],[JUMLAH]]="","",NOTA[[#This Row],[JUMLAH]]*NOTA[[#This Row],[DISC 1]])</f>
        <v>489600.00000000006</v>
      </c>
      <c r="Y1038" s="52">
        <f>IF(NOTA[[#This Row],[JUMLAH]]="","",(NOTA[[#This Row],[JUMLAH]]-NOTA[[#This Row],[DISC 1-]])*NOTA[[#This Row],[DISC 2]])</f>
        <v>0</v>
      </c>
      <c r="Z1038" s="52">
        <f>IF(NOTA[[#This Row],[JUMLAH]]="","",NOTA[[#This Row],[DISC 1-]]+NOTA[[#This Row],[DISC 2-]])</f>
        <v>489600.00000000006</v>
      </c>
      <c r="AA1038" s="52">
        <f>IF(NOTA[[#This Row],[JUMLAH]]="","",NOTA[[#This Row],[JUMLAH]]-NOTA[[#This Row],[DISC]])</f>
        <v>2390400</v>
      </c>
      <c r="AB1038" s="52"/>
      <c r="AC10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8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38" s="203" t="str">
        <f>IF(OR(NOTA[[#This Row],[QTY]]="",NOTA[[#This Row],[HARGA SATUAN]]="",),"",NOTA[[#This Row],[QTY]]*NOTA[[#This Row],[HARGA SATUAN]])</f>
        <v/>
      </c>
      <c r="AG1038" s="53">
        <f ca="1">IF(NOTA[ID_H]="","",INDEX(NOTA[TANGGAL],MATCH(,INDIRECT(ADDRESS(ROW(NOTA[TANGGAL]),COLUMN(NOTA[TANGGAL]))&amp;":"&amp;ADDRESS(ROW(),COLUMN(NOTA[TANGGAL]))),-1)))</f>
        <v>45075</v>
      </c>
      <c r="AH1038" s="64" t="str">
        <f ca="1">IF(NOTA[[#This Row],[NAMA BARANG]]="","",INDEX(NOTA[SUPPLIER],MATCH(,INDIRECT(ADDRESS(ROW(NOTA[ID]),COLUMN(NOTA[ID]))&amp;":"&amp;ADDRESS(ROW(),COLUMN(NOTA[ID]))),-1)))</f>
        <v>KENKO SINAR INDONESIA</v>
      </c>
      <c r="AI1038" s="64" t="str">
        <f ca="1">IF(NOTA[[#This Row],[ID_H]]="","",IF(NOTA[[#This Row],[FAKTUR]]="",INDIRECT(ADDRESS(ROW()-1,COLUMN())),NOTA[[#This Row],[FAKTUR]]))</f>
        <v>ARTO MORO</v>
      </c>
      <c r="AJ1038" s="66" t="str">
        <f ca="1">IF(NOTA[[#This Row],[ID]]="","",COUNTIF(NOTA[ID_H],NOTA[[#This Row],[ID_H]]))</f>
        <v/>
      </c>
      <c r="AK1038" s="66">
        <f ca="1">IF(NOTA[[#This Row],[TGL.NOTA]]="",IF(NOTA[[#This Row],[SUPPLIER_H]]="","",AK1037),MONTH(NOTA[[#This Row],[TGL.NOTA]]))</f>
        <v>5</v>
      </c>
      <c r="AL1038" s="6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M10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N10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O10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8" s="66" t="str">
        <f>IF(NOTA[[#This Row],[CONCAT4]]="","",_xlfn.IFNA(MATCH(NOTA[[#This Row],[CONCAT4]],[2]!RAW[CONCAT_H],0),FALSE))</f>
        <v/>
      </c>
      <c r="AQ1038" s="66">
        <f>IF(NOTA[[#This Row],[CONCAT1]]="","",MATCH(NOTA[[#This Row],[CONCAT1]],[3]!db[NB NOTA_C],0)+1)</f>
        <v>1142</v>
      </c>
    </row>
    <row r="1039" spans="1:43" ht="20.100000000000001" customHeight="1" x14ac:dyDescent="0.25">
      <c r="A103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66" t="str">
        <f>IF(NOTA[[#This Row],[ID_P]]="","",MATCH(NOTA[[#This Row],[ID_P]],[1]!B_MSK[N_ID],0))</f>
        <v/>
      </c>
      <c r="D1039" s="66">
        <f ca="1">IF(NOTA[[#This Row],[NAMA BARANG]]="","",INDEX(NOTA[ID],MATCH(,INDIRECT(ADDRESS(ROW(NOTA[ID]),COLUMN(NOTA[ID]))&amp;":"&amp;ADDRESS(ROW(),COLUMN(NOTA[ID]))),-1)))</f>
        <v>172</v>
      </c>
      <c r="E1039" s="113"/>
      <c r="H1039" s="54"/>
      <c r="I1039" s="27" t="s">
        <v>1177</v>
      </c>
      <c r="L1039" s="27" t="s">
        <v>801</v>
      </c>
      <c r="M1039" s="114">
        <v>1</v>
      </c>
      <c r="N1039" s="66"/>
      <c r="Q1039" s="79">
        <v>1590000</v>
      </c>
      <c r="R1039" s="42"/>
      <c r="S1039" s="80">
        <v>0.17</v>
      </c>
      <c r="U1039" s="52"/>
      <c r="V1039" s="77"/>
      <c r="W1039" s="52">
        <f>IF(NOTA[[#This Row],[HARGA/ CTN]]="",NOTA[[#This Row],[JUMLAH_H]],NOTA[[#This Row],[HARGA/ CTN]]*IF(NOTA[[#This Row],[C]]="",0,NOTA[[#This Row],[C]]))</f>
        <v>1590000</v>
      </c>
      <c r="X1039" s="52">
        <f>IF(NOTA[[#This Row],[JUMLAH]]="","",NOTA[[#This Row],[JUMLAH]]*NOTA[[#This Row],[DISC 1]])</f>
        <v>270300</v>
      </c>
      <c r="Y1039" s="52">
        <f>IF(NOTA[[#This Row],[JUMLAH]]="","",(NOTA[[#This Row],[JUMLAH]]-NOTA[[#This Row],[DISC 1-]])*NOTA[[#This Row],[DISC 2]])</f>
        <v>0</v>
      </c>
      <c r="Z1039" s="52">
        <f>IF(NOTA[[#This Row],[JUMLAH]]="","",NOTA[[#This Row],[DISC 1-]]+NOTA[[#This Row],[DISC 2-]])</f>
        <v>270300</v>
      </c>
      <c r="AA1039" s="52">
        <f>IF(NOTA[[#This Row],[JUMLAH]]="","",NOTA[[#This Row],[JUMLAH]]-NOTA[[#This Row],[DISC]])</f>
        <v>1319700</v>
      </c>
      <c r="AB1039" s="52"/>
      <c r="AC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9" s="64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1039" s="203" t="str">
        <f>IF(OR(NOTA[[#This Row],[QTY]]="",NOTA[[#This Row],[HARGA SATUAN]]="",),"",NOTA[[#This Row],[QTY]]*NOTA[[#This Row],[HARGA SATUAN]])</f>
        <v/>
      </c>
      <c r="AG1039" s="53">
        <f ca="1">IF(NOTA[ID_H]="","",INDEX(NOTA[TANGGAL],MATCH(,INDIRECT(ADDRESS(ROW(NOTA[TANGGAL]),COLUMN(NOTA[TANGGAL]))&amp;":"&amp;ADDRESS(ROW(),COLUMN(NOTA[TANGGAL]))),-1)))</f>
        <v>45075</v>
      </c>
      <c r="AH1039" s="64" t="str">
        <f ca="1">IF(NOTA[[#This Row],[NAMA BARANG]]="","",INDEX(NOTA[SUPPLIER],MATCH(,INDIRECT(ADDRESS(ROW(NOTA[ID]),COLUMN(NOTA[ID]))&amp;":"&amp;ADDRESS(ROW(),COLUMN(NOTA[ID]))),-1)))</f>
        <v>KENKO SINAR INDONESIA</v>
      </c>
      <c r="AI1039" s="64" t="str">
        <f ca="1">IF(NOTA[[#This Row],[ID_H]]="","",IF(NOTA[[#This Row],[FAKTUR]]="",INDIRECT(ADDRESS(ROW()-1,COLUMN())),NOTA[[#This Row],[FAKTUR]]))</f>
        <v>ARTO MORO</v>
      </c>
      <c r="AJ1039" s="66" t="str">
        <f ca="1">IF(NOTA[[#This Row],[ID]]="","",COUNTIF(NOTA[ID_H],NOTA[[#This Row],[ID_H]]))</f>
        <v/>
      </c>
      <c r="AK1039" s="66">
        <f ca="1">IF(NOTA[[#This Row],[TGL.NOTA]]="",IF(NOTA[[#This Row],[SUPPLIER_H]]="","",AK1038),MONTH(NOTA[[#This Row],[TGL.NOTA]]))</f>
        <v>5</v>
      </c>
      <c r="AL1039" s="6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M10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N10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O10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9" s="66" t="str">
        <f>IF(NOTA[[#This Row],[CONCAT4]]="","",_xlfn.IFNA(MATCH(NOTA[[#This Row],[CONCAT4]],[2]!RAW[CONCAT_H],0),FALSE))</f>
        <v/>
      </c>
      <c r="AQ1039" s="66">
        <f>IF(NOTA[[#This Row],[CONCAT1]]="","",MATCH(NOTA[[#This Row],[CONCAT1]],[3]!db[NB NOTA_C],0)+1)</f>
        <v>1143</v>
      </c>
    </row>
    <row r="1040" spans="1:43" ht="20.100000000000001" customHeight="1" x14ac:dyDescent="0.25">
      <c r="A10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66" t="str">
        <f>IF(NOTA[[#This Row],[ID_P]]="","",MATCH(NOTA[[#This Row],[ID_P]],[1]!B_MSK[N_ID],0))</f>
        <v/>
      </c>
      <c r="D1040" s="66">
        <f ca="1">IF(NOTA[[#This Row],[NAMA BARANG]]="","",INDEX(NOTA[ID],MATCH(,INDIRECT(ADDRESS(ROW(NOTA[ID]),COLUMN(NOTA[ID]))&amp;":"&amp;ADDRESS(ROW(),COLUMN(NOTA[ID]))),-1)))</f>
        <v>172</v>
      </c>
      <c r="E1040" s="113"/>
      <c r="H1040" s="54"/>
      <c r="L1040" s="27" t="s">
        <v>777</v>
      </c>
      <c r="M1040" s="114">
        <v>1</v>
      </c>
      <c r="N1040" s="66"/>
      <c r="Q1040" s="79">
        <v>1476000</v>
      </c>
      <c r="R1040" s="42"/>
      <c r="S1040" s="80">
        <v>0.17</v>
      </c>
      <c r="U1040" s="52"/>
      <c r="V1040" s="77"/>
      <c r="W1040" s="52">
        <f>IF(NOTA[[#This Row],[HARGA/ CTN]]="",NOTA[[#This Row],[JUMLAH_H]],NOTA[[#This Row],[HARGA/ CTN]]*IF(NOTA[[#This Row],[C]]="",0,NOTA[[#This Row],[C]]))</f>
        <v>1476000</v>
      </c>
      <c r="X1040" s="52">
        <f>IF(NOTA[[#This Row],[JUMLAH]]="","",NOTA[[#This Row],[JUMLAH]]*NOTA[[#This Row],[DISC 1]])</f>
        <v>250920.00000000003</v>
      </c>
      <c r="Y1040" s="52">
        <f>IF(NOTA[[#This Row],[JUMLAH]]="","",(NOTA[[#This Row],[JUMLAH]]-NOTA[[#This Row],[DISC 1-]])*NOTA[[#This Row],[DISC 2]])</f>
        <v>0</v>
      </c>
      <c r="Z1040" s="52">
        <f>IF(NOTA[[#This Row],[JUMLAH]]="","",NOTA[[#This Row],[DISC 1-]]+NOTA[[#This Row],[DISC 2-]])</f>
        <v>250920.00000000003</v>
      </c>
      <c r="AA1040" s="52">
        <f>IF(NOTA[[#This Row],[JUMLAH]]="","",NOTA[[#This Row],[JUMLAH]]-NOTA[[#This Row],[DISC]])</f>
        <v>1225080</v>
      </c>
      <c r="AB1040" s="52"/>
      <c r="AC10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0" s="64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1040" s="203" t="str">
        <f>IF(OR(NOTA[[#This Row],[QTY]]="",NOTA[[#This Row],[HARGA SATUAN]]="",),"",NOTA[[#This Row],[QTY]]*NOTA[[#This Row],[HARGA SATUAN]])</f>
        <v/>
      </c>
      <c r="AG1040" s="53">
        <f ca="1">IF(NOTA[ID_H]="","",INDEX(NOTA[TANGGAL],MATCH(,INDIRECT(ADDRESS(ROW(NOTA[TANGGAL]),COLUMN(NOTA[TANGGAL]))&amp;":"&amp;ADDRESS(ROW(),COLUMN(NOTA[TANGGAL]))),-1)))</f>
        <v>45075</v>
      </c>
      <c r="AH1040" s="64" t="str">
        <f ca="1">IF(NOTA[[#This Row],[NAMA BARANG]]="","",INDEX(NOTA[SUPPLIER],MATCH(,INDIRECT(ADDRESS(ROW(NOTA[ID]),COLUMN(NOTA[ID]))&amp;":"&amp;ADDRESS(ROW(),COLUMN(NOTA[ID]))),-1)))</f>
        <v>KENKO SINAR INDONESIA</v>
      </c>
      <c r="AI1040" s="64" t="str">
        <f ca="1">IF(NOTA[[#This Row],[ID_H]]="","",IF(NOTA[[#This Row],[FAKTUR]]="",INDIRECT(ADDRESS(ROW()-1,COLUMN())),NOTA[[#This Row],[FAKTUR]]))</f>
        <v>ARTO MORO</v>
      </c>
      <c r="AJ1040" s="66" t="str">
        <f ca="1">IF(NOTA[[#This Row],[ID]]="","",COUNTIF(NOTA[ID_H],NOTA[[#This Row],[ID_H]]))</f>
        <v/>
      </c>
      <c r="AK1040" s="66">
        <f ca="1">IF(NOTA[[#This Row],[TGL.NOTA]]="",IF(NOTA[[#This Row],[SUPPLIER_H]]="","",AK1039),MONTH(NOTA[[#This Row],[TGL.NOTA]]))</f>
        <v>5</v>
      </c>
      <c r="AL1040" s="6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M10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N10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O10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0" s="66" t="str">
        <f>IF(NOTA[[#This Row],[CONCAT4]]="","",_xlfn.IFNA(MATCH(NOTA[[#This Row],[CONCAT4]],[2]!RAW[CONCAT_H],0),FALSE))</f>
        <v/>
      </c>
      <c r="AQ1040" s="66">
        <f>IF(NOTA[[#This Row],[CONCAT1]]="","",MATCH(NOTA[[#This Row],[CONCAT1]],[3]!db[NB NOTA_C],0)+1)</f>
        <v>1144</v>
      </c>
    </row>
    <row r="1041" spans="1:43" ht="20.100000000000001" customHeight="1" x14ac:dyDescent="0.25">
      <c r="A10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66" t="str">
        <f>IF(NOTA[[#This Row],[ID_P]]="","",MATCH(NOTA[[#This Row],[ID_P]],[1]!B_MSK[N_ID],0))</f>
        <v/>
      </c>
      <c r="D1041" s="66">
        <f ca="1">IF(NOTA[[#This Row],[NAMA BARANG]]="","",INDEX(NOTA[ID],MATCH(,INDIRECT(ADDRESS(ROW(NOTA[ID]),COLUMN(NOTA[ID]))&amp;":"&amp;ADDRESS(ROW(),COLUMN(NOTA[ID]))),-1)))</f>
        <v>172</v>
      </c>
      <c r="E1041" s="113"/>
      <c r="H1041" s="54"/>
      <c r="L1041" s="27" t="s">
        <v>1174</v>
      </c>
      <c r="M1041" s="114">
        <v>3</v>
      </c>
      <c r="N1041" s="66"/>
      <c r="Q1041" s="79">
        <v>2880000</v>
      </c>
      <c r="R1041" s="42"/>
      <c r="S1041" s="80">
        <v>0.17</v>
      </c>
      <c r="U1041" s="52"/>
      <c r="V1041" s="77"/>
      <c r="W1041" s="52">
        <f>IF(NOTA[[#This Row],[HARGA/ CTN]]="",NOTA[[#This Row],[JUMLAH_H]],NOTA[[#This Row],[HARGA/ CTN]]*IF(NOTA[[#This Row],[C]]="",0,NOTA[[#This Row],[C]]))</f>
        <v>8640000</v>
      </c>
      <c r="X1041" s="52">
        <f>IF(NOTA[[#This Row],[JUMLAH]]="","",NOTA[[#This Row],[JUMLAH]]*NOTA[[#This Row],[DISC 1]])</f>
        <v>1468800</v>
      </c>
      <c r="Y1041" s="52">
        <f>IF(NOTA[[#This Row],[JUMLAH]]="","",(NOTA[[#This Row],[JUMLAH]]-NOTA[[#This Row],[DISC 1-]])*NOTA[[#This Row],[DISC 2]])</f>
        <v>0</v>
      </c>
      <c r="Z1041" s="52">
        <f>IF(NOTA[[#This Row],[JUMLAH]]="","",NOTA[[#This Row],[DISC 1-]]+NOTA[[#This Row],[DISC 2-]])</f>
        <v>1468800</v>
      </c>
      <c r="AA1041" s="52">
        <f>IF(NOTA[[#This Row],[JUMLAH]]="","",NOTA[[#This Row],[JUMLAH]]-NOTA[[#This Row],[DISC]])</f>
        <v>7171200</v>
      </c>
      <c r="AB1041" s="52"/>
      <c r="AC104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11174916</v>
      </c>
      <c r="AD104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54559884</v>
      </c>
      <c r="AE1041" s="64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1041" s="203" t="str">
        <f>IF(OR(NOTA[[#This Row],[QTY]]="",NOTA[[#This Row],[HARGA SATUAN]]="",),"",NOTA[[#This Row],[QTY]]*NOTA[[#This Row],[HARGA SATUAN]])</f>
        <v/>
      </c>
      <c r="AG1041" s="53">
        <f ca="1">IF(NOTA[ID_H]="","",INDEX(NOTA[TANGGAL],MATCH(,INDIRECT(ADDRESS(ROW(NOTA[TANGGAL]),COLUMN(NOTA[TANGGAL]))&amp;":"&amp;ADDRESS(ROW(),COLUMN(NOTA[TANGGAL]))),-1)))</f>
        <v>45075</v>
      </c>
      <c r="AH1041" s="64" t="str">
        <f ca="1">IF(NOTA[[#This Row],[NAMA BARANG]]="","",INDEX(NOTA[SUPPLIER],MATCH(,INDIRECT(ADDRESS(ROW(NOTA[ID]),COLUMN(NOTA[ID]))&amp;":"&amp;ADDRESS(ROW(),COLUMN(NOTA[ID]))),-1)))</f>
        <v>KENKO SINAR INDONESIA</v>
      </c>
      <c r="AI1041" s="64" t="str">
        <f ca="1">IF(NOTA[[#This Row],[ID_H]]="","",IF(NOTA[[#This Row],[FAKTUR]]="",INDIRECT(ADDRESS(ROW()-1,COLUMN())),NOTA[[#This Row],[FAKTUR]]))</f>
        <v>ARTO MORO</v>
      </c>
      <c r="AJ1041" s="66" t="str">
        <f ca="1">IF(NOTA[[#This Row],[ID]]="","",COUNTIF(NOTA[ID_H],NOTA[[#This Row],[ID_H]]))</f>
        <v/>
      </c>
      <c r="AK1041" s="66">
        <f ca="1">IF(NOTA[[#This Row],[TGL.NOTA]]="",IF(NOTA[[#This Row],[SUPPLIER_H]]="","",AK1040),MONTH(NOTA[[#This Row],[TGL.NOTA]]))</f>
        <v>5</v>
      </c>
      <c r="AL1041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10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N10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10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1" s="66" t="str">
        <f>IF(NOTA[[#This Row],[CONCAT4]]="","",_xlfn.IFNA(MATCH(NOTA[[#This Row],[CONCAT4]],[2]!RAW[CONCAT_H],0),FALSE))</f>
        <v/>
      </c>
      <c r="AQ1041" s="66">
        <f>IF(NOTA[[#This Row],[CONCAT1]]="","",MATCH(NOTA[[#This Row],[CONCAT1]],[3]!db[NB NOTA_C],0)+1)</f>
        <v>1232</v>
      </c>
    </row>
    <row r="1042" spans="1:43" ht="20.100000000000001" customHeight="1" x14ac:dyDescent="0.25">
      <c r="A10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66" t="str">
        <f>IF(NOTA[[#This Row],[ID_P]]="","",MATCH(NOTA[[#This Row],[ID_P]],[1]!B_MSK[N_ID],0))</f>
        <v/>
      </c>
      <c r="D1042" s="66" t="str">
        <f ca="1">IF(NOTA[[#This Row],[NAMA BARANG]]="","",INDEX(NOTA[ID],MATCH(,INDIRECT(ADDRESS(ROW(NOTA[ID]),COLUMN(NOTA[ID]))&amp;":"&amp;ADDRESS(ROW(),COLUMN(NOTA[ID]))),-1)))</f>
        <v/>
      </c>
      <c r="E1042" s="113"/>
      <c r="H1042" s="54"/>
      <c r="N1042" s="66"/>
      <c r="Q1042" s="79"/>
      <c r="R1042" s="42"/>
      <c r="S1042" s="80"/>
      <c r="U1042" s="52"/>
      <c r="V1042" s="77"/>
      <c r="W1042" s="52" t="str">
        <f>IF(NOTA[[#This Row],[HARGA/ CTN]]="",NOTA[[#This Row],[JUMLAH_H]],NOTA[[#This Row],[HARGA/ CTN]]*IF(NOTA[[#This Row],[C]]="",0,NOTA[[#This Row],[C]]))</f>
        <v/>
      </c>
      <c r="X1042" s="52" t="str">
        <f>IF(NOTA[[#This Row],[JUMLAH]]="","",NOTA[[#This Row],[JUMLAH]]*NOTA[[#This Row],[DISC 1]])</f>
        <v/>
      </c>
      <c r="Y1042" s="52" t="str">
        <f>IF(NOTA[[#This Row],[JUMLAH]]="","",(NOTA[[#This Row],[JUMLAH]]-NOTA[[#This Row],[DISC 1-]])*NOTA[[#This Row],[DISC 2]])</f>
        <v/>
      </c>
      <c r="Z1042" s="52" t="str">
        <f>IF(NOTA[[#This Row],[JUMLAH]]="","",NOTA[[#This Row],[DISC 1-]]+NOTA[[#This Row],[DISC 2-]])</f>
        <v/>
      </c>
      <c r="AA1042" s="52" t="str">
        <f>IF(NOTA[[#This Row],[JUMLAH]]="","",NOTA[[#This Row],[JUMLAH]]-NOTA[[#This Row],[DISC]])</f>
        <v/>
      </c>
      <c r="AB1042" s="52"/>
      <c r="AC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2" s="203" t="str">
        <f>IF(OR(NOTA[[#This Row],[QTY]]="",NOTA[[#This Row],[HARGA SATUAN]]="",),"",NOTA[[#This Row],[QTY]]*NOTA[[#This Row],[HARGA SATUAN]])</f>
        <v/>
      </c>
      <c r="AG1042" s="53" t="str">
        <f ca="1">IF(NOTA[ID_H]="","",INDEX(NOTA[TANGGAL],MATCH(,INDIRECT(ADDRESS(ROW(NOTA[TANGGAL]),COLUMN(NOTA[TANGGAL]))&amp;":"&amp;ADDRESS(ROW(),COLUMN(NOTA[TANGGAL]))),-1)))</f>
        <v/>
      </c>
      <c r="AH1042" s="64" t="str">
        <f ca="1">IF(NOTA[[#This Row],[NAMA BARANG]]="","",INDEX(NOTA[SUPPLIER],MATCH(,INDIRECT(ADDRESS(ROW(NOTA[ID]),COLUMN(NOTA[ID]))&amp;":"&amp;ADDRESS(ROW(),COLUMN(NOTA[ID]))),-1)))</f>
        <v/>
      </c>
      <c r="AI1042" s="64" t="str">
        <f ca="1">IF(NOTA[[#This Row],[ID_H]]="","",IF(NOTA[[#This Row],[FAKTUR]]="",INDIRECT(ADDRESS(ROW()-1,COLUMN())),NOTA[[#This Row],[FAKTUR]]))</f>
        <v/>
      </c>
      <c r="AJ1042" s="66" t="str">
        <f ca="1">IF(NOTA[[#This Row],[ID]]="","",COUNTIF(NOTA[ID_H],NOTA[[#This Row],[ID_H]]))</f>
        <v/>
      </c>
      <c r="AK1042" s="66" t="str">
        <f ca="1">IF(NOTA[[#This Row],[TGL.NOTA]]="",IF(NOTA[[#This Row],[SUPPLIER_H]]="","",AK1041),MONTH(NOTA[[#This Row],[TGL.NOTA]]))</f>
        <v/>
      </c>
      <c r="AL1042" s="66" t="str">
        <f>LOWER(SUBSTITUTE(SUBSTITUTE(SUBSTITUTE(SUBSTITUTE(SUBSTITUTE(SUBSTITUTE(SUBSTITUTE(SUBSTITUTE(SUBSTITUTE(NOTA[NAMA BARANG]," ",),".",""),"-",""),"(",""),")",""),",",""),"/",""),"""",""),"+",""))</f>
        <v/>
      </c>
      <c r="AM10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2" s="66" t="str">
        <f>IF(NOTA[[#This Row],[CONCAT4]]="","",_xlfn.IFNA(MATCH(NOTA[[#This Row],[CONCAT4]],[2]!RAW[CONCAT_H],0),FALSE))</f>
        <v/>
      </c>
      <c r="AQ1042" s="66" t="str">
        <f>IF(NOTA[[#This Row],[CONCAT1]]="","",MATCH(NOTA[[#This Row],[CONCAT1]],[3]!db[NB NOTA_C],0)+1)</f>
        <v/>
      </c>
    </row>
    <row r="1043" spans="1:43" ht="20.100000000000001" customHeight="1" x14ac:dyDescent="0.25">
      <c r="A1043" s="64">
        <f ca="1">IF(INDIRECT(ADDRESS(ROW()-1,COLUMN(NOTA[[#Headers],[ID]])))="ID",1,IF(NOTA[[#This Row],[FAKTUR]]="","",COUNT(INDIRECT(ADDRESS(ROW(NOTA[ID]),COLUMN(NOTA[ID]))&amp;":"&amp;ADDRESS(ROW()-1,COLUMN(NOTA[ID]))))+1))</f>
        <v>173</v>
      </c>
      <c r="B10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KEN_3105_797-3</v>
      </c>
      <c r="C1043" s="66" t="e">
        <f ca="1">IF(NOTA[[#This Row],[ID_P]]="","",MATCH(NOTA[[#This Row],[ID_P]],[1]!B_MSK[N_ID],0))</f>
        <v>#REF!</v>
      </c>
      <c r="D1043" s="66">
        <f ca="1">IF(NOTA[[#This Row],[NAMA BARANG]]="","",INDEX(NOTA[ID],MATCH(,INDIRECT(ADDRESS(ROW(NOTA[ID]),COLUMN(NOTA[ID]))&amp;":"&amp;ADDRESS(ROW(),COLUMN(NOTA[ID]))),-1)))</f>
        <v>173</v>
      </c>
      <c r="E1043" s="113">
        <v>45077</v>
      </c>
      <c r="F1043" s="27" t="s">
        <v>23</v>
      </c>
      <c r="G1043" s="27" t="s">
        <v>24</v>
      </c>
      <c r="H1043" s="54" t="s">
        <v>1182</v>
      </c>
      <c r="J1043" s="53">
        <v>45075</v>
      </c>
      <c r="L1043" s="27" t="s">
        <v>1183</v>
      </c>
      <c r="M1043" s="114">
        <v>2</v>
      </c>
      <c r="N1043" s="66"/>
      <c r="Q1043" s="79">
        <v>2052000</v>
      </c>
      <c r="R1043" s="42"/>
      <c r="S1043" s="80">
        <v>0.17</v>
      </c>
      <c r="U1043" s="52"/>
      <c r="V1043" s="77"/>
      <c r="W1043" s="52">
        <f>IF(NOTA[[#This Row],[HARGA/ CTN]]="",NOTA[[#This Row],[JUMLAH_H]],NOTA[[#This Row],[HARGA/ CTN]]*IF(NOTA[[#This Row],[C]]="",0,NOTA[[#This Row],[C]]))</f>
        <v>4104000</v>
      </c>
      <c r="X1043" s="52">
        <f>IF(NOTA[[#This Row],[JUMLAH]]="","",NOTA[[#This Row],[JUMLAH]]*NOTA[[#This Row],[DISC 1]])</f>
        <v>697680</v>
      </c>
      <c r="Y1043" s="52">
        <f>IF(NOTA[[#This Row],[JUMLAH]]="","",(NOTA[[#This Row],[JUMLAH]]-NOTA[[#This Row],[DISC 1-]])*NOTA[[#This Row],[DISC 2]])</f>
        <v>0</v>
      </c>
      <c r="Z1043" s="52">
        <f>IF(NOTA[[#This Row],[JUMLAH]]="","",NOTA[[#This Row],[DISC 1-]]+NOTA[[#This Row],[DISC 2-]])</f>
        <v>697680</v>
      </c>
      <c r="AA1043" s="52">
        <f>IF(NOTA[[#This Row],[JUMLAH]]="","",NOTA[[#This Row],[JUMLAH]]-NOTA[[#This Row],[DISC]])</f>
        <v>3406320</v>
      </c>
      <c r="AB1043" s="52"/>
      <c r="AC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3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43" s="203" t="str">
        <f>IF(OR(NOTA[[#This Row],[QTY]]="",NOTA[[#This Row],[HARGA SATUAN]]="",),"",NOTA[[#This Row],[QTY]]*NOTA[[#This Row],[HARGA SATUAN]])</f>
        <v/>
      </c>
      <c r="AG1043" s="53">
        <f ca="1">IF(NOTA[ID_H]="","",INDEX(NOTA[TANGGAL],MATCH(,INDIRECT(ADDRESS(ROW(NOTA[TANGGAL]),COLUMN(NOTA[TANGGAL]))&amp;":"&amp;ADDRESS(ROW(),COLUMN(NOTA[TANGGAL]))),-1)))</f>
        <v>45077</v>
      </c>
      <c r="AH1043" s="64" t="str">
        <f ca="1">IF(NOTA[[#This Row],[NAMA BARANG]]="","",INDEX(NOTA[SUPPLIER],MATCH(,INDIRECT(ADDRESS(ROW(NOTA[ID]),COLUMN(NOTA[ID]))&amp;":"&amp;ADDRESS(ROW(),COLUMN(NOTA[ID]))),-1)))</f>
        <v>KENKO SINAR INDONESIA</v>
      </c>
      <c r="AI1043" s="64" t="str">
        <f ca="1">IF(NOTA[[#This Row],[ID_H]]="","",IF(NOTA[[#This Row],[FAKTUR]]="",INDIRECT(ADDRESS(ROW()-1,COLUMN())),NOTA[[#This Row],[FAKTUR]]))</f>
        <v>ARTO MORO</v>
      </c>
      <c r="AJ1043" s="66">
        <f ca="1">IF(NOTA[[#This Row],[ID]]="","",COUNTIF(NOTA[ID_H],NOTA[[#This Row],[ID_H]]))</f>
        <v>3</v>
      </c>
      <c r="AK1043" s="66">
        <f>IF(NOTA[[#This Row],[TGL.NOTA]]="",IF(NOTA[[#This Row],[SUPPLIER_H]]="","",AK1042),MONTH(NOTA[[#This Row],[TGL.NOTA]]))</f>
        <v>5</v>
      </c>
      <c r="AL1043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43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MORO2305279745075kenkocorrectionfluidke823m</v>
      </c>
      <c r="AP1043" s="66" t="e">
        <f>IF(NOTA[[#This Row],[CONCAT4]]="","",_xlfn.IFNA(MATCH(NOTA[[#This Row],[CONCAT4]],[2]!RAW[CONCAT_H],0),FALSE))</f>
        <v>#REF!</v>
      </c>
      <c r="AQ1043" s="66">
        <f>IF(NOTA[[#This Row],[CONCAT1]]="","",MATCH(NOTA[[#This Row],[CONCAT1]],[3]!db[NB NOTA_C],0)+1)</f>
        <v>1202</v>
      </c>
    </row>
    <row r="1044" spans="1:43" ht="20.100000000000001" customHeight="1" x14ac:dyDescent="0.25">
      <c r="A10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66" t="str">
        <f>IF(NOTA[[#This Row],[ID_P]]="","",MATCH(NOTA[[#This Row],[ID_P]],[1]!B_MSK[N_ID],0))</f>
        <v/>
      </c>
      <c r="D1044" s="66">
        <f ca="1">IF(NOTA[[#This Row],[NAMA BARANG]]="","",INDEX(NOTA[ID],MATCH(,INDIRECT(ADDRESS(ROW(NOTA[ID]),COLUMN(NOTA[ID]))&amp;":"&amp;ADDRESS(ROW(),COLUMN(NOTA[ID]))),-1)))</f>
        <v>173</v>
      </c>
      <c r="E1044" s="113"/>
      <c r="H1044" s="54"/>
      <c r="L1044" s="27" t="s">
        <v>1193</v>
      </c>
      <c r="M1044" s="114">
        <v>1</v>
      </c>
      <c r="N1044" s="66"/>
      <c r="Q1044" s="79">
        <v>930000</v>
      </c>
      <c r="R1044" s="42" t="s">
        <v>1186</v>
      </c>
      <c r="S1044" s="80">
        <v>0.17</v>
      </c>
      <c r="U1044" s="52"/>
      <c r="V1044" s="77"/>
      <c r="W1044" s="52">
        <f>IF(NOTA[[#This Row],[HARGA/ CTN]]="",NOTA[[#This Row],[JUMLAH_H]],NOTA[[#This Row],[HARGA/ CTN]]*IF(NOTA[[#This Row],[C]]="",0,NOTA[[#This Row],[C]]))</f>
        <v>930000</v>
      </c>
      <c r="X1044" s="52">
        <f>IF(NOTA[[#This Row],[JUMLAH]]="","",NOTA[[#This Row],[JUMLAH]]*NOTA[[#This Row],[DISC 1]])</f>
        <v>158100</v>
      </c>
      <c r="Y1044" s="52">
        <f>IF(NOTA[[#This Row],[JUMLAH]]="","",(NOTA[[#This Row],[JUMLAH]]-NOTA[[#This Row],[DISC 1-]])*NOTA[[#This Row],[DISC 2]])</f>
        <v>0</v>
      </c>
      <c r="Z1044" s="52">
        <f>IF(NOTA[[#This Row],[JUMLAH]]="","",NOTA[[#This Row],[DISC 1-]]+NOTA[[#This Row],[DISC 2-]])</f>
        <v>158100</v>
      </c>
      <c r="AA1044" s="52">
        <f>IF(NOTA[[#This Row],[JUMLAH]]="","",NOTA[[#This Row],[JUMLAH]]-NOTA[[#This Row],[DISC]])</f>
        <v>771900</v>
      </c>
      <c r="AB1044" s="52"/>
      <c r="AC10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4" s="64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044" s="203" t="str">
        <f>IF(OR(NOTA[[#This Row],[QTY]]="",NOTA[[#This Row],[HARGA SATUAN]]="",),"",NOTA[[#This Row],[QTY]]*NOTA[[#This Row],[HARGA SATUAN]])</f>
        <v/>
      </c>
      <c r="AG1044" s="53">
        <f ca="1">IF(NOTA[ID_H]="","",INDEX(NOTA[TANGGAL],MATCH(,INDIRECT(ADDRESS(ROW(NOTA[TANGGAL]),COLUMN(NOTA[TANGGAL]))&amp;":"&amp;ADDRESS(ROW(),COLUMN(NOTA[TANGGAL]))),-1)))</f>
        <v>45077</v>
      </c>
      <c r="AH1044" s="64" t="str">
        <f ca="1">IF(NOTA[[#This Row],[NAMA BARANG]]="","",INDEX(NOTA[SUPPLIER],MATCH(,INDIRECT(ADDRESS(ROW(NOTA[ID]),COLUMN(NOTA[ID]))&amp;":"&amp;ADDRESS(ROW(),COLUMN(NOTA[ID]))),-1)))</f>
        <v>KENKO SINAR INDONESIA</v>
      </c>
      <c r="AI1044" s="64" t="str">
        <f ca="1">IF(NOTA[[#This Row],[ID_H]]="","",IF(NOTA[[#This Row],[FAKTUR]]="",INDIRECT(ADDRESS(ROW()-1,COLUMN())),NOTA[[#This Row],[FAKTUR]]))</f>
        <v>ARTO MORO</v>
      </c>
      <c r="AJ1044" s="66" t="str">
        <f ca="1">IF(NOTA[[#This Row],[ID]]="","",COUNTIF(NOTA[ID_H],NOTA[[#This Row],[ID_H]]))</f>
        <v/>
      </c>
      <c r="AK1044" s="66">
        <f ca="1">IF(NOTA[[#This Row],[TGL.NOTA]]="",IF(NOTA[[#This Row],[SUPPLIER_H]]="","",AK1043),MONTH(NOTA[[#This Row],[TGL.NOTA]]))</f>
        <v>5</v>
      </c>
      <c r="AL1044" s="6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0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0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0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4" s="66" t="str">
        <f>IF(NOTA[[#This Row],[CONCAT4]]="","",_xlfn.IFNA(MATCH(NOTA[[#This Row],[CONCAT4]],[2]!RAW[CONCAT_H],0),FALSE))</f>
        <v/>
      </c>
      <c r="AQ1044" s="66">
        <f>IF(NOTA[[#This Row],[CONCAT1]]="","",MATCH(NOTA[[#This Row],[CONCAT1]],[3]!db[NB NOTA_C],0)+1)</f>
        <v>1307</v>
      </c>
    </row>
    <row r="1045" spans="1:43" ht="20.100000000000001" customHeight="1" x14ac:dyDescent="0.25">
      <c r="A10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66" t="str">
        <f>IF(NOTA[[#This Row],[ID_P]]="","",MATCH(NOTA[[#This Row],[ID_P]],[1]!B_MSK[N_ID],0))</f>
        <v/>
      </c>
      <c r="D1045" s="66">
        <f ca="1">IF(NOTA[[#This Row],[NAMA BARANG]]="","",INDEX(NOTA[ID],MATCH(,INDIRECT(ADDRESS(ROW(NOTA[ID]),COLUMN(NOTA[ID]))&amp;":"&amp;ADDRESS(ROW(),COLUMN(NOTA[ID]))),-1)))</f>
        <v>173</v>
      </c>
      <c r="E1045" s="113"/>
      <c r="H1045" s="54"/>
      <c r="L1045" s="27" t="s">
        <v>1184</v>
      </c>
      <c r="M1045" s="114">
        <v>3</v>
      </c>
      <c r="N1045" s="66"/>
      <c r="Q1045" s="79">
        <v>2059200</v>
      </c>
      <c r="R1045" s="42" t="s">
        <v>1185</v>
      </c>
      <c r="S1045" s="80">
        <v>0.17</v>
      </c>
      <c r="U1045" s="52"/>
      <c r="V1045" s="77"/>
      <c r="W1045" s="52">
        <f>IF(NOTA[[#This Row],[HARGA/ CTN]]="",NOTA[[#This Row],[JUMLAH_H]],NOTA[[#This Row],[HARGA/ CTN]]*IF(NOTA[[#This Row],[C]]="",0,NOTA[[#This Row],[C]]))</f>
        <v>6177600</v>
      </c>
      <c r="X1045" s="52">
        <f>IF(NOTA[[#This Row],[JUMLAH]]="","",NOTA[[#This Row],[JUMLAH]]*NOTA[[#This Row],[DISC 1]])</f>
        <v>1050192</v>
      </c>
      <c r="Y1045" s="52">
        <f>IF(NOTA[[#This Row],[JUMLAH]]="","",(NOTA[[#This Row],[JUMLAH]]-NOTA[[#This Row],[DISC 1-]])*NOTA[[#This Row],[DISC 2]])</f>
        <v>0</v>
      </c>
      <c r="Z1045" s="52">
        <f>IF(NOTA[[#This Row],[JUMLAH]]="","",NOTA[[#This Row],[DISC 1-]]+NOTA[[#This Row],[DISC 2-]])</f>
        <v>1050192</v>
      </c>
      <c r="AA1045" s="52">
        <f>IF(NOTA[[#This Row],[JUMLAH]]="","",NOTA[[#This Row],[JUMLAH]]-NOTA[[#This Row],[DISC]])</f>
        <v>5127408</v>
      </c>
      <c r="AB1045" s="52"/>
      <c r="AC10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1905972</v>
      </c>
      <c r="AD104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9305628</v>
      </c>
      <c r="AE1045" s="64">
        <f>IF(NOTA[[#This Row],[NAMA BARANG]]="","",IF(NOTA[[#This Row],[JUMLAH_H]]="",NOTA[[#This Row],[HARGA/ CTN]],NOTA[[#This Row],[QTY]]*NOTA[[#This Row],[HARGA SATUAN]]/IF(ISNUMBER(NOTA[[#This Row],[C]]),NOTA[[#This Row],[C]],1)))</f>
        <v>2059200</v>
      </c>
      <c r="AF1045" s="203" t="str">
        <f>IF(OR(NOTA[[#This Row],[QTY]]="",NOTA[[#This Row],[HARGA SATUAN]]="",),"",NOTA[[#This Row],[QTY]]*NOTA[[#This Row],[HARGA SATUAN]])</f>
        <v/>
      </c>
      <c r="AG1045" s="53">
        <f ca="1">IF(NOTA[ID_H]="","",INDEX(NOTA[TANGGAL],MATCH(,INDIRECT(ADDRESS(ROW(NOTA[TANGGAL]),COLUMN(NOTA[TANGGAL]))&amp;":"&amp;ADDRESS(ROW(),COLUMN(NOTA[TANGGAL]))),-1)))</f>
        <v>45077</v>
      </c>
      <c r="AH1045" s="64" t="str">
        <f ca="1">IF(NOTA[[#This Row],[NAMA BARANG]]="","",INDEX(NOTA[SUPPLIER],MATCH(,INDIRECT(ADDRESS(ROW(NOTA[ID]),COLUMN(NOTA[ID]))&amp;":"&amp;ADDRESS(ROW(),COLUMN(NOTA[ID]))),-1)))</f>
        <v>KENKO SINAR INDONESIA</v>
      </c>
      <c r="AI1045" s="64" t="str">
        <f ca="1">IF(NOTA[[#This Row],[ID_H]]="","",IF(NOTA[[#This Row],[FAKTUR]]="",INDIRECT(ADDRESS(ROW()-1,COLUMN())),NOTA[[#This Row],[FAKTUR]]))</f>
        <v>ARTO MORO</v>
      </c>
      <c r="AJ1045" s="66" t="str">
        <f ca="1">IF(NOTA[[#This Row],[ID]]="","",COUNTIF(NOTA[ID_H],NOTA[[#This Row],[ID_H]]))</f>
        <v/>
      </c>
      <c r="AK1045" s="66">
        <f ca="1">IF(NOTA[[#This Row],[TGL.NOTA]]="",IF(NOTA[[#This Row],[SUPPLIER_H]]="","",AK1044),MONTH(NOTA[[#This Row],[TGL.NOTA]]))</f>
        <v>5</v>
      </c>
      <c r="AL1045" s="66" t="str">
        <f>LOWER(SUBSTITUTE(SUBSTITUTE(SUBSTITUTE(SUBSTITUTE(SUBSTITUTE(SUBSTITUTE(SUBSTITUTE(SUBSTITUTE(SUBSTITUTE(NOTA[NAMA BARANG]," ",),".",""),"-",""),"(",""),")",""),",",""),"/",""),"""",""),"+",""))</f>
        <v>kenkobinderclipno300</v>
      </c>
      <c r="AM10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kenkobinderclipno30020592000.17</v>
      </c>
      <c r="AN10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kenkobinderclipno30020592000.17</v>
      </c>
      <c r="AO10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5" s="66" t="str">
        <f>IF(NOTA[[#This Row],[CONCAT4]]="","",_xlfn.IFNA(MATCH(NOTA[[#This Row],[CONCAT4]],[2]!RAW[CONCAT_H],0),FALSE))</f>
        <v/>
      </c>
      <c r="AQ1045" s="66">
        <f>IF(NOTA[[#This Row],[CONCAT1]]="","",MATCH(NOTA[[#This Row],[CONCAT1]],[3]!db[NB NOTA_C],0)+1)</f>
        <v>1149</v>
      </c>
    </row>
    <row r="1046" spans="1:43" ht="20.100000000000001" customHeight="1" x14ac:dyDescent="0.25">
      <c r="A10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66" t="str">
        <f>IF(NOTA[[#This Row],[ID_P]]="","",MATCH(NOTA[[#This Row],[ID_P]],[1]!B_MSK[N_ID],0))</f>
        <v/>
      </c>
      <c r="D1046" s="66" t="str">
        <f ca="1">IF(NOTA[[#This Row],[NAMA BARANG]]="","",INDEX(NOTA[ID],MATCH(,INDIRECT(ADDRESS(ROW(NOTA[ID]),COLUMN(NOTA[ID]))&amp;":"&amp;ADDRESS(ROW(),COLUMN(NOTA[ID]))),-1)))</f>
        <v/>
      </c>
      <c r="E1046" s="113"/>
      <c r="H1046" s="54"/>
      <c r="N1046" s="66"/>
      <c r="Q1046" s="79"/>
      <c r="R1046" s="42"/>
      <c r="S1046" s="80"/>
      <c r="U1046" s="52"/>
      <c r="V1046" s="77"/>
      <c r="W1046" s="52" t="str">
        <f>IF(NOTA[[#This Row],[HARGA/ CTN]]="",NOTA[[#This Row],[JUMLAH_H]],NOTA[[#This Row],[HARGA/ CTN]]*IF(NOTA[[#This Row],[C]]="",0,NOTA[[#This Row],[C]]))</f>
        <v/>
      </c>
      <c r="X1046" s="52" t="str">
        <f>IF(NOTA[[#This Row],[JUMLAH]]="","",NOTA[[#This Row],[JUMLAH]]*NOTA[[#This Row],[DISC 1]])</f>
        <v/>
      </c>
      <c r="Y1046" s="52" t="str">
        <f>IF(NOTA[[#This Row],[JUMLAH]]="","",(NOTA[[#This Row],[JUMLAH]]-NOTA[[#This Row],[DISC 1-]])*NOTA[[#This Row],[DISC 2]])</f>
        <v/>
      </c>
      <c r="Z1046" s="52" t="str">
        <f>IF(NOTA[[#This Row],[JUMLAH]]="","",NOTA[[#This Row],[DISC 1-]]+NOTA[[#This Row],[DISC 2-]])</f>
        <v/>
      </c>
      <c r="AA1046" s="52" t="str">
        <f>IF(NOTA[[#This Row],[JUMLAH]]="","",NOTA[[#This Row],[JUMLAH]]-NOTA[[#This Row],[DISC]])</f>
        <v/>
      </c>
      <c r="AB1046" s="52"/>
      <c r="AC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6" s="203" t="str">
        <f>IF(OR(NOTA[[#This Row],[QTY]]="",NOTA[[#This Row],[HARGA SATUAN]]="",),"",NOTA[[#This Row],[QTY]]*NOTA[[#This Row],[HARGA SATUAN]])</f>
        <v/>
      </c>
      <c r="AG1046" s="53" t="str">
        <f ca="1">IF(NOTA[ID_H]="","",INDEX(NOTA[TANGGAL],MATCH(,INDIRECT(ADDRESS(ROW(NOTA[TANGGAL]),COLUMN(NOTA[TANGGAL]))&amp;":"&amp;ADDRESS(ROW(),COLUMN(NOTA[TANGGAL]))),-1)))</f>
        <v/>
      </c>
      <c r="AH1046" s="64" t="str">
        <f ca="1">IF(NOTA[[#This Row],[NAMA BARANG]]="","",INDEX(NOTA[SUPPLIER],MATCH(,INDIRECT(ADDRESS(ROW(NOTA[ID]),COLUMN(NOTA[ID]))&amp;":"&amp;ADDRESS(ROW(),COLUMN(NOTA[ID]))),-1)))</f>
        <v/>
      </c>
      <c r="AI1046" s="64" t="str">
        <f ca="1">IF(NOTA[[#This Row],[ID_H]]="","",IF(NOTA[[#This Row],[FAKTUR]]="",INDIRECT(ADDRESS(ROW()-1,COLUMN())),NOTA[[#This Row],[FAKTUR]]))</f>
        <v/>
      </c>
      <c r="AJ1046" s="66" t="str">
        <f ca="1">IF(NOTA[[#This Row],[ID]]="","",COUNTIF(NOTA[ID_H],NOTA[[#This Row],[ID_H]]))</f>
        <v/>
      </c>
      <c r="AK1046" s="66" t="str">
        <f ca="1">IF(NOTA[[#This Row],[TGL.NOTA]]="",IF(NOTA[[#This Row],[SUPPLIER_H]]="","",AK1045),MONTH(NOTA[[#This Row],[TGL.NOTA]]))</f>
        <v/>
      </c>
      <c r="AL1046" s="66" t="str">
        <f>LOWER(SUBSTITUTE(SUBSTITUTE(SUBSTITUTE(SUBSTITUTE(SUBSTITUTE(SUBSTITUTE(SUBSTITUTE(SUBSTITUTE(SUBSTITUTE(NOTA[NAMA BARANG]," ",),".",""),"-",""),"(",""),")",""),",",""),"/",""),"""",""),"+",""))</f>
        <v/>
      </c>
      <c r="AM10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6" s="66" t="str">
        <f>IF(NOTA[[#This Row],[CONCAT4]]="","",_xlfn.IFNA(MATCH(NOTA[[#This Row],[CONCAT4]],[2]!RAW[CONCAT_H],0),FALSE))</f>
        <v/>
      </c>
      <c r="AQ1046" s="66" t="str">
        <f>IF(NOTA[[#This Row],[CONCAT1]]="","",MATCH(NOTA[[#This Row],[CONCAT1]],[3]!db[NB NOTA_C],0)+1)</f>
        <v/>
      </c>
    </row>
    <row r="1047" spans="1:43" ht="20.100000000000001" customHeight="1" x14ac:dyDescent="0.25">
      <c r="A1047" s="64">
        <f ca="1">IF(INDIRECT(ADDRESS(ROW()-1,COLUMN(NOTA[[#Headers],[ID]])))="ID",1,IF(NOTA[[#This Row],[FAKTUR]]="","",COUNT(INDIRECT(ADDRESS(ROW(NOTA[ID]),COLUMN(NOTA[ID]))&amp;":"&amp;ADDRESS(ROW()-1,COLUMN(NOTA[ID]))))+1))</f>
        <v>174</v>
      </c>
      <c r="B10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GLO_3105_E38-2</v>
      </c>
      <c r="C1047" s="66" t="e">
        <f ca="1">IF(NOTA[[#This Row],[ID_P]]="","",MATCH(NOTA[[#This Row],[ID_P]],[1]!B_MSK[N_ID],0))</f>
        <v>#REF!</v>
      </c>
      <c r="D1047" s="66">
        <f ca="1">IF(NOTA[[#This Row],[NAMA BARANG]]="","",INDEX(NOTA[ID],MATCH(,INDIRECT(ADDRESS(ROW(NOTA[ID]),COLUMN(NOTA[ID]))&amp;":"&amp;ADDRESS(ROW(),COLUMN(NOTA[ID]))),-1)))</f>
        <v>174</v>
      </c>
      <c r="E1047" s="113"/>
      <c r="F1047" s="27" t="s">
        <v>460</v>
      </c>
      <c r="G1047" s="27" t="s">
        <v>112</v>
      </c>
      <c r="H1047" s="54" t="s">
        <v>1187</v>
      </c>
      <c r="J1047" s="53">
        <v>45077</v>
      </c>
      <c r="L1047" s="27" t="s">
        <v>1046</v>
      </c>
      <c r="N1047" s="66">
        <v>120</v>
      </c>
      <c r="O1047" s="27" t="s">
        <v>160</v>
      </c>
      <c r="P1047" s="64">
        <v>13000</v>
      </c>
      <c r="Q1047" s="79"/>
      <c r="R1047" s="42"/>
      <c r="S1047" s="80"/>
      <c r="U1047" s="52"/>
      <c r="V1047" s="77"/>
      <c r="W1047" s="52">
        <f>IF(NOTA[[#This Row],[HARGA/ CTN]]="",NOTA[[#This Row],[JUMLAH_H]],NOTA[[#This Row],[HARGA/ CTN]]*IF(NOTA[[#This Row],[C]]="",0,NOTA[[#This Row],[C]]))</f>
        <v>1560000</v>
      </c>
      <c r="X1047" s="52">
        <f>IF(NOTA[[#This Row],[JUMLAH]]="","",NOTA[[#This Row],[JUMLAH]]*NOTA[[#This Row],[DISC 1]])</f>
        <v>0</v>
      </c>
      <c r="Y1047" s="52">
        <f>IF(NOTA[[#This Row],[JUMLAH]]="","",(NOTA[[#This Row],[JUMLAH]]-NOTA[[#This Row],[DISC 1-]])*NOTA[[#This Row],[DISC 2]])</f>
        <v>0</v>
      </c>
      <c r="Z1047" s="52">
        <f>IF(NOTA[[#This Row],[JUMLAH]]="","",NOTA[[#This Row],[DISC 1-]]+NOTA[[#This Row],[DISC 2-]])</f>
        <v>0</v>
      </c>
      <c r="AA1047" s="52">
        <f>IF(NOTA[[#This Row],[JUMLAH]]="","",NOTA[[#This Row],[JUMLAH]]-NOTA[[#This Row],[DISC]])</f>
        <v>1560000</v>
      </c>
      <c r="AB1047" s="52"/>
      <c r="AC10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7" s="64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047" s="203">
        <f>IF(OR(NOTA[[#This Row],[QTY]]="",NOTA[[#This Row],[HARGA SATUAN]]="",),"",NOTA[[#This Row],[QTY]]*NOTA[[#This Row],[HARGA SATUAN]])</f>
        <v>1560000</v>
      </c>
      <c r="AG1047" s="53">
        <f ca="1">IF(NOTA[ID_H]="","",INDEX(NOTA[TANGGAL],MATCH(,INDIRECT(ADDRESS(ROW(NOTA[TANGGAL]),COLUMN(NOTA[TANGGAL]))&amp;":"&amp;ADDRESS(ROW(),COLUMN(NOTA[TANGGAL]))),-1)))</f>
        <v>45077</v>
      </c>
      <c r="AH1047" s="64" t="str">
        <f ca="1">IF(NOTA[[#This Row],[NAMA BARANG]]="","",INDEX(NOTA[SUPPLIER],MATCH(,INDIRECT(ADDRESS(ROW(NOTA[ID]),COLUMN(NOTA[ID]))&amp;":"&amp;ADDRESS(ROW(),COLUMN(NOTA[ID]))),-1)))</f>
        <v>GLORY</v>
      </c>
      <c r="AI1047" s="64" t="str">
        <f ca="1">IF(NOTA[[#This Row],[ID_H]]="","",IF(NOTA[[#This Row],[FAKTUR]]="",INDIRECT(ADDRESS(ROW()-1,COLUMN())),NOTA[[#This Row],[FAKTUR]]))</f>
        <v>UNTANA</v>
      </c>
      <c r="AJ1047" s="66">
        <f ca="1">IF(NOTA[[#This Row],[ID]]="","",COUNTIF(NOTA[ID_H],NOTA[[#This Row],[ID_H]]))</f>
        <v>2</v>
      </c>
      <c r="AK1047" s="66">
        <f>IF(NOTA[[#This Row],[TGL.NOTA]]="",IF(NOTA[[#This Row],[SUPPLIER_H]]="","",AK1046),MONTH(NOTA[[#This Row],[TGL.NOTA]]))</f>
        <v>5</v>
      </c>
      <c r="AL1047" s="66" t="str">
        <f>LOWER(SUBSTITUTE(SUBSTITUTE(SUBSTITUTE(SUBSTITUTE(SUBSTITUTE(SUBSTITUTE(SUBSTITUTE(SUBSTITUTE(SUBSTITUTE(NOTA[NAMA BARANG]," ",),".",""),"-",""),"(",""),")",""),",",""),"/",""),"""",""),"+",""))</f>
        <v>agckpolos</v>
      </c>
      <c r="AM10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10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1047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GLORYUNTANAE3845077agckpolos</v>
      </c>
      <c r="AP1047" s="66" t="e">
        <f>IF(NOTA[[#This Row],[CONCAT4]]="","",_xlfn.IFNA(MATCH(NOTA[[#This Row],[CONCAT4]],[2]!RAW[CONCAT_H],0),FALSE))</f>
        <v>#REF!</v>
      </c>
      <c r="AQ1047" s="66">
        <f>IF(NOTA[[#This Row],[CONCAT1]]="","",MATCH(NOTA[[#This Row],[CONCAT1]],[3]!db[NB NOTA_C],0)+1)</f>
        <v>46</v>
      </c>
    </row>
    <row r="1048" spans="1:43" ht="20.100000000000001" customHeight="1" x14ac:dyDescent="0.25">
      <c r="A104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66" t="str">
        <f>IF(NOTA[[#This Row],[ID_P]]="","",MATCH(NOTA[[#This Row],[ID_P]],[1]!B_MSK[N_ID],0))</f>
        <v/>
      </c>
      <c r="D1048" s="66">
        <f ca="1">IF(NOTA[[#This Row],[NAMA BARANG]]="","",INDEX(NOTA[ID],MATCH(,INDIRECT(ADDRESS(ROW(NOTA[ID]),COLUMN(NOTA[ID]))&amp;":"&amp;ADDRESS(ROW(),COLUMN(NOTA[ID]))),-1)))</f>
        <v>174</v>
      </c>
      <c r="E1048" s="113"/>
      <c r="H1048" s="54"/>
      <c r="L1048" s="27" t="s">
        <v>463</v>
      </c>
      <c r="N1048" s="66">
        <v>100</v>
      </c>
      <c r="O1048" s="27" t="s">
        <v>160</v>
      </c>
      <c r="P1048" s="64">
        <v>12800</v>
      </c>
      <c r="Q1048" s="79"/>
      <c r="R1048" s="42"/>
      <c r="S1048" s="80"/>
      <c r="U1048" s="52"/>
      <c r="V1048" s="77" t="s">
        <v>1188</v>
      </c>
      <c r="W1048" s="52">
        <f>IF(NOTA[[#This Row],[HARGA/ CTN]]="",NOTA[[#This Row],[JUMLAH_H]],NOTA[[#This Row],[HARGA/ CTN]]*IF(NOTA[[#This Row],[C]]="",0,NOTA[[#This Row],[C]]))</f>
        <v>1280000</v>
      </c>
      <c r="X1048" s="52">
        <f>IF(NOTA[[#This Row],[JUMLAH]]="","",NOTA[[#This Row],[JUMLAH]]*NOTA[[#This Row],[DISC 1]])</f>
        <v>0</v>
      </c>
      <c r="Y1048" s="52">
        <f>IF(NOTA[[#This Row],[JUMLAH]]="","",(NOTA[[#This Row],[JUMLAH]]-NOTA[[#This Row],[DISC 1-]])*NOTA[[#This Row],[DISC 2]])</f>
        <v>0</v>
      </c>
      <c r="Z1048" s="52">
        <f>IF(NOTA[[#This Row],[JUMLAH]]="","",NOTA[[#This Row],[DISC 1-]]+NOTA[[#This Row],[DISC 2-]])</f>
        <v>0</v>
      </c>
      <c r="AA1048" s="52">
        <f>IF(NOTA[[#This Row],[JUMLAH]]="","",NOTA[[#This Row],[JUMLAH]]-NOTA[[#This Row],[DISC]])</f>
        <v>1280000</v>
      </c>
      <c r="AB1048" s="52"/>
      <c r="AC10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48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2840000</v>
      </c>
      <c r="AE1048" s="64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048" s="203">
        <f>IF(OR(NOTA[[#This Row],[QTY]]="",NOTA[[#This Row],[HARGA SATUAN]]="",),"",NOTA[[#This Row],[QTY]]*NOTA[[#This Row],[HARGA SATUAN]])</f>
        <v>1280000</v>
      </c>
      <c r="AG1048" s="53">
        <f ca="1">IF(NOTA[ID_H]="","",INDEX(NOTA[TANGGAL],MATCH(,INDIRECT(ADDRESS(ROW(NOTA[TANGGAL]),COLUMN(NOTA[TANGGAL]))&amp;":"&amp;ADDRESS(ROW(),COLUMN(NOTA[TANGGAL]))),-1)))</f>
        <v>45077</v>
      </c>
      <c r="AH1048" s="64" t="str">
        <f ca="1">IF(NOTA[[#This Row],[NAMA BARANG]]="","",INDEX(NOTA[SUPPLIER],MATCH(,INDIRECT(ADDRESS(ROW(NOTA[ID]),COLUMN(NOTA[ID]))&amp;":"&amp;ADDRESS(ROW(),COLUMN(NOTA[ID]))),-1)))</f>
        <v>GLORY</v>
      </c>
      <c r="AI1048" s="64" t="str">
        <f ca="1">IF(NOTA[[#This Row],[ID_H]]="","",IF(NOTA[[#This Row],[FAKTUR]]="",INDIRECT(ADDRESS(ROW()-1,COLUMN())),NOTA[[#This Row],[FAKTUR]]))</f>
        <v>UNTANA</v>
      </c>
      <c r="AJ1048" s="66" t="str">
        <f ca="1">IF(NOTA[[#This Row],[ID]]="","",COUNTIF(NOTA[ID_H],NOTA[[#This Row],[ID_H]]))</f>
        <v/>
      </c>
      <c r="AK1048" s="66">
        <f ca="1">IF(NOTA[[#This Row],[TGL.NOTA]]="",IF(NOTA[[#This Row],[SUPPLIER_H]]="","",AK1047),MONTH(NOTA[[#This Row],[TGL.NOTA]]))</f>
        <v>5</v>
      </c>
      <c r="AL1048" s="66" t="str">
        <f>LOWER(SUBSTITUTE(SUBSTITUTE(SUBSTITUTE(SUBSTITUTE(SUBSTITUTE(SUBSTITUTE(SUBSTITUTE(SUBSTITUTE(SUBSTITUTE(NOTA[NAMA BARANG]," ",),".",""),"-",""),"(",""),")",""),",",""),"/",""),"""",""),"+",""))</f>
        <v>agbatik</v>
      </c>
      <c r="AM10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0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0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8" s="66" t="str">
        <f>IF(NOTA[[#This Row],[CONCAT4]]="","",_xlfn.IFNA(MATCH(NOTA[[#This Row],[CONCAT4]],[2]!RAW[CONCAT_H],0),FALSE))</f>
        <v/>
      </c>
      <c r="AQ1048" s="66">
        <f>IF(NOTA[[#This Row],[CONCAT1]]="","",MATCH(NOTA[[#This Row],[CONCAT1]],[3]!db[NB NOTA_C],0)+1)</f>
        <v>44</v>
      </c>
    </row>
    <row r="1049" spans="1:43" ht="20.100000000000001" customHeight="1" x14ac:dyDescent="0.25">
      <c r="A10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66" t="str">
        <f>IF(NOTA[[#This Row],[ID_P]]="","",MATCH(NOTA[[#This Row],[ID_P]],[1]!B_MSK[N_ID],0))</f>
        <v/>
      </c>
      <c r="D1049" s="66" t="str">
        <f ca="1">IF(NOTA[[#This Row],[NAMA BARANG]]="","",INDEX(NOTA[ID],MATCH(,INDIRECT(ADDRESS(ROW(NOTA[ID]),COLUMN(NOTA[ID]))&amp;":"&amp;ADDRESS(ROW(),COLUMN(NOTA[ID]))),-1)))</f>
        <v/>
      </c>
      <c r="E1049" s="113"/>
      <c r="H1049" s="54"/>
      <c r="N1049" s="66"/>
      <c r="Q1049" s="79"/>
      <c r="R1049" s="42"/>
      <c r="S1049" s="80"/>
      <c r="U1049" s="52"/>
      <c r="V1049" s="77"/>
      <c r="W1049" s="52" t="str">
        <f>IF(NOTA[[#This Row],[HARGA/ CTN]]="",NOTA[[#This Row],[JUMLAH_H]],NOTA[[#This Row],[HARGA/ CTN]]*IF(NOTA[[#This Row],[C]]="",0,NOTA[[#This Row],[C]]))</f>
        <v/>
      </c>
      <c r="X1049" s="52" t="str">
        <f>IF(NOTA[[#This Row],[JUMLAH]]="","",NOTA[[#This Row],[JUMLAH]]*NOTA[[#This Row],[DISC 1]])</f>
        <v/>
      </c>
      <c r="Y1049" s="52" t="str">
        <f>IF(NOTA[[#This Row],[JUMLAH]]="","",(NOTA[[#This Row],[JUMLAH]]-NOTA[[#This Row],[DISC 1-]])*NOTA[[#This Row],[DISC 2]])</f>
        <v/>
      </c>
      <c r="Z1049" s="52" t="str">
        <f>IF(NOTA[[#This Row],[JUMLAH]]="","",NOTA[[#This Row],[DISC 1-]]+NOTA[[#This Row],[DISC 2-]])</f>
        <v/>
      </c>
      <c r="AA1049" s="52" t="str">
        <f>IF(NOTA[[#This Row],[JUMLAH]]="","",NOTA[[#This Row],[JUMLAH]]-NOTA[[#This Row],[DISC]])</f>
        <v/>
      </c>
      <c r="AB1049" s="52"/>
      <c r="AC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49" s="203" t="str">
        <f>IF(OR(NOTA[[#This Row],[QTY]]="",NOTA[[#This Row],[HARGA SATUAN]]="",),"",NOTA[[#This Row],[QTY]]*NOTA[[#This Row],[HARGA SATUAN]])</f>
        <v/>
      </c>
      <c r="AG1049" s="53" t="str">
        <f ca="1">IF(NOTA[ID_H]="","",INDEX(NOTA[TANGGAL],MATCH(,INDIRECT(ADDRESS(ROW(NOTA[TANGGAL]),COLUMN(NOTA[TANGGAL]))&amp;":"&amp;ADDRESS(ROW(),COLUMN(NOTA[TANGGAL]))),-1)))</f>
        <v/>
      </c>
      <c r="AH1049" s="64" t="str">
        <f ca="1">IF(NOTA[[#This Row],[NAMA BARANG]]="","",INDEX(NOTA[SUPPLIER],MATCH(,INDIRECT(ADDRESS(ROW(NOTA[ID]),COLUMN(NOTA[ID]))&amp;":"&amp;ADDRESS(ROW(),COLUMN(NOTA[ID]))),-1)))</f>
        <v/>
      </c>
      <c r="AI1049" s="64" t="str">
        <f ca="1">IF(NOTA[[#This Row],[ID_H]]="","",IF(NOTA[[#This Row],[FAKTUR]]="",INDIRECT(ADDRESS(ROW()-1,COLUMN())),NOTA[[#This Row],[FAKTUR]]))</f>
        <v/>
      </c>
      <c r="AJ1049" s="66" t="str">
        <f ca="1">IF(NOTA[[#This Row],[ID]]="","",COUNTIF(NOTA[ID_H],NOTA[[#This Row],[ID_H]]))</f>
        <v/>
      </c>
      <c r="AK1049" s="66" t="str">
        <f ca="1">IF(NOTA[[#This Row],[TGL.NOTA]]="",IF(NOTA[[#This Row],[SUPPLIER_H]]="","",AK1048),MONTH(NOTA[[#This Row],[TGL.NOTA]]))</f>
        <v/>
      </c>
      <c r="AL1049" s="66" t="str">
        <f>LOWER(SUBSTITUTE(SUBSTITUTE(SUBSTITUTE(SUBSTITUTE(SUBSTITUTE(SUBSTITUTE(SUBSTITUTE(SUBSTITUTE(SUBSTITUTE(NOTA[NAMA BARANG]," ",),".",""),"-",""),"(",""),")",""),",",""),"/",""),"""",""),"+",""))</f>
        <v/>
      </c>
      <c r="AM10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9" s="66" t="str">
        <f>IF(NOTA[[#This Row],[CONCAT4]]="","",_xlfn.IFNA(MATCH(NOTA[[#This Row],[CONCAT4]],[2]!RAW[CONCAT_H],0),FALSE))</f>
        <v/>
      </c>
      <c r="AQ1049" s="66" t="str">
        <f>IF(NOTA[[#This Row],[CONCAT1]]="","",MATCH(NOTA[[#This Row],[CONCAT1]],[3]!db[NB NOTA_C],0)+1)</f>
        <v/>
      </c>
    </row>
    <row r="1050" spans="1:43" ht="20.100000000000001" customHeight="1" x14ac:dyDescent="0.25">
      <c r="A1050" s="64">
        <f ca="1">IF(INDIRECT(ADDRESS(ROW()-1,COLUMN(NOTA[[#Headers],[ID]])))="ID",1,IF(NOTA[[#This Row],[FAKTUR]]="","",COUNT(INDIRECT(ADDRESS(ROW(NOTA[ID]),COLUMN(NOTA[ID]))&amp;":"&amp;ADDRESS(ROW()-1,COLUMN(NOTA[ID]))))+1))</f>
        <v>175</v>
      </c>
      <c r="B105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BIN_3105_563-3</v>
      </c>
      <c r="C1050" s="66" t="e">
        <f ca="1">IF(NOTA[[#This Row],[ID_P]]="","",MATCH(NOTA[[#This Row],[ID_P]],[1]!B_MSK[N_ID],0))</f>
        <v>#REF!</v>
      </c>
      <c r="D1050" s="66">
        <f ca="1">IF(NOTA[[#This Row],[NAMA BARANG]]="","",INDEX(NOTA[ID],MATCH(,INDIRECT(ADDRESS(ROW(NOTA[ID]),COLUMN(NOTA[ID]))&amp;":"&amp;ADDRESS(ROW(),COLUMN(NOTA[ID]))),-1)))</f>
        <v>175</v>
      </c>
      <c r="E1050" s="113"/>
      <c r="F1050" s="27" t="s">
        <v>515</v>
      </c>
      <c r="G1050" s="27" t="s">
        <v>112</v>
      </c>
      <c r="H1050" s="54" t="s">
        <v>1189</v>
      </c>
      <c r="J1050" s="53">
        <v>45075</v>
      </c>
      <c r="L1050" s="27" t="s">
        <v>1190</v>
      </c>
      <c r="M1050" s="114">
        <v>1</v>
      </c>
      <c r="N1050" s="66">
        <v>144</v>
      </c>
      <c r="O1050" s="27" t="s">
        <v>160</v>
      </c>
      <c r="P1050" s="64">
        <v>11000</v>
      </c>
      <c r="Q1050" s="79"/>
      <c r="R1050" s="42" t="s">
        <v>161</v>
      </c>
      <c r="S1050" s="80">
        <v>0.03</v>
      </c>
      <c r="U1050" s="52"/>
      <c r="V1050" s="77"/>
      <c r="W1050" s="52">
        <f>IF(NOTA[[#This Row],[HARGA/ CTN]]="",NOTA[[#This Row],[JUMLAH_H]],NOTA[[#This Row],[HARGA/ CTN]]*IF(NOTA[[#This Row],[C]]="",0,NOTA[[#This Row],[C]]))</f>
        <v>1584000</v>
      </c>
      <c r="X1050" s="52">
        <f>IF(NOTA[[#This Row],[JUMLAH]]="","",NOTA[[#This Row],[JUMLAH]]*NOTA[[#This Row],[DISC 1]])</f>
        <v>47520</v>
      </c>
      <c r="Y1050" s="52">
        <f>IF(NOTA[[#This Row],[JUMLAH]]="","",(NOTA[[#This Row],[JUMLAH]]-NOTA[[#This Row],[DISC 1-]])*NOTA[[#This Row],[DISC 2]])</f>
        <v>0</v>
      </c>
      <c r="Z1050" s="52">
        <f>IF(NOTA[[#This Row],[JUMLAH]]="","",NOTA[[#This Row],[DISC 1-]]+NOTA[[#This Row],[DISC 2-]])</f>
        <v>47520</v>
      </c>
      <c r="AA1050" s="52">
        <f>IF(NOTA[[#This Row],[JUMLAH]]="","",NOTA[[#This Row],[JUMLAH]]-NOTA[[#This Row],[DISC]])</f>
        <v>1536480</v>
      </c>
      <c r="AB1050" s="52"/>
      <c r="AC10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0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050" s="203">
        <f>IF(OR(NOTA[[#This Row],[QTY]]="",NOTA[[#This Row],[HARGA SATUAN]]="",),"",NOTA[[#This Row],[QTY]]*NOTA[[#This Row],[HARGA SATUAN]])</f>
        <v>1584000</v>
      </c>
      <c r="AG1050" s="53">
        <f ca="1">IF(NOTA[ID_H]="","",INDEX(NOTA[TANGGAL],MATCH(,INDIRECT(ADDRESS(ROW(NOTA[TANGGAL]),COLUMN(NOTA[TANGGAL]))&amp;":"&amp;ADDRESS(ROW(),COLUMN(NOTA[TANGGAL]))),-1)))</f>
        <v>45077</v>
      </c>
      <c r="AH1050" s="64" t="str">
        <f ca="1">IF(NOTA[[#This Row],[NAMA BARANG]]="","",INDEX(NOTA[SUPPLIER],MATCH(,INDIRECT(ADDRESS(ROW(NOTA[ID]),COLUMN(NOTA[ID]))&amp;":"&amp;ADDRESS(ROW(),COLUMN(NOTA[ID]))),-1)))</f>
        <v>BINTANG SAUDARA</v>
      </c>
      <c r="AI1050" s="64" t="str">
        <f ca="1">IF(NOTA[[#This Row],[ID_H]]="","",IF(NOTA[[#This Row],[FAKTUR]]="",INDIRECT(ADDRESS(ROW()-1,COLUMN())),NOTA[[#This Row],[FAKTUR]]))</f>
        <v>UNTANA</v>
      </c>
      <c r="AJ1050" s="66">
        <f ca="1">IF(NOTA[[#This Row],[ID]]="","",COUNTIF(NOTA[ID_H],NOTA[[#This Row],[ID_H]]))</f>
        <v>3</v>
      </c>
      <c r="AK1050" s="66">
        <f>IF(NOTA[[#This Row],[TGL.NOTA]]="",IF(NOTA[[#This Row],[SUPPLIER_H]]="","",AK1049),MONTH(NOTA[[#This Row],[TGL.NOTA]]))</f>
        <v>5</v>
      </c>
      <c r="AL1050" s="66" t="str">
        <f>LOWER(SUBSTITUTE(SUBSTITUTE(SUBSTITUTE(SUBSTITUTE(SUBSTITUTE(SUBSTITUTE(SUBSTITUTE(SUBSTITUTE(SUBSTITUTE(NOTA[NAMA BARANG]," ",),".",""),"-",""),"(",""),")",""),",",""),"/",""),"""",""),"+",""))</f>
        <v>agendadiaryd12b</v>
      </c>
      <c r="AM10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agendadiaryd12b15840000.03</v>
      </c>
      <c r="AN10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agendadiaryd12b15840000.03</v>
      </c>
      <c r="AO1050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SAUDARAUNTANASO202305008056345075agendadiaryd12b</v>
      </c>
      <c r="AP1050" s="66" t="e">
        <f>IF(NOTA[[#This Row],[CONCAT4]]="","",_xlfn.IFNA(MATCH(NOTA[[#This Row],[CONCAT4]],[2]!RAW[CONCAT_H],0),FALSE))</f>
        <v>#REF!</v>
      </c>
      <c r="AQ1050" s="66" t="e">
        <f>IF(NOTA[[#This Row],[CONCAT1]]="","",MATCH(NOTA[[#This Row],[CONCAT1]],[3]!db[NB NOTA_C],0)+1)</f>
        <v>#N/A</v>
      </c>
    </row>
    <row r="1051" spans="1:43" ht="20.100000000000001" customHeight="1" x14ac:dyDescent="0.25">
      <c r="A10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66" t="str">
        <f>IF(NOTA[[#This Row],[ID_P]]="","",MATCH(NOTA[[#This Row],[ID_P]],[1]!B_MSK[N_ID],0))</f>
        <v/>
      </c>
      <c r="D1051" s="66">
        <f ca="1">IF(NOTA[[#This Row],[NAMA BARANG]]="","",INDEX(NOTA[ID],MATCH(,INDIRECT(ADDRESS(ROW(NOTA[ID]),COLUMN(NOTA[ID]))&amp;":"&amp;ADDRESS(ROW(),COLUMN(NOTA[ID]))),-1)))</f>
        <v>175</v>
      </c>
      <c r="E1051" s="113"/>
      <c r="H1051" s="54"/>
      <c r="L1051" s="27" t="s">
        <v>1191</v>
      </c>
      <c r="M1051" s="114">
        <v>1</v>
      </c>
      <c r="N1051" s="66">
        <v>144</v>
      </c>
      <c r="O1051" s="27" t="s">
        <v>160</v>
      </c>
      <c r="P1051" s="64">
        <v>11000</v>
      </c>
      <c r="Q1051" s="79"/>
      <c r="R1051" s="42" t="s">
        <v>161</v>
      </c>
      <c r="S1051" s="80">
        <v>0.03</v>
      </c>
      <c r="U1051" s="52"/>
      <c r="V1051" s="77"/>
      <c r="W1051" s="52">
        <f>IF(NOTA[[#This Row],[HARGA/ CTN]]="",NOTA[[#This Row],[JUMLAH_H]],NOTA[[#This Row],[HARGA/ CTN]]*IF(NOTA[[#This Row],[C]]="",0,NOTA[[#This Row],[C]]))</f>
        <v>1584000</v>
      </c>
      <c r="X1051" s="52">
        <f>IF(NOTA[[#This Row],[JUMLAH]]="","",NOTA[[#This Row],[JUMLAH]]*NOTA[[#This Row],[DISC 1]])</f>
        <v>47520</v>
      </c>
      <c r="Y1051" s="52">
        <f>IF(NOTA[[#This Row],[JUMLAH]]="","",(NOTA[[#This Row],[JUMLAH]]-NOTA[[#This Row],[DISC 1-]])*NOTA[[#This Row],[DISC 2]])</f>
        <v>0</v>
      </c>
      <c r="Z1051" s="52">
        <f>IF(NOTA[[#This Row],[JUMLAH]]="","",NOTA[[#This Row],[DISC 1-]]+NOTA[[#This Row],[DISC 2-]])</f>
        <v>47520</v>
      </c>
      <c r="AA1051" s="52">
        <f>IF(NOTA[[#This Row],[JUMLAH]]="","",NOTA[[#This Row],[JUMLAH]]-NOTA[[#This Row],[DISC]])</f>
        <v>1536480</v>
      </c>
      <c r="AB1051" s="52"/>
      <c r="AC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1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051" s="203">
        <f>IF(OR(NOTA[[#This Row],[QTY]]="",NOTA[[#This Row],[HARGA SATUAN]]="",),"",NOTA[[#This Row],[QTY]]*NOTA[[#This Row],[HARGA SATUAN]])</f>
        <v>1584000</v>
      </c>
      <c r="AG1051" s="53">
        <f ca="1">IF(NOTA[ID_H]="","",INDEX(NOTA[TANGGAL],MATCH(,INDIRECT(ADDRESS(ROW(NOTA[TANGGAL]),COLUMN(NOTA[TANGGAL]))&amp;":"&amp;ADDRESS(ROW(),COLUMN(NOTA[TANGGAL]))),-1)))</f>
        <v>45077</v>
      </c>
      <c r="AH1051" s="64" t="str">
        <f ca="1">IF(NOTA[[#This Row],[NAMA BARANG]]="","",INDEX(NOTA[SUPPLIER],MATCH(,INDIRECT(ADDRESS(ROW(NOTA[ID]),COLUMN(NOTA[ID]))&amp;":"&amp;ADDRESS(ROW(),COLUMN(NOTA[ID]))),-1)))</f>
        <v>BINTANG SAUDARA</v>
      </c>
      <c r="AI1051" s="64" t="str">
        <f ca="1">IF(NOTA[[#This Row],[ID_H]]="","",IF(NOTA[[#This Row],[FAKTUR]]="",INDIRECT(ADDRESS(ROW()-1,COLUMN())),NOTA[[#This Row],[FAKTUR]]))</f>
        <v>UNTANA</v>
      </c>
      <c r="AJ1051" s="66" t="str">
        <f ca="1">IF(NOTA[[#This Row],[ID]]="","",COUNTIF(NOTA[ID_H],NOTA[[#This Row],[ID_H]]))</f>
        <v/>
      </c>
      <c r="AK1051" s="66">
        <f ca="1">IF(NOTA[[#This Row],[TGL.NOTA]]="",IF(NOTA[[#This Row],[SUPPLIER_H]]="","",AK1050),MONTH(NOTA[[#This Row],[TGL.NOTA]]))</f>
        <v>5</v>
      </c>
      <c r="AL1051" s="66" t="str">
        <f>LOWER(SUBSTITUTE(SUBSTITUTE(SUBSTITUTE(SUBSTITUTE(SUBSTITUTE(SUBSTITUTE(SUBSTITUTE(SUBSTITUTE(SUBSTITUTE(NOTA[NAMA BARANG]," ",),".",""),"-",""),"(",""),")",""),",",""),"/",""),"""",""),"+",""))</f>
        <v>agendapcketbankpb129</v>
      </c>
      <c r="AM10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agendapcketbankpb12915840000.03</v>
      </c>
      <c r="AN10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agendapcketbankpb12915840000.03</v>
      </c>
      <c r="AO10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1" s="66" t="str">
        <f>IF(NOTA[[#This Row],[CONCAT4]]="","",_xlfn.IFNA(MATCH(NOTA[[#This Row],[CONCAT4]],[2]!RAW[CONCAT_H],0),FALSE))</f>
        <v/>
      </c>
      <c r="AQ1051" s="66" t="e">
        <f>IF(NOTA[[#This Row],[CONCAT1]]="","",MATCH(NOTA[[#This Row],[CONCAT1]],[3]!db[NB NOTA_C],0)+1)</f>
        <v>#N/A</v>
      </c>
    </row>
    <row r="1052" spans="1:43" ht="20.100000000000001" customHeight="1" x14ac:dyDescent="0.25">
      <c r="A10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66" t="str">
        <f>IF(NOTA[[#This Row],[ID_P]]="","",MATCH(NOTA[[#This Row],[ID_P]],[1]!B_MSK[N_ID],0))</f>
        <v/>
      </c>
      <c r="D1052" s="66">
        <f ca="1">IF(NOTA[[#This Row],[NAMA BARANG]]="","",INDEX(NOTA[ID],MATCH(,INDIRECT(ADDRESS(ROW(NOTA[ID]),COLUMN(NOTA[ID]))&amp;":"&amp;ADDRESS(ROW(),COLUMN(NOTA[ID]))),-1)))</f>
        <v>175</v>
      </c>
      <c r="E1052" s="113"/>
      <c r="H1052" s="54"/>
      <c r="L1052" s="27" t="s">
        <v>1192</v>
      </c>
      <c r="M1052" s="114">
        <v>2</v>
      </c>
      <c r="N1052" s="66">
        <v>288</v>
      </c>
      <c r="O1052" s="27" t="s">
        <v>160</v>
      </c>
      <c r="P1052" s="64">
        <v>11000</v>
      </c>
      <c r="Q1052" s="79"/>
      <c r="R1052" s="42" t="s">
        <v>161</v>
      </c>
      <c r="S1052" s="80"/>
      <c r="U1052" s="52"/>
      <c r="V1052" s="77"/>
      <c r="W1052" s="52">
        <f>IF(NOTA[[#This Row],[HARGA/ CTN]]="",NOTA[[#This Row],[JUMLAH_H]],NOTA[[#This Row],[HARGA/ CTN]]*IF(NOTA[[#This Row],[C]]="",0,NOTA[[#This Row],[C]]))</f>
        <v>3168000</v>
      </c>
      <c r="X1052" s="52">
        <f>IF(NOTA[[#This Row],[JUMLAH]]="","",NOTA[[#This Row],[JUMLAH]]*NOTA[[#This Row],[DISC 1]])</f>
        <v>0</v>
      </c>
      <c r="Y1052" s="52">
        <f>IF(NOTA[[#This Row],[JUMLAH]]="","",(NOTA[[#This Row],[JUMLAH]]-NOTA[[#This Row],[DISC 1-]])*NOTA[[#This Row],[DISC 2]])</f>
        <v>0</v>
      </c>
      <c r="Z1052" s="52">
        <f>IF(NOTA[[#This Row],[JUMLAH]]="","",NOTA[[#This Row],[DISC 1-]]+NOTA[[#This Row],[DISC 2-]])</f>
        <v>0</v>
      </c>
      <c r="AA1052" s="52">
        <f>IF(NOTA[[#This Row],[JUMLAH]]="","",NOTA[[#This Row],[JUMLAH]]-NOTA[[#This Row],[DISC]])</f>
        <v>3168000</v>
      </c>
      <c r="AB1052" s="52"/>
      <c r="AC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95040</v>
      </c>
      <c r="AD105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6240960</v>
      </c>
      <c r="AE1052" s="64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1052" s="203">
        <f>IF(OR(NOTA[[#This Row],[QTY]]="",NOTA[[#This Row],[HARGA SATUAN]]="",),"",NOTA[[#This Row],[QTY]]*NOTA[[#This Row],[HARGA SATUAN]])</f>
        <v>3168000</v>
      </c>
      <c r="AG1052" s="53">
        <f ca="1">IF(NOTA[ID_H]="","",INDEX(NOTA[TANGGAL],MATCH(,INDIRECT(ADDRESS(ROW(NOTA[TANGGAL]),COLUMN(NOTA[TANGGAL]))&amp;":"&amp;ADDRESS(ROW(),COLUMN(NOTA[TANGGAL]))),-1)))</f>
        <v>45077</v>
      </c>
      <c r="AH1052" s="64" t="str">
        <f ca="1">IF(NOTA[[#This Row],[NAMA BARANG]]="","",INDEX(NOTA[SUPPLIER],MATCH(,INDIRECT(ADDRESS(ROW(NOTA[ID]),COLUMN(NOTA[ID]))&amp;":"&amp;ADDRESS(ROW(),COLUMN(NOTA[ID]))),-1)))</f>
        <v>BINTANG SAUDARA</v>
      </c>
      <c r="AI1052" s="64" t="str">
        <f ca="1">IF(NOTA[[#This Row],[ID_H]]="","",IF(NOTA[[#This Row],[FAKTUR]]="",INDIRECT(ADDRESS(ROW()-1,COLUMN())),NOTA[[#This Row],[FAKTUR]]))</f>
        <v>UNTANA</v>
      </c>
      <c r="AJ1052" s="66" t="str">
        <f ca="1">IF(NOTA[[#This Row],[ID]]="","",COUNTIF(NOTA[ID_H],NOTA[[#This Row],[ID_H]]))</f>
        <v/>
      </c>
      <c r="AK1052" s="66">
        <f ca="1">IF(NOTA[[#This Row],[TGL.NOTA]]="",IF(NOTA[[#This Row],[SUPPLIER_H]]="","",AK1051),MONTH(NOTA[[#This Row],[TGL.NOTA]]))</f>
        <v>5</v>
      </c>
      <c r="AL1052" s="66" t="str">
        <f>LOWER(SUBSTITUTE(SUBSTITUTE(SUBSTITUTE(SUBSTITUTE(SUBSTITUTE(SUBSTITUTE(SUBSTITUTE(SUBSTITUTE(SUBSTITUTE(NOTA[NAMA BARANG]," ",),".",""),"-",""),"(",""),")",""),",",""),"/",""),"""",""),"+",""))</f>
        <v>agendaprodeluxekecilpc121tebal</v>
      </c>
      <c r="AM10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agendaprodeluxekecilpc121tebal1584000</v>
      </c>
      <c r="AN10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agendaprodeluxekecilpc121tebal1584000</v>
      </c>
      <c r="AO10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2" s="66" t="str">
        <f>IF(NOTA[[#This Row],[CONCAT4]]="","",_xlfn.IFNA(MATCH(NOTA[[#This Row],[CONCAT4]],[2]!RAW[CONCAT_H],0),FALSE))</f>
        <v/>
      </c>
      <c r="AQ1052" s="66" t="e">
        <f>IF(NOTA[[#This Row],[CONCAT1]]="","",MATCH(NOTA[[#This Row],[CONCAT1]],[3]!db[NB NOTA_C],0)+1)</f>
        <v>#N/A</v>
      </c>
    </row>
    <row r="1053" spans="1:43" ht="20.100000000000001" customHeight="1" x14ac:dyDescent="0.25">
      <c r="A10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66" t="str">
        <f>IF(NOTA[[#This Row],[ID_P]]="","",MATCH(NOTA[[#This Row],[ID_P]],[1]!B_MSK[N_ID],0))</f>
        <v/>
      </c>
      <c r="D1053" s="66" t="str">
        <f ca="1">IF(NOTA[[#This Row],[NAMA BARANG]]="","",INDEX(NOTA[ID],MATCH(,INDIRECT(ADDRESS(ROW(NOTA[ID]),COLUMN(NOTA[ID]))&amp;":"&amp;ADDRESS(ROW(),COLUMN(NOTA[ID]))),-1)))</f>
        <v/>
      </c>
      <c r="E1053" s="113"/>
      <c r="H1053" s="54"/>
      <c r="N1053" s="66"/>
      <c r="Q1053" s="79"/>
      <c r="R1053" s="42"/>
      <c r="S1053" s="80"/>
      <c r="U1053" s="52"/>
      <c r="V1053" s="77"/>
      <c r="W1053" s="52" t="str">
        <f>IF(NOTA[[#This Row],[HARGA/ CTN]]="",NOTA[[#This Row],[JUMLAH_H]],NOTA[[#This Row],[HARGA/ CTN]]*IF(NOTA[[#This Row],[C]]="",0,NOTA[[#This Row],[C]]))</f>
        <v/>
      </c>
      <c r="X1053" s="52" t="str">
        <f>IF(NOTA[[#This Row],[JUMLAH]]="","",NOTA[[#This Row],[JUMLAH]]*NOTA[[#This Row],[DISC 1]])</f>
        <v/>
      </c>
      <c r="Y1053" s="52" t="str">
        <f>IF(NOTA[[#This Row],[JUMLAH]]="","",(NOTA[[#This Row],[JUMLAH]]-NOTA[[#This Row],[DISC 1-]])*NOTA[[#This Row],[DISC 2]])</f>
        <v/>
      </c>
      <c r="Z1053" s="52" t="str">
        <f>IF(NOTA[[#This Row],[JUMLAH]]="","",NOTA[[#This Row],[DISC 1-]]+NOTA[[#This Row],[DISC 2-]])</f>
        <v/>
      </c>
      <c r="AA1053" s="52" t="str">
        <f>IF(NOTA[[#This Row],[JUMLAH]]="","",NOTA[[#This Row],[JUMLAH]]-NOTA[[#This Row],[DISC]])</f>
        <v/>
      </c>
      <c r="AB1053" s="52"/>
      <c r="AC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53" s="203" t="str">
        <f>IF(OR(NOTA[[#This Row],[QTY]]="",NOTA[[#This Row],[HARGA SATUAN]]="",),"",NOTA[[#This Row],[QTY]]*NOTA[[#This Row],[HARGA SATUAN]])</f>
        <v/>
      </c>
      <c r="AG1053" s="53" t="str">
        <f ca="1">IF(NOTA[ID_H]="","",INDEX(NOTA[TANGGAL],MATCH(,INDIRECT(ADDRESS(ROW(NOTA[TANGGAL]),COLUMN(NOTA[TANGGAL]))&amp;":"&amp;ADDRESS(ROW(),COLUMN(NOTA[TANGGAL]))),-1)))</f>
        <v/>
      </c>
      <c r="AH1053" s="64" t="str">
        <f ca="1">IF(NOTA[[#This Row],[NAMA BARANG]]="","",INDEX(NOTA[SUPPLIER],MATCH(,INDIRECT(ADDRESS(ROW(NOTA[ID]),COLUMN(NOTA[ID]))&amp;":"&amp;ADDRESS(ROW(),COLUMN(NOTA[ID]))),-1)))</f>
        <v/>
      </c>
      <c r="AI1053" s="64" t="str">
        <f ca="1">IF(NOTA[[#This Row],[ID_H]]="","",IF(NOTA[[#This Row],[FAKTUR]]="",INDIRECT(ADDRESS(ROW()-1,COLUMN())),NOTA[[#This Row],[FAKTUR]]))</f>
        <v/>
      </c>
      <c r="AJ1053" s="66" t="str">
        <f ca="1">IF(NOTA[[#This Row],[ID]]="","",COUNTIF(NOTA[ID_H],NOTA[[#This Row],[ID_H]]))</f>
        <v/>
      </c>
      <c r="AK1053" s="66" t="str">
        <f ca="1">IF(NOTA[[#This Row],[TGL.NOTA]]="",IF(NOTA[[#This Row],[SUPPLIER_H]]="","",AK1052),MONTH(NOTA[[#This Row],[TGL.NOTA]]))</f>
        <v/>
      </c>
      <c r="AL1053" s="66" t="str">
        <f>LOWER(SUBSTITUTE(SUBSTITUTE(SUBSTITUTE(SUBSTITUTE(SUBSTITUTE(SUBSTITUTE(SUBSTITUTE(SUBSTITUTE(SUBSTITUTE(NOTA[NAMA BARANG]," ",),".",""),"-",""),"(",""),")",""),",",""),"/",""),"""",""),"+",""))</f>
        <v/>
      </c>
      <c r="AM10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3" s="66" t="str">
        <f>IF(NOTA[[#This Row],[CONCAT4]]="","",_xlfn.IFNA(MATCH(NOTA[[#This Row],[CONCAT4]],[2]!RAW[CONCAT_H],0),FALSE))</f>
        <v/>
      </c>
      <c r="AQ1053" s="66" t="str">
        <f>IF(NOTA[[#This Row],[CONCAT1]]="","",MATCH(NOTA[[#This Row],[CONCAT1]],[3]!db[NB NOTA_C],0)+1)</f>
        <v/>
      </c>
    </row>
    <row r="1054" spans="1:43" ht="20.100000000000001" customHeight="1" x14ac:dyDescent="0.25">
      <c r="A1054" s="64">
        <f ca="1">IF(INDIRECT(ADDRESS(ROW()-1,COLUMN(NOTA[[#Headers],[ID]])))="ID",1,IF(NOTA[[#This Row],[FAKTUR]]="","",COUNT(INDIRECT(ADDRESS(ROW(NOTA[ID]),COLUMN(NOTA[ID]))&amp;":"&amp;ADDRESS(ROW()-1,COLUMN(NOTA[ID]))))+1))</f>
        <v>176</v>
      </c>
      <c r="B10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KEN_1305_715-10</v>
      </c>
      <c r="C1054" s="66" t="e">
        <f ca="1">IF(NOTA[[#This Row],[ID_P]]="","",MATCH(NOTA[[#This Row],[ID_P]],[1]!B_MSK[N_ID],0))</f>
        <v>#REF!</v>
      </c>
      <c r="D1054" s="66">
        <f ca="1">IF(NOTA[[#This Row],[NAMA BARANG]]="","",INDEX(NOTA[ID],MATCH(,INDIRECT(ADDRESS(ROW(NOTA[ID]),COLUMN(NOTA[ID]))&amp;":"&amp;ADDRESS(ROW(),COLUMN(NOTA[ID]))),-1)))</f>
        <v>176</v>
      </c>
      <c r="E1054" s="113">
        <v>45059</v>
      </c>
      <c r="F1054" s="27" t="s">
        <v>23</v>
      </c>
      <c r="G1054" s="27" t="s">
        <v>24</v>
      </c>
      <c r="H1054" s="54" t="s">
        <v>1202</v>
      </c>
      <c r="J1054" s="53">
        <v>45054</v>
      </c>
      <c r="L1054" s="27" t="s">
        <v>227</v>
      </c>
      <c r="M1054" s="114">
        <v>1</v>
      </c>
      <c r="N1054" s="66"/>
      <c r="Q1054" s="79">
        <v>504000</v>
      </c>
      <c r="R1054" s="42"/>
      <c r="S1054" s="80">
        <v>0.17</v>
      </c>
      <c r="U1054" s="52"/>
      <c r="V1054" s="77"/>
      <c r="W1054" s="52">
        <f>IF(NOTA[[#This Row],[HARGA/ CTN]]="",NOTA[[#This Row],[JUMLAH_H]],NOTA[[#This Row],[HARGA/ CTN]]*IF(NOTA[[#This Row],[C]]="",0,NOTA[[#This Row],[C]]))</f>
        <v>504000</v>
      </c>
      <c r="X1054" s="52">
        <f>IF(NOTA[[#This Row],[JUMLAH]]="","",NOTA[[#This Row],[JUMLAH]]*NOTA[[#This Row],[DISC 1]])</f>
        <v>85680</v>
      </c>
      <c r="Y1054" s="52">
        <f>IF(NOTA[[#This Row],[JUMLAH]]="","",(NOTA[[#This Row],[JUMLAH]]-NOTA[[#This Row],[DISC 1-]])*NOTA[[#This Row],[DISC 2]])</f>
        <v>0</v>
      </c>
      <c r="Z1054" s="52">
        <f>IF(NOTA[[#This Row],[JUMLAH]]="","",NOTA[[#This Row],[DISC 1-]]+NOTA[[#This Row],[DISC 2-]])</f>
        <v>85680</v>
      </c>
      <c r="AA1054" s="52">
        <f>IF(NOTA[[#This Row],[JUMLAH]]="","",NOTA[[#This Row],[JUMLAH]]-NOTA[[#This Row],[DISC]])</f>
        <v>418320</v>
      </c>
      <c r="AB1054" s="52"/>
      <c r="AC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4" s="64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054" s="203" t="str">
        <f>IF(OR(NOTA[[#This Row],[QTY]]="",NOTA[[#This Row],[HARGA SATUAN]]="",),"",NOTA[[#This Row],[QTY]]*NOTA[[#This Row],[HARGA SATUAN]])</f>
        <v/>
      </c>
      <c r="AG1054" s="53">
        <f ca="1">IF(NOTA[ID_H]="","",INDEX(NOTA[TANGGAL],MATCH(,INDIRECT(ADDRESS(ROW(NOTA[TANGGAL]),COLUMN(NOTA[TANGGAL]))&amp;":"&amp;ADDRESS(ROW(),COLUMN(NOTA[TANGGAL]))),-1)))</f>
        <v>45059</v>
      </c>
      <c r="AH1054" s="64" t="str">
        <f ca="1">IF(NOTA[[#This Row],[NAMA BARANG]]="","",INDEX(NOTA[SUPPLIER],MATCH(,INDIRECT(ADDRESS(ROW(NOTA[ID]),COLUMN(NOTA[ID]))&amp;":"&amp;ADDRESS(ROW(),COLUMN(NOTA[ID]))),-1)))</f>
        <v>KENKO SINAR INDONESIA</v>
      </c>
      <c r="AI1054" s="64" t="str">
        <f ca="1">IF(NOTA[[#This Row],[ID_H]]="","",IF(NOTA[[#This Row],[FAKTUR]]="",INDIRECT(ADDRESS(ROW()-1,COLUMN())),NOTA[[#This Row],[FAKTUR]]))</f>
        <v>ARTO MORO</v>
      </c>
      <c r="AJ1054" s="66">
        <f ca="1">IF(NOTA[[#This Row],[ID]]="","",COUNTIF(NOTA[ID_H],NOTA[[#This Row],[ID_H]]))</f>
        <v>10</v>
      </c>
      <c r="AK1054" s="66">
        <f>IF(NOTA[[#This Row],[TGL.NOTA]]="",IF(NOTA[[#This Row],[SUPPLIER_H]]="","",AK1053),MONTH(NOTA[[#This Row],[TGL.NOTA]]))</f>
        <v>5</v>
      </c>
      <c r="AL1054" s="6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10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10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105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MORO2305071545054kenkoliquidgluelg5050ml</v>
      </c>
      <c r="AP1054" s="66" t="e">
        <f>IF(NOTA[[#This Row],[CONCAT4]]="","",_xlfn.IFNA(MATCH(NOTA[[#This Row],[CONCAT4]],[2]!RAW[CONCAT_H],0),FALSE))</f>
        <v>#REF!</v>
      </c>
      <c r="AQ1054" s="66">
        <f>IF(NOTA[[#This Row],[CONCAT1]]="","",MATCH(NOTA[[#This Row],[CONCAT1]],[3]!db[NB NOTA_C],0)+1)</f>
        <v>1323</v>
      </c>
    </row>
    <row r="1055" spans="1:43" ht="20.100000000000001" customHeight="1" x14ac:dyDescent="0.25">
      <c r="A10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66" t="str">
        <f>IF(NOTA[[#This Row],[ID_P]]="","",MATCH(NOTA[[#This Row],[ID_P]],[1]!B_MSK[N_ID],0))</f>
        <v/>
      </c>
      <c r="D1055" s="66">
        <f ca="1">IF(NOTA[[#This Row],[NAMA BARANG]]="","",INDEX(NOTA[ID],MATCH(,INDIRECT(ADDRESS(ROW(NOTA[ID]),COLUMN(NOTA[ID]))&amp;":"&amp;ADDRESS(ROW(),COLUMN(NOTA[ID]))),-1)))</f>
        <v>176</v>
      </c>
      <c r="E1055" s="113"/>
      <c r="H1055" s="54"/>
      <c r="L1055" s="27" t="s">
        <v>1197</v>
      </c>
      <c r="M1055" s="114">
        <v>5</v>
      </c>
      <c r="N1055" s="66"/>
      <c r="Q1055" s="79">
        <v>2088000</v>
      </c>
      <c r="R1055" s="42"/>
      <c r="S1055" s="80">
        <v>0.17</v>
      </c>
      <c r="U1055" s="52"/>
      <c r="V1055" s="77"/>
      <c r="W1055" s="52">
        <f>IF(NOTA[[#This Row],[HARGA/ CTN]]="",NOTA[[#This Row],[JUMLAH_H]],NOTA[[#This Row],[HARGA/ CTN]]*IF(NOTA[[#This Row],[C]]="",0,NOTA[[#This Row],[C]]))</f>
        <v>10440000</v>
      </c>
      <c r="X1055" s="52">
        <f>IF(NOTA[[#This Row],[JUMLAH]]="","",NOTA[[#This Row],[JUMLAH]]*NOTA[[#This Row],[DISC 1]])</f>
        <v>1774800.0000000002</v>
      </c>
      <c r="Y1055" s="52">
        <f>IF(NOTA[[#This Row],[JUMLAH]]="","",(NOTA[[#This Row],[JUMLAH]]-NOTA[[#This Row],[DISC 1-]])*NOTA[[#This Row],[DISC 2]])</f>
        <v>0</v>
      </c>
      <c r="Z1055" s="52">
        <f>IF(NOTA[[#This Row],[JUMLAH]]="","",NOTA[[#This Row],[DISC 1-]]+NOTA[[#This Row],[DISC 2-]])</f>
        <v>1774800.0000000002</v>
      </c>
      <c r="AA1055" s="52">
        <f>IF(NOTA[[#This Row],[JUMLAH]]="","",NOTA[[#This Row],[JUMLAH]]-NOTA[[#This Row],[DISC]])</f>
        <v>8665200</v>
      </c>
      <c r="AB1055" s="52"/>
      <c r="AC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5" s="6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1055" s="203" t="str">
        <f>IF(OR(NOTA[[#This Row],[QTY]]="",NOTA[[#This Row],[HARGA SATUAN]]="",),"",NOTA[[#This Row],[QTY]]*NOTA[[#This Row],[HARGA SATUAN]])</f>
        <v/>
      </c>
      <c r="AG1055" s="53">
        <f ca="1">IF(NOTA[ID_H]="","",INDEX(NOTA[TANGGAL],MATCH(,INDIRECT(ADDRESS(ROW(NOTA[TANGGAL]),COLUMN(NOTA[TANGGAL]))&amp;":"&amp;ADDRESS(ROW(),COLUMN(NOTA[TANGGAL]))),-1)))</f>
        <v>45059</v>
      </c>
      <c r="AH1055" s="64" t="str">
        <f ca="1">IF(NOTA[[#This Row],[NAMA BARANG]]="","",INDEX(NOTA[SUPPLIER],MATCH(,INDIRECT(ADDRESS(ROW(NOTA[ID]),COLUMN(NOTA[ID]))&amp;":"&amp;ADDRESS(ROW(),COLUMN(NOTA[ID]))),-1)))</f>
        <v>KENKO SINAR INDONESIA</v>
      </c>
      <c r="AI1055" s="64" t="str">
        <f ca="1">IF(NOTA[[#This Row],[ID_H]]="","",IF(NOTA[[#This Row],[FAKTUR]]="",INDIRECT(ADDRESS(ROW()-1,COLUMN())),NOTA[[#This Row],[FAKTUR]]))</f>
        <v>ARTO MORO</v>
      </c>
      <c r="AJ1055" s="66" t="str">
        <f ca="1">IF(NOTA[[#This Row],[ID]]="","",COUNTIF(NOTA[ID_H],NOTA[[#This Row],[ID_H]]))</f>
        <v/>
      </c>
      <c r="AK1055" s="66">
        <f ca="1">IF(NOTA[[#This Row],[TGL.NOTA]]="",IF(NOTA[[#This Row],[SUPPLIER_H]]="","",AK1054),MONTH(NOTA[[#This Row],[TGL.NOTA]]))</f>
        <v>5</v>
      </c>
      <c r="AL1055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10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10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10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5" s="66" t="str">
        <f>IF(NOTA[[#This Row],[CONCAT4]]="","",_xlfn.IFNA(MATCH(NOTA[[#This Row],[CONCAT4]],[2]!RAW[CONCAT_H],0),FALSE))</f>
        <v/>
      </c>
      <c r="AQ1055" s="66">
        <f>IF(NOTA[[#This Row],[CONCAT1]]="","",MATCH(NOTA[[#This Row],[CONCAT1]],[3]!db[NB NOTA_C],0)+1)</f>
        <v>2264</v>
      </c>
    </row>
    <row r="1056" spans="1:43" ht="20.100000000000001" customHeight="1" x14ac:dyDescent="0.25">
      <c r="A10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66" t="str">
        <f>IF(NOTA[[#This Row],[ID_P]]="","",MATCH(NOTA[[#This Row],[ID_P]],[1]!B_MSK[N_ID],0))</f>
        <v/>
      </c>
      <c r="D1056" s="66">
        <f ca="1">IF(NOTA[[#This Row],[NAMA BARANG]]="","",INDEX(NOTA[ID],MATCH(,INDIRECT(ADDRESS(ROW(NOTA[ID]),COLUMN(NOTA[ID]))&amp;":"&amp;ADDRESS(ROW(),COLUMN(NOTA[ID]))),-1)))</f>
        <v>176</v>
      </c>
      <c r="E1056" s="113"/>
      <c r="H1056" s="54"/>
      <c r="L1056" s="27" t="s">
        <v>738</v>
      </c>
      <c r="M1056" s="114">
        <v>3</v>
      </c>
      <c r="N1056" s="66"/>
      <c r="Q1056" s="79">
        <v>3888000</v>
      </c>
      <c r="R1056" s="42"/>
      <c r="S1056" s="80">
        <v>0.17</v>
      </c>
      <c r="U1056" s="52"/>
      <c r="V1056" s="77"/>
      <c r="W1056" s="52">
        <f>IF(NOTA[[#This Row],[HARGA/ CTN]]="",NOTA[[#This Row],[JUMLAH_H]],NOTA[[#This Row],[HARGA/ CTN]]*IF(NOTA[[#This Row],[C]]="",0,NOTA[[#This Row],[C]]))</f>
        <v>11664000</v>
      </c>
      <c r="X1056" s="52">
        <f>IF(NOTA[[#This Row],[JUMLAH]]="","",NOTA[[#This Row],[JUMLAH]]*NOTA[[#This Row],[DISC 1]])</f>
        <v>1982880.0000000002</v>
      </c>
      <c r="Y1056" s="52">
        <f>IF(NOTA[[#This Row],[JUMLAH]]="","",(NOTA[[#This Row],[JUMLAH]]-NOTA[[#This Row],[DISC 1-]])*NOTA[[#This Row],[DISC 2]])</f>
        <v>0</v>
      </c>
      <c r="Z1056" s="52">
        <f>IF(NOTA[[#This Row],[JUMLAH]]="","",NOTA[[#This Row],[DISC 1-]]+NOTA[[#This Row],[DISC 2-]])</f>
        <v>1982880.0000000002</v>
      </c>
      <c r="AA1056" s="52">
        <f>IF(NOTA[[#This Row],[JUMLAH]]="","",NOTA[[#This Row],[JUMLAH]]-NOTA[[#This Row],[DISC]])</f>
        <v>9681120</v>
      </c>
      <c r="AB1056" s="52"/>
      <c r="AC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6" s="6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1056" s="203" t="str">
        <f>IF(OR(NOTA[[#This Row],[QTY]]="",NOTA[[#This Row],[HARGA SATUAN]]="",),"",NOTA[[#This Row],[QTY]]*NOTA[[#This Row],[HARGA SATUAN]])</f>
        <v/>
      </c>
      <c r="AG1056" s="53">
        <f ca="1">IF(NOTA[ID_H]="","",INDEX(NOTA[TANGGAL],MATCH(,INDIRECT(ADDRESS(ROW(NOTA[TANGGAL]),COLUMN(NOTA[TANGGAL]))&amp;":"&amp;ADDRESS(ROW(),COLUMN(NOTA[TANGGAL]))),-1)))</f>
        <v>45059</v>
      </c>
      <c r="AH1056" s="64" t="str">
        <f ca="1">IF(NOTA[[#This Row],[NAMA BARANG]]="","",INDEX(NOTA[SUPPLIER],MATCH(,INDIRECT(ADDRESS(ROW(NOTA[ID]),COLUMN(NOTA[ID]))&amp;":"&amp;ADDRESS(ROW(),COLUMN(NOTA[ID]))),-1)))</f>
        <v>KENKO SINAR INDONESIA</v>
      </c>
      <c r="AI1056" s="64" t="str">
        <f ca="1">IF(NOTA[[#This Row],[ID_H]]="","",IF(NOTA[[#This Row],[FAKTUR]]="",INDIRECT(ADDRESS(ROW()-1,COLUMN())),NOTA[[#This Row],[FAKTUR]]))</f>
        <v>ARTO MORO</v>
      </c>
      <c r="AJ1056" s="66" t="str">
        <f ca="1">IF(NOTA[[#This Row],[ID]]="","",COUNTIF(NOTA[ID_H],NOTA[[#This Row],[ID_H]]))</f>
        <v/>
      </c>
      <c r="AK1056" s="66">
        <f ca="1">IF(NOTA[[#This Row],[TGL.NOTA]]="",IF(NOTA[[#This Row],[SUPPLIER_H]]="","",AK1055),MONTH(NOTA[[#This Row],[TGL.NOTA]]))</f>
        <v>5</v>
      </c>
      <c r="AL1056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M10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N10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O10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6" s="66" t="str">
        <f>IF(NOTA[[#This Row],[CONCAT4]]="","",_xlfn.IFNA(MATCH(NOTA[[#This Row],[CONCAT4]],[2]!RAW[CONCAT_H],0),FALSE))</f>
        <v/>
      </c>
      <c r="AQ1056" s="66">
        <f>IF(NOTA[[#This Row],[CONCAT1]]="","",MATCH(NOTA[[#This Row],[CONCAT1]],[3]!db[NB NOTA_C],0)+1)</f>
        <v>1235</v>
      </c>
    </row>
    <row r="1057" spans="1:43" ht="20.100000000000001" customHeight="1" x14ac:dyDescent="0.25">
      <c r="A10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66" t="str">
        <f>IF(NOTA[[#This Row],[ID_P]]="","",MATCH(NOTA[[#This Row],[ID_P]],[1]!B_MSK[N_ID],0))</f>
        <v/>
      </c>
      <c r="D1057" s="66">
        <f ca="1">IF(NOTA[[#This Row],[NAMA BARANG]]="","",INDEX(NOTA[ID],MATCH(,INDIRECT(ADDRESS(ROW(NOTA[ID]),COLUMN(NOTA[ID]))&amp;":"&amp;ADDRESS(ROW(),COLUMN(NOTA[ID]))),-1)))</f>
        <v>176</v>
      </c>
      <c r="E1057" s="113"/>
      <c r="H1057" s="54"/>
      <c r="L1057" s="27" t="s">
        <v>1198</v>
      </c>
      <c r="M1057" s="114">
        <v>1</v>
      </c>
      <c r="N1057" s="66"/>
      <c r="Q1057" s="79">
        <v>3801600</v>
      </c>
      <c r="R1057" s="42"/>
      <c r="S1057" s="80">
        <v>0.17</v>
      </c>
      <c r="U1057" s="52"/>
      <c r="V1057" s="77"/>
      <c r="W1057" s="52">
        <f>IF(NOTA[[#This Row],[HARGA/ CTN]]="",NOTA[[#This Row],[JUMLAH_H]],NOTA[[#This Row],[HARGA/ CTN]]*IF(NOTA[[#This Row],[C]]="",0,NOTA[[#This Row],[C]]))</f>
        <v>3801600</v>
      </c>
      <c r="X1057" s="52">
        <f>IF(NOTA[[#This Row],[JUMLAH]]="","",NOTA[[#This Row],[JUMLAH]]*NOTA[[#This Row],[DISC 1]])</f>
        <v>646272</v>
      </c>
      <c r="Y1057" s="52">
        <f>IF(NOTA[[#This Row],[JUMLAH]]="","",(NOTA[[#This Row],[JUMLAH]]-NOTA[[#This Row],[DISC 1-]])*NOTA[[#This Row],[DISC 2]])</f>
        <v>0</v>
      </c>
      <c r="Z1057" s="52">
        <f>IF(NOTA[[#This Row],[JUMLAH]]="","",NOTA[[#This Row],[DISC 1-]]+NOTA[[#This Row],[DISC 2-]])</f>
        <v>646272</v>
      </c>
      <c r="AA1057" s="52">
        <f>IF(NOTA[[#This Row],[JUMLAH]]="","",NOTA[[#This Row],[JUMLAH]]-NOTA[[#This Row],[DISC]])</f>
        <v>3155328</v>
      </c>
      <c r="AB1057" s="52"/>
      <c r="AC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7" s="64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1057" s="203" t="str">
        <f>IF(OR(NOTA[[#This Row],[QTY]]="",NOTA[[#This Row],[HARGA SATUAN]]="",),"",NOTA[[#This Row],[QTY]]*NOTA[[#This Row],[HARGA SATUAN]])</f>
        <v/>
      </c>
      <c r="AG1057" s="53">
        <f ca="1">IF(NOTA[ID_H]="","",INDEX(NOTA[TANGGAL],MATCH(,INDIRECT(ADDRESS(ROW(NOTA[TANGGAL]),COLUMN(NOTA[TANGGAL]))&amp;":"&amp;ADDRESS(ROW(),COLUMN(NOTA[TANGGAL]))),-1)))</f>
        <v>45059</v>
      </c>
      <c r="AH1057" s="64" t="str">
        <f ca="1">IF(NOTA[[#This Row],[NAMA BARANG]]="","",INDEX(NOTA[SUPPLIER],MATCH(,INDIRECT(ADDRESS(ROW(NOTA[ID]),COLUMN(NOTA[ID]))&amp;":"&amp;ADDRESS(ROW(),COLUMN(NOTA[ID]))),-1)))</f>
        <v>KENKO SINAR INDONESIA</v>
      </c>
      <c r="AI1057" s="64" t="str">
        <f ca="1">IF(NOTA[[#This Row],[ID_H]]="","",IF(NOTA[[#This Row],[FAKTUR]]="",INDIRECT(ADDRESS(ROW()-1,COLUMN())),NOTA[[#This Row],[FAKTUR]]))</f>
        <v>ARTO MORO</v>
      </c>
      <c r="AJ1057" s="66" t="str">
        <f ca="1">IF(NOTA[[#This Row],[ID]]="","",COUNTIF(NOTA[ID_H],NOTA[[#This Row],[ID_H]]))</f>
        <v/>
      </c>
      <c r="AK1057" s="66">
        <f ca="1">IF(NOTA[[#This Row],[TGL.NOTA]]="",IF(NOTA[[#This Row],[SUPPLIER_H]]="","",AK1056),MONTH(NOTA[[#This Row],[TGL.NOTA]]))</f>
        <v>5</v>
      </c>
      <c r="AL1057" s="66" t="str">
        <f>LOWER(SUBSTITUTE(SUBSTITUTE(SUBSTITUTE(SUBSTITUTE(SUBSTITUTE(SUBSTITUTE(SUBSTITUTE(SUBSTITUTE(SUBSTITUTE(NOTA[NAMA BARANG]," ",),".",""),"-",""),"(",""),")",""),",",""),"/",""),"""",""),"+",""))</f>
        <v>kenkocolorpencilcp12halfhappinessbear</v>
      </c>
      <c r="AM10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N10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kenkocolorpencilcp12halfhappinessbear38016000.17</v>
      </c>
      <c r="AO10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7" s="66" t="str">
        <f>IF(NOTA[[#This Row],[CONCAT4]]="","",_xlfn.IFNA(MATCH(NOTA[[#This Row],[CONCAT4]],[2]!RAW[CONCAT_H],0),FALSE))</f>
        <v/>
      </c>
      <c r="AQ1057" s="66">
        <f>IF(NOTA[[#This Row],[CONCAT1]]="","",MATCH(NOTA[[#This Row],[CONCAT1]],[3]!db[NB NOTA_C],0)+1)</f>
        <v>1189</v>
      </c>
    </row>
    <row r="1058" spans="1:43" ht="20.100000000000001" customHeight="1" x14ac:dyDescent="0.25">
      <c r="A105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66" t="str">
        <f>IF(NOTA[[#This Row],[ID_P]]="","",MATCH(NOTA[[#This Row],[ID_P]],[1]!B_MSK[N_ID],0))</f>
        <v/>
      </c>
      <c r="D1058" s="66">
        <f ca="1">IF(NOTA[[#This Row],[NAMA BARANG]]="","",INDEX(NOTA[ID],MATCH(,INDIRECT(ADDRESS(ROW(NOTA[ID]),COLUMN(NOTA[ID]))&amp;":"&amp;ADDRESS(ROW(),COLUMN(NOTA[ID]))),-1)))</f>
        <v>176</v>
      </c>
      <c r="E1058" s="113"/>
      <c r="H1058" s="54"/>
      <c r="L1058" s="27" t="s">
        <v>862</v>
      </c>
      <c r="M1058" s="114">
        <v>2</v>
      </c>
      <c r="N1058" s="66"/>
      <c r="Q1058" s="79">
        <v>1200000</v>
      </c>
      <c r="R1058" s="42"/>
      <c r="S1058" s="80">
        <v>0.17</v>
      </c>
      <c r="U1058" s="52"/>
      <c r="V1058" s="77"/>
      <c r="W1058" s="52">
        <f>IF(NOTA[[#This Row],[HARGA/ CTN]]="",NOTA[[#This Row],[JUMLAH_H]],NOTA[[#This Row],[HARGA/ CTN]]*IF(NOTA[[#This Row],[C]]="",0,NOTA[[#This Row],[C]]))</f>
        <v>2400000</v>
      </c>
      <c r="X1058" s="52">
        <f>IF(NOTA[[#This Row],[JUMLAH]]="","",NOTA[[#This Row],[JUMLAH]]*NOTA[[#This Row],[DISC 1]])</f>
        <v>408000.00000000006</v>
      </c>
      <c r="Y1058" s="52">
        <f>IF(NOTA[[#This Row],[JUMLAH]]="","",(NOTA[[#This Row],[JUMLAH]]-NOTA[[#This Row],[DISC 1-]])*NOTA[[#This Row],[DISC 2]])</f>
        <v>0</v>
      </c>
      <c r="Z1058" s="52">
        <f>IF(NOTA[[#This Row],[JUMLAH]]="","",NOTA[[#This Row],[DISC 1-]]+NOTA[[#This Row],[DISC 2-]])</f>
        <v>408000.00000000006</v>
      </c>
      <c r="AA1058" s="52">
        <f>IF(NOTA[[#This Row],[JUMLAH]]="","",NOTA[[#This Row],[JUMLAH]]-NOTA[[#This Row],[DISC]])</f>
        <v>1992000</v>
      </c>
      <c r="AB1058" s="52"/>
      <c r="AC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8" s="64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1058" s="203" t="str">
        <f>IF(OR(NOTA[[#This Row],[QTY]]="",NOTA[[#This Row],[HARGA SATUAN]]="",),"",NOTA[[#This Row],[QTY]]*NOTA[[#This Row],[HARGA SATUAN]])</f>
        <v/>
      </c>
      <c r="AG1058" s="53">
        <f ca="1">IF(NOTA[ID_H]="","",INDEX(NOTA[TANGGAL],MATCH(,INDIRECT(ADDRESS(ROW(NOTA[TANGGAL]),COLUMN(NOTA[TANGGAL]))&amp;":"&amp;ADDRESS(ROW(),COLUMN(NOTA[TANGGAL]))),-1)))</f>
        <v>45059</v>
      </c>
      <c r="AH1058" s="64" t="str">
        <f ca="1">IF(NOTA[[#This Row],[NAMA BARANG]]="","",INDEX(NOTA[SUPPLIER],MATCH(,INDIRECT(ADDRESS(ROW(NOTA[ID]),COLUMN(NOTA[ID]))&amp;":"&amp;ADDRESS(ROW(),COLUMN(NOTA[ID]))),-1)))</f>
        <v>KENKO SINAR INDONESIA</v>
      </c>
      <c r="AI1058" s="64" t="str">
        <f ca="1">IF(NOTA[[#This Row],[ID_H]]="","",IF(NOTA[[#This Row],[FAKTUR]]="",INDIRECT(ADDRESS(ROW()-1,COLUMN())),NOTA[[#This Row],[FAKTUR]]))</f>
        <v>ARTO MORO</v>
      </c>
      <c r="AJ1058" s="66" t="str">
        <f ca="1">IF(NOTA[[#This Row],[ID]]="","",COUNTIF(NOTA[ID_H],NOTA[[#This Row],[ID_H]]))</f>
        <v/>
      </c>
      <c r="AK1058" s="66">
        <f ca="1">IF(NOTA[[#This Row],[TGL.NOTA]]="",IF(NOTA[[#This Row],[SUPPLIER_H]]="","",AK1057),MONTH(NOTA[[#This Row],[TGL.NOTA]]))</f>
        <v>5</v>
      </c>
      <c r="AL1058" s="6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M10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N10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O10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8" s="66" t="str">
        <f>IF(NOTA[[#This Row],[CONCAT4]]="","",_xlfn.IFNA(MATCH(NOTA[[#This Row],[CONCAT4]],[2]!RAW[CONCAT_H],0),FALSE))</f>
        <v/>
      </c>
      <c r="AQ1058" s="66">
        <f>IF(NOTA[[#This Row],[CONCAT1]]="","",MATCH(NOTA[[#This Row],[CONCAT1]],[3]!db[NB NOTA_C],0)+1)</f>
        <v>1146</v>
      </c>
    </row>
    <row r="1059" spans="1:43" ht="20.100000000000001" customHeight="1" x14ac:dyDescent="0.25">
      <c r="A10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66" t="str">
        <f>IF(NOTA[[#This Row],[ID_P]]="","",MATCH(NOTA[[#This Row],[ID_P]],[1]!B_MSK[N_ID],0))</f>
        <v/>
      </c>
      <c r="D1059" s="66">
        <f ca="1">IF(NOTA[[#This Row],[NAMA BARANG]]="","",INDEX(NOTA[ID],MATCH(,INDIRECT(ADDRESS(ROW(NOTA[ID]),COLUMN(NOTA[ID]))&amp;":"&amp;ADDRESS(ROW(),COLUMN(NOTA[ID]))),-1)))</f>
        <v>176</v>
      </c>
      <c r="E1059" s="113"/>
      <c r="H1059" s="54"/>
      <c r="L1059" s="27" t="s">
        <v>673</v>
      </c>
      <c r="M1059" s="114">
        <v>2</v>
      </c>
      <c r="N1059" s="66"/>
      <c r="Q1059" s="79">
        <v>900000</v>
      </c>
      <c r="R1059" s="42"/>
      <c r="S1059" s="80">
        <v>0.17</v>
      </c>
      <c r="U1059" s="52"/>
      <c r="V1059" s="77"/>
      <c r="W1059" s="52">
        <f>IF(NOTA[[#This Row],[HARGA/ CTN]]="",NOTA[[#This Row],[JUMLAH_H]],NOTA[[#This Row],[HARGA/ CTN]]*IF(NOTA[[#This Row],[C]]="",0,NOTA[[#This Row],[C]]))</f>
        <v>1800000</v>
      </c>
      <c r="X1059" s="52">
        <f>IF(NOTA[[#This Row],[JUMLAH]]="","",NOTA[[#This Row],[JUMLAH]]*NOTA[[#This Row],[DISC 1]])</f>
        <v>306000</v>
      </c>
      <c r="Y1059" s="52">
        <f>IF(NOTA[[#This Row],[JUMLAH]]="","",(NOTA[[#This Row],[JUMLAH]]-NOTA[[#This Row],[DISC 1-]])*NOTA[[#This Row],[DISC 2]])</f>
        <v>0</v>
      </c>
      <c r="Z1059" s="52">
        <f>IF(NOTA[[#This Row],[JUMLAH]]="","",NOTA[[#This Row],[DISC 1-]]+NOTA[[#This Row],[DISC 2-]])</f>
        <v>306000</v>
      </c>
      <c r="AA1059" s="52">
        <f>IF(NOTA[[#This Row],[JUMLAH]]="","",NOTA[[#This Row],[JUMLAH]]-NOTA[[#This Row],[DISC]])</f>
        <v>1494000</v>
      </c>
      <c r="AB1059" s="52"/>
      <c r="AC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9" s="64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059" s="203" t="str">
        <f>IF(OR(NOTA[[#This Row],[QTY]]="",NOTA[[#This Row],[HARGA SATUAN]]="",),"",NOTA[[#This Row],[QTY]]*NOTA[[#This Row],[HARGA SATUAN]])</f>
        <v/>
      </c>
      <c r="AG1059" s="53">
        <f ca="1">IF(NOTA[ID_H]="","",INDEX(NOTA[TANGGAL],MATCH(,INDIRECT(ADDRESS(ROW(NOTA[TANGGAL]),COLUMN(NOTA[TANGGAL]))&amp;":"&amp;ADDRESS(ROW(),COLUMN(NOTA[TANGGAL]))),-1)))</f>
        <v>45059</v>
      </c>
      <c r="AH1059" s="64" t="str">
        <f ca="1">IF(NOTA[[#This Row],[NAMA BARANG]]="","",INDEX(NOTA[SUPPLIER],MATCH(,INDIRECT(ADDRESS(ROW(NOTA[ID]),COLUMN(NOTA[ID]))&amp;":"&amp;ADDRESS(ROW(),COLUMN(NOTA[ID]))),-1)))</f>
        <v>KENKO SINAR INDONESIA</v>
      </c>
      <c r="AI1059" s="64" t="str">
        <f ca="1">IF(NOTA[[#This Row],[ID_H]]="","",IF(NOTA[[#This Row],[FAKTUR]]="",INDIRECT(ADDRESS(ROW()-1,COLUMN())),NOTA[[#This Row],[FAKTUR]]))</f>
        <v>ARTO MORO</v>
      </c>
      <c r="AJ1059" s="66" t="str">
        <f ca="1">IF(NOTA[[#This Row],[ID]]="","",COUNTIF(NOTA[ID_H],NOTA[[#This Row],[ID_H]]))</f>
        <v/>
      </c>
      <c r="AK1059" s="66">
        <f ca="1">IF(NOTA[[#This Row],[TGL.NOTA]]="",IF(NOTA[[#This Row],[SUPPLIER_H]]="","",AK1058),MONTH(NOTA[[#This Row],[TGL.NOTA]]))</f>
        <v>5</v>
      </c>
      <c r="AL1059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0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0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0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9" s="66" t="str">
        <f>IF(NOTA[[#This Row],[CONCAT4]]="","",_xlfn.IFNA(MATCH(NOTA[[#This Row],[CONCAT4]],[2]!RAW[CONCAT_H],0),FALSE))</f>
        <v/>
      </c>
      <c r="AQ1059" s="66">
        <f>IF(NOTA[[#This Row],[CONCAT1]]="","",MATCH(NOTA[[#This Row],[CONCAT1]],[3]!db[NB NOTA_C],0)+1)</f>
        <v>1147</v>
      </c>
    </row>
    <row r="1060" spans="1:43" ht="20.100000000000001" customHeight="1" x14ac:dyDescent="0.25">
      <c r="A10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66" t="str">
        <f>IF(NOTA[[#This Row],[ID_P]]="","",MATCH(NOTA[[#This Row],[ID_P]],[1]!B_MSK[N_ID],0))</f>
        <v/>
      </c>
      <c r="D1060" s="66">
        <f ca="1">IF(NOTA[[#This Row],[NAMA BARANG]]="","",INDEX(NOTA[ID],MATCH(,INDIRECT(ADDRESS(ROW(NOTA[ID]),COLUMN(NOTA[ID]))&amp;":"&amp;ADDRESS(ROW(),COLUMN(NOTA[ID]))),-1)))</f>
        <v>176</v>
      </c>
      <c r="E1060" s="113"/>
      <c r="H1060" s="54"/>
      <c r="L1060" s="27" t="s">
        <v>101</v>
      </c>
      <c r="M1060" s="114">
        <v>2</v>
      </c>
      <c r="N1060" s="66"/>
      <c r="Q1060" s="79">
        <v>2376000</v>
      </c>
      <c r="R1060" s="42"/>
      <c r="S1060" s="80">
        <v>0.17</v>
      </c>
      <c r="U1060" s="52"/>
      <c r="V1060" s="77"/>
      <c r="W1060" s="52">
        <f>IF(NOTA[[#This Row],[HARGA/ CTN]]="",NOTA[[#This Row],[JUMLAH_H]],NOTA[[#This Row],[HARGA/ CTN]]*IF(NOTA[[#This Row],[C]]="",0,NOTA[[#This Row],[C]]))</f>
        <v>4752000</v>
      </c>
      <c r="X1060" s="52">
        <f>IF(NOTA[[#This Row],[JUMLAH]]="","",NOTA[[#This Row],[JUMLAH]]*NOTA[[#This Row],[DISC 1]])</f>
        <v>807840</v>
      </c>
      <c r="Y1060" s="52">
        <f>IF(NOTA[[#This Row],[JUMLAH]]="","",(NOTA[[#This Row],[JUMLAH]]-NOTA[[#This Row],[DISC 1-]])*NOTA[[#This Row],[DISC 2]])</f>
        <v>0</v>
      </c>
      <c r="Z1060" s="52">
        <f>IF(NOTA[[#This Row],[JUMLAH]]="","",NOTA[[#This Row],[DISC 1-]]+NOTA[[#This Row],[DISC 2-]])</f>
        <v>807840</v>
      </c>
      <c r="AA1060" s="52">
        <f>IF(NOTA[[#This Row],[JUMLAH]]="","",NOTA[[#This Row],[JUMLAH]]-NOTA[[#This Row],[DISC]])</f>
        <v>3944160</v>
      </c>
      <c r="AB1060" s="52"/>
      <c r="AC10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0" s="64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1060" s="203" t="str">
        <f>IF(OR(NOTA[[#This Row],[QTY]]="",NOTA[[#This Row],[HARGA SATUAN]]="",),"",NOTA[[#This Row],[QTY]]*NOTA[[#This Row],[HARGA SATUAN]])</f>
        <v/>
      </c>
      <c r="AG1060" s="53">
        <f ca="1">IF(NOTA[ID_H]="","",INDEX(NOTA[TANGGAL],MATCH(,INDIRECT(ADDRESS(ROW(NOTA[TANGGAL]),COLUMN(NOTA[TANGGAL]))&amp;":"&amp;ADDRESS(ROW(),COLUMN(NOTA[TANGGAL]))),-1)))</f>
        <v>45059</v>
      </c>
      <c r="AH1060" s="64" t="str">
        <f ca="1">IF(NOTA[[#This Row],[NAMA BARANG]]="","",INDEX(NOTA[SUPPLIER],MATCH(,INDIRECT(ADDRESS(ROW(NOTA[ID]),COLUMN(NOTA[ID]))&amp;":"&amp;ADDRESS(ROW(),COLUMN(NOTA[ID]))),-1)))</f>
        <v>KENKO SINAR INDONESIA</v>
      </c>
      <c r="AI1060" s="64" t="str">
        <f ca="1">IF(NOTA[[#This Row],[ID_H]]="","",IF(NOTA[[#This Row],[FAKTUR]]="",INDIRECT(ADDRESS(ROW()-1,COLUMN())),NOTA[[#This Row],[FAKTUR]]))</f>
        <v>ARTO MORO</v>
      </c>
      <c r="AJ1060" s="66" t="str">
        <f ca="1">IF(NOTA[[#This Row],[ID]]="","",COUNTIF(NOTA[ID_H],NOTA[[#This Row],[ID_H]]))</f>
        <v/>
      </c>
      <c r="AK1060" s="66">
        <f ca="1">IF(NOTA[[#This Row],[TGL.NOTA]]="",IF(NOTA[[#This Row],[SUPPLIER_H]]="","",AK1059),MONTH(NOTA[[#This Row],[TGL.NOTA]]))</f>
        <v>5</v>
      </c>
      <c r="AL1060" s="6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10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10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10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0" s="66" t="str">
        <f>IF(NOTA[[#This Row],[CONCAT4]]="","",_xlfn.IFNA(MATCH(NOTA[[#This Row],[CONCAT4]],[2]!RAW[CONCAT_H],0),FALSE))</f>
        <v/>
      </c>
      <c r="AQ1060" s="66">
        <f>IF(NOTA[[#This Row],[CONCAT1]]="","",MATCH(NOTA[[#This Row],[CONCAT1]],[3]!db[NB NOTA_C],0)+1)</f>
        <v>1298</v>
      </c>
    </row>
    <row r="1061" spans="1:43" ht="20.100000000000001" customHeight="1" x14ac:dyDescent="0.25">
      <c r="A106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1" s="66" t="str">
        <f>IF(NOTA[[#This Row],[ID_P]]="","",MATCH(NOTA[[#This Row],[ID_P]],[1]!B_MSK[N_ID],0))</f>
        <v/>
      </c>
      <c r="D1061" s="66">
        <f ca="1">IF(NOTA[[#This Row],[NAMA BARANG]]="","",INDEX(NOTA[ID],MATCH(,INDIRECT(ADDRESS(ROW(NOTA[ID]),COLUMN(NOTA[ID]))&amp;":"&amp;ADDRESS(ROW(),COLUMN(NOTA[ID]))),-1)))</f>
        <v>176</v>
      </c>
      <c r="E1061" s="113"/>
      <c r="H1061" s="54"/>
      <c r="L1061" s="27" t="s">
        <v>1199</v>
      </c>
      <c r="M1061" s="114">
        <v>3</v>
      </c>
      <c r="N1061" s="66"/>
      <c r="Q1061" s="79">
        <v>396000</v>
      </c>
      <c r="R1061" s="42"/>
      <c r="S1061" s="80">
        <v>0.17</v>
      </c>
      <c r="U1061" s="52"/>
      <c r="V1061" s="77"/>
      <c r="W1061" s="52">
        <f>IF(NOTA[[#This Row],[HARGA/ CTN]]="",NOTA[[#This Row],[JUMLAH_H]],NOTA[[#This Row],[HARGA/ CTN]]*IF(NOTA[[#This Row],[C]]="",0,NOTA[[#This Row],[C]]))</f>
        <v>1188000</v>
      </c>
      <c r="X1061" s="52">
        <f>IF(NOTA[[#This Row],[JUMLAH]]="","",NOTA[[#This Row],[JUMLAH]]*NOTA[[#This Row],[DISC 1]])</f>
        <v>201960</v>
      </c>
      <c r="Y1061" s="52">
        <f>IF(NOTA[[#This Row],[JUMLAH]]="","",(NOTA[[#This Row],[JUMLAH]]-NOTA[[#This Row],[DISC 1-]])*NOTA[[#This Row],[DISC 2]])</f>
        <v>0</v>
      </c>
      <c r="Z1061" s="52">
        <f>IF(NOTA[[#This Row],[JUMLAH]]="","",NOTA[[#This Row],[DISC 1-]]+NOTA[[#This Row],[DISC 2-]])</f>
        <v>201960</v>
      </c>
      <c r="AA1061" s="52">
        <f>IF(NOTA[[#This Row],[JUMLAH]]="","",NOTA[[#This Row],[JUMLAH]]-NOTA[[#This Row],[DISC]])</f>
        <v>986040</v>
      </c>
      <c r="AB1061" s="52"/>
      <c r="AC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1" s="64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1061" s="203" t="str">
        <f>IF(OR(NOTA[[#This Row],[QTY]]="",NOTA[[#This Row],[HARGA SATUAN]]="",),"",NOTA[[#This Row],[QTY]]*NOTA[[#This Row],[HARGA SATUAN]])</f>
        <v/>
      </c>
      <c r="AG1061" s="53">
        <f ca="1">IF(NOTA[ID_H]="","",INDEX(NOTA[TANGGAL],MATCH(,INDIRECT(ADDRESS(ROW(NOTA[TANGGAL]),COLUMN(NOTA[TANGGAL]))&amp;":"&amp;ADDRESS(ROW(),COLUMN(NOTA[TANGGAL]))),-1)))</f>
        <v>45059</v>
      </c>
      <c r="AH1061" s="64" t="str">
        <f ca="1">IF(NOTA[[#This Row],[NAMA BARANG]]="","",INDEX(NOTA[SUPPLIER],MATCH(,INDIRECT(ADDRESS(ROW(NOTA[ID]),COLUMN(NOTA[ID]))&amp;":"&amp;ADDRESS(ROW(),COLUMN(NOTA[ID]))),-1)))</f>
        <v>KENKO SINAR INDONESIA</v>
      </c>
      <c r="AI1061" s="64" t="str">
        <f ca="1">IF(NOTA[[#This Row],[ID_H]]="","",IF(NOTA[[#This Row],[FAKTUR]]="",INDIRECT(ADDRESS(ROW()-1,COLUMN())),NOTA[[#This Row],[FAKTUR]]))</f>
        <v>ARTO MORO</v>
      </c>
      <c r="AJ1061" s="66" t="str">
        <f ca="1">IF(NOTA[[#This Row],[ID]]="","",COUNTIF(NOTA[ID_H],NOTA[[#This Row],[ID_H]]))</f>
        <v/>
      </c>
      <c r="AK1061" s="66">
        <f ca="1">IF(NOTA[[#This Row],[TGL.NOTA]]="",IF(NOTA[[#This Row],[SUPPLIER_H]]="","",AK1060),MONTH(NOTA[[#This Row],[TGL.NOTA]]))</f>
        <v>5</v>
      </c>
      <c r="AL1061" s="66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10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10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10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1" s="66" t="str">
        <f>IF(NOTA[[#This Row],[CONCAT4]]="","",_xlfn.IFNA(MATCH(NOTA[[#This Row],[CONCAT4]],[2]!RAW[CONCAT_H],0),FALSE))</f>
        <v/>
      </c>
      <c r="AQ1061" s="66">
        <f>IF(NOTA[[#This Row],[CONCAT1]]="","",MATCH(NOTA[[#This Row],[CONCAT1]],[3]!db[NB NOTA_C],0)+1)</f>
        <v>1322</v>
      </c>
    </row>
    <row r="1062" spans="1:43" ht="20.100000000000001" customHeight="1" x14ac:dyDescent="0.25">
      <c r="A10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2" s="66" t="str">
        <f>IF(NOTA[[#This Row],[ID_P]]="","",MATCH(NOTA[[#This Row],[ID_P]],[1]!B_MSK[N_ID],0))</f>
        <v/>
      </c>
      <c r="D1062" s="66">
        <f ca="1">IF(NOTA[[#This Row],[NAMA BARANG]]="","",INDEX(NOTA[ID],MATCH(,INDIRECT(ADDRESS(ROW(NOTA[ID]),COLUMN(NOTA[ID]))&amp;":"&amp;ADDRESS(ROW(),COLUMN(NOTA[ID]))),-1)))</f>
        <v>176</v>
      </c>
      <c r="E1062" s="113"/>
      <c r="H1062" s="54"/>
      <c r="L1062" s="27" t="s">
        <v>1200</v>
      </c>
      <c r="M1062" s="114">
        <v>1</v>
      </c>
      <c r="N1062" s="66"/>
      <c r="Q1062" s="79">
        <v>2952000</v>
      </c>
      <c r="R1062" s="42"/>
      <c r="S1062" s="80">
        <v>0.17</v>
      </c>
      <c r="U1062" s="52"/>
      <c r="V1062" s="77"/>
      <c r="W1062" s="52">
        <f>IF(NOTA[[#This Row],[HARGA/ CTN]]="",NOTA[[#This Row],[JUMLAH_H]],NOTA[[#This Row],[HARGA/ CTN]]*IF(NOTA[[#This Row],[C]]="",0,NOTA[[#This Row],[C]]))</f>
        <v>2952000</v>
      </c>
      <c r="X1062" s="52">
        <f>IF(NOTA[[#This Row],[JUMLAH]]="","",NOTA[[#This Row],[JUMLAH]]*NOTA[[#This Row],[DISC 1]])</f>
        <v>501840.00000000006</v>
      </c>
      <c r="Y1062" s="52">
        <f>IF(NOTA[[#This Row],[JUMLAH]]="","",(NOTA[[#This Row],[JUMLAH]]-NOTA[[#This Row],[DISC 1-]])*NOTA[[#This Row],[DISC 2]])</f>
        <v>0</v>
      </c>
      <c r="Z1062" s="52">
        <f>IF(NOTA[[#This Row],[JUMLAH]]="","",NOTA[[#This Row],[DISC 1-]]+NOTA[[#This Row],[DISC 2-]])</f>
        <v>501840.00000000006</v>
      </c>
      <c r="AA1062" s="52">
        <f>IF(NOTA[[#This Row],[JUMLAH]]="","",NOTA[[#This Row],[JUMLAH]]-NOTA[[#This Row],[DISC]])</f>
        <v>2450160</v>
      </c>
      <c r="AB1062" s="52"/>
      <c r="AC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2" s="64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062" s="203" t="str">
        <f>IF(OR(NOTA[[#This Row],[QTY]]="",NOTA[[#This Row],[HARGA SATUAN]]="",),"",NOTA[[#This Row],[QTY]]*NOTA[[#This Row],[HARGA SATUAN]])</f>
        <v/>
      </c>
      <c r="AG1062" s="53">
        <f ca="1">IF(NOTA[ID_H]="","",INDEX(NOTA[TANGGAL],MATCH(,INDIRECT(ADDRESS(ROW(NOTA[TANGGAL]),COLUMN(NOTA[TANGGAL]))&amp;":"&amp;ADDRESS(ROW(),COLUMN(NOTA[TANGGAL]))),-1)))</f>
        <v>45059</v>
      </c>
      <c r="AH1062" s="64" t="str">
        <f ca="1">IF(NOTA[[#This Row],[NAMA BARANG]]="","",INDEX(NOTA[SUPPLIER],MATCH(,INDIRECT(ADDRESS(ROW(NOTA[ID]),COLUMN(NOTA[ID]))&amp;":"&amp;ADDRESS(ROW(),COLUMN(NOTA[ID]))),-1)))</f>
        <v>KENKO SINAR INDONESIA</v>
      </c>
      <c r="AI1062" s="64" t="str">
        <f ca="1">IF(NOTA[[#This Row],[ID_H]]="","",IF(NOTA[[#This Row],[FAKTUR]]="",INDIRECT(ADDRESS(ROW()-1,COLUMN())),NOTA[[#This Row],[FAKTUR]]))</f>
        <v>ARTO MORO</v>
      </c>
      <c r="AJ1062" s="66" t="str">
        <f ca="1">IF(NOTA[[#This Row],[ID]]="","",COUNTIF(NOTA[ID_H],NOTA[[#This Row],[ID_H]]))</f>
        <v/>
      </c>
      <c r="AK1062" s="66">
        <f ca="1">IF(NOTA[[#This Row],[TGL.NOTA]]="",IF(NOTA[[#This Row],[SUPPLIER_H]]="","",AK1061),MONTH(NOTA[[#This Row],[TGL.NOTA]]))</f>
        <v>5</v>
      </c>
      <c r="AL1062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10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10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10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2" s="66" t="str">
        <f>IF(NOTA[[#This Row],[CONCAT4]]="","",_xlfn.IFNA(MATCH(NOTA[[#This Row],[CONCAT4]],[2]!RAW[CONCAT_H],0),FALSE))</f>
        <v/>
      </c>
      <c r="AQ1062" s="66">
        <f>IF(NOTA[[#This Row],[CONCAT1]]="","",MATCH(NOTA[[#This Row],[CONCAT1]],[3]!db[NB NOTA_C],0)+1)</f>
        <v>1239</v>
      </c>
    </row>
    <row r="1063" spans="1:43" ht="20.100000000000001" customHeight="1" x14ac:dyDescent="0.25">
      <c r="A10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3" s="66" t="str">
        <f>IF(NOTA[[#This Row],[ID_P]]="","",MATCH(NOTA[[#This Row],[ID_P]],[1]!B_MSK[N_ID],0))</f>
        <v/>
      </c>
      <c r="D1063" s="66">
        <f ca="1">IF(NOTA[[#This Row],[NAMA BARANG]]="","",INDEX(NOTA[ID],MATCH(,INDIRECT(ADDRESS(ROW(NOTA[ID]),COLUMN(NOTA[ID]))&amp;":"&amp;ADDRESS(ROW(),COLUMN(NOTA[ID]))),-1)))</f>
        <v>176</v>
      </c>
      <c r="E1063" s="113"/>
      <c r="H1063" s="54"/>
      <c r="L1063" s="27" t="s">
        <v>1201</v>
      </c>
      <c r="M1063" s="114">
        <f>8640/(36*12)</f>
        <v>20</v>
      </c>
      <c r="N1063" s="66"/>
      <c r="Q1063" s="79">
        <v>1954800</v>
      </c>
      <c r="R1063" s="42"/>
      <c r="S1063" s="80">
        <v>0.17</v>
      </c>
      <c r="U1063" s="52"/>
      <c r="V1063" s="77"/>
      <c r="W1063" s="52">
        <f>IF(NOTA[[#This Row],[HARGA/ CTN]]="",NOTA[[#This Row],[JUMLAH_H]],NOTA[[#This Row],[HARGA/ CTN]]*IF(NOTA[[#This Row],[C]]="",0,NOTA[[#This Row],[C]]))</f>
        <v>39096000</v>
      </c>
      <c r="X1063" s="52">
        <f>IF(NOTA[[#This Row],[JUMLAH]]="","",NOTA[[#This Row],[JUMLAH]]*NOTA[[#This Row],[DISC 1]])</f>
        <v>6646320.0000000009</v>
      </c>
      <c r="Y1063" s="52">
        <f>IF(NOTA[[#This Row],[JUMLAH]]="","",(NOTA[[#This Row],[JUMLAH]]-NOTA[[#This Row],[DISC 1-]])*NOTA[[#This Row],[DISC 2]])</f>
        <v>0</v>
      </c>
      <c r="Z1063" s="52">
        <f>IF(NOTA[[#This Row],[JUMLAH]]="","",NOTA[[#This Row],[DISC 1-]]+NOTA[[#This Row],[DISC 2-]])</f>
        <v>6646320.0000000009</v>
      </c>
      <c r="AA1063" s="52">
        <f>IF(NOTA[[#This Row],[JUMLAH]]="","",NOTA[[#This Row],[JUMLAH]]-NOTA[[#This Row],[DISC]])</f>
        <v>32449680</v>
      </c>
      <c r="AB1063" s="52"/>
      <c r="AC106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13361592</v>
      </c>
      <c r="AD1063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65236008</v>
      </c>
      <c r="AE1063" s="6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1063" s="203" t="str">
        <f>IF(OR(NOTA[[#This Row],[QTY]]="",NOTA[[#This Row],[HARGA SATUAN]]="",),"",NOTA[[#This Row],[QTY]]*NOTA[[#This Row],[HARGA SATUAN]])</f>
        <v/>
      </c>
      <c r="AG1063" s="53">
        <f ca="1">IF(NOTA[ID_H]="","",INDEX(NOTA[TANGGAL],MATCH(,INDIRECT(ADDRESS(ROW(NOTA[TANGGAL]),COLUMN(NOTA[TANGGAL]))&amp;":"&amp;ADDRESS(ROW(),COLUMN(NOTA[TANGGAL]))),-1)))</f>
        <v>45059</v>
      </c>
      <c r="AH1063" s="64" t="str">
        <f ca="1">IF(NOTA[[#This Row],[NAMA BARANG]]="","",INDEX(NOTA[SUPPLIER],MATCH(,INDIRECT(ADDRESS(ROW(NOTA[ID]),COLUMN(NOTA[ID]))&amp;":"&amp;ADDRESS(ROW(),COLUMN(NOTA[ID]))),-1)))</f>
        <v>KENKO SINAR INDONESIA</v>
      </c>
      <c r="AI1063" s="64" t="str">
        <f ca="1">IF(NOTA[[#This Row],[ID_H]]="","",IF(NOTA[[#This Row],[FAKTUR]]="",INDIRECT(ADDRESS(ROW()-1,COLUMN())),NOTA[[#This Row],[FAKTUR]]))</f>
        <v>ARTO MORO</v>
      </c>
      <c r="AJ1063" s="66" t="str">
        <f ca="1">IF(NOTA[[#This Row],[ID]]="","",COUNTIF(NOTA[ID_H],NOTA[[#This Row],[ID_H]]))</f>
        <v/>
      </c>
      <c r="AK1063" s="66">
        <f ca="1">IF(NOTA[[#This Row],[TGL.NOTA]]="",IF(NOTA[[#This Row],[SUPPLIER_H]]="","",AK1062),MONTH(NOTA[[#This Row],[TGL.NOTA]]))</f>
        <v>5</v>
      </c>
      <c r="AL1063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10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10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10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3" s="66" t="str">
        <f>IF(NOTA[[#This Row],[CONCAT4]]="","",_xlfn.IFNA(MATCH(NOTA[[#This Row],[CONCAT4]],[2]!RAW[CONCAT_H],0),FALSE))</f>
        <v/>
      </c>
      <c r="AQ1063" s="66">
        <f>IF(NOTA[[#This Row],[CONCAT1]]="","",MATCH(NOTA[[#This Row],[CONCAT1]],[3]!db[NB NOTA_C],0)+1)</f>
        <v>1198</v>
      </c>
    </row>
    <row r="1064" spans="1:43" ht="20.100000000000001" customHeight="1" x14ac:dyDescent="0.25">
      <c r="A10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4" s="66" t="str">
        <f>IF(NOTA[[#This Row],[ID_P]]="","",MATCH(NOTA[[#This Row],[ID_P]],[1]!B_MSK[N_ID],0))</f>
        <v/>
      </c>
      <c r="D1064" s="66" t="str">
        <f ca="1">IF(NOTA[[#This Row],[NAMA BARANG]]="","",INDEX(NOTA[ID],MATCH(,INDIRECT(ADDRESS(ROW(NOTA[ID]),COLUMN(NOTA[ID]))&amp;":"&amp;ADDRESS(ROW(),COLUMN(NOTA[ID]))),-1)))</f>
        <v/>
      </c>
      <c r="E1064" s="113"/>
      <c r="H1064" s="54"/>
      <c r="N1064" s="66"/>
      <c r="Q1064" s="79"/>
      <c r="R1064" s="42"/>
      <c r="S1064" s="80"/>
      <c r="U1064" s="52"/>
      <c r="V1064" s="77"/>
      <c r="W1064" s="52" t="str">
        <f>IF(NOTA[[#This Row],[HARGA/ CTN]]="",NOTA[[#This Row],[JUMLAH_H]],NOTA[[#This Row],[HARGA/ CTN]]*IF(NOTA[[#This Row],[C]]="",0,NOTA[[#This Row],[C]]))</f>
        <v/>
      </c>
      <c r="X1064" s="52" t="str">
        <f>IF(NOTA[[#This Row],[JUMLAH]]="","",NOTA[[#This Row],[JUMLAH]]*NOTA[[#This Row],[DISC 1]])</f>
        <v/>
      </c>
      <c r="Y1064" s="52" t="str">
        <f>IF(NOTA[[#This Row],[JUMLAH]]="","",(NOTA[[#This Row],[JUMLAH]]-NOTA[[#This Row],[DISC 1-]])*NOTA[[#This Row],[DISC 2]])</f>
        <v/>
      </c>
      <c r="Z1064" s="52" t="str">
        <f>IF(NOTA[[#This Row],[JUMLAH]]="","",NOTA[[#This Row],[DISC 1-]]+NOTA[[#This Row],[DISC 2-]])</f>
        <v/>
      </c>
      <c r="AA1064" s="52" t="str">
        <f>IF(NOTA[[#This Row],[JUMLAH]]="","",NOTA[[#This Row],[JUMLAH]]-NOTA[[#This Row],[DISC]])</f>
        <v/>
      </c>
      <c r="AB1064" s="52"/>
      <c r="AC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64" s="203" t="str">
        <f>IF(OR(NOTA[[#This Row],[QTY]]="",NOTA[[#This Row],[HARGA SATUAN]]="",),"",NOTA[[#This Row],[QTY]]*NOTA[[#This Row],[HARGA SATUAN]])</f>
        <v/>
      </c>
      <c r="AG1064" s="53" t="str">
        <f ca="1">IF(NOTA[ID_H]="","",INDEX(NOTA[TANGGAL],MATCH(,INDIRECT(ADDRESS(ROW(NOTA[TANGGAL]),COLUMN(NOTA[TANGGAL]))&amp;":"&amp;ADDRESS(ROW(),COLUMN(NOTA[TANGGAL]))),-1)))</f>
        <v/>
      </c>
      <c r="AH1064" s="64" t="str">
        <f ca="1">IF(NOTA[[#This Row],[NAMA BARANG]]="","",INDEX(NOTA[SUPPLIER],MATCH(,INDIRECT(ADDRESS(ROW(NOTA[ID]),COLUMN(NOTA[ID]))&amp;":"&amp;ADDRESS(ROW(),COLUMN(NOTA[ID]))),-1)))</f>
        <v/>
      </c>
      <c r="AI1064" s="64" t="str">
        <f ca="1">IF(NOTA[[#This Row],[ID_H]]="","",IF(NOTA[[#This Row],[FAKTUR]]="",INDIRECT(ADDRESS(ROW()-1,COLUMN())),NOTA[[#This Row],[FAKTUR]]))</f>
        <v/>
      </c>
      <c r="AJ1064" s="66" t="str">
        <f ca="1">IF(NOTA[[#This Row],[ID]]="","",COUNTIF(NOTA[ID_H],NOTA[[#This Row],[ID_H]]))</f>
        <v/>
      </c>
      <c r="AK1064" s="66" t="str">
        <f ca="1">IF(NOTA[[#This Row],[TGL.NOTA]]="",IF(NOTA[[#This Row],[SUPPLIER_H]]="","",AK1063),MONTH(NOTA[[#This Row],[TGL.NOTA]]))</f>
        <v/>
      </c>
      <c r="AL1064" s="66" t="str">
        <f>LOWER(SUBSTITUTE(SUBSTITUTE(SUBSTITUTE(SUBSTITUTE(SUBSTITUTE(SUBSTITUTE(SUBSTITUTE(SUBSTITUTE(SUBSTITUTE(NOTA[NAMA BARANG]," ",),".",""),"-",""),"(",""),")",""),",",""),"/",""),"""",""),"+",""))</f>
        <v/>
      </c>
      <c r="AM10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4" s="66" t="str">
        <f>IF(NOTA[[#This Row],[CONCAT4]]="","",_xlfn.IFNA(MATCH(NOTA[[#This Row],[CONCAT4]],[2]!RAW[CONCAT_H],0),FALSE))</f>
        <v/>
      </c>
      <c r="AQ1064" s="66" t="str">
        <f>IF(NOTA[[#This Row],[CONCAT1]]="","",MATCH(NOTA[[#This Row],[CONCAT1]],[3]!db[NB NOTA_C],0)+1)</f>
        <v/>
      </c>
    </row>
    <row r="1065" spans="1:43" ht="20.100000000000001" customHeight="1" x14ac:dyDescent="0.25">
      <c r="A1065" s="64">
        <f ca="1">IF(INDIRECT(ADDRESS(ROW()-1,COLUMN(NOTA[[#Headers],[ID]])))="ID",1,IF(NOTA[[#This Row],[FAKTUR]]="","",COUNT(INDIRECT(ADDRESS(ROW(NOTA[ID]),COLUMN(NOTA[ID]))&amp;":"&amp;ADDRESS(ROW()-1,COLUMN(NOTA[ID]))))+1))</f>
        <v>177</v>
      </c>
      <c r="B10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KEN_1305_786-8</v>
      </c>
      <c r="C1065" s="66" t="e">
        <f ca="1">IF(NOTA[[#This Row],[ID_P]]="","",MATCH(NOTA[[#This Row],[ID_P]],[1]!B_MSK[N_ID],0))</f>
        <v>#REF!</v>
      </c>
      <c r="D1065" s="66">
        <f ca="1">IF(NOTA[[#This Row],[NAMA BARANG]]="","",INDEX(NOTA[ID],MATCH(,INDIRECT(ADDRESS(ROW(NOTA[ID]),COLUMN(NOTA[ID]))&amp;":"&amp;ADDRESS(ROW(),COLUMN(NOTA[ID]))),-1)))</f>
        <v>177</v>
      </c>
      <c r="E1065" s="113"/>
      <c r="F1065" s="27" t="s">
        <v>23</v>
      </c>
      <c r="G1065" s="27" t="s">
        <v>24</v>
      </c>
      <c r="H1065" s="54" t="s">
        <v>1203</v>
      </c>
      <c r="J1065" s="53">
        <v>45055</v>
      </c>
      <c r="L1065" s="27" t="s">
        <v>1208</v>
      </c>
      <c r="M1065" s="114">
        <f>432/(36*12)</f>
        <v>1</v>
      </c>
      <c r="N1065" s="66"/>
      <c r="Q1065" s="79">
        <v>2052000</v>
      </c>
      <c r="R1065" s="42"/>
      <c r="S1065" s="80">
        <v>0.17</v>
      </c>
      <c r="U1065" s="52"/>
      <c r="V1065" s="77"/>
      <c r="W1065" s="52">
        <f>IF(NOTA[[#This Row],[HARGA/ CTN]]="",NOTA[[#This Row],[JUMLAH_H]],NOTA[[#This Row],[HARGA/ CTN]]*IF(NOTA[[#This Row],[C]]="",0,NOTA[[#This Row],[C]]))</f>
        <v>2052000</v>
      </c>
      <c r="X1065" s="52">
        <f>IF(NOTA[[#This Row],[JUMLAH]]="","",NOTA[[#This Row],[JUMLAH]]*NOTA[[#This Row],[DISC 1]])</f>
        <v>348840</v>
      </c>
      <c r="Y1065" s="52">
        <f>IF(NOTA[[#This Row],[JUMLAH]]="","",(NOTA[[#This Row],[JUMLAH]]-NOTA[[#This Row],[DISC 1-]])*NOTA[[#This Row],[DISC 2]])</f>
        <v>0</v>
      </c>
      <c r="Z1065" s="52">
        <f>IF(NOTA[[#This Row],[JUMLAH]]="","",NOTA[[#This Row],[DISC 1-]]+NOTA[[#This Row],[DISC 2-]])</f>
        <v>348840</v>
      </c>
      <c r="AA1065" s="52">
        <f>IF(NOTA[[#This Row],[JUMLAH]]="","",NOTA[[#This Row],[JUMLAH]]-NOTA[[#This Row],[DISC]])</f>
        <v>1703160</v>
      </c>
      <c r="AB1065" s="52"/>
      <c r="AC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5" s="64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065" s="203" t="str">
        <f>IF(OR(NOTA[[#This Row],[QTY]]="",NOTA[[#This Row],[HARGA SATUAN]]="",),"",NOTA[[#This Row],[QTY]]*NOTA[[#This Row],[HARGA SATUAN]])</f>
        <v/>
      </c>
      <c r="AG1065" s="53">
        <f ca="1">IF(NOTA[ID_H]="","",INDEX(NOTA[TANGGAL],MATCH(,INDIRECT(ADDRESS(ROW(NOTA[TANGGAL]),COLUMN(NOTA[TANGGAL]))&amp;":"&amp;ADDRESS(ROW(),COLUMN(NOTA[TANGGAL]))),-1)))</f>
        <v>45059</v>
      </c>
      <c r="AH1065" s="64" t="str">
        <f ca="1">IF(NOTA[[#This Row],[NAMA BARANG]]="","",INDEX(NOTA[SUPPLIER],MATCH(,INDIRECT(ADDRESS(ROW(NOTA[ID]),COLUMN(NOTA[ID]))&amp;":"&amp;ADDRESS(ROW(),COLUMN(NOTA[ID]))),-1)))</f>
        <v>KENKO SINAR INDONESIA</v>
      </c>
      <c r="AI1065" s="64" t="str">
        <f ca="1">IF(NOTA[[#This Row],[ID_H]]="","",IF(NOTA[[#This Row],[FAKTUR]]="",INDIRECT(ADDRESS(ROW()-1,COLUMN())),NOTA[[#This Row],[FAKTUR]]))</f>
        <v>ARTO MORO</v>
      </c>
      <c r="AJ1065" s="66">
        <f ca="1">IF(NOTA[[#This Row],[ID]]="","",COUNTIF(NOTA[ID_H],NOTA[[#This Row],[ID_H]]))</f>
        <v>8</v>
      </c>
      <c r="AK1065" s="66">
        <f>IF(NOTA[[#This Row],[TGL.NOTA]]="",IF(NOTA[[#This Row],[SUPPLIER_H]]="","",AK1064),MONTH(NOTA[[#This Row],[TGL.NOTA]]))</f>
        <v>5</v>
      </c>
      <c r="AL1065" s="6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10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10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1065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MORO2305078645055kenkocorrectionfluidke823m</v>
      </c>
      <c r="AP1065" s="66" t="e">
        <f>IF(NOTA[[#This Row],[CONCAT4]]="","",_xlfn.IFNA(MATCH(NOTA[[#This Row],[CONCAT4]],[2]!RAW[CONCAT_H],0),FALSE))</f>
        <v>#REF!</v>
      </c>
      <c r="AQ1065" s="66">
        <f>IF(NOTA[[#This Row],[CONCAT1]]="","",MATCH(NOTA[[#This Row],[CONCAT1]],[3]!db[NB NOTA_C],0)+1)</f>
        <v>1202</v>
      </c>
    </row>
    <row r="1066" spans="1:43" ht="20.100000000000001" customHeight="1" x14ac:dyDescent="0.25">
      <c r="A10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6" s="66" t="str">
        <f>IF(NOTA[[#This Row],[ID_P]]="","",MATCH(NOTA[[#This Row],[ID_P]],[1]!B_MSK[N_ID],0))</f>
        <v/>
      </c>
      <c r="D1066" s="66">
        <f ca="1">IF(NOTA[[#This Row],[NAMA BARANG]]="","",INDEX(NOTA[ID],MATCH(,INDIRECT(ADDRESS(ROW(NOTA[ID]),COLUMN(NOTA[ID]))&amp;":"&amp;ADDRESS(ROW(),COLUMN(NOTA[ID]))),-1)))</f>
        <v>177</v>
      </c>
      <c r="E1066" s="113"/>
      <c r="H1066" s="54"/>
      <c r="L1066" s="27" t="s">
        <v>447</v>
      </c>
      <c r="M1066" s="114">
        <f>1296/(36*12)</f>
        <v>3</v>
      </c>
      <c r="N1066" s="66"/>
      <c r="Q1066" s="79">
        <v>1695600</v>
      </c>
      <c r="R1066" s="42"/>
      <c r="S1066" s="80">
        <v>0.17</v>
      </c>
      <c r="U1066" s="52"/>
      <c r="V1066" s="77"/>
      <c r="W1066" s="52">
        <f>IF(NOTA[[#This Row],[HARGA/ CTN]]="",NOTA[[#This Row],[JUMLAH_H]],NOTA[[#This Row],[HARGA/ CTN]]*IF(NOTA[[#This Row],[C]]="",0,NOTA[[#This Row],[C]]))</f>
        <v>5086800</v>
      </c>
      <c r="X1066" s="52">
        <f>IF(NOTA[[#This Row],[JUMLAH]]="","",NOTA[[#This Row],[JUMLAH]]*NOTA[[#This Row],[DISC 1]])</f>
        <v>864756.00000000012</v>
      </c>
      <c r="Y1066" s="52">
        <f>IF(NOTA[[#This Row],[JUMLAH]]="","",(NOTA[[#This Row],[JUMLAH]]-NOTA[[#This Row],[DISC 1-]])*NOTA[[#This Row],[DISC 2]])</f>
        <v>0</v>
      </c>
      <c r="Z1066" s="52">
        <f>IF(NOTA[[#This Row],[JUMLAH]]="","",NOTA[[#This Row],[DISC 1-]]+NOTA[[#This Row],[DISC 2-]])</f>
        <v>864756.00000000012</v>
      </c>
      <c r="AA1066" s="52">
        <f>IF(NOTA[[#This Row],[JUMLAH]]="","",NOTA[[#This Row],[JUMLAH]]-NOTA[[#This Row],[DISC]])</f>
        <v>4222044</v>
      </c>
      <c r="AB1066" s="52"/>
      <c r="AC10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6" s="64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66" s="203" t="str">
        <f>IF(OR(NOTA[[#This Row],[QTY]]="",NOTA[[#This Row],[HARGA SATUAN]]="",),"",NOTA[[#This Row],[QTY]]*NOTA[[#This Row],[HARGA SATUAN]])</f>
        <v/>
      </c>
      <c r="AG1066" s="53">
        <f ca="1">IF(NOTA[ID_H]="","",INDEX(NOTA[TANGGAL],MATCH(,INDIRECT(ADDRESS(ROW(NOTA[TANGGAL]),COLUMN(NOTA[TANGGAL]))&amp;":"&amp;ADDRESS(ROW(),COLUMN(NOTA[TANGGAL]))),-1)))</f>
        <v>45059</v>
      </c>
      <c r="AH1066" s="64" t="str">
        <f ca="1">IF(NOTA[[#This Row],[NAMA BARANG]]="","",INDEX(NOTA[SUPPLIER],MATCH(,INDIRECT(ADDRESS(ROW(NOTA[ID]),COLUMN(NOTA[ID]))&amp;":"&amp;ADDRESS(ROW(),COLUMN(NOTA[ID]))),-1)))</f>
        <v>KENKO SINAR INDONESIA</v>
      </c>
      <c r="AI1066" s="64" t="str">
        <f ca="1">IF(NOTA[[#This Row],[ID_H]]="","",IF(NOTA[[#This Row],[FAKTUR]]="",INDIRECT(ADDRESS(ROW()-1,COLUMN())),NOTA[[#This Row],[FAKTUR]]))</f>
        <v>ARTO MORO</v>
      </c>
      <c r="AJ1066" s="66" t="str">
        <f ca="1">IF(NOTA[[#This Row],[ID]]="","",COUNTIF(NOTA[ID_H],NOTA[[#This Row],[ID_H]]))</f>
        <v/>
      </c>
      <c r="AK1066" s="66">
        <f ca="1">IF(NOTA[[#This Row],[TGL.NOTA]]="",IF(NOTA[[#This Row],[SUPPLIER_H]]="","",AK1065),MONTH(NOTA[[#This Row],[TGL.NOTA]]))</f>
        <v>5</v>
      </c>
      <c r="AL1066" s="6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10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10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10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6" s="66" t="str">
        <f>IF(NOTA[[#This Row],[CONCAT4]]="","",_xlfn.IFNA(MATCH(NOTA[[#This Row],[CONCAT4]],[2]!RAW[CONCAT_H],0),FALSE))</f>
        <v/>
      </c>
      <c r="AQ1066" s="66">
        <f>IF(NOTA[[#This Row],[CONCAT1]]="","",MATCH(NOTA[[#This Row],[CONCAT1]],[3]!db[NB NOTA_C],0)+1)</f>
        <v>1200</v>
      </c>
    </row>
    <row r="1067" spans="1:43" ht="20.100000000000001" customHeight="1" x14ac:dyDescent="0.25">
      <c r="A10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7" s="66" t="str">
        <f>IF(NOTA[[#This Row],[ID_P]]="","",MATCH(NOTA[[#This Row],[ID_P]],[1]!B_MSK[N_ID],0))</f>
        <v/>
      </c>
      <c r="D1067" s="66">
        <f ca="1">IF(NOTA[[#This Row],[NAMA BARANG]]="","",INDEX(NOTA[ID],MATCH(,INDIRECT(ADDRESS(ROW(NOTA[ID]),COLUMN(NOTA[ID]))&amp;":"&amp;ADDRESS(ROW(),COLUMN(NOTA[ID]))),-1)))</f>
        <v>177</v>
      </c>
      <c r="E1067" s="113"/>
      <c r="H1067" s="54"/>
      <c r="L1067" s="27" t="s">
        <v>90</v>
      </c>
      <c r="M1067" s="114">
        <f>4320/(36*12)</f>
        <v>10</v>
      </c>
      <c r="N1067" s="66"/>
      <c r="Q1067" s="79">
        <v>1954800</v>
      </c>
      <c r="R1067" s="42"/>
      <c r="S1067" s="80">
        <v>0.17</v>
      </c>
      <c r="U1067" s="52"/>
      <c r="V1067" s="77"/>
      <c r="W1067" s="52">
        <f>IF(NOTA[[#This Row],[HARGA/ CTN]]="",NOTA[[#This Row],[JUMLAH_H]],NOTA[[#This Row],[HARGA/ CTN]]*IF(NOTA[[#This Row],[C]]="",0,NOTA[[#This Row],[C]]))</f>
        <v>19548000</v>
      </c>
      <c r="X1067" s="52">
        <f>IF(NOTA[[#This Row],[JUMLAH]]="","",NOTA[[#This Row],[JUMLAH]]*NOTA[[#This Row],[DISC 1]])</f>
        <v>3323160.0000000005</v>
      </c>
      <c r="Y1067" s="52">
        <f>IF(NOTA[[#This Row],[JUMLAH]]="","",(NOTA[[#This Row],[JUMLAH]]-NOTA[[#This Row],[DISC 1-]])*NOTA[[#This Row],[DISC 2]])</f>
        <v>0</v>
      </c>
      <c r="Z1067" s="52">
        <f>IF(NOTA[[#This Row],[JUMLAH]]="","",NOTA[[#This Row],[DISC 1-]]+NOTA[[#This Row],[DISC 2-]])</f>
        <v>3323160.0000000005</v>
      </c>
      <c r="AA1067" s="52">
        <f>IF(NOTA[[#This Row],[JUMLAH]]="","",NOTA[[#This Row],[JUMLAH]]-NOTA[[#This Row],[DISC]])</f>
        <v>16224840</v>
      </c>
      <c r="AB1067" s="52"/>
      <c r="AC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7" s="6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1067" s="203" t="str">
        <f>IF(OR(NOTA[[#This Row],[QTY]]="",NOTA[[#This Row],[HARGA SATUAN]]="",),"",NOTA[[#This Row],[QTY]]*NOTA[[#This Row],[HARGA SATUAN]])</f>
        <v/>
      </c>
      <c r="AG1067" s="53">
        <f ca="1">IF(NOTA[ID_H]="","",INDEX(NOTA[TANGGAL],MATCH(,INDIRECT(ADDRESS(ROW(NOTA[TANGGAL]),COLUMN(NOTA[TANGGAL]))&amp;":"&amp;ADDRESS(ROW(),COLUMN(NOTA[TANGGAL]))),-1)))</f>
        <v>45059</v>
      </c>
      <c r="AH1067" s="64" t="str">
        <f ca="1">IF(NOTA[[#This Row],[NAMA BARANG]]="","",INDEX(NOTA[SUPPLIER],MATCH(,INDIRECT(ADDRESS(ROW(NOTA[ID]),COLUMN(NOTA[ID]))&amp;":"&amp;ADDRESS(ROW(),COLUMN(NOTA[ID]))),-1)))</f>
        <v>KENKO SINAR INDONESIA</v>
      </c>
      <c r="AI1067" s="64" t="str">
        <f ca="1">IF(NOTA[[#This Row],[ID_H]]="","",IF(NOTA[[#This Row],[FAKTUR]]="",INDIRECT(ADDRESS(ROW()-1,COLUMN())),NOTA[[#This Row],[FAKTUR]]))</f>
        <v>ARTO MORO</v>
      </c>
      <c r="AJ1067" s="66" t="str">
        <f ca="1">IF(NOTA[[#This Row],[ID]]="","",COUNTIF(NOTA[ID_H],NOTA[[#This Row],[ID_H]]))</f>
        <v/>
      </c>
      <c r="AK1067" s="66">
        <f ca="1">IF(NOTA[[#This Row],[TGL.NOTA]]="",IF(NOTA[[#This Row],[SUPPLIER_H]]="","",AK1066),MONTH(NOTA[[#This Row],[TGL.NOTA]]))</f>
        <v>5</v>
      </c>
      <c r="AL1067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10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10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10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7" s="66" t="str">
        <f>IF(NOTA[[#This Row],[CONCAT4]]="","",_xlfn.IFNA(MATCH(NOTA[[#This Row],[CONCAT4]],[2]!RAW[CONCAT_H],0),FALSE))</f>
        <v/>
      </c>
      <c r="AQ1067" s="66">
        <f>IF(NOTA[[#This Row],[CONCAT1]]="","",MATCH(NOTA[[#This Row],[CONCAT1]],[3]!db[NB NOTA_C],0)+1)</f>
        <v>1198</v>
      </c>
    </row>
    <row r="1068" spans="1:43" ht="20.100000000000001" customHeight="1" x14ac:dyDescent="0.25">
      <c r="A10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8" s="66" t="str">
        <f>IF(NOTA[[#This Row],[ID_P]]="","",MATCH(NOTA[[#This Row],[ID_P]],[1]!B_MSK[N_ID],0))</f>
        <v/>
      </c>
      <c r="D1068" s="66">
        <f ca="1">IF(NOTA[[#This Row],[NAMA BARANG]]="","",INDEX(NOTA[ID],MATCH(,INDIRECT(ADDRESS(ROW(NOTA[ID]),COLUMN(NOTA[ID]))&amp;":"&amp;ADDRESS(ROW(),COLUMN(NOTA[ID]))),-1)))</f>
        <v>177</v>
      </c>
      <c r="E1068" s="113"/>
      <c r="H1068" s="54"/>
      <c r="L1068" s="27" t="s">
        <v>1175</v>
      </c>
      <c r="M1068" s="114">
        <f>2880/(144)</f>
        <v>20</v>
      </c>
      <c r="N1068" s="66"/>
      <c r="Q1068" s="79">
        <v>5616000</v>
      </c>
      <c r="R1068" s="42"/>
      <c r="S1068" s="80">
        <v>0.17</v>
      </c>
      <c r="U1068" s="52"/>
      <c r="V1068" s="77"/>
      <c r="W1068" s="52">
        <f>IF(NOTA[[#This Row],[HARGA/ CTN]]="",NOTA[[#This Row],[JUMLAH_H]],NOTA[[#This Row],[HARGA/ CTN]]*IF(NOTA[[#This Row],[C]]="",0,NOTA[[#This Row],[C]]))</f>
        <v>112320000</v>
      </c>
      <c r="X1068" s="52">
        <f>IF(NOTA[[#This Row],[JUMLAH]]="","",NOTA[[#This Row],[JUMLAH]]*NOTA[[#This Row],[DISC 1]])</f>
        <v>19094400</v>
      </c>
      <c r="Y1068" s="52">
        <f>IF(NOTA[[#This Row],[JUMLAH]]="","",(NOTA[[#This Row],[JUMLAH]]-NOTA[[#This Row],[DISC 1-]])*NOTA[[#This Row],[DISC 2]])</f>
        <v>0</v>
      </c>
      <c r="Z1068" s="52">
        <f>IF(NOTA[[#This Row],[JUMLAH]]="","",NOTA[[#This Row],[DISC 1-]]+NOTA[[#This Row],[DISC 2-]])</f>
        <v>19094400</v>
      </c>
      <c r="AA1068" s="52">
        <f>IF(NOTA[[#This Row],[JUMLAH]]="","",NOTA[[#This Row],[JUMLAH]]-NOTA[[#This Row],[DISC]])</f>
        <v>93225600</v>
      </c>
      <c r="AB1068" s="52"/>
      <c r="AC10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8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68" s="203" t="str">
        <f>IF(OR(NOTA[[#This Row],[QTY]]="",NOTA[[#This Row],[HARGA SATUAN]]="",),"",NOTA[[#This Row],[QTY]]*NOTA[[#This Row],[HARGA SATUAN]])</f>
        <v/>
      </c>
      <c r="AG1068" s="53">
        <f ca="1">IF(NOTA[ID_H]="","",INDEX(NOTA[TANGGAL],MATCH(,INDIRECT(ADDRESS(ROW(NOTA[TANGGAL]),COLUMN(NOTA[TANGGAL]))&amp;":"&amp;ADDRESS(ROW(),COLUMN(NOTA[TANGGAL]))),-1)))</f>
        <v>45059</v>
      </c>
      <c r="AH1068" s="64" t="str">
        <f ca="1">IF(NOTA[[#This Row],[NAMA BARANG]]="","",INDEX(NOTA[SUPPLIER],MATCH(,INDIRECT(ADDRESS(ROW(NOTA[ID]),COLUMN(NOTA[ID]))&amp;":"&amp;ADDRESS(ROW(),COLUMN(NOTA[ID]))),-1)))</f>
        <v>KENKO SINAR INDONESIA</v>
      </c>
      <c r="AI1068" s="64" t="str">
        <f ca="1">IF(NOTA[[#This Row],[ID_H]]="","",IF(NOTA[[#This Row],[FAKTUR]]="",INDIRECT(ADDRESS(ROW()-1,COLUMN())),NOTA[[#This Row],[FAKTUR]]))</f>
        <v>ARTO MORO</v>
      </c>
      <c r="AJ1068" s="66" t="str">
        <f ca="1">IF(NOTA[[#This Row],[ID]]="","",COUNTIF(NOTA[ID_H],NOTA[[#This Row],[ID_H]]))</f>
        <v/>
      </c>
      <c r="AK1068" s="66">
        <f ca="1">IF(NOTA[[#This Row],[TGL.NOTA]]="",IF(NOTA[[#This Row],[SUPPLIER_H]]="","",AK1067),MONTH(NOTA[[#This Row],[TGL.NOTA]]))</f>
        <v>5</v>
      </c>
      <c r="AL1068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8" s="66" t="str">
        <f>IF(NOTA[[#This Row],[CONCAT4]]="","",_xlfn.IFNA(MATCH(NOTA[[#This Row],[CONCAT4]],[2]!RAW[CONCAT_H],0),FALSE))</f>
        <v/>
      </c>
      <c r="AQ1068" s="66">
        <f>IF(NOTA[[#This Row],[CONCAT1]]="","",MATCH(NOTA[[#This Row],[CONCAT1]],[3]!db[NB NOTA_C],0)+1)</f>
        <v>1259</v>
      </c>
    </row>
    <row r="1069" spans="1:43" ht="20.100000000000001" customHeight="1" x14ac:dyDescent="0.25">
      <c r="A10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9" s="66" t="str">
        <f>IF(NOTA[[#This Row],[ID_P]]="","",MATCH(NOTA[[#This Row],[ID_P]],[1]!B_MSK[N_ID],0))</f>
        <v/>
      </c>
      <c r="D1069" s="66">
        <f ca="1">IF(NOTA[[#This Row],[NAMA BARANG]]="","",INDEX(NOTA[ID],MATCH(,INDIRECT(ADDRESS(ROW(NOTA[ID]),COLUMN(NOTA[ID]))&amp;":"&amp;ADDRESS(ROW(),COLUMN(NOTA[ID]))),-1)))</f>
        <v>177</v>
      </c>
      <c r="E1069" s="113"/>
      <c r="H1069" s="54"/>
      <c r="L1069" s="27" t="s">
        <v>1175</v>
      </c>
      <c r="M1069" s="114">
        <f>720/144</f>
        <v>5</v>
      </c>
      <c r="N1069" s="66"/>
      <c r="Q1069" s="79">
        <v>5616000</v>
      </c>
      <c r="R1069" s="42"/>
      <c r="S1069" s="80">
        <v>0.17</v>
      </c>
      <c r="U1069" s="52"/>
      <c r="V1069" s="77"/>
      <c r="W1069" s="52">
        <f>IF(NOTA[[#This Row],[HARGA/ CTN]]="",NOTA[[#This Row],[JUMLAH_H]],NOTA[[#This Row],[HARGA/ CTN]]*IF(NOTA[[#This Row],[C]]="",0,NOTA[[#This Row],[C]]))</f>
        <v>28080000</v>
      </c>
      <c r="X1069" s="52">
        <f>IF(NOTA[[#This Row],[JUMLAH]]="","",NOTA[[#This Row],[JUMLAH]]*NOTA[[#This Row],[DISC 1]])</f>
        <v>4773600</v>
      </c>
      <c r="Y1069" s="52">
        <f>IF(NOTA[[#This Row],[JUMLAH]]="","",(NOTA[[#This Row],[JUMLAH]]-NOTA[[#This Row],[DISC 1-]])*NOTA[[#This Row],[DISC 2]])</f>
        <v>0</v>
      </c>
      <c r="Z1069" s="52">
        <f>IF(NOTA[[#This Row],[JUMLAH]]="","",NOTA[[#This Row],[DISC 1-]]+NOTA[[#This Row],[DISC 2-]])</f>
        <v>4773600</v>
      </c>
      <c r="AA1069" s="52">
        <f>IF(NOTA[[#This Row],[JUMLAH]]="","",NOTA[[#This Row],[JUMLAH]]-NOTA[[#This Row],[DISC]])</f>
        <v>23306400</v>
      </c>
      <c r="AB1069" s="52"/>
      <c r="AC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9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69" s="203" t="str">
        <f>IF(OR(NOTA[[#This Row],[QTY]]="",NOTA[[#This Row],[HARGA SATUAN]]="",),"",NOTA[[#This Row],[QTY]]*NOTA[[#This Row],[HARGA SATUAN]])</f>
        <v/>
      </c>
      <c r="AG1069" s="53">
        <f ca="1">IF(NOTA[ID_H]="","",INDEX(NOTA[TANGGAL],MATCH(,INDIRECT(ADDRESS(ROW(NOTA[TANGGAL]),COLUMN(NOTA[TANGGAL]))&amp;":"&amp;ADDRESS(ROW(),COLUMN(NOTA[TANGGAL]))),-1)))</f>
        <v>45059</v>
      </c>
      <c r="AH1069" s="64" t="str">
        <f ca="1">IF(NOTA[[#This Row],[NAMA BARANG]]="","",INDEX(NOTA[SUPPLIER],MATCH(,INDIRECT(ADDRESS(ROW(NOTA[ID]),COLUMN(NOTA[ID]))&amp;":"&amp;ADDRESS(ROW(),COLUMN(NOTA[ID]))),-1)))</f>
        <v>KENKO SINAR INDONESIA</v>
      </c>
      <c r="AI1069" s="64" t="str">
        <f ca="1">IF(NOTA[[#This Row],[ID_H]]="","",IF(NOTA[[#This Row],[FAKTUR]]="",INDIRECT(ADDRESS(ROW()-1,COLUMN())),NOTA[[#This Row],[FAKTUR]]))</f>
        <v>ARTO MORO</v>
      </c>
      <c r="AJ1069" s="66" t="str">
        <f ca="1">IF(NOTA[[#This Row],[ID]]="","",COUNTIF(NOTA[ID_H],NOTA[[#This Row],[ID_H]]))</f>
        <v/>
      </c>
      <c r="AK1069" s="66">
        <f ca="1">IF(NOTA[[#This Row],[TGL.NOTA]]="",IF(NOTA[[#This Row],[SUPPLIER_H]]="","",AK1068),MONTH(NOTA[[#This Row],[TGL.NOTA]]))</f>
        <v>5</v>
      </c>
      <c r="AL1069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10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10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10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9" s="66" t="str">
        <f>IF(NOTA[[#This Row],[CONCAT4]]="","",_xlfn.IFNA(MATCH(NOTA[[#This Row],[CONCAT4]],[2]!RAW[CONCAT_H],0),FALSE))</f>
        <v/>
      </c>
      <c r="AQ1069" s="66">
        <f>IF(NOTA[[#This Row],[CONCAT1]]="","",MATCH(NOTA[[#This Row],[CONCAT1]],[3]!db[NB NOTA_C],0)+1)</f>
        <v>1259</v>
      </c>
    </row>
    <row r="1070" spans="1:43" ht="20.100000000000001" customHeight="1" x14ac:dyDescent="0.25">
      <c r="A10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0" s="66" t="str">
        <f>IF(NOTA[[#This Row],[ID_P]]="","",MATCH(NOTA[[#This Row],[ID_P]],[1]!B_MSK[N_ID],0))</f>
        <v/>
      </c>
      <c r="D1070" s="66">
        <f ca="1">IF(NOTA[[#This Row],[NAMA BARANG]]="","",INDEX(NOTA[ID],MATCH(,INDIRECT(ADDRESS(ROW(NOTA[ID]),COLUMN(NOTA[ID]))&amp;":"&amp;ADDRESS(ROW(),COLUMN(NOTA[ID]))),-1)))</f>
        <v>177</v>
      </c>
      <c r="E1070" s="113"/>
      <c r="H1070" s="54"/>
      <c r="L1070" s="27" t="s">
        <v>691</v>
      </c>
      <c r="M1070" s="114">
        <v>1</v>
      </c>
      <c r="N1070" s="66"/>
      <c r="Q1070" s="79">
        <v>5616000</v>
      </c>
      <c r="R1070" s="42"/>
      <c r="S1070" s="80">
        <v>0.17</v>
      </c>
      <c r="U1070" s="52"/>
      <c r="V1070" s="77"/>
      <c r="W1070" s="52">
        <f>IF(NOTA[[#This Row],[HARGA/ CTN]]="",NOTA[[#This Row],[JUMLAH_H]],NOTA[[#This Row],[HARGA/ CTN]]*IF(NOTA[[#This Row],[C]]="",0,NOTA[[#This Row],[C]]))</f>
        <v>5616000</v>
      </c>
      <c r="X1070" s="52">
        <f>IF(NOTA[[#This Row],[JUMLAH]]="","",NOTA[[#This Row],[JUMLAH]]*NOTA[[#This Row],[DISC 1]])</f>
        <v>954720.00000000012</v>
      </c>
      <c r="Y1070" s="52">
        <f>IF(NOTA[[#This Row],[JUMLAH]]="","",(NOTA[[#This Row],[JUMLAH]]-NOTA[[#This Row],[DISC 1-]])*NOTA[[#This Row],[DISC 2]])</f>
        <v>0</v>
      </c>
      <c r="Z1070" s="52">
        <f>IF(NOTA[[#This Row],[JUMLAH]]="","",NOTA[[#This Row],[DISC 1-]]+NOTA[[#This Row],[DISC 2-]])</f>
        <v>954720.00000000012</v>
      </c>
      <c r="AA1070" s="52">
        <f>IF(NOTA[[#This Row],[JUMLAH]]="","",NOTA[[#This Row],[JUMLAH]]-NOTA[[#This Row],[DISC]])</f>
        <v>4661280</v>
      </c>
      <c r="AB1070" s="52"/>
      <c r="AC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0" s="6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070" s="203" t="str">
        <f>IF(OR(NOTA[[#This Row],[QTY]]="",NOTA[[#This Row],[HARGA SATUAN]]="",),"",NOTA[[#This Row],[QTY]]*NOTA[[#This Row],[HARGA SATUAN]])</f>
        <v/>
      </c>
      <c r="AG1070" s="53">
        <f ca="1">IF(NOTA[ID_H]="","",INDEX(NOTA[TANGGAL],MATCH(,INDIRECT(ADDRESS(ROW(NOTA[TANGGAL]),COLUMN(NOTA[TANGGAL]))&amp;":"&amp;ADDRESS(ROW(),COLUMN(NOTA[TANGGAL]))),-1)))</f>
        <v>45059</v>
      </c>
      <c r="AH1070" s="64" t="str">
        <f ca="1">IF(NOTA[[#This Row],[NAMA BARANG]]="","",INDEX(NOTA[SUPPLIER],MATCH(,INDIRECT(ADDRESS(ROW(NOTA[ID]),COLUMN(NOTA[ID]))&amp;":"&amp;ADDRESS(ROW(),COLUMN(NOTA[ID]))),-1)))</f>
        <v>KENKO SINAR INDONESIA</v>
      </c>
      <c r="AI1070" s="64" t="str">
        <f ca="1">IF(NOTA[[#This Row],[ID_H]]="","",IF(NOTA[[#This Row],[FAKTUR]]="",INDIRECT(ADDRESS(ROW()-1,COLUMN())),NOTA[[#This Row],[FAKTUR]]))</f>
        <v>ARTO MORO</v>
      </c>
      <c r="AJ1070" s="66" t="str">
        <f ca="1">IF(NOTA[[#This Row],[ID]]="","",COUNTIF(NOTA[ID_H],NOTA[[#This Row],[ID_H]]))</f>
        <v/>
      </c>
      <c r="AK1070" s="66">
        <f ca="1">IF(NOTA[[#This Row],[TGL.NOTA]]="",IF(NOTA[[#This Row],[SUPPLIER_H]]="","",AK1069),MONTH(NOTA[[#This Row],[TGL.NOTA]]))</f>
        <v>5</v>
      </c>
      <c r="AL1070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M10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N10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O10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0" s="66" t="str">
        <f>IF(NOTA[[#This Row],[CONCAT4]]="","",_xlfn.IFNA(MATCH(NOTA[[#This Row],[CONCAT4]],[2]!RAW[CONCAT_H],0),FALSE))</f>
        <v/>
      </c>
      <c r="AQ1070" s="66">
        <f>IF(NOTA[[#This Row],[CONCAT1]]="","",MATCH(NOTA[[#This Row],[CONCAT1]],[3]!db[NB NOTA_C],0)+1)</f>
        <v>1260</v>
      </c>
    </row>
    <row r="1071" spans="1:43" ht="20.100000000000001" customHeight="1" x14ac:dyDescent="0.25">
      <c r="A10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1" s="66" t="str">
        <f>IF(NOTA[[#This Row],[ID_P]]="","",MATCH(NOTA[[#This Row],[ID_P]],[1]!B_MSK[N_ID],0))</f>
        <v/>
      </c>
      <c r="D1071" s="66">
        <f ca="1">IF(NOTA[[#This Row],[NAMA BARANG]]="","",INDEX(NOTA[ID],MATCH(,INDIRECT(ADDRESS(ROW(NOTA[ID]),COLUMN(NOTA[ID]))&amp;":"&amp;ADDRESS(ROW(),COLUMN(NOTA[ID]))),-1)))</f>
        <v>177</v>
      </c>
      <c r="E1071" s="113"/>
      <c r="H1071" s="54"/>
      <c r="L1071" s="27" t="s">
        <v>1209</v>
      </c>
      <c r="M1071" s="114">
        <v>1</v>
      </c>
      <c r="N1071" s="66"/>
      <c r="Q1071" s="79">
        <v>5702400</v>
      </c>
      <c r="R1071" s="42"/>
      <c r="S1071" s="80">
        <v>0.17</v>
      </c>
      <c r="U1071" s="52"/>
      <c r="V1071" s="77"/>
      <c r="W1071" s="52">
        <f>IF(NOTA[[#This Row],[HARGA/ CTN]]="",NOTA[[#This Row],[JUMLAH_H]],NOTA[[#This Row],[HARGA/ CTN]]*IF(NOTA[[#This Row],[C]]="",0,NOTA[[#This Row],[C]]))</f>
        <v>5702400</v>
      </c>
      <c r="X1071" s="52">
        <f>IF(NOTA[[#This Row],[JUMLAH]]="","",NOTA[[#This Row],[JUMLAH]]*NOTA[[#This Row],[DISC 1]])</f>
        <v>969408.00000000012</v>
      </c>
      <c r="Y1071" s="52">
        <f>IF(NOTA[[#This Row],[JUMLAH]]="","",(NOTA[[#This Row],[JUMLAH]]-NOTA[[#This Row],[DISC 1-]])*NOTA[[#This Row],[DISC 2]])</f>
        <v>0</v>
      </c>
      <c r="Z1071" s="52">
        <f>IF(NOTA[[#This Row],[JUMLAH]]="","",NOTA[[#This Row],[DISC 1-]]+NOTA[[#This Row],[DISC 2-]])</f>
        <v>969408.00000000012</v>
      </c>
      <c r="AA1071" s="52">
        <f>IF(NOTA[[#This Row],[JUMLAH]]="","",NOTA[[#This Row],[JUMLAH]]-NOTA[[#This Row],[DISC]])</f>
        <v>4732992</v>
      </c>
      <c r="AB1071" s="52"/>
      <c r="AC10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1" s="64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071" s="203" t="str">
        <f>IF(OR(NOTA[[#This Row],[QTY]]="",NOTA[[#This Row],[HARGA SATUAN]]="",),"",NOTA[[#This Row],[QTY]]*NOTA[[#This Row],[HARGA SATUAN]])</f>
        <v/>
      </c>
      <c r="AG1071" s="53">
        <f ca="1">IF(NOTA[ID_H]="","",INDEX(NOTA[TANGGAL],MATCH(,INDIRECT(ADDRESS(ROW(NOTA[TANGGAL]),COLUMN(NOTA[TANGGAL]))&amp;":"&amp;ADDRESS(ROW(),COLUMN(NOTA[TANGGAL]))),-1)))</f>
        <v>45059</v>
      </c>
      <c r="AH1071" s="64" t="str">
        <f ca="1">IF(NOTA[[#This Row],[NAMA BARANG]]="","",INDEX(NOTA[SUPPLIER],MATCH(,INDIRECT(ADDRESS(ROW(NOTA[ID]),COLUMN(NOTA[ID]))&amp;":"&amp;ADDRESS(ROW(),COLUMN(NOTA[ID]))),-1)))</f>
        <v>KENKO SINAR INDONESIA</v>
      </c>
      <c r="AI1071" s="64" t="str">
        <f ca="1">IF(NOTA[[#This Row],[ID_H]]="","",IF(NOTA[[#This Row],[FAKTUR]]="",INDIRECT(ADDRESS(ROW()-1,COLUMN())),NOTA[[#This Row],[FAKTUR]]))</f>
        <v>ARTO MORO</v>
      </c>
      <c r="AJ1071" s="66" t="str">
        <f ca="1">IF(NOTA[[#This Row],[ID]]="","",COUNTIF(NOTA[ID_H],NOTA[[#This Row],[ID_H]]))</f>
        <v/>
      </c>
      <c r="AK1071" s="66">
        <f ca="1">IF(NOTA[[#This Row],[TGL.NOTA]]="",IF(NOTA[[#This Row],[SUPPLIER_H]]="","",AK1070),MONTH(NOTA[[#This Row],[TGL.NOTA]]))</f>
        <v>5</v>
      </c>
      <c r="AL1071" s="6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10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10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10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1" s="66" t="str">
        <f>IF(NOTA[[#This Row],[CONCAT4]]="","",_xlfn.IFNA(MATCH(NOTA[[#This Row],[CONCAT4]],[2]!RAW[CONCAT_H],0),FALSE))</f>
        <v/>
      </c>
      <c r="AQ1071" s="66">
        <f>IF(NOTA[[#This Row],[CONCAT1]]="","",MATCH(NOTA[[#This Row],[CONCAT1]],[3]!db[NB NOTA_C],0)+1)</f>
        <v>1271</v>
      </c>
    </row>
    <row r="1072" spans="1:43" ht="20.100000000000001" customHeight="1" x14ac:dyDescent="0.25">
      <c r="A10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2" s="66" t="str">
        <f>IF(NOTA[[#This Row],[ID_P]]="","",MATCH(NOTA[[#This Row],[ID_P]],[1]!B_MSK[N_ID],0))</f>
        <v/>
      </c>
      <c r="D1072" s="66">
        <f ca="1">IF(NOTA[[#This Row],[NAMA BARANG]]="","",INDEX(NOTA[ID],MATCH(,INDIRECT(ADDRESS(ROW(NOTA[ID]),COLUMN(NOTA[ID]))&amp;":"&amp;ADDRESS(ROW(),COLUMN(NOTA[ID]))),-1)))</f>
        <v>177</v>
      </c>
      <c r="E1072" s="113"/>
      <c r="H1072" s="54"/>
      <c r="L1072" s="27" t="s">
        <v>690</v>
      </c>
      <c r="M1072" s="114">
        <v>1</v>
      </c>
      <c r="N1072" s="66"/>
      <c r="Q1072" s="79">
        <v>4752000</v>
      </c>
      <c r="R1072" s="42"/>
      <c r="S1072" s="80">
        <v>0.17</v>
      </c>
      <c r="U1072" s="52"/>
      <c r="V1072" s="77"/>
      <c r="W1072" s="52">
        <f>IF(NOTA[[#This Row],[HARGA/ CTN]]="",NOTA[[#This Row],[JUMLAH_H]],NOTA[[#This Row],[HARGA/ CTN]]*IF(NOTA[[#This Row],[C]]="",0,NOTA[[#This Row],[C]]))</f>
        <v>4752000</v>
      </c>
      <c r="X1072" s="52">
        <f>IF(NOTA[[#This Row],[JUMLAH]]="","",NOTA[[#This Row],[JUMLAH]]*NOTA[[#This Row],[DISC 1]])</f>
        <v>807840</v>
      </c>
      <c r="Y1072" s="52">
        <f>IF(NOTA[[#This Row],[JUMLAH]]="","",(NOTA[[#This Row],[JUMLAH]]-NOTA[[#This Row],[DISC 1-]])*NOTA[[#This Row],[DISC 2]])</f>
        <v>0</v>
      </c>
      <c r="Z1072" s="52">
        <f>IF(NOTA[[#This Row],[JUMLAH]]="","",NOTA[[#This Row],[DISC 1-]]+NOTA[[#This Row],[DISC 2-]])</f>
        <v>807840</v>
      </c>
      <c r="AA1072" s="52">
        <f>IF(NOTA[[#This Row],[JUMLAH]]="","",NOTA[[#This Row],[JUMLAH]]-NOTA[[#This Row],[DISC]])</f>
        <v>3944160</v>
      </c>
      <c r="AB1072" s="52"/>
      <c r="AC10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31136724</v>
      </c>
      <c r="AD107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152020476</v>
      </c>
      <c r="AE1072" s="64">
        <f>IF(NOTA[[#This Row],[NAMA BARANG]]="","",IF(NOTA[[#This Row],[JUMLAH_H]]="",NOTA[[#This Row],[HARGA/ CTN]],NOTA[[#This Row],[QTY]]*NOTA[[#This Row],[HARGA SATUAN]]/IF(ISNUMBER(NOTA[[#This Row],[C]]),NOTA[[#This Row],[C]],1)))</f>
        <v>4752000</v>
      </c>
      <c r="AF1072" s="203" t="str">
        <f>IF(OR(NOTA[[#This Row],[QTY]]="",NOTA[[#This Row],[HARGA SATUAN]]="",),"",NOTA[[#This Row],[QTY]]*NOTA[[#This Row],[HARGA SATUAN]])</f>
        <v/>
      </c>
      <c r="AG1072" s="53">
        <f ca="1">IF(NOTA[ID_H]="","",INDEX(NOTA[TANGGAL],MATCH(,INDIRECT(ADDRESS(ROW(NOTA[TANGGAL]),COLUMN(NOTA[TANGGAL]))&amp;":"&amp;ADDRESS(ROW(),COLUMN(NOTA[TANGGAL]))),-1)))</f>
        <v>45059</v>
      </c>
      <c r="AH1072" s="64" t="str">
        <f ca="1">IF(NOTA[[#This Row],[NAMA BARANG]]="","",INDEX(NOTA[SUPPLIER],MATCH(,INDIRECT(ADDRESS(ROW(NOTA[ID]),COLUMN(NOTA[ID]))&amp;":"&amp;ADDRESS(ROW(),COLUMN(NOTA[ID]))),-1)))</f>
        <v>KENKO SINAR INDONESIA</v>
      </c>
      <c r="AI1072" s="64" t="str">
        <f ca="1">IF(NOTA[[#This Row],[ID_H]]="","",IF(NOTA[[#This Row],[FAKTUR]]="",INDIRECT(ADDRESS(ROW()-1,COLUMN())),NOTA[[#This Row],[FAKTUR]]))</f>
        <v>ARTO MORO</v>
      </c>
      <c r="AJ1072" s="66" t="str">
        <f ca="1">IF(NOTA[[#This Row],[ID]]="","",COUNTIF(NOTA[ID_H],NOTA[[#This Row],[ID_H]]))</f>
        <v/>
      </c>
      <c r="AK1072" s="66">
        <f ca="1">IF(NOTA[[#This Row],[TGL.NOTA]]="",IF(NOTA[[#This Row],[SUPPLIER_H]]="","",AK1071),MONTH(NOTA[[#This Row],[TGL.NOTA]]))</f>
        <v>5</v>
      </c>
      <c r="AL1072" s="66" t="str">
        <f>LOWER(SUBSTITUTE(SUBSTITUTE(SUBSTITUTE(SUBSTITUTE(SUBSTITUTE(SUBSTITUTE(SUBSTITUTE(SUBSTITUTE(SUBSTITUTE(NOTA[NAMA BARANG]," ",),".",""),"-",""),"(",""),")",""),",",""),"/",""),"""",""),"+",""))</f>
        <v>kenkogelpenk1miniblack</v>
      </c>
      <c r="AM10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kenkogelpenk1miniblack47520000.17</v>
      </c>
      <c r="AN10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kenkogelpenk1miniblack47520000.17</v>
      </c>
      <c r="AO10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2" s="66" t="str">
        <f>IF(NOTA[[#This Row],[CONCAT4]]="","",_xlfn.IFNA(MATCH(NOTA[[#This Row],[CONCAT4]],[2]!RAW[CONCAT_H],0),FALSE))</f>
        <v/>
      </c>
      <c r="AQ1072" s="66">
        <f>IF(NOTA[[#This Row],[CONCAT1]]="","",MATCH(NOTA[[#This Row],[CONCAT1]],[3]!db[NB NOTA_C],0)+1)</f>
        <v>1273</v>
      </c>
    </row>
    <row r="1073" spans="1:43" ht="20.100000000000001" customHeight="1" x14ac:dyDescent="0.25">
      <c r="A10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3" s="66" t="str">
        <f>IF(NOTA[[#This Row],[ID_P]]="","",MATCH(NOTA[[#This Row],[ID_P]],[1]!B_MSK[N_ID],0))</f>
        <v/>
      </c>
      <c r="D1073" s="66" t="str">
        <f ca="1">IF(NOTA[[#This Row],[NAMA BARANG]]="","",INDEX(NOTA[ID],MATCH(,INDIRECT(ADDRESS(ROW(NOTA[ID]),COLUMN(NOTA[ID]))&amp;":"&amp;ADDRESS(ROW(),COLUMN(NOTA[ID]))),-1)))</f>
        <v/>
      </c>
      <c r="E1073" s="113"/>
      <c r="H1073" s="54"/>
      <c r="N1073" s="66"/>
      <c r="Q1073" s="79"/>
      <c r="R1073" s="42"/>
      <c r="S1073" s="80"/>
      <c r="U1073" s="52"/>
      <c r="V1073" s="77"/>
      <c r="W1073" s="52" t="str">
        <f>IF(NOTA[[#This Row],[HARGA/ CTN]]="",NOTA[[#This Row],[JUMLAH_H]],NOTA[[#This Row],[HARGA/ CTN]]*IF(NOTA[[#This Row],[C]]="",0,NOTA[[#This Row],[C]]))</f>
        <v/>
      </c>
      <c r="X1073" s="52" t="str">
        <f>IF(NOTA[[#This Row],[JUMLAH]]="","",NOTA[[#This Row],[JUMLAH]]*NOTA[[#This Row],[DISC 1]])</f>
        <v/>
      </c>
      <c r="Y1073" s="52" t="str">
        <f>IF(NOTA[[#This Row],[JUMLAH]]="","",(NOTA[[#This Row],[JUMLAH]]-NOTA[[#This Row],[DISC 1-]])*NOTA[[#This Row],[DISC 2]])</f>
        <v/>
      </c>
      <c r="Z1073" s="52" t="str">
        <f>IF(NOTA[[#This Row],[JUMLAH]]="","",NOTA[[#This Row],[DISC 1-]]+NOTA[[#This Row],[DISC 2-]])</f>
        <v/>
      </c>
      <c r="AA1073" s="52" t="str">
        <f>IF(NOTA[[#This Row],[JUMLAH]]="","",NOTA[[#This Row],[JUMLAH]]-NOTA[[#This Row],[DISC]])</f>
        <v/>
      </c>
      <c r="AB1073" s="52"/>
      <c r="AC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3" s="203" t="str">
        <f>IF(OR(NOTA[[#This Row],[QTY]]="",NOTA[[#This Row],[HARGA SATUAN]]="",),"",NOTA[[#This Row],[QTY]]*NOTA[[#This Row],[HARGA SATUAN]])</f>
        <v/>
      </c>
      <c r="AG1073" s="53" t="str">
        <f ca="1">IF(NOTA[ID_H]="","",INDEX(NOTA[TANGGAL],MATCH(,INDIRECT(ADDRESS(ROW(NOTA[TANGGAL]),COLUMN(NOTA[TANGGAL]))&amp;":"&amp;ADDRESS(ROW(),COLUMN(NOTA[TANGGAL]))),-1)))</f>
        <v/>
      </c>
      <c r="AH1073" s="64" t="str">
        <f ca="1">IF(NOTA[[#This Row],[NAMA BARANG]]="","",INDEX(NOTA[SUPPLIER],MATCH(,INDIRECT(ADDRESS(ROW(NOTA[ID]),COLUMN(NOTA[ID]))&amp;":"&amp;ADDRESS(ROW(),COLUMN(NOTA[ID]))),-1)))</f>
        <v/>
      </c>
      <c r="AI1073" s="64" t="str">
        <f ca="1">IF(NOTA[[#This Row],[ID_H]]="","",IF(NOTA[[#This Row],[FAKTUR]]="",INDIRECT(ADDRESS(ROW()-1,COLUMN())),NOTA[[#This Row],[FAKTUR]]))</f>
        <v/>
      </c>
      <c r="AJ1073" s="66" t="str">
        <f ca="1">IF(NOTA[[#This Row],[ID]]="","",COUNTIF(NOTA[ID_H],NOTA[[#This Row],[ID_H]]))</f>
        <v/>
      </c>
      <c r="AK1073" s="66" t="str">
        <f ca="1">IF(NOTA[[#This Row],[TGL.NOTA]]="",IF(NOTA[[#This Row],[SUPPLIER_H]]="","",AK1072),MONTH(NOTA[[#This Row],[TGL.NOTA]]))</f>
        <v/>
      </c>
      <c r="AL1073" s="66" t="str">
        <f>LOWER(SUBSTITUTE(SUBSTITUTE(SUBSTITUTE(SUBSTITUTE(SUBSTITUTE(SUBSTITUTE(SUBSTITUTE(SUBSTITUTE(SUBSTITUTE(NOTA[NAMA BARANG]," ",),".",""),"-",""),"(",""),")",""),",",""),"/",""),"""",""),"+",""))</f>
        <v/>
      </c>
      <c r="AM10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3" s="66" t="str">
        <f>IF(NOTA[[#This Row],[CONCAT4]]="","",_xlfn.IFNA(MATCH(NOTA[[#This Row],[CONCAT4]],[2]!RAW[CONCAT_H],0),FALSE))</f>
        <v/>
      </c>
      <c r="AQ1073" s="66" t="str">
        <f>IF(NOTA[[#This Row],[CONCAT1]]="","",MATCH(NOTA[[#This Row],[CONCAT1]],[3]!db[NB NOTA_C],0)+1)</f>
        <v/>
      </c>
    </row>
    <row r="1074" spans="1:43" ht="20.100000000000001" customHeight="1" x14ac:dyDescent="0.25">
      <c r="A1074" s="64">
        <f ca="1">IF(INDIRECT(ADDRESS(ROW()-1,COLUMN(NOTA[[#Headers],[ID]])))="ID",1,IF(NOTA[[#This Row],[FAKTUR]]="","",COUNT(INDIRECT(ADDRESS(ROW(NOTA[ID]),COLUMN(NOTA[ID]))&amp;":"&amp;ADDRESS(ROW()-1,COLUMN(NOTA[ID]))))+1))</f>
        <v>178</v>
      </c>
      <c r="B10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KEN_1305_793-2</v>
      </c>
      <c r="C1074" s="66" t="e">
        <f ca="1">IF(NOTA[[#This Row],[ID_P]]="","",MATCH(NOTA[[#This Row],[ID_P]],[1]!B_MSK[N_ID],0))</f>
        <v>#REF!</v>
      </c>
      <c r="D1074" s="66">
        <f ca="1">IF(NOTA[[#This Row],[NAMA BARANG]]="","",INDEX(NOTA[ID],MATCH(,INDIRECT(ADDRESS(ROW(NOTA[ID]),COLUMN(NOTA[ID]))&amp;":"&amp;ADDRESS(ROW(),COLUMN(NOTA[ID]))),-1)))</f>
        <v>178</v>
      </c>
      <c r="E1074" s="113"/>
      <c r="F1074" s="27" t="s">
        <v>23</v>
      </c>
      <c r="G1074" s="27" t="s">
        <v>24</v>
      </c>
      <c r="H1074" s="54" t="s">
        <v>1204</v>
      </c>
      <c r="J1074" s="53">
        <v>45055</v>
      </c>
      <c r="L1074" s="27" t="s">
        <v>701</v>
      </c>
      <c r="M1074" s="114">
        <f>1440/144</f>
        <v>10</v>
      </c>
      <c r="N1074" s="66"/>
      <c r="Q1074" s="79">
        <v>3758400</v>
      </c>
      <c r="R1074" s="42"/>
      <c r="S1074" s="80">
        <v>0.17</v>
      </c>
      <c r="T1074" s="115">
        <v>0.05</v>
      </c>
      <c r="U1074" s="52"/>
      <c r="V1074" s="77"/>
      <c r="W1074" s="52">
        <f>IF(NOTA[[#This Row],[HARGA/ CTN]]="",NOTA[[#This Row],[JUMLAH_H]],NOTA[[#This Row],[HARGA/ CTN]]*IF(NOTA[[#This Row],[C]]="",0,NOTA[[#This Row],[C]]))</f>
        <v>37584000</v>
      </c>
      <c r="X1074" s="52">
        <f>IF(NOTA[[#This Row],[JUMLAH]]="","",NOTA[[#This Row],[JUMLAH]]*NOTA[[#This Row],[DISC 1]])</f>
        <v>6389280</v>
      </c>
      <c r="Y1074" s="52">
        <f>IF(NOTA[[#This Row],[JUMLAH]]="","",(NOTA[[#This Row],[JUMLAH]]-NOTA[[#This Row],[DISC 1-]])*NOTA[[#This Row],[DISC 2]])</f>
        <v>1559736</v>
      </c>
      <c r="Z1074" s="52">
        <f>IF(NOTA[[#This Row],[JUMLAH]]="","",NOTA[[#This Row],[DISC 1-]]+NOTA[[#This Row],[DISC 2-]])</f>
        <v>7949016</v>
      </c>
      <c r="AA1074" s="52">
        <f>IF(NOTA[[#This Row],[JUMLAH]]="","",NOTA[[#This Row],[JUMLAH]]-NOTA[[#This Row],[DISC]])</f>
        <v>29634984</v>
      </c>
      <c r="AB1074" s="52"/>
      <c r="AC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4" s="64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074" s="203" t="str">
        <f>IF(OR(NOTA[[#This Row],[QTY]]="",NOTA[[#This Row],[HARGA SATUAN]]="",),"",NOTA[[#This Row],[QTY]]*NOTA[[#This Row],[HARGA SATUAN]])</f>
        <v/>
      </c>
      <c r="AG1074" s="53">
        <f ca="1">IF(NOTA[ID_H]="","",INDEX(NOTA[TANGGAL],MATCH(,INDIRECT(ADDRESS(ROW(NOTA[TANGGAL]),COLUMN(NOTA[TANGGAL]))&amp;":"&amp;ADDRESS(ROW(),COLUMN(NOTA[TANGGAL]))),-1)))</f>
        <v>45059</v>
      </c>
      <c r="AH1074" s="64" t="str">
        <f ca="1">IF(NOTA[[#This Row],[NAMA BARANG]]="","",INDEX(NOTA[SUPPLIER],MATCH(,INDIRECT(ADDRESS(ROW(NOTA[ID]),COLUMN(NOTA[ID]))&amp;":"&amp;ADDRESS(ROW(),COLUMN(NOTA[ID]))),-1)))</f>
        <v>KENKO SINAR INDONESIA</v>
      </c>
      <c r="AI1074" s="64" t="str">
        <f ca="1">IF(NOTA[[#This Row],[ID_H]]="","",IF(NOTA[[#This Row],[FAKTUR]]="",INDIRECT(ADDRESS(ROW()-1,COLUMN())),NOTA[[#This Row],[FAKTUR]]))</f>
        <v>ARTO MORO</v>
      </c>
      <c r="AJ1074" s="66">
        <f ca="1">IF(NOTA[[#This Row],[ID]]="","",COUNTIF(NOTA[ID_H],NOTA[[#This Row],[ID_H]]))</f>
        <v>2</v>
      </c>
      <c r="AK1074" s="66">
        <f>IF(NOTA[[#This Row],[TGL.NOTA]]="",IF(NOTA[[#This Row],[SUPPLIER_H]]="","",AK1073),MONTH(NOTA[[#This Row],[TGL.NOTA]]))</f>
        <v>5</v>
      </c>
      <c r="AL1074" s="6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10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kenkogelpeneasygelblack37584000.170.05</v>
      </c>
      <c r="AN10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kenkogelpeneasygelblack37584000.170.05</v>
      </c>
      <c r="AO10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MORO2305079345055kenkogelpeneasygelblack</v>
      </c>
      <c r="AP1074" s="66" t="e">
        <f>IF(NOTA[[#This Row],[CONCAT4]]="","",_xlfn.IFNA(MATCH(NOTA[[#This Row],[CONCAT4]],[2]!RAW[CONCAT_H],0),FALSE))</f>
        <v>#REF!</v>
      </c>
      <c r="AQ1074" s="66">
        <f>IF(NOTA[[#This Row],[CONCAT1]]="","",MATCH(NOTA[[#This Row],[CONCAT1]],[3]!db[NB NOTA_C],0)+1)</f>
        <v>1253</v>
      </c>
    </row>
    <row r="1075" spans="1:43" ht="20.100000000000001" customHeight="1" x14ac:dyDescent="0.25">
      <c r="A10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5" s="66" t="str">
        <f>IF(NOTA[[#This Row],[ID_P]]="","",MATCH(NOTA[[#This Row],[ID_P]],[1]!B_MSK[N_ID],0))</f>
        <v/>
      </c>
      <c r="D1075" s="66">
        <f ca="1">IF(NOTA[[#This Row],[NAMA BARANG]]="","",INDEX(NOTA[ID],MATCH(,INDIRECT(ADDRESS(ROW(NOTA[ID]),COLUMN(NOTA[ID]))&amp;":"&amp;ADDRESS(ROW(),COLUMN(NOTA[ID]))),-1)))</f>
        <v>178</v>
      </c>
      <c r="E1075" s="113"/>
      <c r="H1075" s="54"/>
      <c r="L1075" s="27" t="s">
        <v>1205</v>
      </c>
      <c r="M1075" s="114">
        <f>1440/144</f>
        <v>10</v>
      </c>
      <c r="N1075" s="66"/>
      <c r="Q1075" s="79">
        <v>5702400</v>
      </c>
      <c r="R1075" s="42"/>
      <c r="S1075" s="80">
        <v>0.17</v>
      </c>
      <c r="T1075" s="115">
        <v>0.05</v>
      </c>
      <c r="U1075" s="52"/>
      <c r="V1075" s="77"/>
      <c r="W1075" s="52">
        <f>IF(NOTA[[#This Row],[HARGA/ CTN]]="",NOTA[[#This Row],[JUMLAH_H]],NOTA[[#This Row],[HARGA/ CTN]]*IF(NOTA[[#This Row],[C]]="",0,NOTA[[#This Row],[C]]))</f>
        <v>57024000</v>
      </c>
      <c r="X1075" s="52">
        <f>IF(NOTA[[#This Row],[JUMLAH]]="","",NOTA[[#This Row],[JUMLAH]]*NOTA[[#This Row],[DISC 1]])</f>
        <v>9694080</v>
      </c>
      <c r="Y1075" s="52">
        <f>IF(NOTA[[#This Row],[JUMLAH]]="","",(NOTA[[#This Row],[JUMLAH]]-NOTA[[#This Row],[DISC 1-]])*NOTA[[#This Row],[DISC 2]])</f>
        <v>2366496</v>
      </c>
      <c r="Z1075" s="52">
        <f>IF(NOTA[[#This Row],[JUMLAH]]="","",NOTA[[#This Row],[DISC 1-]]+NOTA[[#This Row],[DISC 2-]])</f>
        <v>12060576</v>
      </c>
      <c r="AA1075" s="52">
        <f>IF(NOTA[[#This Row],[JUMLAH]]="","",NOTA[[#This Row],[JUMLAH]]-NOTA[[#This Row],[DISC]])</f>
        <v>44963424</v>
      </c>
      <c r="AB1075" s="52"/>
      <c r="AC10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20009592</v>
      </c>
      <c r="AD107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74598408</v>
      </c>
      <c r="AE1075" s="64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075" s="203" t="str">
        <f>IF(OR(NOTA[[#This Row],[QTY]]="",NOTA[[#This Row],[HARGA SATUAN]]="",),"",NOTA[[#This Row],[QTY]]*NOTA[[#This Row],[HARGA SATUAN]])</f>
        <v/>
      </c>
      <c r="AG1075" s="53">
        <f ca="1">IF(NOTA[ID_H]="","",INDEX(NOTA[TANGGAL],MATCH(,INDIRECT(ADDRESS(ROW(NOTA[TANGGAL]),COLUMN(NOTA[TANGGAL]))&amp;":"&amp;ADDRESS(ROW(),COLUMN(NOTA[TANGGAL]))),-1)))</f>
        <v>45059</v>
      </c>
      <c r="AH1075" s="64" t="str">
        <f ca="1">IF(NOTA[[#This Row],[NAMA BARANG]]="","",INDEX(NOTA[SUPPLIER],MATCH(,INDIRECT(ADDRESS(ROW(NOTA[ID]),COLUMN(NOTA[ID]))&amp;":"&amp;ADDRESS(ROW(),COLUMN(NOTA[ID]))),-1)))</f>
        <v>KENKO SINAR INDONESIA</v>
      </c>
      <c r="AI1075" s="64" t="str">
        <f ca="1">IF(NOTA[[#This Row],[ID_H]]="","",IF(NOTA[[#This Row],[FAKTUR]]="",INDIRECT(ADDRESS(ROW()-1,COLUMN())),NOTA[[#This Row],[FAKTUR]]))</f>
        <v>ARTO MORO</v>
      </c>
      <c r="AJ1075" s="66" t="str">
        <f ca="1">IF(NOTA[[#This Row],[ID]]="","",COUNTIF(NOTA[ID_H],NOTA[[#This Row],[ID_H]]))</f>
        <v/>
      </c>
      <c r="AK1075" s="66">
        <f ca="1">IF(NOTA[[#This Row],[TGL.NOTA]]="",IF(NOTA[[#This Row],[SUPPLIER_H]]="","",AK1074),MONTH(NOTA[[#This Row],[TGL.NOTA]]))</f>
        <v>5</v>
      </c>
      <c r="AL1075" s="6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M10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N10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kenkogelpenmicrotec028mmblack57024000.170.05</v>
      </c>
      <c r="AO10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5" s="66" t="str">
        <f>IF(NOTA[[#This Row],[CONCAT4]]="","",_xlfn.IFNA(MATCH(NOTA[[#This Row],[CONCAT4]],[2]!RAW[CONCAT_H],0),FALSE))</f>
        <v/>
      </c>
      <c r="AQ1075" s="66">
        <f>IF(NOTA[[#This Row],[CONCAT1]]="","",MATCH(NOTA[[#This Row],[CONCAT1]],[3]!db[NB NOTA_C],0)+1)</f>
        <v>1283</v>
      </c>
    </row>
    <row r="1076" spans="1:43" ht="20.100000000000001" customHeight="1" x14ac:dyDescent="0.25">
      <c r="A10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6" s="66" t="str">
        <f>IF(NOTA[[#This Row],[ID_P]]="","",MATCH(NOTA[[#This Row],[ID_P]],[1]!B_MSK[N_ID],0))</f>
        <v/>
      </c>
      <c r="D1076" s="66" t="str">
        <f ca="1">IF(NOTA[[#This Row],[NAMA BARANG]]="","",INDEX(NOTA[ID],MATCH(,INDIRECT(ADDRESS(ROW(NOTA[ID]),COLUMN(NOTA[ID]))&amp;":"&amp;ADDRESS(ROW(),COLUMN(NOTA[ID]))),-1)))</f>
        <v/>
      </c>
      <c r="E1076" s="113"/>
      <c r="H1076" s="54"/>
      <c r="N1076" s="66"/>
      <c r="Q1076" s="79"/>
      <c r="R1076" s="42"/>
      <c r="S1076" s="80"/>
      <c r="U1076" s="52"/>
      <c r="V1076" s="77"/>
      <c r="W1076" s="52" t="str">
        <f>IF(NOTA[[#This Row],[HARGA/ CTN]]="",NOTA[[#This Row],[JUMLAH_H]],NOTA[[#This Row],[HARGA/ CTN]]*IF(NOTA[[#This Row],[C]]="",0,NOTA[[#This Row],[C]]))</f>
        <v/>
      </c>
      <c r="X1076" s="52" t="str">
        <f>IF(NOTA[[#This Row],[JUMLAH]]="","",NOTA[[#This Row],[JUMLAH]]*NOTA[[#This Row],[DISC 1]])</f>
        <v/>
      </c>
      <c r="Y1076" s="52" t="str">
        <f>IF(NOTA[[#This Row],[JUMLAH]]="","",(NOTA[[#This Row],[JUMLAH]]-NOTA[[#This Row],[DISC 1-]])*NOTA[[#This Row],[DISC 2]])</f>
        <v/>
      </c>
      <c r="Z1076" s="52" t="str">
        <f>IF(NOTA[[#This Row],[JUMLAH]]="","",NOTA[[#This Row],[DISC 1-]]+NOTA[[#This Row],[DISC 2-]])</f>
        <v/>
      </c>
      <c r="AA1076" s="52" t="str">
        <f>IF(NOTA[[#This Row],[JUMLAH]]="","",NOTA[[#This Row],[JUMLAH]]-NOTA[[#This Row],[DISC]])</f>
        <v/>
      </c>
      <c r="AB1076" s="52"/>
      <c r="AC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6" s="203" t="str">
        <f>IF(OR(NOTA[[#This Row],[QTY]]="",NOTA[[#This Row],[HARGA SATUAN]]="",),"",NOTA[[#This Row],[QTY]]*NOTA[[#This Row],[HARGA SATUAN]])</f>
        <v/>
      </c>
      <c r="AG1076" s="53" t="str">
        <f ca="1">IF(NOTA[ID_H]="","",INDEX(NOTA[TANGGAL],MATCH(,INDIRECT(ADDRESS(ROW(NOTA[TANGGAL]),COLUMN(NOTA[TANGGAL]))&amp;":"&amp;ADDRESS(ROW(),COLUMN(NOTA[TANGGAL]))),-1)))</f>
        <v/>
      </c>
      <c r="AH1076" s="64" t="str">
        <f ca="1">IF(NOTA[[#This Row],[NAMA BARANG]]="","",INDEX(NOTA[SUPPLIER],MATCH(,INDIRECT(ADDRESS(ROW(NOTA[ID]),COLUMN(NOTA[ID]))&amp;":"&amp;ADDRESS(ROW(),COLUMN(NOTA[ID]))),-1)))</f>
        <v/>
      </c>
      <c r="AI1076" s="64" t="str">
        <f ca="1">IF(NOTA[[#This Row],[ID_H]]="","",IF(NOTA[[#This Row],[FAKTUR]]="",INDIRECT(ADDRESS(ROW()-1,COLUMN())),NOTA[[#This Row],[FAKTUR]]))</f>
        <v/>
      </c>
      <c r="AJ1076" s="66" t="str">
        <f ca="1">IF(NOTA[[#This Row],[ID]]="","",COUNTIF(NOTA[ID_H],NOTA[[#This Row],[ID_H]]))</f>
        <v/>
      </c>
      <c r="AK1076" s="66" t="str">
        <f ca="1">IF(NOTA[[#This Row],[TGL.NOTA]]="",IF(NOTA[[#This Row],[SUPPLIER_H]]="","",AK1075),MONTH(NOTA[[#This Row],[TGL.NOTA]]))</f>
        <v/>
      </c>
      <c r="AL1076" s="66" t="str">
        <f>LOWER(SUBSTITUTE(SUBSTITUTE(SUBSTITUTE(SUBSTITUTE(SUBSTITUTE(SUBSTITUTE(SUBSTITUTE(SUBSTITUTE(SUBSTITUTE(NOTA[NAMA BARANG]," ",),".",""),"-",""),"(",""),")",""),",",""),"/",""),"""",""),"+",""))</f>
        <v/>
      </c>
      <c r="AM10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6" s="66" t="str">
        <f>IF(NOTA[[#This Row],[CONCAT4]]="","",_xlfn.IFNA(MATCH(NOTA[[#This Row],[CONCAT4]],[2]!RAW[CONCAT_H],0),FALSE))</f>
        <v/>
      </c>
      <c r="AQ1076" s="66" t="str">
        <f>IF(NOTA[[#This Row],[CONCAT1]]="","",MATCH(NOTA[[#This Row],[CONCAT1]],[3]!db[NB NOTA_C],0)+1)</f>
        <v/>
      </c>
    </row>
    <row r="1077" spans="1:43" ht="20.100000000000001" customHeight="1" x14ac:dyDescent="0.25">
      <c r="A1077" s="64">
        <f ca="1">IF(INDIRECT(ADDRESS(ROW()-1,COLUMN(NOTA[[#Headers],[ID]])))="ID",1,IF(NOTA[[#This Row],[FAKTUR]]="","",COUNT(INDIRECT(ADDRESS(ROW(NOTA[ID]),COLUMN(NOTA[ID]))&amp;":"&amp;ADDRESS(ROW()-1,COLUMN(NOTA[ID]))))+1))</f>
        <v>179</v>
      </c>
      <c r="B10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KEN_1305_811-1</v>
      </c>
      <c r="C1077" s="66" t="e">
        <f ca="1">IF(NOTA[[#This Row],[ID_P]]="","",MATCH(NOTA[[#This Row],[ID_P]],[1]!B_MSK[N_ID],0))</f>
        <v>#REF!</v>
      </c>
      <c r="D1077" s="66">
        <f ca="1">IF(NOTA[[#This Row],[NAMA BARANG]]="","",INDEX(NOTA[ID],MATCH(,INDIRECT(ADDRESS(ROW(NOTA[ID]),COLUMN(NOTA[ID]))&amp;":"&amp;ADDRESS(ROW(),COLUMN(NOTA[ID]))),-1)))</f>
        <v>179</v>
      </c>
      <c r="E1077" s="113"/>
      <c r="F1077" s="27" t="s">
        <v>23</v>
      </c>
      <c r="G1077" s="27" t="s">
        <v>24</v>
      </c>
      <c r="H1077" s="54">
        <v>23050811</v>
      </c>
      <c r="J1077" s="53">
        <v>45055</v>
      </c>
      <c r="L1077" s="27" t="s">
        <v>673</v>
      </c>
      <c r="M1077" s="114">
        <v>5</v>
      </c>
      <c r="N1077" s="66"/>
      <c r="Q1077" s="79">
        <v>900000</v>
      </c>
      <c r="R1077" s="42"/>
      <c r="S1077" s="80">
        <v>0.17</v>
      </c>
      <c r="U1077" s="52"/>
      <c r="V1077" s="77"/>
      <c r="W1077" s="52">
        <f>IF(NOTA[[#This Row],[HARGA/ CTN]]="",NOTA[[#This Row],[JUMLAH_H]],NOTA[[#This Row],[HARGA/ CTN]]*IF(NOTA[[#This Row],[C]]="",0,NOTA[[#This Row],[C]]))</f>
        <v>4500000</v>
      </c>
      <c r="X1077" s="52">
        <f>IF(NOTA[[#This Row],[JUMLAH]]="","",NOTA[[#This Row],[JUMLAH]]*NOTA[[#This Row],[DISC 1]])</f>
        <v>765000</v>
      </c>
      <c r="Y1077" s="52">
        <f>IF(NOTA[[#This Row],[JUMLAH]]="","",(NOTA[[#This Row],[JUMLAH]]-NOTA[[#This Row],[DISC 1-]])*NOTA[[#This Row],[DISC 2]])</f>
        <v>0</v>
      </c>
      <c r="Z1077" s="52">
        <f>IF(NOTA[[#This Row],[JUMLAH]]="","",NOTA[[#This Row],[DISC 1-]]+NOTA[[#This Row],[DISC 2-]])</f>
        <v>765000</v>
      </c>
      <c r="AA1077" s="52">
        <f>IF(NOTA[[#This Row],[JUMLAH]]="","",NOTA[[#This Row],[JUMLAH]]-NOTA[[#This Row],[DISC]])</f>
        <v>3735000</v>
      </c>
      <c r="AB1077" s="52"/>
      <c r="AC10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D107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E1077" s="64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077" s="203" t="str">
        <f>IF(OR(NOTA[[#This Row],[QTY]]="",NOTA[[#This Row],[HARGA SATUAN]]="",),"",NOTA[[#This Row],[QTY]]*NOTA[[#This Row],[HARGA SATUAN]])</f>
        <v/>
      </c>
      <c r="AG1077" s="53">
        <f ca="1">IF(NOTA[ID_H]="","",INDEX(NOTA[TANGGAL],MATCH(,INDIRECT(ADDRESS(ROW(NOTA[TANGGAL]),COLUMN(NOTA[TANGGAL]))&amp;":"&amp;ADDRESS(ROW(),COLUMN(NOTA[TANGGAL]))),-1)))</f>
        <v>45059</v>
      </c>
      <c r="AH1077" s="64" t="str">
        <f ca="1">IF(NOTA[[#This Row],[NAMA BARANG]]="","",INDEX(NOTA[SUPPLIER],MATCH(,INDIRECT(ADDRESS(ROW(NOTA[ID]),COLUMN(NOTA[ID]))&amp;":"&amp;ADDRESS(ROW(),COLUMN(NOTA[ID]))),-1)))</f>
        <v>KENKO SINAR INDONESIA</v>
      </c>
      <c r="AI1077" s="64" t="str">
        <f ca="1">IF(NOTA[[#This Row],[ID_H]]="","",IF(NOTA[[#This Row],[FAKTUR]]="",INDIRECT(ADDRESS(ROW()-1,COLUMN())),NOTA[[#This Row],[FAKTUR]]))</f>
        <v>ARTO MORO</v>
      </c>
      <c r="AJ1077" s="66">
        <f ca="1">IF(NOTA[[#This Row],[ID]]="","",COUNTIF(NOTA[ID_H],NOTA[[#This Row],[ID_H]]))</f>
        <v>1</v>
      </c>
      <c r="AK1077" s="66">
        <f>IF(NOTA[[#This Row],[TGL.NOTA]]="",IF(NOTA[[#This Row],[SUPPLIER_H]]="","",AK1076),MONTH(NOTA[[#This Row],[TGL.NOTA]]))</f>
        <v>5</v>
      </c>
      <c r="AL1077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10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10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107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MORO2305081145055kenkobinderclipno260</v>
      </c>
      <c r="AP1077" s="66" t="e">
        <f>IF(NOTA[[#This Row],[CONCAT4]]="","",_xlfn.IFNA(MATCH(NOTA[[#This Row],[CONCAT4]],[2]!RAW[CONCAT_H],0),FALSE))</f>
        <v>#REF!</v>
      </c>
      <c r="AQ1077" s="66">
        <f>IF(NOTA[[#This Row],[CONCAT1]]="","",MATCH(NOTA[[#This Row],[CONCAT1]],[3]!db[NB NOTA_C],0)+1)</f>
        <v>1147</v>
      </c>
    </row>
    <row r="1078" spans="1:43" ht="20.100000000000001" customHeight="1" x14ac:dyDescent="0.25">
      <c r="A10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8" s="66" t="str">
        <f>IF(NOTA[[#This Row],[ID_P]]="","",MATCH(NOTA[[#This Row],[ID_P]],[1]!B_MSK[N_ID],0))</f>
        <v/>
      </c>
      <c r="D1078" s="66" t="str">
        <f ca="1">IF(NOTA[[#This Row],[NAMA BARANG]]="","",INDEX(NOTA[ID],MATCH(,INDIRECT(ADDRESS(ROW(NOTA[ID]),COLUMN(NOTA[ID]))&amp;":"&amp;ADDRESS(ROW(),COLUMN(NOTA[ID]))),-1)))</f>
        <v/>
      </c>
      <c r="E1078" s="113"/>
      <c r="H1078" s="54"/>
      <c r="N1078" s="66"/>
      <c r="Q1078" s="79"/>
      <c r="R1078" s="42"/>
      <c r="S1078" s="80"/>
      <c r="U1078" s="52"/>
      <c r="V1078" s="77"/>
      <c r="W1078" s="52" t="str">
        <f>IF(NOTA[[#This Row],[HARGA/ CTN]]="",NOTA[[#This Row],[JUMLAH_H]],NOTA[[#This Row],[HARGA/ CTN]]*IF(NOTA[[#This Row],[C]]="",0,NOTA[[#This Row],[C]]))</f>
        <v/>
      </c>
      <c r="X1078" s="52" t="str">
        <f>IF(NOTA[[#This Row],[JUMLAH]]="","",NOTA[[#This Row],[JUMLAH]]*NOTA[[#This Row],[DISC 1]])</f>
        <v/>
      </c>
      <c r="Y1078" s="52" t="str">
        <f>IF(NOTA[[#This Row],[JUMLAH]]="","",(NOTA[[#This Row],[JUMLAH]]-NOTA[[#This Row],[DISC 1-]])*NOTA[[#This Row],[DISC 2]])</f>
        <v/>
      </c>
      <c r="Z1078" s="52" t="str">
        <f>IF(NOTA[[#This Row],[JUMLAH]]="","",NOTA[[#This Row],[DISC 1-]]+NOTA[[#This Row],[DISC 2-]])</f>
        <v/>
      </c>
      <c r="AA1078" s="52" t="str">
        <f>IF(NOTA[[#This Row],[JUMLAH]]="","",NOTA[[#This Row],[JUMLAH]]-NOTA[[#This Row],[DISC]])</f>
        <v/>
      </c>
      <c r="AB1078" s="52"/>
      <c r="AC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78" s="203" t="str">
        <f>IF(OR(NOTA[[#This Row],[QTY]]="",NOTA[[#This Row],[HARGA SATUAN]]="",),"",NOTA[[#This Row],[QTY]]*NOTA[[#This Row],[HARGA SATUAN]])</f>
        <v/>
      </c>
      <c r="AG1078" s="53" t="str">
        <f ca="1">IF(NOTA[ID_H]="","",INDEX(NOTA[TANGGAL],MATCH(,INDIRECT(ADDRESS(ROW(NOTA[TANGGAL]),COLUMN(NOTA[TANGGAL]))&amp;":"&amp;ADDRESS(ROW(),COLUMN(NOTA[TANGGAL]))),-1)))</f>
        <v/>
      </c>
      <c r="AH1078" s="64" t="str">
        <f ca="1">IF(NOTA[[#This Row],[NAMA BARANG]]="","",INDEX(NOTA[SUPPLIER],MATCH(,INDIRECT(ADDRESS(ROW(NOTA[ID]),COLUMN(NOTA[ID]))&amp;":"&amp;ADDRESS(ROW(),COLUMN(NOTA[ID]))),-1)))</f>
        <v/>
      </c>
      <c r="AI1078" s="64" t="str">
        <f ca="1">IF(NOTA[[#This Row],[ID_H]]="","",IF(NOTA[[#This Row],[FAKTUR]]="",INDIRECT(ADDRESS(ROW()-1,COLUMN())),NOTA[[#This Row],[FAKTUR]]))</f>
        <v/>
      </c>
      <c r="AJ1078" s="66" t="str">
        <f ca="1">IF(NOTA[[#This Row],[ID]]="","",COUNTIF(NOTA[ID_H],NOTA[[#This Row],[ID_H]]))</f>
        <v/>
      </c>
      <c r="AK1078" s="66" t="str">
        <f ca="1">IF(NOTA[[#This Row],[TGL.NOTA]]="",IF(NOTA[[#This Row],[SUPPLIER_H]]="","",AK1077),MONTH(NOTA[[#This Row],[TGL.NOTA]]))</f>
        <v/>
      </c>
      <c r="AL1078" s="66" t="str">
        <f>LOWER(SUBSTITUTE(SUBSTITUTE(SUBSTITUTE(SUBSTITUTE(SUBSTITUTE(SUBSTITUTE(SUBSTITUTE(SUBSTITUTE(SUBSTITUTE(NOTA[NAMA BARANG]," ",),".",""),"-",""),"(",""),")",""),",",""),"/",""),"""",""),"+",""))</f>
        <v/>
      </c>
      <c r="AM10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8" s="66" t="str">
        <f>IF(NOTA[[#This Row],[CONCAT4]]="","",_xlfn.IFNA(MATCH(NOTA[[#This Row],[CONCAT4]],[2]!RAW[CONCAT_H],0),FALSE))</f>
        <v/>
      </c>
      <c r="AQ1078" s="66" t="str">
        <f>IF(NOTA[[#This Row],[CONCAT1]]="","",MATCH(NOTA[[#This Row],[CONCAT1]],[3]!db[NB NOTA_C],0)+1)</f>
        <v/>
      </c>
    </row>
    <row r="1079" spans="1:43" ht="20.100000000000001" customHeight="1" x14ac:dyDescent="0.25">
      <c r="A1079" s="64">
        <f ca="1">IF(INDIRECT(ADDRESS(ROW()-1,COLUMN(NOTA[[#Headers],[ID]])))="ID",1,IF(NOTA[[#This Row],[FAKTUR]]="","",COUNT(INDIRECT(ADDRESS(ROW(NOTA[ID]),COLUMN(NOTA[ID]))&amp;":"&amp;ADDRESS(ROW()-1,COLUMN(NOTA[ID]))))+1))</f>
        <v>180</v>
      </c>
      <c r="B107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KEN_1305_951-4</v>
      </c>
      <c r="C1079" s="66" t="e">
        <f ca="1">IF(NOTA[[#This Row],[ID_P]]="","",MATCH(NOTA[[#This Row],[ID_P]],[1]!B_MSK[N_ID],0))</f>
        <v>#REF!</v>
      </c>
      <c r="D1079" s="66">
        <f ca="1">IF(NOTA[[#This Row],[NAMA BARANG]]="","",INDEX(NOTA[ID],MATCH(,INDIRECT(ADDRESS(ROW(NOTA[ID]),COLUMN(NOTA[ID]))&amp;":"&amp;ADDRESS(ROW(),COLUMN(NOTA[ID]))),-1)))</f>
        <v>180</v>
      </c>
      <c r="E1079" s="113"/>
      <c r="F1079" s="27" t="s">
        <v>23</v>
      </c>
      <c r="G1079" s="27" t="s">
        <v>24</v>
      </c>
      <c r="H1079" s="54" t="s">
        <v>1206</v>
      </c>
      <c r="J1079" s="53">
        <v>45056</v>
      </c>
      <c r="L1079" s="27" t="s">
        <v>1207</v>
      </c>
      <c r="M1079" s="114">
        <f>3600/(60*12)</f>
        <v>5</v>
      </c>
      <c r="N1079" s="66"/>
      <c r="Q1079" s="79">
        <v>2160000</v>
      </c>
      <c r="R1079" s="42"/>
      <c r="S1079" s="80">
        <v>0.17</v>
      </c>
      <c r="U1079" s="52"/>
      <c r="V1079" s="77"/>
      <c r="W1079" s="52">
        <f>IF(NOTA[[#This Row],[HARGA/ CTN]]="",NOTA[[#This Row],[JUMLAH_H]],NOTA[[#This Row],[HARGA/ CTN]]*IF(NOTA[[#This Row],[C]]="",0,NOTA[[#This Row],[C]]))</f>
        <v>10800000</v>
      </c>
      <c r="X1079" s="52">
        <f>IF(NOTA[[#This Row],[JUMLAH]]="","",NOTA[[#This Row],[JUMLAH]]*NOTA[[#This Row],[DISC 1]])</f>
        <v>1836000.0000000002</v>
      </c>
      <c r="Y1079" s="52">
        <f>IF(NOTA[[#This Row],[JUMLAH]]="","",(NOTA[[#This Row],[JUMLAH]]-NOTA[[#This Row],[DISC 1-]])*NOTA[[#This Row],[DISC 2]])</f>
        <v>0</v>
      </c>
      <c r="Z1079" s="52">
        <f>IF(NOTA[[#This Row],[JUMLAH]]="","",NOTA[[#This Row],[DISC 1-]]+NOTA[[#This Row],[DISC 2-]])</f>
        <v>1836000.0000000002</v>
      </c>
      <c r="AA1079" s="52">
        <f>IF(NOTA[[#This Row],[JUMLAH]]="","",NOTA[[#This Row],[JUMLAH]]-NOTA[[#This Row],[DISC]])</f>
        <v>8964000</v>
      </c>
      <c r="AB1079" s="52"/>
      <c r="AC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9" s="64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079" s="203" t="str">
        <f>IF(OR(NOTA[[#This Row],[QTY]]="",NOTA[[#This Row],[HARGA SATUAN]]="",),"",NOTA[[#This Row],[QTY]]*NOTA[[#This Row],[HARGA SATUAN]])</f>
        <v/>
      </c>
      <c r="AG1079" s="53">
        <f ca="1">IF(NOTA[ID_H]="","",INDEX(NOTA[TANGGAL],MATCH(,INDIRECT(ADDRESS(ROW(NOTA[TANGGAL]),COLUMN(NOTA[TANGGAL]))&amp;":"&amp;ADDRESS(ROW(),COLUMN(NOTA[TANGGAL]))),-1)))</f>
        <v>45059</v>
      </c>
      <c r="AH1079" s="64" t="str">
        <f ca="1">IF(NOTA[[#This Row],[NAMA BARANG]]="","",INDEX(NOTA[SUPPLIER],MATCH(,INDIRECT(ADDRESS(ROW(NOTA[ID]),COLUMN(NOTA[ID]))&amp;":"&amp;ADDRESS(ROW(),COLUMN(NOTA[ID]))),-1)))</f>
        <v>KENKO SINAR INDONESIA</v>
      </c>
      <c r="AI1079" s="64" t="str">
        <f ca="1">IF(NOTA[[#This Row],[ID_H]]="","",IF(NOTA[[#This Row],[FAKTUR]]="",INDIRECT(ADDRESS(ROW()-1,COLUMN())),NOTA[[#This Row],[FAKTUR]]))</f>
        <v>ARTO MORO</v>
      </c>
      <c r="AJ1079" s="66">
        <f ca="1">IF(NOTA[[#This Row],[ID]]="","",COUNTIF(NOTA[ID_H],NOTA[[#This Row],[ID_H]]))</f>
        <v>4</v>
      </c>
      <c r="AK1079" s="66">
        <f>IF(NOTA[[#This Row],[TGL.NOTA]]="",IF(NOTA[[#This Row],[SUPPLIER_H]]="","",AK1078),MONTH(NOTA[[#This Row],[TGL.NOTA]]))</f>
        <v>5</v>
      </c>
      <c r="AL1079" s="66" t="str">
        <f>LOWER(SUBSTITUTE(SUBSTITUTE(SUBSTITUTE(SUBSTITUTE(SUBSTITUTE(SUBSTITUTE(SUBSTITUTE(SUBSTITUTE(SUBSTITUTE(NOTA[NAMA BARANG]," ",),".",""),"-",""),"(",""),")",""),",",""),"/",""),"""",""),"+",""))</f>
        <v>kenkopermanentmarkerpm100black</v>
      </c>
      <c r="AM10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kenkopermanentmarkerpm100black21600000.17</v>
      </c>
      <c r="AN10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kenkopermanentmarkerpm100black21600000.17</v>
      </c>
      <c r="AO107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MORO2305095145056kenkopermanentmarkerpm100black</v>
      </c>
      <c r="AP1079" s="66" t="e">
        <f>IF(NOTA[[#This Row],[CONCAT4]]="","",_xlfn.IFNA(MATCH(NOTA[[#This Row],[CONCAT4]],[2]!RAW[CONCAT_H],0),FALSE))</f>
        <v>#REF!</v>
      </c>
      <c r="AQ1079" s="66">
        <f>IF(NOTA[[#This Row],[CONCAT1]]="","",MATCH(NOTA[[#This Row],[CONCAT1]],[3]!db[NB NOTA_C],0)+1)</f>
        <v>1362</v>
      </c>
    </row>
    <row r="1080" spans="1:43" ht="20.100000000000001" customHeight="1" x14ac:dyDescent="0.25">
      <c r="A10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0" s="66" t="str">
        <f>IF(NOTA[[#This Row],[ID_P]]="","",MATCH(NOTA[[#This Row],[ID_P]],[1]!B_MSK[N_ID],0))</f>
        <v/>
      </c>
      <c r="D1080" s="66">
        <f ca="1">IF(NOTA[[#This Row],[NAMA BARANG]]="","",INDEX(NOTA[ID],MATCH(,INDIRECT(ADDRESS(ROW(NOTA[ID]),COLUMN(NOTA[ID]))&amp;":"&amp;ADDRESS(ROW(),COLUMN(NOTA[ID]))),-1)))</f>
        <v>180</v>
      </c>
      <c r="E1080" s="113"/>
      <c r="H1080" s="54"/>
      <c r="L1080" s="27" t="s">
        <v>90</v>
      </c>
      <c r="M1080" s="114">
        <f>4320/(36*12)</f>
        <v>10</v>
      </c>
      <c r="N1080" s="66"/>
      <c r="Q1080" s="79">
        <v>1954800</v>
      </c>
      <c r="R1080" s="42"/>
      <c r="S1080" s="80">
        <v>0.17</v>
      </c>
      <c r="U1080" s="52"/>
      <c r="V1080" s="77"/>
      <c r="W1080" s="52">
        <f>IF(NOTA[[#This Row],[HARGA/ CTN]]="",NOTA[[#This Row],[JUMLAH_H]],NOTA[[#This Row],[HARGA/ CTN]]*IF(NOTA[[#This Row],[C]]="",0,NOTA[[#This Row],[C]]))</f>
        <v>19548000</v>
      </c>
      <c r="X1080" s="52">
        <f>IF(NOTA[[#This Row],[JUMLAH]]="","",NOTA[[#This Row],[JUMLAH]]*NOTA[[#This Row],[DISC 1]])</f>
        <v>3323160.0000000005</v>
      </c>
      <c r="Y1080" s="52">
        <f>IF(NOTA[[#This Row],[JUMLAH]]="","",(NOTA[[#This Row],[JUMLAH]]-NOTA[[#This Row],[DISC 1-]])*NOTA[[#This Row],[DISC 2]])</f>
        <v>0</v>
      </c>
      <c r="Z1080" s="52">
        <f>IF(NOTA[[#This Row],[JUMLAH]]="","",NOTA[[#This Row],[DISC 1-]]+NOTA[[#This Row],[DISC 2-]])</f>
        <v>3323160.0000000005</v>
      </c>
      <c r="AA1080" s="52">
        <f>IF(NOTA[[#This Row],[JUMLAH]]="","",NOTA[[#This Row],[JUMLAH]]-NOTA[[#This Row],[DISC]])</f>
        <v>16224840</v>
      </c>
      <c r="AB1080" s="52"/>
      <c r="AC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0" s="6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1080" s="203" t="str">
        <f>IF(OR(NOTA[[#This Row],[QTY]]="",NOTA[[#This Row],[HARGA SATUAN]]="",),"",NOTA[[#This Row],[QTY]]*NOTA[[#This Row],[HARGA SATUAN]])</f>
        <v/>
      </c>
      <c r="AG1080" s="53">
        <f ca="1">IF(NOTA[ID_H]="","",INDEX(NOTA[TANGGAL],MATCH(,INDIRECT(ADDRESS(ROW(NOTA[TANGGAL]),COLUMN(NOTA[TANGGAL]))&amp;":"&amp;ADDRESS(ROW(),COLUMN(NOTA[TANGGAL]))),-1)))</f>
        <v>45059</v>
      </c>
      <c r="AH1080" s="64" t="str">
        <f ca="1">IF(NOTA[[#This Row],[NAMA BARANG]]="","",INDEX(NOTA[SUPPLIER],MATCH(,INDIRECT(ADDRESS(ROW(NOTA[ID]),COLUMN(NOTA[ID]))&amp;":"&amp;ADDRESS(ROW(),COLUMN(NOTA[ID]))),-1)))</f>
        <v>KENKO SINAR INDONESIA</v>
      </c>
      <c r="AI1080" s="64" t="str">
        <f ca="1">IF(NOTA[[#This Row],[ID_H]]="","",IF(NOTA[[#This Row],[FAKTUR]]="",INDIRECT(ADDRESS(ROW()-1,COLUMN())),NOTA[[#This Row],[FAKTUR]]))</f>
        <v>ARTO MORO</v>
      </c>
      <c r="AJ1080" s="66" t="str">
        <f ca="1">IF(NOTA[[#This Row],[ID]]="","",COUNTIF(NOTA[ID_H],NOTA[[#This Row],[ID_H]]))</f>
        <v/>
      </c>
      <c r="AK1080" s="66">
        <f ca="1">IF(NOTA[[#This Row],[TGL.NOTA]]="",IF(NOTA[[#This Row],[SUPPLIER_H]]="","",AK1079),MONTH(NOTA[[#This Row],[TGL.NOTA]]))</f>
        <v>5</v>
      </c>
      <c r="AL1080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10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10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10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0" s="66" t="str">
        <f>IF(NOTA[[#This Row],[CONCAT4]]="","",_xlfn.IFNA(MATCH(NOTA[[#This Row],[CONCAT4]],[2]!RAW[CONCAT_H],0),FALSE))</f>
        <v/>
      </c>
      <c r="AQ1080" s="66">
        <f>IF(NOTA[[#This Row],[CONCAT1]]="","",MATCH(NOTA[[#This Row],[CONCAT1]],[3]!db[NB NOTA_C],0)+1)</f>
        <v>1198</v>
      </c>
    </row>
    <row r="1081" spans="1:43" ht="20.100000000000001" customHeight="1" x14ac:dyDescent="0.25">
      <c r="A10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1" s="66" t="str">
        <f>IF(NOTA[[#This Row],[ID_P]]="","",MATCH(NOTA[[#This Row],[ID_P]],[1]!B_MSK[N_ID],0))</f>
        <v/>
      </c>
      <c r="D1081" s="66">
        <f ca="1">IF(NOTA[[#This Row],[NAMA BARANG]]="","",INDEX(NOTA[ID],MATCH(,INDIRECT(ADDRESS(ROW(NOTA[ID]),COLUMN(NOTA[ID]))&amp;":"&amp;ADDRESS(ROW(),COLUMN(NOTA[ID]))),-1)))</f>
        <v>180</v>
      </c>
      <c r="E1081" s="113"/>
      <c r="H1081" s="54"/>
      <c r="L1081" s="27" t="s">
        <v>447</v>
      </c>
      <c r="M1081" s="114">
        <f>2160/(36*12)</f>
        <v>5</v>
      </c>
      <c r="N1081" s="66"/>
      <c r="Q1081" s="79">
        <v>1695600</v>
      </c>
      <c r="R1081" s="42"/>
      <c r="S1081" s="80">
        <v>0.17</v>
      </c>
      <c r="U1081" s="52"/>
      <c r="V1081" s="77"/>
      <c r="W1081" s="52">
        <f>IF(NOTA[[#This Row],[HARGA/ CTN]]="",NOTA[[#This Row],[JUMLAH_H]],NOTA[[#This Row],[HARGA/ CTN]]*IF(NOTA[[#This Row],[C]]="",0,NOTA[[#This Row],[C]]))</f>
        <v>8478000</v>
      </c>
      <c r="X1081" s="52">
        <f>IF(NOTA[[#This Row],[JUMLAH]]="","",NOTA[[#This Row],[JUMLAH]]*NOTA[[#This Row],[DISC 1]])</f>
        <v>1441260</v>
      </c>
      <c r="Y1081" s="52">
        <f>IF(NOTA[[#This Row],[JUMLAH]]="","",(NOTA[[#This Row],[JUMLAH]]-NOTA[[#This Row],[DISC 1-]])*NOTA[[#This Row],[DISC 2]])</f>
        <v>0</v>
      </c>
      <c r="Z1081" s="52">
        <f>IF(NOTA[[#This Row],[JUMLAH]]="","",NOTA[[#This Row],[DISC 1-]]+NOTA[[#This Row],[DISC 2-]])</f>
        <v>1441260</v>
      </c>
      <c r="AA1081" s="52">
        <f>IF(NOTA[[#This Row],[JUMLAH]]="","",NOTA[[#This Row],[JUMLAH]]-NOTA[[#This Row],[DISC]])</f>
        <v>7036740</v>
      </c>
      <c r="AB1081" s="52"/>
      <c r="AC10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1" s="64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81" s="203" t="str">
        <f>IF(OR(NOTA[[#This Row],[QTY]]="",NOTA[[#This Row],[HARGA SATUAN]]="",),"",NOTA[[#This Row],[QTY]]*NOTA[[#This Row],[HARGA SATUAN]])</f>
        <v/>
      </c>
      <c r="AG1081" s="53">
        <f ca="1">IF(NOTA[ID_H]="","",INDEX(NOTA[TANGGAL],MATCH(,INDIRECT(ADDRESS(ROW(NOTA[TANGGAL]),COLUMN(NOTA[TANGGAL]))&amp;":"&amp;ADDRESS(ROW(),COLUMN(NOTA[TANGGAL]))),-1)))</f>
        <v>45059</v>
      </c>
      <c r="AH1081" s="64" t="str">
        <f ca="1">IF(NOTA[[#This Row],[NAMA BARANG]]="","",INDEX(NOTA[SUPPLIER],MATCH(,INDIRECT(ADDRESS(ROW(NOTA[ID]),COLUMN(NOTA[ID]))&amp;":"&amp;ADDRESS(ROW(),COLUMN(NOTA[ID]))),-1)))</f>
        <v>KENKO SINAR INDONESIA</v>
      </c>
      <c r="AI1081" s="64" t="str">
        <f ca="1">IF(NOTA[[#This Row],[ID_H]]="","",IF(NOTA[[#This Row],[FAKTUR]]="",INDIRECT(ADDRESS(ROW()-1,COLUMN())),NOTA[[#This Row],[FAKTUR]]))</f>
        <v>ARTO MORO</v>
      </c>
      <c r="AJ1081" s="66" t="str">
        <f ca="1">IF(NOTA[[#This Row],[ID]]="","",COUNTIF(NOTA[ID_H],NOTA[[#This Row],[ID_H]]))</f>
        <v/>
      </c>
      <c r="AK1081" s="66">
        <f ca="1">IF(NOTA[[#This Row],[TGL.NOTA]]="",IF(NOTA[[#This Row],[SUPPLIER_H]]="","",AK1080),MONTH(NOTA[[#This Row],[TGL.NOTA]]))</f>
        <v>5</v>
      </c>
      <c r="AL1081" s="6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10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10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10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1" s="66" t="str">
        <f>IF(NOTA[[#This Row],[CONCAT4]]="","",_xlfn.IFNA(MATCH(NOTA[[#This Row],[CONCAT4]],[2]!RAW[CONCAT_H],0),FALSE))</f>
        <v/>
      </c>
      <c r="AQ1081" s="66">
        <f>IF(NOTA[[#This Row],[CONCAT1]]="","",MATCH(NOTA[[#This Row],[CONCAT1]],[3]!db[NB NOTA_C],0)+1)</f>
        <v>1200</v>
      </c>
    </row>
    <row r="1082" spans="1:43" ht="20.100000000000001" customHeight="1" x14ac:dyDescent="0.25">
      <c r="A10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2" s="66" t="str">
        <f>IF(NOTA[[#This Row],[ID_P]]="","",MATCH(NOTA[[#This Row],[ID_P]],[1]!B_MSK[N_ID],0))</f>
        <v/>
      </c>
      <c r="D1082" s="66">
        <f ca="1">IF(NOTA[[#This Row],[NAMA BARANG]]="","",INDEX(NOTA[ID],MATCH(,INDIRECT(ADDRESS(ROW(NOTA[ID]),COLUMN(NOTA[ID]))&amp;":"&amp;ADDRESS(ROW(),COLUMN(NOTA[ID]))),-1)))</f>
        <v>180</v>
      </c>
      <c r="E1082" s="113"/>
      <c r="H1082" s="54"/>
      <c r="L1082" s="27" t="s">
        <v>448</v>
      </c>
      <c r="M1082" s="114">
        <f>1440/(30*12)</f>
        <v>4</v>
      </c>
      <c r="N1082" s="66"/>
      <c r="Q1082" s="79">
        <v>1710000</v>
      </c>
      <c r="R1082" s="42"/>
      <c r="S1082" s="80">
        <v>0.17</v>
      </c>
      <c r="U1082" s="52"/>
      <c r="V1082" s="77"/>
      <c r="W1082" s="52">
        <f>IF(NOTA[[#This Row],[HARGA/ CTN]]="",NOTA[[#This Row],[JUMLAH_H]],NOTA[[#This Row],[HARGA/ CTN]]*IF(NOTA[[#This Row],[C]]="",0,NOTA[[#This Row],[C]]))</f>
        <v>6840000</v>
      </c>
      <c r="X1082" s="52">
        <f>IF(NOTA[[#This Row],[JUMLAH]]="","",NOTA[[#This Row],[JUMLAH]]*NOTA[[#This Row],[DISC 1]])</f>
        <v>1162800</v>
      </c>
      <c r="Y1082" s="52">
        <f>IF(NOTA[[#This Row],[JUMLAH]]="","",(NOTA[[#This Row],[JUMLAH]]-NOTA[[#This Row],[DISC 1-]])*NOTA[[#This Row],[DISC 2]])</f>
        <v>0</v>
      </c>
      <c r="Z1082" s="52">
        <f>IF(NOTA[[#This Row],[JUMLAH]]="","",NOTA[[#This Row],[DISC 1-]]+NOTA[[#This Row],[DISC 2-]])</f>
        <v>1162800</v>
      </c>
      <c r="AA1082" s="52">
        <f>IF(NOTA[[#This Row],[JUMLAH]]="","",NOTA[[#This Row],[JUMLAH]]-NOTA[[#This Row],[DISC]])</f>
        <v>5677200</v>
      </c>
      <c r="AB1082" s="52"/>
      <c r="AC10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7763220.0000000009</v>
      </c>
      <c r="AD108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37902780</v>
      </c>
      <c r="AE1082" s="6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082" s="203" t="str">
        <f>IF(OR(NOTA[[#This Row],[QTY]]="",NOTA[[#This Row],[HARGA SATUAN]]="",),"",NOTA[[#This Row],[QTY]]*NOTA[[#This Row],[HARGA SATUAN]])</f>
        <v/>
      </c>
      <c r="AG1082" s="53">
        <f ca="1">IF(NOTA[ID_H]="","",INDEX(NOTA[TANGGAL],MATCH(,INDIRECT(ADDRESS(ROW(NOTA[TANGGAL]),COLUMN(NOTA[TANGGAL]))&amp;":"&amp;ADDRESS(ROW(),COLUMN(NOTA[TANGGAL]))),-1)))</f>
        <v>45059</v>
      </c>
      <c r="AH1082" s="64" t="str">
        <f ca="1">IF(NOTA[[#This Row],[NAMA BARANG]]="","",INDEX(NOTA[SUPPLIER],MATCH(,INDIRECT(ADDRESS(ROW(NOTA[ID]),COLUMN(NOTA[ID]))&amp;":"&amp;ADDRESS(ROW(),COLUMN(NOTA[ID]))),-1)))</f>
        <v>KENKO SINAR INDONESIA</v>
      </c>
      <c r="AI1082" s="64" t="str">
        <f ca="1">IF(NOTA[[#This Row],[ID_H]]="","",IF(NOTA[[#This Row],[FAKTUR]]="",INDIRECT(ADDRESS(ROW()-1,COLUMN())),NOTA[[#This Row],[FAKTUR]]))</f>
        <v>ARTO MORO</v>
      </c>
      <c r="AJ1082" s="66" t="str">
        <f ca="1">IF(NOTA[[#This Row],[ID]]="","",COUNTIF(NOTA[ID_H],NOTA[[#This Row],[ID_H]]))</f>
        <v/>
      </c>
      <c r="AK1082" s="66">
        <f ca="1">IF(NOTA[[#This Row],[TGL.NOTA]]="",IF(NOTA[[#This Row],[SUPPLIER_H]]="","",AK1081),MONTH(NOTA[[#This Row],[TGL.NOTA]]))</f>
        <v>5</v>
      </c>
      <c r="AL1082" s="6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M10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N10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O10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2" s="66" t="str">
        <f>IF(NOTA[[#This Row],[CONCAT4]]="","",_xlfn.IFNA(MATCH(NOTA[[#This Row],[CONCAT4]],[2]!RAW[CONCAT_H],0),FALSE))</f>
        <v/>
      </c>
      <c r="AQ1082" s="66">
        <f>IF(NOTA[[#This Row],[CONCAT1]]="","",MATCH(NOTA[[#This Row],[CONCAT1]],[3]!db[NB NOTA_C],0)+1)</f>
        <v>1234</v>
      </c>
    </row>
    <row r="1083" spans="1:43" ht="20.100000000000001" customHeight="1" x14ac:dyDescent="0.25">
      <c r="A10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3" s="66" t="str">
        <f>IF(NOTA[[#This Row],[ID_P]]="","",MATCH(NOTA[[#This Row],[ID_P]],[1]!B_MSK[N_ID],0))</f>
        <v/>
      </c>
      <c r="D1083" s="66" t="str">
        <f ca="1">IF(NOTA[[#This Row],[NAMA BARANG]]="","",INDEX(NOTA[ID],MATCH(,INDIRECT(ADDRESS(ROW(NOTA[ID]),COLUMN(NOTA[ID]))&amp;":"&amp;ADDRESS(ROW(),COLUMN(NOTA[ID]))),-1)))</f>
        <v/>
      </c>
      <c r="E1083" s="113"/>
      <c r="H1083" s="54"/>
      <c r="N1083" s="66"/>
      <c r="Q1083" s="79"/>
      <c r="R1083" s="42"/>
      <c r="S1083" s="80"/>
      <c r="U1083" s="52"/>
      <c r="V1083" s="77"/>
      <c r="W1083" s="52" t="str">
        <f>IF(NOTA[[#This Row],[HARGA/ CTN]]="",NOTA[[#This Row],[JUMLAH_H]],NOTA[[#This Row],[HARGA/ CTN]]*IF(NOTA[[#This Row],[C]]="",0,NOTA[[#This Row],[C]]))</f>
        <v/>
      </c>
      <c r="X1083" s="52" t="str">
        <f>IF(NOTA[[#This Row],[JUMLAH]]="","",NOTA[[#This Row],[JUMLAH]]*NOTA[[#This Row],[DISC 1]])</f>
        <v/>
      </c>
      <c r="Y1083" s="52" t="str">
        <f>IF(NOTA[[#This Row],[JUMLAH]]="","",(NOTA[[#This Row],[JUMLAH]]-NOTA[[#This Row],[DISC 1-]])*NOTA[[#This Row],[DISC 2]])</f>
        <v/>
      </c>
      <c r="Z1083" s="52" t="str">
        <f>IF(NOTA[[#This Row],[JUMLAH]]="","",NOTA[[#This Row],[DISC 1-]]+NOTA[[#This Row],[DISC 2-]])</f>
        <v/>
      </c>
      <c r="AA1083" s="52" t="str">
        <f>IF(NOTA[[#This Row],[JUMLAH]]="","",NOTA[[#This Row],[JUMLAH]]-NOTA[[#This Row],[DISC]])</f>
        <v/>
      </c>
      <c r="AB1083" s="52"/>
      <c r="AC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3" s="203" t="str">
        <f>IF(OR(NOTA[[#This Row],[QTY]]="",NOTA[[#This Row],[HARGA SATUAN]]="",),"",NOTA[[#This Row],[QTY]]*NOTA[[#This Row],[HARGA SATUAN]])</f>
        <v/>
      </c>
      <c r="AG1083" s="53" t="str">
        <f ca="1">IF(NOTA[ID_H]="","",INDEX(NOTA[TANGGAL],MATCH(,INDIRECT(ADDRESS(ROW(NOTA[TANGGAL]),COLUMN(NOTA[TANGGAL]))&amp;":"&amp;ADDRESS(ROW(),COLUMN(NOTA[TANGGAL]))),-1)))</f>
        <v/>
      </c>
      <c r="AH1083" s="64" t="str">
        <f ca="1">IF(NOTA[[#This Row],[NAMA BARANG]]="","",INDEX(NOTA[SUPPLIER],MATCH(,INDIRECT(ADDRESS(ROW(NOTA[ID]),COLUMN(NOTA[ID]))&amp;":"&amp;ADDRESS(ROW(),COLUMN(NOTA[ID]))),-1)))</f>
        <v/>
      </c>
      <c r="AI1083" s="64" t="str">
        <f ca="1">IF(NOTA[[#This Row],[ID_H]]="","",IF(NOTA[[#This Row],[FAKTUR]]="",INDIRECT(ADDRESS(ROW()-1,COLUMN())),NOTA[[#This Row],[FAKTUR]]))</f>
        <v/>
      </c>
      <c r="AJ1083" s="66" t="str">
        <f ca="1">IF(NOTA[[#This Row],[ID]]="","",COUNTIF(NOTA[ID_H],NOTA[[#This Row],[ID_H]]))</f>
        <v/>
      </c>
      <c r="AK1083" s="66" t="str">
        <f ca="1">IF(NOTA[[#This Row],[TGL.NOTA]]="",IF(NOTA[[#This Row],[SUPPLIER_H]]="","",AK1082),MONTH(NOTA[[#This Row],[TGL.NOTA]]))</f>
        <v/>
      </c>
      <c r="AL1083" s="66" t="str">
        <f>LOWER(SUBSTITUTE(SUBSTITUTE(SUBSTITUTE(SUBSTITUTE(SUBSTITUTE(SUBSTITUTE(SUBSTITUTE(SUBSTITUTE(SUBSTITUTE(NOTA[NAMA BARANG]," ",),".",""),"-",""),"(",""),")",""),",",""),"/",""),"""",""),"+",""))</f>
        <v/>
      </c>
      <c r="AM10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3" s="66" t="str">
        <f>IF(NOTA[[#This Row],[CONCAT4]]="","",_xlfn.IFNA(MATCH(NOTA[[#This Row],[CONCAT4]],[2]!RAW[CONCAT_H],0),FALSE))</f>
        <v/>
      </c>
      <c r="AQ1083" s="66" t="str">
        <f>IF(NOTA[[#This Row],[CONCAT1]]="","",MATCH(NOTA[[#This Row],[CONCAT1]],[3]!db[NB NOTA_C],0)+1)</f>
        <v/>
      </c>
    </row>
    <row r="1084" spans="1:43" ht="20.100000000000001" customHeight="1" x14ac:dyDescent="0.25">
      <c r="A1084" s="64">
        <f ca="1">IF(INDIRECT(ADDRESS(ROW()-1,COLUMN(NOTA[[#Headers],[ID]])))="ID",1,IF(NOTA[[#This Row],[FAKTUR]]="","",COUNT(INDIRECT(ADDRESS(ROW(NOTA[ID]),COLUMN(NOTA[ID]))&amp;":"&amp;ADDRESS(ROW()-1,COLUMN(NOTA[ID]))))+1))</f>
        <v>181</v>
      </c>
      <c r="B10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SAM_0306_299-4</v>
      </c>
      <c r="C1084" s="66" t="e">
        <f ca="1">IF(NOTA[[#This Row],[ID_P]]="","",MATCH(NOTA[[#This Row],[ID_P]],[1]!B_MSK[N_ID],0))</f>
        <v>#REF!</v>
      </c>
      <c r="D1084" s="66">
        <f ca="1">IF(NOTA[[#This Row],[NAMA BARANG]]="","",INDEX(NOTA[ID],MATCH(,INDIRECT(ADDRESS(ROW(NOTA[ID]),COLUMN(NOTA[ID]))&amp;":"&amp;ADDRESS(ROW(),COLUMN(NOTA[ID]))),-1)))</f>
        <v>181</v>
      </c>
      <c r="E1084" s="113">
        <v>45080</v>
      </c>
      <c r="F1084" s="27" t="s">
        <v>57</v>
      </c>
      <c r="G1084" s="27" t="s">
        <v>24</v>
      </c>
      <c r="H1084" s="54" t="s">
        <v>1210</v>
      </c>
      <c r="J1084" s="53">
        <v>45072</v>
      </c>
      <c r="L1084" s="27" t="s">
        <v>1211</v>
      </c>
      <c r="M1084" s="114">
        <v>3</v>
      </c>
      <c r="N1084" s="66">
        <v>432</v>
      </c>
      <c r="O1084" s="27" t="s">
        <v>160</v>
      </c>
      <c r="P1084" s="64">
        <v>10000</v>
      </c>
      <c r="Q1084" s="79"/>
      <c r="R1084" s="42" t="s">
        <v>161</v>
      </c>
      <c r="S1084" s="80">
        <v>0.05</v>
      </c>
      <c r="U1084" s="52"/>
      <c r="V1084" s="77"/>
      <c r="W1084" s="52">
        <f>IF(NOTA[[#This Row],[HARGA/ CTN]]="",NOTA[[#This Row],[JUMLAH_H]],NOTA[[#This Row],[HARGA/ CTN]]*IF(NOTA[[#This Row],[C]]="",0,NOTA[[#This Row],[C]]))</f>
        <v>4320000</v>
      </c>
      <c r="X1084" s="52">
        <f>IF(NOTA[[#This Row],[JUMLAH]]="","",NOTA[[#This Row],[JUMLAH]]*NOTA[[#This Row],[DISC 1]])</f>
        <v>216000</v>
      </c>
      <c r="Y1084" s="52">
        <f>IF(NOTA[[#This Row],[JUMLAH]]="","",(NOTA[[#This Row],[JUMLAH]]-NOTA[[#This Row],[DISC 1-]])*NOTA[[#This Row],[DISC 2]])</f>
        <v>0</v>
      </c>
      <c r="Z1084" s="52">
        <f>IF(NOTA[[#This Row],[JUMLAH]]="","",NOTA[[#This Row],[DISC 1-]]+NOTA[[#This Row],[DISC 2-]])</f>
        <v>216000</v>
      </c>
      <c r="AA1084" s="52">
        <f>IF(NOTA[[#This Row],[JUMLAH]]="","",NOTA[[#This Row],[JUMLAH]]-NOTA[[#This Row],[DISC]])</f>
        <v>4104000</v>
      </c>
      <c r="AB1084" s="52"/>
      <c r="AC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4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84" s="203">
        <f>IF(OR(NOTA[[#This Row],[QTY]]="",NOTA[[#This Row],[HARGA SATUAN]]="",),"",NOTA[[#This Row],[QTY]]*NOTA[[#This Row],[HARGA SATUAN]])</f>
        <v>4320000</v>
      </c>
      <c r="AG1084" s="53">
        <f ca="1">IF(NOTA[ID_H]="","",INDEX(NOTA[TANGGAL],MATCH(,INDIRECT(ADDRESS(ROW(NOTA[TANGGAL]),COLUMN(NOTA[TANGGAL]))&amp;":"&amp;ADDRESS(ROW(),COLUMN(NOTA[TANGGAL]))),-1)))</f>
        <v>45080</v>
      </c>
      <c r="AH1084" s="64" t="str">
        <f ca="1">IF(NOTA[[#This Row],[NAMA BARANG]]="","",INDEX(NOTA[SUPPLIER],MATCH(,INDIRECT(ADDRESS(ROW(NOTA[ID]),COLUMN(NOTA[ID]))&amp;":"&amp;ADDRESS(ROW(),COLUMN(NOTA[ID]))),-1)))</f>
        <v>SAMUDERA ANGKASA JAYA</v>
      </c>
      <c r="AI1084" s="64" t="str">
        <f ca="1">IF(NOTA[[#This Row],[ID_H]]="","",IF(NOTA[[#This Row],[FAKTUR]]="",INDIRECT(ADDRESS(ROW()-1,COLUMN())),NOTA[[#This Row],[FAKTUR]]))</f>
        <v>ARTO MORO</v>
      </c>
      <c r="AJ1084" s="66">
        <f ca="1">IF(NOTA[[#This Row],[ID]]="","",COUNTIF(NOTA[ID_H],NOTA[[#This Row],[ID_H]]))</f>
        <v>4</v>
      </c>
      <c r="AK1084" s="66">
        <f>IF(NOTA[[#This Row],[TGL.NOTA]]="",IF(NOTA[[#This Row],[SUPPLIER_H]]="","",AK1083),MONTH(NOTA[[#This Row],[TGL.NOTA]]))</f>
        <v>5</v>
      </c>
      <c r="AL1084" s="66" t="str">
        <f>LOWER(SUBSTITUTE(SUBSTITUTE(SUBSTITUTE(SUBSTITUTE(SUBSTITUTE(SUBSTITUTE(SUBSTITUTE(SUBSTITUTE(SUBSTITUTE(NOTA[NAMA BARANG]," ",),".",""),"-",""),"(",""),")",""),",",""),"/",""),"""",""),"+",""))</f>
        <v>pcmagfc1760timbul22*75</v>
      </c>
      <c r="AM10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pcmagfc1760timbul22*7514400000.05</v>
      </c>
      <c r="AN10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pcmagfc1760timbul22*7514400000.05</v>
      </c>
      <c r="AO1084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MOROJL-5229945072pcmagfc1760timbul22*75</v>
      </c>
      <c r="AP1084" s="66" t="e">
        <f>IF(NOTA[[#This Row],[CONCAT4]]="","",_xlfn.IFNA(MATCH(NOTA[[#This Row],[CONCAT4]],[2]!RAW[CONCAT_H],0),FALSE))</f>
        <v>#REF!</v>
      </c>
      <c r="AQ1084" s="66">
        <f>IF(NOTA[[#This Row],[CONCAT1]]="","",MATCH(NOTA[[#This Row],[CONCAT1]],[3]!db[NB NOTA_C],0)+1)</f>
        <v>2436</v>
      </c>
    </row>
    <row r="1085" spans="1:43" ht="20.100000000000001" customHeight="1" x14ac:dyDescent="0.25">
      <c r="A10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5" s="66" t="str">
        <f>IF(NOTA[[#This Row],[ID_P]]="","",MATCH(NOTA[[#This Row],[ID_P]],[1]!B_MSK[N_ID],0))</f>
        <v/>
      </c>
      <c r="D1085" s="66">
        <f ca="1">IF(NOTA[[#This Row],[NAMA BARANG]]="","",INDEX(NOTA[ID],MATCH(,INDIRECT(ADDRESS(ROW(NOTA[ID]),COLUMN(NOTA[ID]))&amp;":"&amp;ADDRESS(ROW(),COLUMN(NOTA[ID]))),-1)))</f>
        <v>181</v>
      </c>
      <c r="E1085" s="113"/>
      <c r="H1085" s="54"/>
      <c r="L1085" s="27" t="s">
        <v>1212</v>
      </c>
      <c r="M1085" s="114">
        <v>1</v>
      </c>
      <c r="N1085" s="66">
        <v>144</v>
      </c>
      <c r="O1085" s="27" t="s">
        <v>160</v>
      </c>
      <c r="P1085" s="64">
        <v>10000</v>
      </c>
      <c r="Q1085" s="79"/>
      <c r="R1085" s="42" t="s">
        <v>161</v>
      </c>
      <c r="S1085" s="80">
        <v>0.05</v>
      </c>
      <c r="U1085" s="52"/>
      <c r="V1085" s="77"/>
      <c r="W1085" s="52">
        <f>IF(NOTA[[#This Row],[HARGA/ CTN]]="",NOTA[[#This Row],[JUMLAH_H]],NOTA[[#This Row],[HARGA/ CTN]]*IF(NOTA[[#This Row],[C]]="",0,NOTA[[#This Row],[C]]))</f>
        <v>1440000</v>
      </c>
      <c r="X1085" s="52">
        <f>IF(NOTA[[#This Row],[JUMLAH]]="","",NOTA[[#This Row],[JUMLAH]]*NOTA[[#This Row],[DISC 1]])</f>
        <v>72000</v>
      </c>
      <c r="Y1085" s="52">
        <f>IF(NOTA[[#This Row],[JUMLAH]]="","",(NOTA[[#This Row],[JUMLAH]]-NOTA[[#This Row],[DISC 1-]])*NOTA[[#This Row],[DISC 2]])</f>
        <v>0</v>
      </c>
      <c r="Z1085" s="52">
        <f>IF(NOTA[[#This Row],[JUMLAH]]="","",NOTA[[#This Row],[DISC 1-]]+NOTA[[#This Row],[DISC 2-]])</f>
        <v>72000</v>
      </c>
      <c r="AA1085" s="52">
        <f>IF(NOTA[[#This Row],[JUMLAH]]="","",NOTA[[#This Row],[JUMLAH]]-NOTA[[#This Row],[DISC]])</f>
        <v>1368000</v>
      </c>
      <c r="AB1085" s="52"/>
      <c r="AC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5" s="6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085" s="203">
        <f>IF(OR(NOTA[[#This Row],[QTY]]="",NOTA[[#This Row],[HARGA SATUAN]]="",),"",NOTA[[#This Row],[QTY]]*NOTA[[#This Row],[HARGA SATUAN]])</f>
        <v>1440000</v>
      </c>
      <c r="AG1085" s="53">
        <f ca="1">IF(NOTA[ID_H]="","",INDEX(NOTA[TANGGAL],MATCH(,INDIRECT(ADDRESS(ROW(NOTA[TANGGAL]),COLUMN(NOTA[TANGGAL]))&amp;":"&amp;ADDRESS(ROW(),COLUMN(NOTA[TANGGAL]))),-1)))</f>
        <v>45080</v>
      </c>
      <c r="AH1085" s="64" t="str">
        <f ca="1">IF(NOTA[[#This Row],[NAMA BARANG]]="","",INDEX(NOTA[SUPPLIER],MATCH(,INDIRECT(ADDRESS(ROW(NOTA[ID]),COLUMN(NOTA[ID]))&amp;":"&amp;ADDRESS(ROW(),COLUMN(NOTA[ID]))),-1)))</f>
        <v>SAMUDERA ANGKASA JAYA</v>
      </c>
      <c r="AI1085" s="64" t="str">
        <f ca="1">IF(NOTA[[#This Row],[ID_H]]="","",IF(NOTA[[#This Row],[FAKTUR]]="",INDIRECT(ADDRESS(ROW()-1,COLUMN())),NOTA[[#This Row],[FAKTUR]]))</f>
        <v>ARTO MORO</v>
      </c>
      <c r="AJ1085" s="66" t="str">
        <f ca="1">IF(NOTA[[#This Row],[ID]]="","",COUNTIF(NOTA[ID_H],NOTA[[#This Row],[ID_H]]))</f>
        <v/>
      </c>
      <c r="AK1085" s="66">
        <f ca="1">IF(NOTA[[#This Row],[TGL.NOTA]]="",IF(NOTA[[#This Row],[SUPPLIER_H]]="","",AK1084),MONTH(NOTA[[#This Row],[TGL.NOTA]]))</f>
        <v>5</v>
      </c>
      <c r="AL1085" s="66" t="str">
        <f>LOWER(SUBSTITUTE(SUBSTITUTE(SUBSTITUTE(SUBSTITUTE(SUBSTITUTE(SUBSTITUTE(SUBSTITUTE(SUBSTITUTE(SUBSTITUTE(NOTA[NAMA BARANG]," ",),".",""),"-",""),"(",""),")",""),",",""),"/",""),"""",""),"+",""))</f>
        <v>pcmagfc17613d22*75</v>
      </c>
      <c r="AM10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pcmagfc17613d22*7514400000.05</v>
      </c>
      <c r="AN10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pcmagfc17613d22*7514400000.05</v>
      </c>
      <c r="AO10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5" s="66" t="str">
        <f>IF(NOTA[[#This Row],[CONCAT4]]="","",_xlfn.IFNA(MATCH(NOTA[[#This Row],[CONCAT4]],[2]!RAW[CONCAT_H],0),FALSE))</f>
        <v/>
      </c>
      <c r="AQ1085" s="66">
        <f>IF(NOTA[[#This Row],[CONCAT1]]="","",MATCH(NOTA[[#This Row],[CONCAT1]],[3]!db[NB NOTA_C],0)+1)</f>
        <v>2437</v>
      </c>
    </row>
    <row r="1086" spans="1:43" ht="20.100000000000001" customHeight="1" x14ac:dyDescent="0.25">
      <c r="A10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6" s="66" t="str">
        <f>IF(NOTA[[#This Row],[ID_P]]="","",MATCH(NOTA[[#This Row],[ID_P]],[1]!B_MSK[N_ID],0))</f>
        <v/>
      </c>
      <c r="D1086" s="66">
        <f ca="1">IF(NOTA[[#This Row],[NAMA BARANG]]="","",INDEX(NOTA[ID],MATCH(,INDIRECT(ADDRESS(ROW(NOTA[ID]),COLUMN(NOTA[ID]))&amp;":"&amp;ADDRESS(ROW(),COLUMN(NOTA[ID]))),-1)))</f>
        <v>181</v>
      </c>
      <c r="E1086" s="113"/>
      <c r="H1086" s="54"/>
      <c r="L1086" s="27" t="s">
        <v>1213</v>
      </c>
      <c r="M1086" s="114">
        <v>4</v>
      </c>
      <c r="N1086" s="66">
        <v>576</v>
      </c>
      <c r="O1086" s="27" t="s">
        <v>160</v>
      </c>
      <c r="P1086" s="64">
        <v>10500</v>
      </c>
      <c r="Q1086" s="79"/>
      <c r="R1086" s="42" t="s">
        <v>161</v>
      </c>
      <c r="S1086" s="80">
        <v>0.05</v>
      </c>
      <c r="U1086" s="52"/>
      <c r="V1086" s="77"/>
      <c r="W1086" s="52">
        <f>IF(NOTA[[#This Row],[HARGA/ CTN]]="",NOTA[[#This Row],[JUMLAH_H]],NOTA[[#This Row],[HARGA/ CTN]]*IF(NOTA[[#This Row],[C]]="",0,NOTA[[#This Row],[C]]))</f>
        <v>6048000</v>
      </c>
      <c r="X1086" s="52">
        <f>IF(NOTA[[#This Row],[JUMLAH]]="","",NOTA[[#This Row],[JUMLAH]]*NOTA[[#This Row],[DISC 1]])</f>
        <v>302400</v>
      </c>
      <c r="Y1086" s="52">
        <f>IF(NOTA[[#This Row],[JUMLAH]]="","",(NOTA[[#This Row],[JUMLAH]]-NOTA[[#This Row],[DISC 1-]])*NOTA[[#This Row],[DISC 2]])</f>
        <v>0</v>
      </c>
      <c r="Z1086" s="52">
        <f>IF(NOTA[[#This Row],[JUMLAH]]="","",NOTA[[#This Row],[DISC 1-]]+NOTA[[#This Row],[DISC 2-]])</f>
        <v>302400</v>
      </c>
      <c r="AA1086" s="52">
        <f>IF(NOTA[[#This Row],[JUMLAH]]="","",NOTA[[#This Row],[JUMLAH]]-NOTA[[#This Row],[DISC]])</f>
        <v>5745600</v>
      </c>
      <c r="AB1086" s="52"/>
      <c r="AC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6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086" s="203">
        <f>IF(OR(NOTA[[#This Row],[QTY]]="",NOTA[[#This Row],[HARGA SATUAN]]="",),"",NOTA[[#This Row],[QTY]]*NOTA[[#This Row],[HARGA SATUAN]])</f>
        <v>6048000</v>
      </c>
      <c r="AG1086" s="53">
        <f ca="1">IF(NOTA[ID_H]="","",INDEX(NOTA[TANGGAL],MATCH(,INDIRECT(ADDRESS(ROW(NOTA[TANGGAL]),COLUMN(NOTA[TANGGAL]))&amp;":"&amp;ADDRESS(ROW(),COLUMN(NOTA[TANGGAL]))),-1)))</f>
        <v>45080</v>
      </c>
      <c r="AH1086" s="64" t="str">
        <f ca="1">IF(NOTA[[#This Row],[NAMA BARANG]]="","",INDEX(NOTA[SUPPLIER],MATCH(,INDIRECT(ADDRESS(ROW(NOTA[ID]),COLUMN(NOTA[ID]))&amp;":"&amp;ADDRESS(ROW(),COLUMN(NOTA[ID]))),-1)))</f>
        <v>SAMUDERA ANGKASA JAYA</v>
      </c>
      <c r="AI1086" s="64" t="str">
        <f ca="1">IF(NOTA[[#This Row],[ID_H]]="","",IF(NOTA[[#This Row],[FAKTUR]]="",INDIRECT(ADDRESS(ROW()-1,COLUMN())),NOTA[[#This Row],[FAKTUR]]))</f>
        <v>ARTO MORO</v>
      </c>
      <c r="AJ1086" s="66" t="str">
        <f ca="1">IF(NOTA[[#This Row],[ID]]="","",COUNTIF(NOTA[ID_H],NOTA[[#This Row],[ID_H]]))</f>
        <v/>
      </c>
      <c r="AK1086" s="66">
        <f ca="1">IF(NOTA[[#This Row],[TGL.NOTA]]="",IF(NOTA[[#This Row],[SUPPLIER_H]]="","",AK1085),MONTH(NOTA[[#This Row],[TGL.NOTA]]))</f>
        <v>5</v>
      </c>
      <c r="AL1086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M10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N10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O10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6" s="66" t="str">
        <f>IF(NOTA[[#This Row],[CONCAT4]]="","",_xlfn.IFNA(MATCH(NOTA[[#This Row],[CONCAT4]],[2]!RAW[CONCAT_H],0),FALSE))</f>
        <v/>
      </c>
      <c r="AQ1086" s="66">
        <f>IF(NOTA[[#This Row],[CONCAT1]]="","",MATCH(NOTA[[#This Row],[CONCAT1]],[3]!db[NB NOTA_C],0)+1)</f>
        <v>2438</v>
      </c>
    </row>
    <row r="1087" spans="1:43" ht="20.100000000000001" customHeight="1" x14ac:dyDescent="0.25">
      <c r="A10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7" s="66" t="str">
        <f>IF(NOTA[[#This Row],[ID_P]]="","",MATCH(NOTA[[#This Row],[ID_P]],[1]!B_MSK[N_ID],0))</f>
        <v/>
      </c>
      <c r="D1087" s="66">
        <f ca="1">IF(NOTA[[#This Row],[NAMA BARANG]]="","",INDEX(NOTA[ID],MATCH(,INDIRECT(ADDRESS(ROW(NOTA[ID]),COLUMN(NOTA[ID]))&amp;":"&amp;ADDRESS(ROW(),COLUMN(NOTA[ID]))),-1)))</f>
        <v>181</v>
      </c>
      <c r="E1087" s="113"/>
      <c r="H1087" s="54"/>
      <c r="L1087" s="27" t="s">
        <v>1214</v>
      </c>
      <c r="M1087" s="114">
        <v>4</v>
      </c>
      <c r="N1087" s="66">
        <v>576</v>
      </c>
      <c r="O1087" s="27" t="s">
        <v>160</v>
      </c>
      <c r="P1087" s="64">
        <v>10500</v>
      </c>
      <c r="Q1087" s="79"/>
      <c r="R1087" s="42" t="s">
        <v>161</v>
      </c>
      <c r="S1087" s="80">
        <v>0.05</v>
      </c>
      <c r="U1087" s="52"/>
      <c r="V1087" s="77"/>
      <c r="W1087" s="52">
        <f>IF(NOTA[[#This Row],[HARGA/ CTN]]="",NOTA[[#This Row],[JUMLAH_H]],NOTA[[#This Row],[HARGA/ CTN]]*IF(NOTA[[#This Row],[C]]="",0,NOTA[[#This Row],[C]]))</f>
        <v>6048000</v>
      </c>
      <c r="X1087" s="52">
        <f>IF(NOTA[[#This Row],[JUMLAH]]="","",NOTA[[#This Row],[JUMLAH]]*NOTA[[#This Row],[DISC 1]])</f>
        <v>302400</v>
      </c>
      <c r="Y1087" s="52">
        <f>IF(NOTA[[#This Row],[JUMLAH]]="","",(NOTA[[#This Row],[JUMLAH]]-NOTA[[#This Row],[DISC 1-]])*NOTA[[#This Row],[DISC 2]])</f>
        <v>0</v>
      </c>
      <c r="Z1087" s="52">
        <f>IF(NOTA[[#This Row],[JUMLAH]]="","",NOTA[[#This Row],[DISC 1-]]+NOTA[[#This Row],[DISC 2-]])</f>
        <v>302400</v>
      </c>
      <c r="AA1087" s="52">
        <f>IF(NOTA[[#This Row],[JUMLAH]]="","",NOTA[[#This Row],[JUMLAH]]-NOTA[[#This Row],[DISC]])</f>
        <v>5745600</v>
      </c>
      <c r="AB1087" s="52"/>
      <c r="AC10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892800</v>
      </c>
      <c r="AD108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16963200</v>
      </c>
      <c r="AE1087" s="64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1087" s="203">
        <f>IF(OR(NOTA[[#This Row],[QTY]]="",NOTA[[#This Row],[HARGA SATUAN]]="",),"",NOTA[[#This Row],[QTY]]*NOTA[[#This Row],[HARGA SATUAN]])</f>
        <v>6048000</v>
      </c>
      <c r="AG1087" s="53">
        <f ca="1">IF(NOTA[ID_H]="","",INDEX(NOTA[TANGGAL],MATCH(,INDIRECT(ADDRESS(ROW(NOTA[TANGGAL]),COLUMN(NOTA[TANGGAL]))&amp;":"&amp;ADDRESS(ROW(),COLUMN(NOTA[TANGGAL]))),-1)))</f>
        <v>45080</v>
      </c>
      <c r="AH1087" s="64" t="str">
        <f ca="1">IF(NOTA[[#This Row],[NAMA BARANG]]="","",INDEX(NOTA[SUPPLIER],MATCH(,INDIRECT(ADDRESS(ROW(NOTA[ID]),COLUMN(NOTA[ID]))&amp;":"&amp;ADDRESS(ROW(),COLUMN(NOTA[ID]))),-1)))</f>
        <v>SAMUDERA ANGKASA JAYA</v>
      </c>
      <c r="AI1087" s="64" t="str">
        <f ca="1">IF(NOTA[[#This Row],[ID_H]]="","",IF(NOTA[[#This Row],[FAKTUR]]="",INDIRECT(ADDRESS(ROW()-1,COLUMN())),NOTA[[#This Row],[FAKTUR]]))</f>
        <v>ARTO MORO</v>
      </c>
      <c r="AJ1087" s="66" t="str">
        <f ca="1">IF(NOTA[[#This Row],[ID]]="","",COUNTIF(NOTA[ID_H],NOTA[[#This Row],[ID_H]]))</f>
        <v/>
      </c>
      <c r="AK1087" s="66">
        <f ca="1">IF(NOTA[[#This Row],[TGL.NOTA]]="",IF(NOTA[[#This Row],[SUPPLIER_H]]="","",AK1086),MONTH(NOTA[[#This Row],[TGL.NOTA]]))</f>
        <v>5</v>
      </c>
      <c r="AL1087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M10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pcmagfx2276metalik22*7515120000.05</v>
      </c>
      <c r="AN10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pcmagfx2276metalik22*7515120000.05</v>
      </c>
      <c r="AO10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7" s="66" t="str">
        <f>IF(NOTA[[#This Row],[CONCAT4]]="","",_xlfn.IFNA(MATCH(NOTA[[#This Row],[CONCAT4]],[2]!RAW[CONCAT_H],0),FALSE))</f>
        <v/>
      </c>
      <c r="AQ1087" s="66">
        <f>IF(NOTA[[#This Row],[CONCAT1]]="","",MATCH(NOTA[[#This Row],[CONCAT1]],[3]!db[NB NOTA_C],0)+1)</f>
        <v>2439</v>
      </c>
    </row>
    <row r="1088" spans="1:43" ht="20.100000000000001" customHeight="1" x14ac:dyDescent="0.25">
      <c r="A10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8" s="66" t="str">
        <f>IF(NOTA[[#This Row],[ID_P]]="","",MATCH(NOTA[[#This Row],[ID_P]],[1]!B_MSK[N_ID],0))</f>
        <v/>
      </c>
      <c r="D1088" s="66" t="str">
        <f ca="1">IF(NOTA[[#This Row],[NAMA BARANG]]="","",INDEX(NOTA[ID],MATCH(,INDIRECT(ADDRESS(ROW(NOTA[ID]),COLUMN(NOTA[ID]))&amp;":"&amp;ADDRESS(ROW(),COLUMN(NOTA[ID]))),-1)))</f>
        <v/>
      </c>
      <c r="E1088" s="113"/>
      <c r="H1088" s="54"/>
      <c r="N1088" s="66"/>
      <c r="Q1088" s="79"/>
      <c r="R1088" s="42"/>
      <c r="S1088" s="80"/>
      <c r="U1088" s="52"/>
      <c r="V1088" s="77"/>
      <c r="W1088" s="52" t="str">
        <f>IF(NOTA[[#This Row],[HARGA/ CTN]]="",NOTA[[#This Row],[JUMLAH_H]],NOTA[[#This Row],[HARGA/ CTN]]*IF(NOTA[[#This Row],[C]]="",0,NOTA[[#This Row],[C]]))</f>
        <v/>
      </c>
      <c r="X1088" s="52" t="str">
        <f>IF(NOTA[[#This Row],[JUMLAH]]="","",NOTA[[#This Row],[JUMLAH]]*NOTA[[#This Row],[DISC 1]])</f>
        <v/>
      </c>
      <c r="Y1088" s="52" t="str">
        <f>IF(NOTA[[#This Row],[JUMLAH]]="","",(NOTA[[#This Row],[JUMLAH]]-NOTA[[#This Row],[DISC 1-]])*NOTA[[#This Row],[DISC 2]])</f>
        <v/>
      </c>
      <c r="Z1088" s="52" t="str">
        <f>IF(NOTA[[#This Row],[JUMLAH]]="","",NOTA[[#This Row],[DISC 1-]]+NOTA[[#This Row],[DISC 2-]])</f>
        <v/>
      </c>
      <c r="AA1088" s="52" t="str">
        <f>IF(NOTA[[#This Row],[JUMLAH]]="","",NOTA[[#This Row],[JUMLAH]]-NOTA[[#This Row],[DISC]])</f>
        <v/>
      </c>
      <c r="AB1088" s="52"/>
      <c r="AC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8" s="203" t="str">
        <f>IF(OR(NOTA[[#This Row],[QTY]]="",NOTA[[#This Row],[HARGA SATUAN]]="",),"",NOTA[[#This Row],[QTY]]*NOTA[[#This Row],[HARGA SATUAN]])</f>
        <v/>
      </c>
      <c r="AG1088" s="53" t="str">
        <f ca="1">IF(NOTA[ID_H]="","",INDEX(NOTA[TANGGAL],MATCH(,INDIRECT(ADDRESS(ROW(NOTA[TANGGAL]),COLUMN(NOTA[TANGGAL]))&amp;":"&amp;ADDRESS(ROW(),COLUMN(NOTA[TANGGAL]))),-1)))</f>
        <v/>
      </c>
      <c r="AH1088" s="64" t="str">
        <f ca="1">IF(NOTA[[#This Row],[NAMA BARANG]]="","",INDEX(NOTA[SUPPLIER],MATCH(,INDIRECT(ADDRESS(ROW(NOTA[ID]),COLUMN(NOTA[ID]))&amp;":"&amp;ADDRESS(ROW(),COLUMN(NOTA[ID]))),-1)))</f>
        <v/>
      </c>
      <c r="AI1088" s="64" t="str">
        <f ca="1">IF(NOTA[[#This Row],[ID_H]]="","",IF(NOTA[[#This Row],[FAKTUR]]="",INDIRECT(ADDRESS(ROW()-1,COLUMN())),NOTA[[#This Row],[FAKTUR]]))</f>
        <v/>
      </c>
      <c r="AJ1088" s="66" t="str">
        <f ca="1">IF(NOTA[[#This Row],[ID]]="","",COUNTIF(NOTA[ID_H],NOTA[[#This Row],[ID_H]]))</f>
        <v/>
      </c>
      <c r="AK1088" s="66" t="str">
        <f ca="1">IF(NOTA[[#This Row],[TGL.NOTA]]="",IF(NOTA[[#This Row],[SUPPLIER_H]]="","",AK1087),MONTH(NOTA[[#This Row],[TGL.NOTA]]))</f>
        <v/>
      </c>
      <c r="AL1088" s="66" t="str">
        <f>LOWER(SUBSTITUTE(SUBSTITUTE(SUBSTITUTE(SUBSTITUTE(SUBSTITUTE(SUBSTITUTE(SUBSTITUTE(SUBSTITUTE(SUBSTITUTE(NOTA[NAMA BARANG]," ",),".",""),"-",""),"(",""),")",""),",",""),"/",""),"""",""),"+",""))</f>
        <v/>
      </c>
      <c r="AM10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8" s="66" t="str">
        <f>IF(NOTA[[#This Row],[CONCAT4]]="","",_xlfn.IFNA(MATCH(NOTA[[#This Row],[CONCAT4]],[2]!RAW[CONCAT_H],0),FALSE))</f>
        <v/>
      </c>
      <c r="AQ1088" s="66" t="str">
        <f>IF(NOTA[[#This Row],[CONCAT1]]="","",MATCH(NOTA[[#This Row],[CONCAT1]],[3]!db[NB NOTA_C],0)+1)</f>
        <v/>
      </c>
    </row>
    <row r="1089" spans="1:43" ht="20.100000000000001" customHeight="1" x14ac:dyDescent="0.25">
      <c r="A1089" s="64">
        <f ca="1">IF(INDIRECT(ADDRESS(ROW()-1,COLUMN(NOTA[[#Headers],[ID]])))="ID",1,IF(NOTA[[#This Row],[FAKTUR]]="","",COUNT(INDIRECT(ADDRESS(ROW(NOTA[ID]),COLUMN(NOTA[ID]))&amp;":"&amp;ADDRESS(ROW()-1,COLUMN(NOTA[ID]))))+1))</f>
        <v>182</v>
      </c>
      <c r="B10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ATA_0206_638-6</v>
      </c>
      <c r="C1089" s="66" t="e">
        <f ca="1">IF(NOTA[[#This Row],[ID_P]]="","",MATCH(NOTA[[#This Row],[ID_P]],[1]!B_MSK[N_ID],0))</f>
        <v>#REF!</v>
      </c>
      <c r="D1089" s="66">
        <f ca="1">IF(NOTA[[#This Row],[NAMA BARANG]]="","",INDEX(NOTA[ID],MATCH(,INDIRECT(ADDRESS(ROW(NOTA[ID]),COLUMN(NOTA[ID]))&amp;":"&amp;ADDRESS(ROW(),COLUMN(NOTA[ID]))),-1)))</f>
        <v>182</v>
      </c>
      <c r="E1089" s="113">
        <v>45079</v>
      </c>
      <c r="F1089" s="27" t="s">
        <v>25</v>
      </c>
      <c r="G1089" s="27" t="s">
        <v>24</v>
      </c>
      <c r="H1089" s="54" t="s">
        <v>1215</v>
      </c>
      <c r="J1089" s="53">
        <v>45076</v>
      </c>
      <c r="L1089" s="27" t="s">
        <v>1220</v>
      </c>
      <c r="M1089" s="114">
        <v>2</v>
      </c>
      <c r="N1089" s="66">
        <v>144</v>
      </c>
      <c r="O1089" s="27" t="s">
        <v>252</v>
      </c>
      <c r="P1089" s="64">
        <v>23000</v>
      </c>
      <c r="Q1089" s="79"/>
      <c r="R1089" s="42" t="s">
        <v>451</v>
      </c>
      <c r="S1089" s="80">
        <v>0.125</v>
      </c>
      <c r="T1089" s="115">
        <v>0.05</v>
      </c>
      <c r="U1089" s="52"/>
      <c r="V1089" s="77"/>
      <c r="W1089" s="52">
        <f>IF(NOTA[[#This Row],[HARGA/ CTN]]="",NOTA[[#This Row],[JUMLAH_H]],NOTA[[#This Row],[HARGA/ CTN]]*IF(NOTA[[#This Row],[C]]="",0,NOTA[[#This Row],[C]]))</f>
        <v>3312000</v>
      </c>
      <c r="X1089" s="52">
        <f>IF(NOTA[[#This Row],[JUMLAH]]="","",NOTA[[#This Row],[JUMLAH]]*NOTA[[#This Row],[DISC 1]])</f>
        <v>414000</v>
      </c>
      <c r="Y1089" s="52">
        <f>IF(NOTA[[#This Row],[JUMLAH]]="","",(NOTA[[#This Row],[JUMLAH]]-NOTA[[#This Row],[DISC 1-]])*NOTA[[#This Row],[DISC 2]])</f>
        <v>144900</v>
      </c>
      <c r="Z1089" s="52">
        <f>IF(NOTA[[#This Row],[JUMLAH]]="","",NOTA[[#This Row],[DISC 1-]]+NOTA[[#This Row],[DISC 2-]])</f>
        <v>558900</v>
      </c>
      <c r="AA1089" s="52">
        <f>IF(NOTA[[#This Row],[JUMLAH]]="","",NOTA[[#This Row],[JUMLAH]]-NOTA[[#This Row],[DISC]])</f>
        <v>2753100</v>
      </c>
      <c r="AB1089" s="52"/>
      <c r="AC10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9" s="6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089" s="203">
        <f>IF(OR(NOTA[[#This Row],[QTY]]="",NOTA[[#This Row],[HARGA SATUAN]]="",),"",NOTA[[#This Row],[QTY]]*NOTA[[#This Row],[HARGA SATUAN]])</f>
        <v>3312000</v>
      </c>
      <c r="AG1089" s="53">
        <f ca="1">IF(NOTA[ID_H]="","",INDEX(NOTA[TANGGAL],MATCH(,INDIRECT(ADDRESS(ROW(NOTA[TANGGAL]),COLUMN(NOTA[TANGGAL]))&amp;":"&amp;ADDRESS(ROW(),COLUMN(NOTA[TANGGAL]))),-1)))</f>
        <v>45079</v>
      </c>
      <c r="AH1089" s="64" t="str">
        <f ca="1">IF(NOTA[[#This Row],[NAMA BARANG]]="","",INDEX(NOTA[SUPPLIER],MATCH(,INDIRECT(ADDRESS(ROW(NOTA[ID]),COLUMN(NOTA[ID]))&amp;":"&amp;ADDRESS(ROW(),COLUMN(NOTA[ID]))),-1)))</f>
        <v>ATALI MAKMUR</v>
      </c>
      <c r="AI1089" s="64" t="str">
        <f ca="1">IF(NOTA[[#This Row],[ID_H]]="","",IF(NOTA[[#This Row],[FAKTUR]]="",INDIRECT(ADDRESS(ROW()-1,COLUMN())),NOTA[[#This Row],[FAKTUR]]))</f>
        <v>ARTO MORO</v>
      </c>
      <c r="AJ1089" s="66">
        <f ca="1">IF(NOTA[[#This Row],[ID]]="","",COUNTIF(NOTA[ID_H],NOTA[[#This Row],[ID_H]]))</f>
        <v>6</v>
      </c>
      <c r="AK1089" s="66">
        <f>IF(NOTA[[#This Row],[TGL.NOTA]]="",IF(NOTA[[#This Row],[SUPPLIER_H]]="","",AK1088),MONTH(NOTA[[#This Row],[TGL.NOTA]]))</f>
        <v>5</v>
      </c>
      <c r="AL1089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M10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N10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089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MOROSA23050863845076oilpastelop18sppcaseseaworldjk</v>
      </c>
      <c r="AP1089" s="66" t="e">
        <f>IF(NOTA[[#This Row],[CONCAT4]]="","",_xlfn.IFNA(MATCH(NOTA[[#This Row],[CONCAT4]],[2]!RAW[CONCAT_H],0),FALSE))</f>
        <v>#REF!</v>
      </c>
      <c r="AQ1089" s="66">
        <f>IF(NOTA[[#This Row],[CONCAT1]]="","",MATCH(NOTA[[#This Row],[CONCAT1]],[3]!db[NB NOTA_C],0)+1)</f>
        <v>1705</v>
      </c>
    </row>
    <row r="1090" spans="1:43" ht="20.100000000000001" customHeight="1" x14ac:dyDescent="0.25">
      <c r="A10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0" s="66" t="str">
        <f>IF(NOTA[[#This Row],[ID_P]]="","",MATCH(NOTA[[#This Row],[ID_P]],[1]!B_MSK[N_ID],0))</f>
        <v/>
      </c>
      <c r="D1090" s="66">
        <f ca="1">IF(NOTA[[#This Row],[NAMA BARANG]]="","",INDEX(NOTA[ID],MATCH(,INDIRECT(ADDRESS(ROW(NOTA[ID]),COLUMN(NOTA[ID]))&amp;":"&amp;ADDRESS(ROW(),COLUMN(NOTA[ID]))),-1)))</f>
        <v>182</v>
      </c>
      <c r="E1090" s="113"/>
      <c r="H1090" s="54"/>
      <c r="L1090" s="27" t="s">
        <v>1221</v>
      </c>
      <c r="M1090" s="114">
        <v>1</v>
      </c>
      <c r="N1090" s="66">
        <v>48</v>
      </c>
      <c r="O1090" s="27" t="s">
        <v>252</v>
      </c>
      <c r="P1090" s="64">
        <v>29600</v>
      </c>
      <c r="Q1090" s="79"/>
      <c r="R1090" s="42" t="s">
        <v>716</v>
      </c>
      <c r="S1090" s="80">
        <v>0.125</v>
      </c>
      <c r="T1090" s="115">
        <v>0.05</v>
      </c>
      <c r="U1090" s="52"/>
      <c r="V1090" s="77"/>
      <c r="W1090" s="52">
        <f>IF(NOTA[[#This Row],[HARGA/ CTN]]="",NOTA[[#This Row],[JUMLAH_H]],NOTA[[#This Row],[HARGA/ CTN]]*IF(NOTA[[#This Row],[C]]="",0,NOTA[[#This Row],[C]]))</f>
        <v>1420800</v>
      </c>
      <c r="X1090" s="52">
        <f>IF(NOTA[[#This Row],[JUMLAH]]="","",NOTA[[#This Row],[JUMLAH]]*NOTA[[#This Row],[DISC 1]])</f>
        <v>177600</v>
      </c>
      <c r="Y1090" s="52">
        <f>IF(NOTA[[#This Row],[JUMLAH]]="","",(NOTA[[#This Row],[JUMLAH]]-NOTA[[#This Row],[DISC 1-]])*NOTA[[#This Row],[DISC 2]])</f>
        <v>62160</v>
      </c>
      <c r="Z1090" s="52">
        <f>IF(NOTA[[#This Row],[JUMLAH]]="","",NOTA[[#This Row],[DISC 1-]]+NOTA[[#This Row],[DISC 2-]])</f>
        <v>239760</v>
      </c>
      <c r="AA1090" s="52">
        <f>IF(NOTA[[#This Row],[JUMLAH]]="","",NOTA[[#This Row],[JUMLAH]]-NOTA[[#This Row],[DISC]])</f>
        <v>1181040</v>
      </c>
      <c r="AB1090" s="52"/>
      <c r="AC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0" s="64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090" s="203">
        <f>IF(OR(NOTA[[#This Row],[QTY]]="",NOTA[[#This Row],[HARGA SATUAN]]="",),"",NOTA[[#This Row],[QTY]]*NOTA[[#This Row],[HARGA SATUAN]])</f>
        <v>1420800</v>
      </c>
      <c r="AG1090" s="53">
        <f ca="1">IF(NOTA[ID_H]="","",INDEX(NOTA[TANGGAL],MATCH(,INDIRECT(ADDRESS(ROW(NOTA[TANGGAL]),COLUMN(NOTA[TANGGAL]))&amp;":"&amp;ADDRESS(ROW(),COLUMN(NOTA[TANGGAL]))),-1)))</f>
        <v>45079</v>
      </c>
      <c r="AH1090" s="64" t="str">
        <f ca="1">IF(NOTA[[#This Row],[NAMA BARANG]]="","",INDEX(NOTA[SUPPLIER],MATCH(,INDIRECT(ADDRESS(ROW(NOTA[ID]),COLUMN(NOTA[ID]))&amp;":"&amp;ADDRESS(ROW(),COLUMN(NOTA[ID]))),-1)))</f>
        <v>ATALI MAKMUR</v>
      </c>
      <c r="AI1090" s="64" t="str">
        <f ca="1">IF(NOTA[[#This Row],[ID_H]]="","",IF(NOTA[[#This Row],[FAKTUR]]="",INDIRECT(ADDRESS(ROW()-1,COLUMN())),NOTA[[#This Row],[FAKTUR]]))</f>
        <v>ARTO MORO</v>
      </c>
      <c r="AJ1090" s="66" t="str">
        <f ca="1">IF(NOTA[[#This Row],[ID]]="","",COUNTIF(NOTA[ID_H],NOTA[[#This Row],[ID_H]]))</f>
        <v/>
      </c>
      <c r="AK1090" s="66">
        <f ca="1">IF(NOTA[[#This Row],[TGL.NOTA]]="",IF(NOTA[[#This Row],[SUPPLIER_H]]="","",AK1089),MONTH(NOTA[[#This Row],[TGL.NOTA]]))</f>
        <v>5</v>
      </c>
      <c r="AL1090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10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N10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0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0" s="66" t="str">
        <f>IF(NOTA[[#This Row],[CONCAT4]]="","",_xlfn.IFNA(MATCH(NOTA[[#This Row],[CONCAT4]],[2]!RAW[CONCAT_H],0),FALSE))</f>
        <v/>
      </c>
      <c r="AQ1090" s="66">
        <f>IF(NOTA[[#This Row],[CONCAT1]]="","",MATCH(NOTA[[#This Row],[CONCAT1]],[3]!db[NB NOTA_C],0)+1)</f>
        <v>1706</v>
      </c>
    </row>
    <row r="1091" spans="1:43" ht="20.100000000000001" customHeight="1" x14ac:dyDescent="0.25">
      <c r="A10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1" s="66" t="str">
        <f>IF(NOTA[[#This Row],[ID_P]]="","",MATCH(NOTA[[#This Row],[ID_P]],[1]!B_MSK[N_ID],0))</f>
        <v/>
      </c>
      <c r="D1091" s="66">
        <f ca="1">IF(NOTA[[#This Row],[NAMA BARANG]]="","",INDEX(NOTA[ID],MATCH(,INDIRECT(ADDRESS(ROW(NOTA[ID]),COLUMN(NOTA[ID]))&amp;":"&amp;ADDRESS(ROW(),COLUMN(NOTA[ID]))),-1)))</f>
        <v>182</v>
      </c>
      <c r="E1091" s="113"/>
      <c r="H1091" s="54"/>
      <c r="L1091" s="27" t="s">
        <v>594</v>
      </c>
      <c r="M1091" s="114">
        <v>1</v>
      </c>
      <c r="N1091" s="66">
        <v>36</v>
      </c>
      <c r="O1091" s="27" t="s">
        <v>1216</v>
      </c>
      <c r="P1091" s="64">
        <v>41500</v>
      </c>
      <c r="Q1091" s="79"/>
      <c r="R1091" s="42" t="s">
        <v>1217</v>
      </c>
      <c r="S1091" s="80">
        <v>0.125</v>
      </c>
      <c r="T1091" s="115">
        <v>0.05</v>
      </c>
      <c r="U1091" s="52"/>
      <c r="V1091" s="77"/>
      <c r="W1091" s="52">
        <f>IF(NOTA[[#This Row],[HARGA/ CTN]]="",NOTA[[#This Row],[JUMLAH_H]],NOTA[[#This Row],[HARGA/ CTN]]*IF(NOTA[[#This Row],[C]]="",0,NOTA[[#This Row],[C]]))</f>
        <v>1494000</v>
      </c>
      <c r="X1091" s="52">
        <f>IF(NOTA[[#This Row],[JUMLAH]]="","",NOTA[[#This Row],[JUMLAH]]*NOTA[[#This Row],[DISC 1]])</f>
        <v>186750</v>
      </c>
      <c r="Y1091" s="52">
        <f>IF(NOTA[[#This Row],[JUMLAH]]="","",(NOTA[[#This Row],[JUMLAH]]-NOTA[[#This Row],[DISC 1-]])*NOTA[[#This Row],[DISC 2]])</f>
        <v>65362.5</v>
      </c>
      <c r="Z1091" s="52">
        <f>IF(NOTA[[#This Row],[JUMLAH]]="","",NOTA[[#This Row],[DISC 1-]]+NOTA[[#This Row],[DISC 2-]])</f>
        <v>252112.5</v>
      </c>
      <c r="AA1091" s="52">
        <f>IF(NOTA[[#This Row],[JUMLAH]]="","",NOTA[[#This Row],[JUMLAH]]-NOTA[[#This Row],[DISC]])</f>
        <v>1241887.5</v>
      </c>
      <c r="AB1091" s="52"/>
      <c r="AC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1" s="64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091" s="203">
        <f>IF(OR(NOTA[[#This Row],[QTY]]="",NOTA[[#This Row],[HARGA SATUAN]]="",),"",NOTA[[#This Row],[QTY]]*NOTA[[#This Row],[HARGA SATUAN]])</f>
        <v>1494000</v>
      </c>
      <c r="AG1091" s="53">
        <f ca="1">IF(NOTA[ID_H]="","",INDEX(NOTA[TANGGAL],MATCH(,INDIRECT(ADDRESS(ROW(NOTA[TANGGAL]),COLUMN(NOTA[TANGGAL]))&amp;":"&amp;ADDRESS(ROW(),COLUMN(NOTA[TANGGAL]))),-1)))</f>
        <v>45079</v>
      </c>
      <c r="AH1091" s="64" t="str">
        <f ca="1">IF(NOTA[[#This Row],[NAMA BARANG]]="","",INDEX(NOTA[SUPPLIER],MATCH(,INDIRECT(ADDRESS(ROW(NOTA[ID]),COLUMN(NOTA[ID]))&amp;":"&amp;ADDRESS(ROW(),COLUMN(NOTA[ID]))),-1)))</f>
        <v>ATALI MAKMUR</v>
      </c>
      <c r="AI1091" s="64" t="str">
        <f ca="1">IF(NOTA[[#This Row],[ID_H]]="","",IF(NOTA[[#This Row],[FAKTUR]]="",INDIRECT(ADDRESS(ROW()-1,COLUMN())),NOTA[[#This Row],[FAKTUR]]))</f>
        <v>ARTO MORO</v>
      </c>
      <c r="AJ1091" s="66" t="str">
        <f ca="1">IF(NOTA[[#This Row],[ID]]="","",COUNTIF(NOTA[ID_H],NOTA[[#This Row],[ID_H]]))</f>
        <v/>
      </c>
      <c r="AK1091" s="66">
        <f ca="1">IF(NOTA[[#This Row],[TGL.NOTA]]="",IF(NOTA[[#This Row],[SUPPLIER_H]]="","",AK1090),MONTH(NOTA[[#This Row],[TGL.NOTA]]))</f>
        <v>5</v>
      </c>
      <c r="AL1091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M10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N10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0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1" s="66" t="str">
        <f>IF(NOTA[[#This Row],[CONCAT4]]="","",_xlfn.IFNA(MATCH(NOTA[[#This Row],[CONCAT4]],[2]!RAW[CONCAT_H],0),FALSE))</f>
        <v/>
      </c>
      <c r="AQ1091" s="66">
        <f>IF(NOTA[[#This Row],[CONCAT1]]="","",MATCH(NOTA[[#This Row],[CONCAT1]],[3]!db[NB NOTA_C],0)+1)</f>
        <v>1707</v>
      </c>
    </row>
    <row r="1092" spans="1:43" ht="20.100000000000001" customHeight="1" x14ac:dyDescent="0.25">
      <c r="A10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2" s="66" t="str">
        <f>IF(NOTA[[#This Row],[ID_P]]="","",MATCH(NOTA[[#This Row],[ID_P]],[1]!B_MSK[N_ID],0))</f>
        <v/>
      </c>
      <c r="D1092" s="66">
        <f ca="1">IF(NOTA[[#This Row],[NAMA BARANG]]="","",INDEX(NOTA[ID],MATCH(,INDIRECT(ADDRESS(ROW(NOTA[ID]),COLUMN(NOTA[ID]))&amp;":"&amp;ADDRESS(ROW(),COLUMN(NOTA[ID]))),-1)))</f>
        <v>182</v>
      </c>
      <c r="E1092" s="113"/>
      <c r="H1092" s="54"/>
      <c r="L1092" s="27" t="s">
        <v>1218</v>
      </c>
      <c r="M1092" s="114">
        <v>1</v>
      </c>
      <c r="N1092" s="66">
        <v>24</v>
      </c>
      <c r="O1092" s="27" t="s">
        <v>252</v>
      </c>
      <c r="P1092" s="64">
        <v>58900</v>
      </c>
      <c r="Q1092" s="79"/>
      <c r="R1092" s="42" t="s">
        <v>1219</v>
      </c>
      <c r="S1092" s="80">
        <v>0.125</v>
      </c>
      <c r="T1092" s="115">
        <v>0.05</v>
      </c>
      <c r="U1092" s="52"/>
      <c r="V1092" s="77"/>
      <c r="W1092" s="52">
        <f>IF(NOTA[[#This Row],[HARGA/ CTN]]="",NOTA[[#This Row],[JUMLAH_H]],NOTA[[#This Row],[HARGA/ CTN]]*IF(NOTA[[#This Row],[C]]="",0,NOTA[[#This Row],[C]]))</f>
        <v>1413600</v>
      </c>
      <c r="X1092" s="52">
        <f>IF(NOTA[[#This Row],[JUMLAH]]="","",NOTA[[#This Row],[JUMLAH]]*NOTA[[#This Row],[DISC 1]])</f>
        <v>176700</v>
      </c>
      <c r="Y1092" s="52">
        <f>IF(NOTA[[#This Row],[JUMLAH]]="","",(NOTA[[#This Row],[JUMLAH]]-NOTA[[#This Row],[DISC 1-]])*NOTA[[#This Row],[DISC 2]])</f>
        <v>61845</v>
      </c>
      <c r="Z1092" s="52">
        <f>IF(NOTA[[#This Row],[JUMLAH]]="","",NOTA[[#This Row],[DISC 1-]]+NOTA[[#This Row],[DISC 2-]])</f>
        <v>238545</v>
      </c>
      <c r="AA1092" s="52">
        <f>IF(NOTA[[#This Row],[JUMLAH]]="","",NOTA[[#This Row],[JUMLAH]]-NOTA[[#This Row],[DISC]])</f>
        <v>1175055</v>
      </c>
      <c r="AB1092" s="52"/>
      <c r="AC10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2" s="64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092" s="203">
        <f>IF(OR(NOTA[[#This Row],[QTY]]="",NOTA[[#This Row],[HARGA SATUAN]]="",),"",NOTA[[#This Row],[QTY]]*NOTA[[#This Row],[HARGA SATUAN]])</f>
        <v>1413600</v>
      </c>
      <c r="AG1092" s="53">
        <f ca="1">IF(NOTA[ID_H]="","",INDEX(NOTA[TANGGAL],MATCH(,INDIRECT(ADDRESS(ROW(NOTA[TANGGAL]),COLUMN(NOTA[TANGGAL]))&amp;":"&amp;ADDRESS(ROW(),COLUMN(NOTA[TANGGAL]))),-1)))</f>
        <v>45079</v>
      </c>
      <c r="AH1092" s="64" t="str">
        <f ca="1">IF(NOTA[[#This Row],[NAMA BARANG]]="","",INDEX(NOTA[SUPPLIER],MATCH(,INDIRECT(ADDRESS(ROW(NOTA[ID]),COLUMN(NOTA[ID]))&amp;":"&amp;ADDRESS(ROW(),COLUMN(NOTA[ID]))),-1)))</f>
        <v>ATALI MAKMUR</v>
      </c>
      <c r="AI1092" s="64" t="str">
        <f ca="1">IF(NOTA[[#This Row],[ID_H]]="","",IF(NOTA[[#This Row],[FAKTUR]]="",INDIRECT(ADDRESS(ROW()-1,COLUMN())),NOTA[[#This Row],[FAKTUR]]))</f>
        <v>ARTO MORO</v>
      </c>
      <c r="AJ1092" s="66" t="str">
        <f ca="1">IF(NOTA[[#This Row],[ID]]="","",COUNTIF(NOTA[ID_H],NOTA[[#This Row],[ID_H]]))</f>
        <v/>
      </c>
      <c r="AK1092" s="66">
        <f ca="1">IF(NOTA[[#This Row],[TGL.NOTA]]="",IF(NOTA[[#This Row],[SUPPLIER_H]]="","",AK1091),MONTH(NOTA[[#This Row],[TGL.NOTA]]))</f>
        <v>5</v>
      </c>
      <c r="AL1092" s="6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M10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N10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0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2" s="66" t="str">
        <f>IF(NOTA[[#This Row],[CONCAT4]]="","",_xlfn.IFNA(MATCH(NOTA[[#This Row],[CONCAT4]],[2]!RAW[CONCAT_H],0),FALSE))</f>
        <v/>
      </c>
      <c r="AQ1092" s="66">
        <f>IF(NOTA[[#This Row],[CONCAT1]]="","",MATCH(NOTA[[#This Row],[CONCAT1]],[3]!db[NB NOTA_C],0)+1)</f>
        <v>1708</v>
      </c>
    </row>
    <row r="1093" spans="1:43" ht="20.100000000000001" customHeight="1" x14ac:dyDescent="0.25">
      <c r="A10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3" s="66" t="str">
        <f>IF(NOTA[[#This Row],[ID_P]]="","",MATCH(NOTA[[#This Row],[ID_P]],[1]!B_MSK[N_ID],0))</f>
        <v/>
      </c>
      <c r="D1093" s="66">
        <f ca="1">IF(NOTA[[#This Row],[NAMA BARANG]]="","",INDEX(NOTA[ID],MATCH(,INDIRECT(ADDRESS(ROW(NOTA[ID]),COLUMN(NOTA[ID]))&amp;":"&amp;ADDRESS(ROW(),COLUMN(NOTA[ID]))),-1)))</f>
        <v>182</v>
      </c>
      <c r="E1093" s="113"/>
      <c r="H1093" s="54"/>
      <c r="L1093" s="27" t="s">
        <v>586</v>
      </c>
      <c r="M1093" s="114">
        <v>1</v>
      </c>
      <c r="N1093" s="66">
        <v>24</v>
      </c>
      <c r="O1093" s="27" t="s">
        <v>252</v>
      </c>
      <c r="P1093" s="64">
        <v>66900</v>
      </c>
      <c r="Q1093" s="79"/>
      <c r="R1093" s="42" t="s">
        <v>587</v>
      </c>
      <c r="S1093" s="80">
        <v>0.125</v>
      </c>
      <c r="T1093" s="115">
        <v>0.05</v>
      </c>
      <c r="U1093" s="52"/>
      <c r="V1093" s="77"/>
      <c r="W1093" s="52">
        <f>IF(NOTA[[#This Row],[HARGA/ CTN]]="",NOTA[[#This Row],[JUMLAH_H]],NOTA[[#This Row],[HARGA/ CTN]]*IF(NOTA[[#This Row],[C]]="",0,NOTA[[#This Row],[C]]))</f>
        <v>1605600</v>
      </c>
      <c r="X1093" s="52">
        <f>IF(NOTA[[#This Row],[JUMLAH]]="","",NOTA[[#This Row],[JUMLAH]]*NOTA[[#This Row],[DISC 1]])</f>
        <v>200700</v>
      </c>
      <c r="Y1093" s="52">
        <f>IF(NOTA[[#This Row],[JUMLAH]]="","",(NOTA[[#This Row],[JUMLAH]]-NOTA[[#This Row],[DISC 1-]])*NOTA[[#This Row],[DISC 2]])</f>
        <v>70245</v>
      </c>
      <c r="Z1093" s="52">
        <f>IF(NOTA[[#This Row],[JUMLAH]]="","",NOTA[[#This Row],[DISC 1-]]+NOTA[[#This Row],[DISC 2-]])</f>
        <v>270945</v>
      </c>
      <c r="AA1093" s="52">
        <f>IF(NOTA[[#This Row],[JUMLAH]]="","",NOTA[[#This Row],[JUMLAH]]-NOTA[[#This Row],[DISC]])</f>
        <v>1334655</v>
      </c>
      <c r="AB1093" s="52"/>
      <c r="AC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3" s="64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093" s="203">
        <f>IF(OR(NOTA[[#This Row],[QTY]]="",NOTA[[#This Row],[HARGA SATUAN]]="",),"",NOTA[[#This Row],[QTY]]*NOTA[[#This Row],[HARGA SATUAN]])</f>
        <v>1605600</v>
      </c>
      <c r="AG1093" s="53">
        <f ca="1">IF(NOTA[ID_H]="","",INDEX(NOTA[TANGGAL],MATCH(,INDIRECT(ADDRESS(ROW(NOTA[TANGGAL]),COLUMN(NOTA[TANGGAL]))&amp;":"&amp;ADDRESS(ROW(),COLUMN(NOTA[TANGGAL]))),-1)))</f>
        <v>45079</v>
      </c>
      <c r="AH1093" s="64" t="str">
        <f ca="1">IF(NOTA[[#This Row],[NAMA BARANG]]="","",INDEX(NOTA[SUPPLIER],MATCH(,INDIRECT(ADDRESS(ROW(NOTA[ID]),COLUMN(NOTA[ID]))&amp;":"&amp;ADDRESS(ROW(),COLUMN(NOTA[ID]))),-1)))</f>
        <v>ATALI MAKMUR</v>
      </c>
      <c r="AI1093" s="64" t="str">
        <f ca="1">IF(NOTA[[#This Row],[ID_H]]="","",IF(NOTA[[#This Row],[FAKTUR]]="",INDIRECT(ADDRESS(ROW()-1,COLUMN())),NOTA[[#This Row],[FAKTUR]]))</f>
        <v>ARTO MORO</v>
      </c>
      <c r="AJ1093" s="66" t="str">
        <f ca="1">IF(NOTA[[#This Row],[ID]]="","",COUNTIF(NOTA[ID_H],NOTA[[#This Row],[ID_H]]))</f>
        <v/>
      </c>
      <c r="AK1093" s="66">
        <f ca="1">IF(NOTA[[#This Row],[TGL.NOTA]]="",IF(NOTA[[#This Row],[SUPPLIER_H]]="","",AK1092),MONTH(NOTA[[#This Row],[TGL.NOTA]]))</f>
        <v>5</v>
      </c>
      <c r="AL1093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M10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N10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0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3" s="66" t="str">
        <f>IF(NOTA[[#This Row],[CONCAT4]]="","",_xlfn.IFNA(MATCH(NOTA[[#This Row],[CONCAT4]],[2]!RAW[CONCAT_H],0),FALSE))</f>
        <v/>
      </c>
      <c r="AQ1093" s="66">
        <f>IF(NOTA[[#This Row],[CONCAT1]]="","",MATCH(NOTA[[#This Row],[CONCAT1]],[3]!db[NB NOTA_C],0)+1)</f>
        <v>1709</v>
      </c>
    </row>
    <row r="1094" spans="1:43" ht="20.100000000000001" customHeight="1" x14ac:dyDescent="0.25">
      <c r="A109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4" s="66" t="str">
        <f>IF(NOTA[[#This Row],[ID_P]]="","",MATCH(NOTA[[#This Row],[ID_P]],[1]!B_MSK[N_ID],0))</f>
        <v/>
      </c>
      <c r="D1094" s="66">
        <f ca="1">IF(NOTA[[#This Row],[NAMA BARANG]]="","",INDEX(NOTA[ID],MATCH(,INDIRECT(ADDRESS(ROW(NOTA[ID]),COLUMN(NOTA[ID]))&amp;":"&amp;ADDRESS(ROW(),COLUMN(NOTA[ID]))),-1)))</f>
        <v>182</v>
      </c>
      <c r="E1094" s="113"/>
      <c r="H1094" s="54"/>
      <c r="L1094" s="27" t="s">
        <v>1222</v>
      </c>
      <c r="N1094" s="66">
        <v>3</v>
      </c>
      <c r="O1094" s="27" t="s">
        <v>252</v>
      </c>
      <c r="P1094" s="64">
        <v>145000</v>
      </c>
      <c r="Q1094" s="79"/>
      <c r="R1094" s="42" t="s">
        <v>882</v>
      </c>
      <c r="S1094" s="80">
        <v>0.1</v>
      </c>
      <c r="T1094" s="115">
        <v>0.05</v>
      </c>
      <c r="U1094" s="52"/>
      <c r="V1094" s="77"/>
      <c r="W1094" s="52">
        <f>IF(NOTA[[#This Row],[HARGA/ CTN]]="",NOTA[[#This Row],[JUMLAH_H]],NOTA[[#This Row],[HARGA/ CTN]]*IF(NOTA[[#This Row],[C]]="",0,NOTA[[#This Row],[C]]))</f>
        <v>435000</v>
      </c>
      <c r="X1094" s="52">
        <f>IF(NOTA[[#This Row],[JUMLAH]]="","",NOTA[[#This Row],[JUMLAH]]*NOTA[[#This Row],[DISC 1]])</f>
        <v>43500</v>
      </c>
      <c r="Y1094" s="52">
        <f>IF(NOTA[[#This Row],[JUMLAH]]="","",(NOTA[[#This Row],[JUMLAH]]-NOTA[[#This Row],[DISC 1-]])*NOTA[[#This Row],[DISC 2]])</f>
        <v>19575</v>
      </c>
      <c r="Z1094" s="52">
        <f>IF(NOTA[[#This Row],[JUMLAH]]="","",NOTA[[#This Row],[DISC 1-]]+NOTA[[#This Row],[DISC 2-]])</f>
        <v>63075</v>
      </c>
      <c r="AA1094" s="52">
        <f>IF(NOTA[[#This Row],[JUMLAH]]="","",NOTA[[#This Row],[JUMLAH]]-NOTA[[#This Row],[DISC]])</f>
        <v>371925</v>
      </c>
      <c r="AB1094" s="52"/>
      <c r="AC10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1623337.5</v>
      </c>
      <c r="AD109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8057662.5</v>
      </c>
      <c r="AE1094" s="64">
        <f>IF(NOTA[[#This Row],[NAMA BARANG]]="","",IF(NOTA[[#This Row],[JUMLAH_H]]="",NOTA[[#This Row],[HARGA/ CTN]],NOTA[[#This Row],[QTY]]*NOTA[[#This Row],[HARGA SATUAN]]/IF(ISNUMBER(NOTA[[#This Row],[C]]),NOTA[[#This Row],[C]],1)))</f>
        <v>435000</v>
      </c>
      <c r="AF1094" s="203">
        <f>IF(OR(NOTA[[#This Row],[QTY]]="",NOTA[[#This Row],[HARGA SATUAN]]="",),"",NOTA[[#This Row],[QTY]]*NOTA[[#This Row],[HARGA SATUAN]])</f>
        <v>435000</v>
      </c>
      <c r="AG1094" s="53">
        <f ca="1">IF(NOTA[ID_H]="","",INDEX(NOTA[TANGGAL],MATCH(,INDIRECT(ADDRESS(ROW(NOTA[TANGGAL]),COLUMN(NOTA[TANGGAL]))&amp;":"&amp;ADDRESS(ROW(),COLUMN(NOTA[TANGGAL]))),-1)))</f>
        <v>45079</v>
      </c>
      <c r="AH1094" s="64" t="str">
        <f ca="1">IF(NOTA[[#This Row],[NAMA BARANG]]="","",INDEX(NOTA[SUPPLIER],MATCH(,INDIRECT(ADDRESS(ROW(NOTA[ID]),COLUMN(NOTA[ID]))&amp;":"&amp;ADDRESS(ROW(),COLUMN(NOTA[ID]))),-1)))</f>
        <v>ATALI MAKMUR</v>
      </c>
      <c r="AI1094" s="64" t="str">
        <f ca="1">IF(NOTA[[#This Row],[ID_H]]="","",IF(NOTA[[#This Row],[FAKTUR]]="",INDIRECT(ADDRESS(ROW()-1,COLUMN())),NOTA[[#This Row],[FAKTUR]]))</f>
        <v>ARTO MORO</v>
      </c>
      <c r="AJ1094" s="66" t="str">
        <f ca="1">IF(NOTA[[#This Row],[ID]]="","",COUNTIF(NOTA[ID_H],NOTA[[#This Row],[ID_H]]))</f>
        <v/>
      </c>
      <c r="AK1094" s="66">
        <f ca="1">IF(NOTA[[#This Row],[TGL.NOTA]]="",IF(NOTA[[#This Row],[SUPPLIER_H]]="","",AK1093),MONTH(NOTA[[#This Row],[TGL.NOTA]]))</f>
        <v>5</v>
      </c>
      <c r="AL1094" s="66" t="str">
        <f>LOWER(SUBSTITUTE(SUBSTITUTE(SUBSTITUTE(SUBSTITUTE(SUBSTITUTE(SUBSTITUTE(SUBSTITUTE(SUBSTITUTE(SUBSTITUTE(NOTA[NAMA BARANG]," ",),".",""),"-",""),"(",""),")",""),",",""),"/",""),"""",""),"+",""))</f>
        <v>premiumoilcolorpencilcptc12648jkbonus</v>
      </c>
      <c r="AM10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premiumoilcolorpencilcptc12648jkbonus4350000.10.05</v>
      </c>
      <c r="AN10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premiumoilcolorpencilcptc12648jkbonus1450000.10.05</v>
      </c>
      <c r="AO10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4" s="66" t="str">
        <f>IF(NOTA[[#This Row],[CONCAT4]]="","",_xlfn.IFNA(MATCH(NOTA[[#This Row],[CONCAT4]],[2]!RAW[CONCAT_H],0),FALSE))</f>
        <v/>
      </c>
      <c r="AQ1094" s="66">
        <f>IF(NOTA[[#This Row],[CONCAT1]]="","",MATCH(NOTA[[#This Row],[CONCAT1]],[3]!db[NB NOTA_C],0)+1)</f>
        <v>2063</v>
      </c>
    </row>
    <row r="1095" spans="1:43" ht="20.100000000000001" customHeight="1" x14ac:dyDescent="0.25">
      <c r="A109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5" s="66" t="str">
        <f>IF(NOTA[[#This Row],[ID_P]]="","",MATCH(NOTA[[#This Row],[ID_P]],[1]!B_MSK[N_ID],0))</f>
        <v/>
      </c>
      <c r="D1095" s="66" t="str">
        <f ca="1">IF(NOTA[[#This Row],[NAMA BARANG]]="","",INDEX(NOTA[ID],MATCH(,INDIRECT(ADDRESS(ROW(NOTA[ID]),COLUMN(NOTA[ID]))&amp;":"&amp;ADDRESS(ROW(),COLUMN(NOTA[ID]))),-1)))</f>
        <v/>
      </c>
      <c r="E1095" s="113"/>
      <c r="H1095" s="54"/>
      <c r="N1095" s="66"/>
      <c r="Q1095" s="79"/>
      <c r="R1095" s="42"/>
      <c r="S1095" s="80"/>
      <c r="U1095" s="52"/>
      <c r="V1095" s="77"/>
      <c r="W1095" s="52" t="str">
        <f>IF(NOTA[[#This Row],[HARGA/ CTN]]="",NOTA[[#This Row],[JUMLAH_H]],NOTA[[#This Row],[HARGA/ CTN]]*IF(NOTA[[#This Row],[C]]="",0,NOTA[[#This Row],[C]]))</f>
        <v/>
      </c>
      <c r="X1095" s="52" t="str">
        <f>IF(NOTA[[#This Row],[JUMLAH]]="","",NOTA[[#This Row],[JUMLAH]]*NOTA[[#This Row],[DISC 1]])</f>
        <v/>
      </c>
      <c r="Y1095" s="52" t="str">
        <f>IF(NOTA[[#This Row],[JUMLAH]]="","",(NOTA[[#This Row],[JUMLAH]]-NOTA[[#This Row],[DISC 1-]])*NOTA[[#This Row],[DISC 2]])</f>
        <v/>
      </c>
      <c r="Z1095" s="52" t="str">
        <f>IF(NOTA[[#This Row],[JUMLAH]]="","",NOTA[[#This Row],[DISC 1-]]+NOTA[[#This Row],[DISC 2-]])</f>
        <v/>
      </c>
      <c r="AA1095" s="52" t="str">
        <f>IF(NOTA[[#This Row],[JUMLAH]]="","",NOTA[[#This Row],[JUMLAH]]-NOTA[[#This Row],[DISC]])</f>
        <v/>
      </c>
      <c r="AB1095" s="52"/>
      <c r="AC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95" s="203" t="str">
        <f>IF(OR(NOTA[[#This Row],[QTY]]="",NOTA[[#This Row],[HARGA SATUAN]]="",),"",NOTA[[#This Row],[QTY]]*NOTA[[#This Row],[HARGA SATUAN]])</f>
        <v/>
      </c>
      <c r="AG1095" s="53" t="str">
        <f ca="1">IF(NOTA[ID_H]="","",INDEX(NOTA[TANGGAL],MATCH(,INDIRECT(ADDRESS(ROW(NOTA[TANGGAL]),COLUMN(NOTA[TANGGAL]))&amp;":"&amp;ADDRESS(ROW(),COLUMN(NOTA[TANGGAL]))),-1)))</f>
        <v/>
      </c>
      <c r="AH1095" s="64" t="str">
        <f ca="1">IF(NOTA[[#This Row],[NAMA BARANG]]="","",INDEX(NOTA[SUPPLIER],MATCH(,INDIRECT(ADDRESS(ROW(NOTA[ID]),COLUMN(NOTA[ID]))&amp;":"&amp;ADDRESS(ROW(),COLUMN(NOTA[ID]))),-1)))</f>
        <v/>
      </c>
      <c r="AI1095" s="64" t="str">
        <f ca="1">IF(NOTA[[#This Row],[ID_H]]="","",IF(NOTA[[#This Row],[FAKTUR]]="",INDIRECT(ADDRESS(ROW()-1,COLUMN())),NOTA[[#This Row],[FAKTUR]]))</f>
        <v/>
      </c>
      <c r="AJ1095" s="66" t="str">
        <f ca="1">IF(NOTA[[#This Row],[ID]]="","",COUNTIF(NOTA[ID_H],NOTA[[#This Row],[ID_H]]))</f>
        <v/>
      </c>
      <c r="AK1095" s="66" t="str">
        <f ca="1">IF(NOTA[[#This Row],[TGL.NOTA]]="",IF(NOTA[[#This Row],[SUPPLIER_H]]="","",AK1094),MONTH(NOTA[[#This Row],[TGL.NOTA]]))</f>
        <v/>
      </c>
      <c r="AL1095" s="66" t="str">
        <f>LOWER(SUBSTITUTE(SUBSTITUTE(SUBSTITUTE(SUBSTITUTE(SUBSTITUTE(SUBSTITUTE(SUBSTITUTE(SUBSTITUTE(SUBSTITUTE(NOTA[NAMA BARANG]," ",),".",""),"-",""),"(",""),")",""),",",""),"/",""),"""",""),"+",""))</f>
        <v/>
      </c>
      <c r="AM10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5" s="66" t="str">
        <f>IF(NOTA[[#This Row],[CONCAT4]]="","",_xlfn.IFNA(MATCH(NOTA[[#This Row],[CONCAT4]],[2]!RAW[CONCAT_H],0),FALSE))</f>
        <v/>
      </c>
      <c r="AQ1095" s="66" t="str">
        <f>IF(NOTA[[#This Row],[CONCAT1]]="","",MATCH(NOTA[[#This Row],[CONCAT1]],[3]!db[NB NOTA_C],0)+1)</f>
        <v/>
      </c>
    </row>
    <row r="1096" spans="1:43" ht="20.100000000000001" customHeight="1" x14ac:dyDescent="0.25">
      <c r="A1096" s="64">
        <f ca="1">IF(INDIRECT(ADDRESS(ROW()-1,COLUMN(NOTA[[#Headers],[ID]])))="ID",1,IF(NOTA[[#This Row],[FAKTUR]]="","",COUNT(INDIRECT(ADDRESS(ROW(NOTA[ID]),COLUMN(NOTA[ID]))&amp;":"&amp;ADDRESS(ROW()-1,COLUMN(NOTA[ID]))))+1))</f>
        <v>183</v>
      </c>
      <c r="B109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ATA_0206_637-7</v>
      </c>
      <c r="C1096" s="66" t="e">
        <f ca="1">IF(NOTA[[#This Row],[ID_P]]="","",MATCH(NOTA[[#This Row],[ID_P]],[1]!B_MSK[N_ID],0))</f>
        <v>#REF!</v>
      </c>
      <c r="D1096" s="66">
        <f ca="1">IF(NOTA[[#This Row],[NAMA BARANG]]="","",INDEX(NOTA[ID],MATCH(,INDIRECT(ADDRESS(ROW(NOTA[ID]),COLUMN(NOTA[ID]))&amp;":"&amp;ADDRESS(ROW(),COLUMN(NOTA[ID]))),-1)))</f>
        <v>183</v>
      </c>
      <c r="E1096" s="113"/>
      <c r="F1096" s="27" t="s">
        <v>25</v>
      </c>
      <c r="G1096" s="27" t="s">
        <v>24</v>
      </c>
      <c r="H1096" s="54" t="s">
        <v>1223</v>
      </c>
      <c r="J1096" s="53">
        <v>45076</v>
      </c>
      <c r="L1096" s="27" t="s">
        <v>605</v>
      </c>
      <c r="M1096" s="114">
        <v>1</v>
      </c>
      <c r="N1096" s="66">
        <v>30</v>
      </c>
      <c r="O1096" s="27" t="s">
        <v>183</v>
      </c>
      <c r="P1096" s="64">
        <v>104400</v>
      </c>
      <c r="Q1096" s="79"/>
      <c r="R1096" s="42" t="s">
        <v>270</v>
      </c>
      <c r="S1096" s="80">
        <v>0.125</v>
      </c>
      <c r="T1096" s="115">
        <v>0.05</v>
      </c>
      <c r="U1096" s="52"/>
      <c r="V1096" s="77"/>
      <c r="W1096" s="52">
        <f>IF(NOTA[[#This Row],[HARGA/ CTN]]="",NOTA[[#This Row],[JUMLAH_H]],NOTA[[#This Row],[HARGA/ CTN]]*IF(NOTA[[#This Row],[C]]="",0,NOTA[[#This Row],[C]]))</f>
        <v>3132000</v>
      </c>
      <c r="X1096" s="52">
        <f>IF(NOTA[[#This Row],[JUMLAH]]="","",NOTA[[#This Row],[JUMLAH]]*NOTA[[#This Row],[DISC 1]])</f>
        <v>391500</v>
      </c>
      <c r="Y1096" s="52">
        <f>IF(NOTA[[#This Row],[JUMLAH]]="","",(NOTA[[#This Row],[JUMLAH]]-NOTA[[#This Row],[DISC 1-]])*NOTA[[#This Row],[DISC 2]])</f>
        <v>137025</v>
      </c>
      <c r="Z1096" s="52">
        <f>IF(NOTA[[#This Row],[JUMLAH]]="","",NOTA[[#This Row],[DISC 1-]]+NOTA[[#This Row],[DISC 2-]])</f>
        <v>528525</v>
      </c>
      <c r="AA1096" s="52">
        <f>IF(NOTA[[#This Row],[JUMLAH]]="","",NOTA[[#This Row],[JUMLAH]]-NOTA[[#This Row],[DISC]])</f>
        <v>2603475</v>
      </c>
      <c r="AB1096" s="52"/>
      <c r="AC10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6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096" s="203">
        <f>IF(OR(NOTA[[#This Row],[QTY]]="",NOTA[[#This Row],[HARGA SATUAN]]="",),"",NOTA[[#This Row],[QTY]]*NOTA[[#This Row],[HARGA SATUAN]])</f>
        <v>3132000</v>
      </c>
      <c r="AG1096" s="53">
        <f ca="1">IF(NOTA[ID_H]="","",INDEX(NOTA[TANGGAL],MATCH(,INDIRECT(ADDRESS(ROW(NOTA[TANGGAL]),COLUMN(NOTA[TANGGAL]))&amp;":"&amp;ADDRESS(ROW(),COLUMN(NOTA[TANGGAL]))),-1)))</f>
        <v>45079</v>
      </c>
      <c r="AH1096" s="64" t="str">
        <f ca="1">IF(NOTA[[#This Row],[NAMA BARANG]]="","",INDEX(NOTA[SUPPLIER],MATCH(,INDIRECT(ADDRESS(ROW(NOTA[ID]),COLUMN(NOTA[ID]))&amp;":"&amp;ADDRESS(ROW(),COLUMN(NOTA[ID]))),-1)))</f>
        <v>ATALI MAKMUR</v>
      </c>
      <c r="AI1096" s="64" t="str">
        <f ca="1">IF(NOTA[[#This Row],[ID_H]]="","",IF(NOTA[[#This Row],[FAKTUR]]="",INDIRECT(ADDRESS(ROW()-1,COLUMN())),NOTA[[#This Row],[FAKTUR]]))</f>
        <v>ARTO MORO</v>
      </c>
      <c r="AJ1096" s="66">
        <f ca="1">IF(NOTA[[#This Row],[ID]]="","",COUNTIF(NOTA[ID_H],NOTA[[#This Row],[ID_H]]))</f>
        <v>7</v>
      </c>
      <c r="AK1096" s="66">
        <f>IF(NOTA[[#This Row],[TGL.NOTA]]="",IF(NOTA[[#This Row],[SUPPLIER_H]]="","",AK1095),MONTH(NOTA[[#This Row],[TGL.NOTA]]))</f>
        <v>5</v>
      </c>
      <c r="AL109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0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0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09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MOROSA23050863745076pencilp882bjk</v>
      </c>
      <c r="AP1096" s="66" t="e">
        <f>IF(NOTA[[#This Row],[CONCAT4]]="","",_xlfn.IFNA(MATCH(NOTA[[#This Row],[CONCAT4]],[2]!RAW[CONCAT_H],0),FALSE))</f>
        <v>#REF!</v>
      </c>
      <c r="AQ1096" s="66">
        <f>IF(NOTA[[#This Row],[CONCAT1]]="","",MATCH(NOTA[[#This Row],[CONCAT1]],[3]!db[NB NOTA_C],0)+1)</f>
        <v>1927</v>
      </c>
    </row>
    <row r="1097" spans="1:43" ht="20.100000000000001" customHeight="1" x14ac:dyDescent="0.25">
      <c r="A109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7" s="66" t="str">
        <f>IF(NOTA[[#This Row],[ID_P]]="","",MATCH(NOTA[[#This Row],[ID_P]],[1]!B_MSK[N_ID],0))</f>
        <v/>
      </c>
      <c r="D1097" s="66">
        <f ca="1">IF(NOTA[[#This Row],[NAMA BARANG]]="","",INDEX(NOTA[ID],MATCH(,INDIRECT(ADDRESS(ROW(NOTA[ID]),COLUMN(NOTA[ID]))&amp;":"&amp;ADDRESS(ROW(),COLUMN(NOTA[ID]))),-1)))</f>
        <v>183</v>
      </c>
      <c r="E1097" s="113"/>
      <c r="H1097" s="54"/>
      <c r="L1097" s="27" t="s">
        <v>1224</v>
      </c>
      <c r="M1097" s="114">
        <v>1</v>
      </c>
      <c r="N1097" s="66">
        <v>30</v>
      </c>
      <c r="O1097" s="27" t="s">
        <v>183</v>
      </c>
      <c r="P1097" s="64">
        <v>109200</v>
      </c>
      <c r="Q1097" s="79"/>
      <c r="R1097" s="42" t="s">
        <v>270</v>
      </c>
      <c r="S1097" s="80">
        <v>0.125</v>
      </c>
      <c r="T1097" s="115">
        <v>0.05</v>
      </c>
      <c r="U1097" s="52"/>
      <c r="V1097" s="77"/>
      <c r="W1097" s="52">
        <f>IF(NOTA[[#This Row],[HARGA/ CTN]]="",NOTA[[#This Row],[JUMLAH_H]],NOTA[[#This Row],[HARGA/ CTN]]*IF(NOTA[[#This Row],[C]]="",0,NOTA[[#This Row],[C]]))</f>
        <v>3276000</v>
      </c>
      <c r="X1097" s="52">
        <f>IF(NOTA[[#This Row],[JUMLAH]]="","",NOTA[[#This Row],[JUMLAH]]*NOTA[[#This Row],[DISC 1]])</f>
        <v>409500</v>
      </c>
      <c r="Y1097" s="52">
        <f>IF(NOTA[[#This Row],[JUMLAH]]="","",(NOTA[[#This Row],[JUMLAH]]-NOTA[[#This Row],[DISC 1-]])*NOTA[[#This Row],[DISC 2]])</f>
        <v>143325</v>
      </c>
      <c r="Z1097" s="52">
        <f>IF(NOTA[[#This Row],[JUMLAH]]="","",NOTA[[#This Row],[DISC 1-]]+NOTA[[#This Row],[DISC 2-]])</f>
        <v>552825</v>
      </c>
      <c r="AA1097" s="52">
        <f>IF(NOTA[[#This Row],[JUMLAH]]="","",NOTA[[#This Row],[JUMLAH]]-NOTA[[#This Row],[DISC]])</f>
        <v>2723175</v>
      </c>
      <c r="AB1097" s="52"/>
      <c r="AC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7" s="64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F1097" s="203">
        <f>IF(OR(NOTA[[#This Row],[QTY]]="",NOTA[[#This Row],[HARGA SATUAN]]="",),"",NOTA[[#This Row],[QTY]]*NOTA[[#This Row],[HARGA SATUAN]])</f>
        <v>3276000</v>
      </c>
      <c r="AG1097" s="53">
        <f ca="1">IF(NOTA[ID_H]="","",INDEX(NOTA[TANGGAL],MATCH(,INDIRECT(ADDRESS(ROW(NOTA[TANGGAL]),COLUMN(NOTA[TANGGAL]))&amp;":"&amp;ADDRESS(ROW(),COLUMN(NOTA[TANGGAL]))),-1)))</f>
        <v>45079</v>
      </c>
      <c r="AH1097" s="64" t="str">
        <f ca="1">IF(NOTA[[#This Row],[NAMA BARANG]]="","",INDEX(NOTA[SUPPLIER],MATCH(,INDIRECT(ADDRESS(ROW(NOTA[ID]),COLUMN(NOTA[ID]))&amp;":"&amp;ADDRESS(ROW(),COLUMN(NOTA[ID]))),-1)))</f>
        <v>ATALI MAKMUR</v>
      </c>
      <c r="AI1097" s="64" t="str">
        <f ca="1">IF(NOTA[[#This Row],[ID_H]]="","",IF(NOTA[[#This Row],[FAKTUR]]="",INDIRECT(ADDRESS(ROW()-1,COLUMN())),NOTA[[#This Row],[FAKTUR]]))</f>
        <v>ARTO MORO</v>
      </c>
      <c r="AJ1097" s="66" t="str">
        <f ca="1">IF(NOTA[[#This Row],[ID]]="","",COUNTIF(NOTA[ID_H],NOTA[[#This Row],[ID_H]]))</f>
        <v/>
      </c>
      <c r="AK1097" s="66">
        <f ca="1">IF(NOTA[[#This Row],[TGL.NOTA]]="",IF(NOTA[[#This Row],[SUPPLIER_H]]="","",AK1096),MONTH(NOTA[[#This Row],[TGL.NOTA]]))</f>
        <v>5</v>
      </c>
      <c r="AL1097" s="66" t="str">
        <f>LOWER(SUBSTITUTE(SUBSTITUTE(SUBSTITUTE(SUBSTITUTE(SUBSTITUTE(SUBSTITUTE(SUBSTITUTE(SUBSTITUTE(SUBSTITUTE(NOTA[NAMA BARANG]," ",),".",""),"-",""),"(",""),")",""),",",""),"/",""),"""",""),"+",""))</f>
        <v>pencilp902bjk</v>
      </c>
      <c r="AM10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N10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O10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7" s="66" t="str">
        <f>IF(NOTA[[#This Row],[CONCAT4]]="","",_xlfn.IFNA(MATCH(NOTA[[#This Row],[CONCAT4]],[2]!RAW[CONCAT_H],0),FALSE))</f>
        <v/>
      </c>
      <c r="AQ1097" s="66">
        <f>IF(NOTA[[#This Row],[CONCAT1]]="","",MATCH(NOTA[[#This Row],[CONCAT1]],[3]!db[NB NOTA_C],0)+1)</f>
        <v>1928</v>
      </c>
    </row>
    <row r="1098" spans="1:43" ht="20.100000000000001" customHeight="1" x14ac:dyDescent="0.25">
      <c r="A109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8" s="66" t="str">
        <f>IF(NOTA[[#This Row],[ID_P]]="","",MATCH(NOTA[[#This Row],[ID_P]],[1]!B_MSK[N_ID],0))</f>
        <v/>
      </c>
      <c r="D1098" s="66">
        <f ca="1">IF(NOTA[[#This Row],[NAMA BARANG]]="","",INDEX(NOTA[ID],MATCH(,INDIRECT(ADDRESS(ROW(NOTA[ID]),COLUMN(NOTA[ID]))&amp;":"&amp;ADDRESS(ROW(),COLUMN(NOTA[ID]))),-1)))</f>
        <v>183</v>
      </c>
      <c r="E1098" s="113"/>
      <c r="H1098" s="54"/>
      <c r="L1098" s="27" t="s">
        <v>1225</v>
      </c>
      <c r="M1098" s="114">
        <v>1</v>
      </c>
      <c r="N1098" s="66">
        <v>24</v>
      </c>
      <c r="O1098" s="27" t="s">
        <v>160</v>
      </c>
      <c r="P1098" s="64">
        <v>24300</v>
      </c>
      <c r="Q1098" s="79"/>
      <c r="R1098" s="42" t="s">
        <v>236</v>
      </c>
      <c r="S1098" s="80">
        <v>0.125</v>
      </c>
      <c r="T1098" s="115">
        <v>0.05</v>
      </c>
      <c r="U1098" s="52"/>
      <c r="V1098" s="77"/>
      <c r="W1098" s="52">
        <f>IF(NOTA[[#This Row],[HARGA/ CTN]]="",NOTA[[#This Row],[JUMLAH_H]],NOTA[[#This Row],[HARGA/ CTN]]*IF(NOTA[[#This Row],[C]]="",0,NOTA[[#This Row],[C]]))</f>
        <v>583200</v>
      </c>
      <c r="X1098" s="52">
        <f>IF(NOTA[[#This Row],[JUMLAH]]="","",NOTA[[#This Row],[JUMLAH]]*NOTA[[#This Row],[DISC 1]])</f>
        <v>72900</v>
      </c>
      <c r="Y1098" s="52">
        <f>IF(NOTA[[#This Row],[JUMLAH]]="","",(NOTA[[#This Row],[JUMLAH]]-NOTA[[#This Row],[DISC 1-]])*NOTA[[#This Row],[DISC 2]])</f>
        <v>25515</v>
      </c>
      <c r="Z1098" s="52">
        <f>IF(NOTA[[#This Row],[JUMLAH]]="","",NOTA[[#This Row],[DISC 1-]]+NOTA[[#This Row],[DISC 2-]])</f>
        <v>98415</v>
      </c>
      <c r="AA1098" s="52">
        <f>IF(NOTA[[#This Row],[JUMLAH]]="","",NOTA[[#This Row],[JUMLAH]]-NOTA[[#This Row],[DISC]])</f>
        <v>484785</v>
      </c>
      <c r="AB1098" s="52"/>
      <c r="AC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8" s="64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1098" s="203">
        <f>IF(OR(NOTA[[#This Row],[QTY]]="",NOTA[[#This Row],[HARGA SATUAN]]="",),"",NOTA[[#This Row],[QTY]]*NOTA[[#This Row],[HARGA SATUAN]])</f>
        <v>583200</v>
      </c>
      <c r="AG1098" s="53">
        <f ca="1">IF(NOTA[ID_H]="","",INDEX(NOTA[TANGGAL],MATCH(,INDIRECT(ADDRESS(ROW(NOTA[TANGGAL]),COLUMN(NOTA[TANGGAL]))&amp;":"&amp;ADDRESS(ROW(),COLUMN(NOTA[TANGGAL]))),-1)))</f>
        <v>45079</v>
      </c>
      <c r="AH1098" s="64" t="str">
        <f ca="1">IF(NOTA[[#This Row],[NAMA BARANG]]="","",INDEX(NOTA[SUPPLIER],MATCH(,INDIRECT(ADDRESS(ROW(NOTA[ID]),COLUMN(NOTA[ID]))&amp;":"&amp;ADDRESS(ROW(),COLUMN(NOTA[ID]))),-1)))</f>
        <v>ATALI MAKMUR</v>
      </c>
      <c r="AI1098" s="64" t="str">
        <f ca="1">IF(NOTA[[#This Row],[ID_H]]="","",IF(NOTA[[#This Row],[FAKTUR]]="",INDIRECT(ADDRESS(ROW()-1,COLUMN())),NOTA[[#This Row],[FAKTUR]]))</f>
        <v>ARTO MORO</v>
      </c>
      <c r="AJ1098" s="66" t="str">
        <f ca="1">IF(NOTA[[#This Row],[ID]]="","",COUNTIF(NOTA[ID_H],NOTA[[#This Row],[ID_H]]))</f>
        <v/>
      </c>
      <c r="AK1098" s="66">
        <f ca="1">IF(NOTA[[#This Row],[TGL.NOTA]]="",IF(NOTA[[#This Row],[SUPPLIER_H]]="","",AK1097),MONTH(NOTA[[#This Row],[TGL.NOTA]]))</f>
        <v>5</v>
      </c>
      <c r="AL1098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M10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10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10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8" s="66" t="str">
        <f>IF(NOTA[[#This Row],[CONCAT4]]="","",_xlfn.IFNA(MATCH(NOTA[[#This Row],[CONCAT4]],[2]!RAW[CONCAT_H],0),FALSE))</f>
        <v/>
      </c>
      <c r="AQ1098" s="66">
        <f>IF(NOTA[[#This Row],[CONCAT1]]="","",MATCH(NOTA[[#This Row],[CONCAT1]],[3]!db[NB NOTA_C],0)+1)</f>
        <v>2217</v>
      </c>
    </row>
    <row r="1099" spans="1:43" ht="20.100000000000001" customHeight="1" x14ac:dyDescent="0.25">
      <c r="A109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9" s="66" t="str">
        <f>IF(NOTA[[#This Row],[ID_P]]="","",MATCH(NOTA[[#This Row],[ID_P]],[1]!B_MSK[N_ID],0))</f>
        <v/>
      </c>
      <c r="D1099" s="66">
        <f ca="1">IF(NOTA[[#This Row],[NAMA BARANG]]="","",INDEX(NOTA[ID],MATCH(,INDIRECT(ADDRESS(ROW(NOTA[ID]),COLUMN(NOTA[ID]))&amp;":"&amp;ADDRESS(ROW(),COLUMN(NOTA[ID]))),-1)))</f>
        <v>183</v>
      </c>
      <c r="E1099" s="113"/>
      <c r="H1099" s="54"/>
      <c r="L1099" s="27" t="s">
        <v>828</v>
      </c>
      <c r="M1099" s="114">
        <v>1</v>
      </c>
      <c r="N1099" s="66">
        <v>24</v>
      </c>
      <c r="O1099" s="27" t="s">
        <v>160</v>
      </c>
      <c r="P1099" s="64">
        <v>11100</v>
      </c>
      <c r="Q1099" s="79"/>
      <c r="R1099" s="42" t="s">
        <v>236</v>
      </c>
      <c r="S1099" s="80">
        <v>0.125</v>
      </c>
      <c r="T1099" s="115">
        <v>0.05</v>
      </c>
      <c r="U1099" s="52"/>
      <c r="V1099" s="77"/>
      <c r="W1099" s="52">
        <f>IF(NOTA[[#This Row],[HARGA/ CTN]]="",NOTA[[#This Row],[JUMLAH_H]],NOTA[[#This Row],[HARGA/ CTN]]*IF(NOTA[[#This Row],[C]]="",0,NOTA[[#This Row],[C]]))</f>
        <v>266400</v>
      </c>
      <c r="X1099" s="52">
        <f>IF(NOTA[[#This Row],[JUMLAH]]="","",NOTA[[#This Row],[JUMLAH]]*NOTA[[#This Row],[DISC 1]])</f>
        <v>33300</v>
      </c>
      <c r="Y1099" s="52">
        <f>IF(NOTA[[#This Row],[JUMLAH]]="","",(NOTA[[#This Row],[JUMLAH]]-NOTA[[#This Row],[DISC 1-]])*NOTA[[#This Row],[DISC 2]])</f>
        <v>11655</v>
      </c>
      <c r="Z1099" s="52">
        <f>IF(NOTA[[#This Row],[JUMLAH]]="","",NOTA[[#This Row],[DISC 1-]]+NOTA[[#This Row],[DISC 2-]])</f>
        <v>44955</v>
      </c>
      <c r="AA1099" s="52">
        <f>IF(NOTA[[#This Row],[JUMLAH]]="","",NOTA[[#This Row],[JUMLAH]]-NOTA[[#This Row],[DISC]])</f>
        <v>221445</v>
      </c>
      <c r="AB1099" s="52"/>
      <c r="AC10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9" s="64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1099" s="203">
        <f>IF(OR(NOTA[[#This Row],[QTY]]="",NOTA[[#This Row],[HARGA SATUAN]]="",),"",NOTA[[#This Row],[QTY]]*NOTA[[#This Row],[HARGA SATUAN]])</f>
        <v>266400</v>
      </c>
      <c r="AG1099" s="53">
        <f ca="1">IF(NOTA[ID_H]="","",INDEX(NOTA[TANGGAL],MATCH(,INDIRECT(ADDRESS(ROW(NOTA[TANGGAL]),COLUMN(NOTA[TANGGAL]))&amp;":"&amp;ADDRESS(ROW(),COLUMN(NOTA[TANGGAL]))),-1)))</f>
        <v>45079</v>
      </c>
      <c r="AH1099" s="64" t="str">
        <f ca="1">IF(NOTA[[#This Row],[NAMA BARANG]]="","",INDEX(NOTA[SUPPLIER],MATCH(,INDIRECT(ADDRESS(ROW(NOTA[ID]),COLUMN(NOTA[ID]))&amp;":"&amp;ADDRESS(ROW(),COLUMN(NOTA[ID]))),-1)))</f>
        <v>ATALI MAKMUR</v>
      </c>
      <c r="AI1099" s="64" t="str">
        <f ca="1">IF(NOTA[[#This Row],[ID_H]]="","",IF(NOTA[[#This Row],[FAKTUR]]="",INDIRECT(ADDRESS(ROW()-1,COLUMN())),NOTA[[#This Row],[FAKTUR]]))</f>
        <v>ARTO MORO</v>
      </c>
      <c r="AJ1099" s="66" t="str">
        <f ca="1">IF(NOTA[[#This Row],[ID]]="","",COUNTIF(NOTA[ID_H],NOTA[[#This Row],[ID_H]]))</f>
        <v/>
      </c>
      <c r="AK1099" s="66">
        <f ca="1">IF(NOTA[[#This Row],[TGL.NOTA]]="",IF(NOTA[[#This Row],[SUPPLIER_H]]="","",AK1098),MONTH(NOTA[[#This Row],[TGL.NOTA]]))</f>
        <v>5</v>
      </c>
      <c r="AL1099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M10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10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10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99" s="66" t="str">
        <f>IF(NOTA[[#This Row],[CONCAT4]]="","",_xlfn.IFNA(MATCH(NOTA[[#This Row],[CONCAT4]],[2]!RAW[CONCAT_H],0),FALSE))</f>
        <v/>
      </c>
      <c r="AQ1099" s="66">
        <f>IF(NOTA[[#This Row],[CONCAT1]]="","",MATCH(NOTA[[#This Row],[CONCAT1]],[3]!db[NB NOTA_C],0)+1)</f>
        <v>2218</v>
      </c>
    </row>
    <row r="1100" spans="1:43" ht="20.100000000000001" customHeight="1" x14ac:dyDescent="0.25">
      <c r="A110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0" s="66" t="str">
        <f>IF(NOTA[[#This Row],[ID_P]]="","",MATCH(NOTA[[#This Row],[ID_P]],[1]!B_MSK[N_ID],0))</f>
        <v/>
      </c>
      <c r="D1100" s="66">
        <f ca="1">IF(NOTA[[#This Row],[NAMA BARANG]]="","",INDEX(NOTA[ID],MATCH(,INDIRECT(ADDRESS(ROW(NOTA[ID]),COLUMN(NOTA[ID]))&amp;":"&amp;ADDRESS(ROW(),COLUMN(NOTA[ID]))),-1)))</f>
        <v>183</v>
      </c>
      <c r="E1100" s="113"/>
      <c r="H1100" s="54"/>
      <c r="L1100" s="27" t="s">
        <v>290</v>
      </c>
      <c r="M1100" s="114">
        <v>1</v>
      </c>
      <c r="N1100" s="66">
        <v>24</v>
      </c>
      <c r="O1100" s="27" t="s">
        <v>160</v>
      </c>
      <c r="P1100" s="64">
        <v>19000</v>
      </c>
      <c r="Q1100" s="79"/>
      <c r="R1100" s="42" t="s">
        <v>236</v>
      </c>
      <c r="S1100" s="80">
        <v>0.125</v>
      </c>
      <c r="T1100" s="115">
        <v>0.05</v>
      </c>
      <c r="U1100" s="52"/>
      <c r="V1100" s="77"/>
      <c r="W1100" s="52">
        <f>IF(NOTA[[#This Row],[HARGA/ CTN]]="",NOTA[[#This Row],[JUMLAH_H]],NOTA[[#This Row],[HARGA/ CTN]]*IF(NOTA[[#This Row],[C]]="",0,NOTA[[#This Row],[C]]))</f>
        <v>456000</v>
      </c>
      <c r="X1100" s="52">
        <f>IF(NOTA[[#This Row],[JUMLAH]]="","",NOTA[[#This Row],[JUMLAH]]*NOTA[[#This Row],[DISC 1]])</f>
        <v>57000</v>
      </c>
      <c r="Y1100" s="52">
        <f>IF(NOTA[[#This Row],[JUMLAH]]="","",(NOTA[[#This Row],[JUMLAH]]-NOTA[[#This Row],[DISC 1-]])*NOTA[[#This Row],[DISC 2]])</f>
        <v>19950</v>
      </c>
      <c r="Z1100" s="52">
        <f>IF(NOTA[[#This Row],[JUMLAH]]="","",NOTA[[#This Row],[DISC 1-]]+NOTA[[#This Row],[DISC 2-]])</f>
        <v>76950</v>
      </c>
      <c r="AA1100" s="52">
        <f>IF(NOTA[[#This Row],[JUMLAH]]="","",NOTA[[#This Row],[JUMLAH]]-NOTA[[#This Row],[DISC]])</f>
        <v>379050</v>
      </c>
      <c r="AB1100" s="52"/>
      <c r="AC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0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00" s="203">
        <f>IF(OR(NOTA[[#This Row],[QTY]]="",NOTA[[#This Row],[HARGA SATUAN]]="",),"",NOTA[[#This Row],[QTY]]*NOTA[[#This Row],[HARGA SATUAN]])</f>
        <v>456000</v>
      </c>
      <c r="AG1100" s="53">
        <f ca="1">IF(NOTA[ID_H]="","",INDEX(NOTA[TANGGAL],MATCH(,INDIRECT(ADDRESS(ROW(NOTA[TANGGAL]),COLUMN(NOTA[TANGGAL]))&amp;":"&amp;ADDRESS(ROW(),COLUMN(NOTA[TANGGAL]))),-1)))</f>
        <v>45079</v>
      </c>
      <c r="AH1100" s="64" t="str">
        <f ca="1">IF(NOTA[[#This Row],[NAMA BARANG]]="","",INDEX(NOTA[SUPPLIER],MATCH(,INDIRECT(ADDRESS(ROW(NOTA[ID]),COLUMN(NOTA[ID]))&amp;":"&amp;ADDRESS(ROW(),COLUMN(NOTA[ID]))),-1)))</f>
        <v>ATALI MAKMUR</v>
      </c>
      <c r="AI1100" s="64" t="str">
        <f ca="1">IF(NOTA[[#This Row],[ID_H]]="","",IF(NOTA[[#This Row],[FAKTUR]]="",INDIRECT(ADDRESS(ROW()-1,COLUMN())),NOTA[[#This Row],[FAKTUR]]))</f>
        <v>ARTO MORO</v>
      </c>
      <c r="AJ1100" s="66" t="str">
        <f ca="1">IF(NOTA[[#This Row],[ID]]="","",COUNTIF(NOTA[ID_H],NOTA[[#This Row],[ID_H]]))</f>
        <v/>
      </c>
      <c r="AK1100" s="66">
        <f ca="1">IF(NOTA[[#This Row],[TGL.NOTA]]="",IF(NOTA[[#This Row],[SUPPLIER_H]]="","",AK1099),MONTH(NOTA[[#This Row],[TGL.NOTA]]))</f>
        <v>5</v>
      </c>
      <c r="AL110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0" s="66" t="str">
        <f>IF(NOTA[[#This Row],[CONCAT4]]="","",_xlfn.IFNA(MATCH(NOTA[[#This Row],[CONCAT4]],[2]!RAW[CONCAT_H],0),FALSE))</f>
        <v/>
      </c>
      <c r="AQ1100" s="66">
        <f>IF(NOTA[[#This Row],[CONCAT1]]="","",MATCH(NOTA[[#This Row],[CONCAT1]],[3]!db[NB NOTA_C],0)+1)</f>
        <v>2219</v>
      </c>
    </row>
    <row r="1101" spans="1:43" ht="20.100000000000001" customHeight="1" x14ac:dyDescent="0.25">
      <c r="A110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1" s="66" t="str">
        <f>IF(NOTA[[#This Row],[ID_P]]="","",MATCH(NOTA[[#This Row],[ID_P]],[1]!B_MSK[N_ID],0))</f>
        <v/>
      </c>
      <c r="D1101" s="66">
        <f ca="1">IF(NOTA[[#This Row],[NAMA BARANG]]="","",INDEX(NOTA[ID],MATCH(,INDIRECT(ADDRESS(ROW(NOTA[ID]),COLUMN(NOTA[ID]))&amp;":"&amp;ADDRESS(ROW(),COLUMN(NOTA[ID]))),-1)))</f>
        <v>183</v>
      </c>
      <c r="E1101" s="113"/>
      <c r="H1101" s="54"/>
      <c r="L1101" s="27" t="s">
        <v>1136</v>
      </c>
      <c r="M1101" s="114">
        <v>1</v>
      </c>
      <c r="N1101" s="66">
        <v>24</v>
      </c>
      <c r="O1101" s="27" t="s">
        <v>160</v>
      </c>
      <c r="P1101" s="64">
        <v>22500</v>
      </c>
      <c r="Q1101" s="79"/>
      <c r="R1101" s="42" t="s">
        <v>236</v>
      </c>
      <c r="S1101" s="80">
        <v>0.125</v>
      </c>
      <c r="T1101" s="115">
        <v>0.05</v>
      </c>
      <c r="U1101" s="52"/>
      <c r="V1101" s="77"/>
      <c r="W1101" s="52">
        <f>IF(NOTA[[#This Row],[HARGA/ CTN]]="",NOTA[[#This Row],[JUMLAH_H]],NOTA[[#This Row],[HARGA/ CTN]]*IF(NOTA[[#This Row],[C]]="",0,NOTA[[#This Row],[C]]))</f>
        <v>540000</v>
      </c>
      <c r="X1101" s="52">
        <f>IF(NOTA[[#This Row],[JUMLAH]]="","",NOTA[[#This Row],[JUMLAH]]*NOTA[[#This Row],[DISC 1]])</f>
        <v>67500</v>
      </c>
      <c r="Y1101" s="52">
        <f>IF(NOTA[[#This Row],[JUMLAH]]="","",(NOTA[[#This Row],[JUMLAH]]-NOTA[[#This Row],[DISC 1-]])*NOTA[[#This Row],[DISC 2]])</f>
        <v>23625</v>
      </c>
      <c r="Z1101" s="52">
        <f>IF(NOTA[[#This Row],[JUMLAH]]="","",NOTA[[#This Row],[DISC 1-]]+NOTA[[#This Row],[DISC 2-]])</f>
        <v>91125</v>
      </c>
      <c r="AA1101" s="52">
        <f>IF(NOTA[[#This Row],[JUMLAH]]="","",NOTA[[#This Row],[JUMLAH]]-NOTA[[#This Row],[DISC]])</f>
        <v>448875</v>
      </c>
      <c r="AB1101" s="52"/>
      <c r="AC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1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01" s="203">
        <f>IF(OR(NOTA[[#This Row],[QTY]]="",NOTA[[#This Row],[HARGA SATUAN]]="",),"",NOTA[[#This Row],[QTY]]*NOTA[[#This Row],[HARGA SATUAN]])</f>
        <v>540000</v>
      </c>
      <c r="AG1101" s="53">
        <f ca="1">IF(NOTA[ID_H]="","",INDEX(NOTA[TANGGAL],MATCH(,INDIRECT(ADDRESS(ROW(NOTA[TANGGAL]),COLUMN(NOTA[TANGGAL]))&amp;":"&amp;ADDRESS(ROW(),COLUMN(NOTA[TANGGAL]))),-1)))</f>
        <v>45079</v>
      </c>
      <c r="AH1101" s="64" t="str">
        <f ca="1">IF(NOTA[[#This Row],[NAMA BARANG]]="","",INDEX(NOTA[SUPPLIER],MATCH(,INDIRECT(ADDRESS(ROW(NOTA[ID]),COLUMN(NOTA[ID]))&amp;":"&amp;ADDRESS(ROW(),COLUMN(NOTA[ID]))),-1)))</f>
        <v>ATALI MAKMUR</v>
      </c>
      <c r="AI1101" s="64" t="str">
        <f ca="1">IF(NOTA[[#This Row],[ID_H]]="","",IF(NOTA[[#This Row],[FAKTUR]]="",INDIRECT(ADDRESS(ROW()-1,COLUMN())),NOTA[[#This Row],[FAKTUR]]))</f>
        <v>ARTO MORO</v>
      </c>
      <c r="AJ1101" s="66" t="str">
        <f ca="1">IF(NOTA[[#This Row],[ID]]="","",COUNTIF(NOTA[ID_H],NOTA[[#This Row],[ID_H]]))</f>
        <v/>
      </c>
      <c r="AK1101" s="66">
        <f ca="1">IF(NOTA[[#This Row],[TGL.NOTA]]="",IF(NOTA[[#This Row],[SUPPLIER_H]]="","",AK1100),MONTH(NOTA[[#This Row],[TGL.NOTA]]))</f>
        <v>5</v>
      </c>
      <c r="AL1101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1" s="66" t="str">
        <f>IF(NOTA[[#This Row],[CONCAT4]]="","",_xlfn.IFNA(MATCH(NOTA[[#This Row],[CONCAT4]],[2]!RAW[CONCAT_H],0),FALSE))</f>
        <v/>
      </c>
      <c r="AQ1101" s="66">
        <f>IF(NOTA[[#This Row],[CONCAT1]]="","",MATCH(NOTA[[#This Row],[CONCAT1]],[3]!db[NB NOTA_C],0)+1)</f>
        <v>2216</v>
      </c>
    </row>
    <row r="1102" spans="1:43" ht="20.100000000000001" customHeight="1" x14ac:dyDescent="0.25">
      <c r="A110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2" s="66" t="str">
        <f>IF(NOTA[[#This Row],[ID_P]]="","",MATCH(NOTA[[#This Row],[ID_P]],[1]!B_MSK[N_ID],0))</f>
        <v/>
      </c>
      <c r="D1102" s="66">
        <f ca="1">IF(NOTA[[#This Row],[NAMA BARANG]]="","",INDEX(NOTA[ID],MATCH(,INDIRECT(ADDRESS(ROW(NOTA[ID]),COLUMN(NOTA[ID]))&amp;":"&amp;ADDRESS(ROW(),COLUMN(NOTA[ID]))),-1)))</f>
        <v>183</v>
      </c>
      <c r="E1102" s="113"/>
      <c r="H1102" s="54"/>
      <c r="L1102" s="27" t="s">
        <v>612</v>
      </c>
      <c r="M1102" s="114">
        <v>1</v>
      </c>
      <c r="N1102" s="66">
        <v>144</v>
      </c>
      <c r="O1102" s="27" t="s">
        <v>146</v>
      </c>
      <c r="P1102" s="64">
        <v>27600</v>
      </c>
      <c r="Q1102" s="79"/>
      <c r="R1102" s="42" t="s">
        <v>293</v>
      </c>
      <c r="S1102" s="80">
        <v>0.125</v>
      </c>
      <c r="T1102" s="115">
        <v>0.05</v>
      </c>
      <c r="U1102" s="52"/>
      <c r="V1102" s="77"/>
      <c r="W1102" s="52">
        <f>IF(NOTA[[#This Row],[HARGA/ CTN]]="",NOTA[[#This Row],[JUMLAH_H]],NOTA[[#This Row],[HARGA/ CTN]]*IF(NOTA[[#This Row],[C]]="",0,NOTA[[#This Row],[C]]))</f>
        <v>3974400</v>
      </c>
      <c r="X1102" s="52">
        <f>IF(NOTA[[#This Row],[JUMLAH]]="","",NOTA[[#This Row],[JUMLAH]]*NOTA[[#This Row],[DISC 1]])</f>
        <v>496800</v>
      </c>
      <c r="Y1102" s="52">
        <f>IF(NOTA[[#This Row],[JUMLAH]]="","",(NOTA[[#This Row],[JUMLAH]]-NOTA[[#This Row],[DISC 1-]])*NOTA[[#This Row],[DISC 2]])</f>
        <v>173880</v>
      </c>
      <c r="Z1102" s="52">
        <f>IF(NOTA[[#This Row],[JUMLAH]]="","",NOTA[[#This Row],[DISC 1-]]+NOTA[[#This Row],[DISC 2-]])</f>
        <v>670680</v>
      </c>
      <c r="AA1102" s="52">
        <f>IF(NOTA[[#This Row],[JUMLAH]]="","",NOTA[[#This Row],[JUMLAH]]-NOTA[[#This Row],[DISC]])</f>
        <v>3303720</v>
      </c>
      <c r="AB1102" s="52"/>
      <c r="AC11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2063475</v>
      </c>
      <c r="AD110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10164525</v>
      </c>
      <c r="AE1102" s="64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02" s="203">
        <f>IF(OR(NOTA[[#This Row],[QTY]]="",NOTA[[#This Row],[HARGA SATUAN]]="",),"",NOTA[[#This Row],[QTY]]*NOTA[[#This Row],[HARGA SATUAN]])</f>
        <v>3974400</v>
      </c>
      <c r="AG1102" s="53">
        <f ca="1">IF(NOTA[ID_H]="","",INDEX(NOTA[TANGGAL],MATCH(,INDIRECT(ADDRESS(ROW(NOTA[TANGGAL]),COLUMN(NOTA[TANGGAL]))&amp;":"&amp;ADDRESS(ROW(),COLUMN(NOTA[TANGGAL]))),-1)))</f>
        <v>45079</v>
      </c>
      <c r="AH1102" s="64" t="str">
        <f ca="1">IF(NOTA[[#This Row],[NAMA BARANG]]="","",INDEX(NOTA[SUPPLIER],MATCH(,INDIRECT(ADDRESS(ROW(NOTA[ID]),COLUMN(NOTA[ID]))&amp;":"&amp;ADDRESS(ROW(),COLUMN(NOTA[ID]))),-1)))</f>
        <v>ATALI MAKMUR</v>
      </c>
      <c r="AI1102" s="64" t="str">
        <f ca="1">IF(NOTA[[#This Row],[ID_H]]="","",IF(NOTA[[#This Row],[FAKTUR]]="",INDIRECT(ADDRESS(ROW()-1,COLUMN())),NOTA[[#This Row],[FAKTUR]]))</f>
        <v>ARTO MORO</v>
      </c>
      <c r="AJ1102" s="66" t="str">
        <f ca="1">IF(NOTA[[#This Row],[ID]]="","",COUNTIF(NOTA[ID_H],NOTA[[#This Row],[ID_H]]))</f>
        <v/>
      </c>
      <c r="AK1102" s="66">
        <f ca="1">IF(NOTA[[#This Row],[TGL.NOTA]]="",IF(NOTA[[#This Row],[SUPPLIER_H]]="","",AK1101),MONTH(NOTA[[#This Row],[TGL.NOTA]]))</f>
        <v>5</v>
      </c>
      <c r="AL1102" s="6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M11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N11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2" s="66" t="str">
        <f>IF(NOTA[[#This Row],[CONCAT4]]="","",_xlfn.IFNA(MATCH(NOTA[[#This Row],[CONCAT4]],[2]!RAW[CONCAT_H],0),FALSE))</f>
        <v/>
      </c>
      <c r="AQ1102" s="66">
        <f>IF(NOTA[[#This Row],[CONCAT1]]="","",MATCH(NOTA[[#This Row],[CONCAT1]],[3]!db[NB NOTA_C],0)+1)</f>
        <v>803</v>
      </c>
    </row>
    <row r="1103" spans="1:43" ht="20.100000000000001" customHeight="1" x14ac:dyDescent="0.25">
      <c r="A110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3" s="66" t="str">
        <f>IF(NOTA[[#This Row],[ID_P]]="","",MATCH(NOTA[[#This Row],[ID_P]],[1]!B_MSK[N_ID],0))</f>
        <v/>
      </c>
      <c r="D1103" s="66" t="str">
        <f ca="1">IF(NOTA[[#This Row],[NAMA BARANG]]="","",INDEX(NOTA[ID],MATCH(,INDIRECT(ADDRESS(ROW(NOTA[ID]),COLUMN(NOTA[ID]))&amp;":"&amp;ADDRESS(ROW(),COLUMN(NOTA[ID]))),-1)))</f>
        <v/>
      </c>
      <c r="E1103" s="113"/>
      <c r="H1103" s="54"/>
      <c r="N1103" s="66"/>
      <c r="Q1103" s="79"/>
      <c r="R1103" s="42"/>
      <c r="S1103" s="80"/>
      <c r="U1103" s="52"/>
      <c r="V1103" s="77"/>
      <c r="W1103" s="52" t="str">
        <f>IF(NOTA[[#This Row],[HARGA/ CTN]]="",NOTA[[#This Row],[JUMLAH_H]],NOTA[[#This Row],[HARGA/ CTN]]*IF(NOTA[[#This Row],[C]]="",0,NOTA[[#This Row],[C]]))</f>
        <v/>
      </c>
      <c r="X1103" s="52" t="str">
        <f>IF(NOTA[[#This Row],[JUMLAH]]="","",NOTA[[#This Row],[JUMLAH]]*NOTA[[#This Row],[DISC 1]])</f>
        <v/>
      </c>
      <c r="Y1103" s="52" t="str">
        <f>IF(NOTA[[#This Row],[JUMLAH]]="","",(NOTA[[#This Row],[JUMLAH]]-NOTA[[#This Row],[DISC 1-]])*NOTA[[#This Row],[DISC 2]])</f>
        <v/>
      </c>
      <c r="Z1103" s="52" t="str">
        <f>IF(NOTA[[#This Row],[JUMLAH]]="","",NOTA[[#This Row],[DISC 1-]]+NOTA[[#This Row],[DISC 2-]])</f>
        <v/>
      </c>
      <c r="AA1103" s="52" t="str">
        <f>IF(NOTA[[#This Row],[JUMLAH]]="","",NOTA[[#This Row],[JUMLAH]]-NOTA[[#This Row],[DISC]])</f>
        <v/>
      </c>
      <c r="AB1103" s="52"/>
      <c r="AC11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3" s="203" t="str">
        <f>IF(OR(NOTA[[#This Row],[QTY]]="",NOTA[[#This Row],[HARGA SATUAN]]="",),"",NOTA[[#This Row],[QTY]]*NOTA[[#This Row],[HARGA SATUAN]])</f>
        <v/>
      </c>
      <c r="AG1103" s="53" t="str">
        <f ca="1">IF(NOTA[ID_H]="","",INDEX(NOTA[TANGGAL],MATCH(,INDIRECT(ADDRESS(ROW(NOTA[TANGGAL]),COLUMN(NOTA[TANGGAL]))&amp;":"&amp;ADDRESS(ROW(),COLUMN(NOTA[TANGGAL]))),-1)))</f>
        <v/>
      </c>
      <c r="AH1103" s="64" t="str">
        <f ca="1">IF(NOTA[[#This Row],[NAMA BARANG]]="","",INDEX(NOTA[SUPPLIER],MATCH(,INDIRECT(ADDRESS(ROW(NOTA[ID]),COLUMN(NOTA[ID]))&amp;":"&amp;ADDRESS(ROW(),COLUMN(NOTA[ID]))),-1)))</f>
        <v/>
      </c>
      <c r="AI1103" s="64" t="str">
        <f ca="1">IF(NOTA[[#This Row],[ID_H]]="","",IF(NOTA[[#This Row],[FAKTUR]]="",INDIRECT(ADDRESS(ROW()-1,COLUMN())),NOTA[[#This Row],[FAKTUR]]))</f>
        <v/>
      </c>
      <c r="AJ1103" s="66" t="str">
        <f ca="1">IF(NOTA[[#This Row],[ID]]="","",COUNTIF(NOTA[ID_H],NOTA[[#This Row],[ID_H]]))</f>
        <v/>
      </c>
      <c r="AK1103" s="66" t="str">
        <f ca="1">IF(NOTA[[#This Row],[TGL.NOTA]]="",IF(NOTA[[#This Row],[SUPPLIER_H]]="","",AK1102),MONTH(NOTA[[#This Row],[TGL.NOTA]]))</f>
        <v/>
      </c>
      <c r="AL1103" s="66" t="str">
        <f>LOWER(SUBSTITUTE(SUBSTITUTE(SUBSTITUTE(SUBSTITUTE(SUBSTITUTE(SUBSTITUTE(SUBSTITUTE(SUBSTITUTE(SUBSTITUTE(NOTA[NAMA BARANG]," ",),".",""),"-",""),"(",""),")",""),",",""),"/",""),"""",""),"+",""))</f>
        <v/>
      </c>
      <c r="AM11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3" s="66" t="str">
        <f>IF(NOTA[[#This Row],[CONCAT4]]="","",_xlfn.IFNA(MATCH(NOTA[[#This Row],[CONCAT4]],[2]!RAW[CONCAT_H],0),FALSE))</f>
        <v/>
      </c>
      <c r="AQ1103" s="66" t="str">
        <f>IF(NOTA[[#This Row],[CONCAT1]]="","",MATCH(NOTA[[#This Row],[CONCAT1]],[3]!db[NB NOTA_C],0)+1)</f>
        <v/>
      </c>
    </row>
    <row r="1104" spans="1:43" ht="20.100000000000001" customHeight="1" x14ac:dyDescent="0.25">
      <c r="A1104" s="64">
        <f ca="1">IF(INDIRECT(ADDRESS(ROW()-1,COLUMN(NOTA[[#Headers],[ID]])))="ID",1,IF(NOTA[[#This Row],[FAKTUR]]="","",COUNT(INDIRECT(ADDRESS(ROW(NOTA[ID]),COLUMN(NOTA[ID]))&amp;":"&amp;ADDRESS(ROW()-1,COLUMN(NOTA[ID]))))+1))</f>
        <v>184</v>
      </c>
      <c r="B110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ATA_0206_636-11</v>
      </c>
      <c r="C1104" s="66" t="e">
        <f ca="1">IF(NOTA[[#This Row],[ID_P]]="","",MATCH(NOTA[[#This Row],[ID_P]],[1]!B_MSK[N_ID],0))</f>
        <v>#REF!</v>
      </c>
      <c r="D1104" s="66">
        <f ca="1">IF(NOTA[[#This Row],[NAMA BARANG]]="","",INDEX(NOTA[ID],MATCH(,INDIRECT(ADDRESS(ROW(NOTA[ID]),COLUMN(NOTA[ID]))&amp;":"&amp;ADDRESS(ROW(),COLUMN(NOTA[ID]))),-1)))</f>
        <v>184</v>
      </c>
      <c r="E1104" s="113"/>
      <c r="F1104" s="27" t="s">
        <v>25</v>
      </c>
      <c r="G1104" s="27" t="s">
        <v>24</v>
      </c>
      <c r="H1104" s="54" t="s">
        <v>1226</v>
      </c>
      <c r="J1104" s="53">
        <v>45076</v>
      </c>
      <c r="L1104" s="27" t="s">
        <v>1227</v>
      </c>
      <c r="M1104" s="114">
        <v>3</v>
      </c>
      <c r="N1104" s="66">
        <v>150</v>
      </c>
      <c r="O1104" s="27" t="s">
        <v>262</v>
      </c>
      <c r="P1104" s="64">
        <v>28300</v>
      </c>
      <c r="Q1104" s="79"/>
      <c r="R1104" s="42" t="s">
        <v>302</v>
      </c>
      <c r="S1104" s="80">
        <v>0.125</v>
      </c>
      <c r="T1104" s="115">
        <v>0.05</v>
      </c>
      <c r="U1104" s="52"/>
      <c r="V1104" s="77"/>
      <c r="W1104" s="52">
        <f>IF(NOTA[[#This Row],[HARGA/ CTN]]="",NOTA[[#This Row],[JUMLAH_H]],NOTA[[#This Row],[HARGA/ CTN]]*IF(NOTA[[#This Row],[C]]="",0,NOTA[[#This Row],[C]]))</f>
        <v>4245000</v>
      </c>
      <c r="X1104" s="52">
        <f>IF(NOTA[[#This Row],[JUMLAH]]="","",NOTA[[#This Row],[JUMLAH]]*NOTA[[#This Row],[DISC 1]])</f>
        <v>530625</v>
      </c>
      <c r="Y1104" s="52">
        <f>IF(NOTA[[#This Row],[JUMLAH]]="","",(NOTA[[#This Row],[JUMLAH]]-NOTA[[#This Row],[DISC 1-]])*NOTA[[#This Row],[DISC 2]])</f>
        <v>185718.75</v>
      </c>
      <c r="Z1104" s="52">
        <f>IF(NOTA[[#This Row],[JUMLAH]]="","",NOTA[[#This Row],[DISC 1-]]+NOTA[[#This Row],[DISC 2-]])</f>
        <v>716343.75</v>
      </c>
      <c r="AA1104" s="52">
        <f>IF(NOTA[[#This Row],[JUMLAH]]="","",NOTA[[#This Row],[JUMLAH]]-NOTA[[#This Row],[DISC]])</f>
        <v>3528656.25</v>
      </c>
      <c r="AB1104" s="52"/>
      <c r="AC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4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04" s="203">
        <f>IF(OR(NOTA[[#This Row],[QTY]]="",NOTA[[#This Row],[HARGA SATUAN]]="",),"",NOTA[[#This Row],[QTY]]*NOTA[[#This Row],[HARGA SATUAN]])</f>
        <v>4245000</v>
      </c>
      <c r="AG1104" s="53">
        <f ca="1">IF(NOTA[ID_H]="","",INDEX(NOTA[TANGGAL],MATCH(,INDIRECT(ADDRESS(ROW(NOTA[TANGGAL]),COLUMN(NOTA[TANGGAL]))&amp;":"&amp;ADDRESS(ROW(),COLUMN(NOTA[TANGGAL]))),-1)))</f>
        <v>45079</v>
      </c>
      <c r="AH1104" s="64" t="str">
        <f ca="1">IF(NOTA[[#This Row],[NAMA BARANG]]="","",INDEX(NOTA[SUPPLIER],MATCH(,INDIRECT(ADDRESS(ROW(NOTA[ID]),COLUMN(NOTA[ID]))&amp;":"&amp;ADDRESS(ROW(),COLUMN(NOTA[ID]))),-1)))</f>
        <v>ATALI MAKMUR</v>
      </c>
      <c r="AI1104" s="64" t="str">
        <f ca="1">IF(NOTA[[#This Row],[ID_H]]="","",IF(NOTA[[#This Row],[FAKTUR]]="",INDIRECT(ADDRESS(ROW()-1,COLUMN())),NOTA[[#This Row],[FAKTUR]]))</f>
        <v>ARTO MORO</v>
      </c>
      <c r="AJ1104" s="66">
        <f ca="1">IF(NOTA[[#This Row],[ID]]="","",COUNTIF(NOTA[ID_H],NOTA[[#This Row],[ID_H]]))</f>
        <v>11</v>
      </c>
      <c r="AK1104" s="66">
        <f>IF(NOTA[[#This Row],[TGL.NOTA]]="",IF(NOTA[[#This Row],[SUPPLIER_H]]="","",AK1103),MONTH(NOTA[[#This Row],[TGL.NOTA]]))</f>
        <v>5</v>
      </c>
      <c r="AL110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M11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1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10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MOROSA23050863645076eraser526b40pjk</v>
      </c>
      <c r="AP1104" s="66" t="e">
        <f>IF(NOTA[[#This Row],[CONCAT4]]="","",_xlfn.IFNA(MATCH(NOTA[[#This Row],[CONCAT4]],[2]!RAW[CONCAT_H],0),FALSE))</f>
        <v>#REF!</v>
      </c>
      <c r="AQ1104" s="66">
        <f>IF(NOTA[[#This Row],[CONCAT1]]="","",MATCH(NOTA[[#This Row],[CONCAT1]],[3]!db[NB NOTA_C],0)+1)</f>
        <v>745</v>
      </c>
    </row>
    <row r="1105" spans="1:43" ht="20.100000000000001" customHeight="1" x14ac:dyDescent="0.25">
      <c r="A110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5" s="66" t="str">
        <f>IF(NOTA[[#This Row],[ID_P]]="","",MATCH(NOTA[[#This Row],[ID_P]],[1]!B_MSK[N_ID],0))</f>
        <v/>
      </c>
      <c r="D1105" s="66">
        <f ca="1">IF(NOTA[[#This Row],[NAMA BARANG]]="","",INDEX(NOTA[ID],MATCH(,INDIRECT(ADDRESS(ROW(NOTA[ID]),COLUMN(NOTA[ID]))&amp;":"&amp;ADDRESS(ROW(),COLUMN(NOTA[ID]))),-1)))</f>
        <v>184</v>
      </c>
      <c r="E1105" s="113"/>
      <c r="H1105" s="54"/>
      <c r="L1105" s="27" t="s">
        <v>1103</v>
      </c>
      <c r="M1105" s="114">
        <v>2</v>
      </c>
      <c r="N1105" s="66">
        <v>100</v>
      </c>
      <c r="O1105" s="27" t="s">
        <v>262</v>
      </c>
      <c r="P1105" s="64">
        <v>28300</v>
      </c>
      <c r="Q1105" s="79"/>
      <c r="R1105" s="42" t="s">
        <v>1228</v>
      </c>
      <c r="S1105" s="80">
        <v>0.125</v>
      </c>
      <c r="T1105" s="115">
        <v>0.05</v>
      </c>
      <c r="U1105" s="52"/>
      <c r="V1105" s="77"/>
      <c r="W1105" s="52">
        <f>IF(NOTA[[#This Row],[HARGA/ CTN]]="",NOTA[[#This Row],[JUMLAH_H]],NOTA[[#This Row],[HARGA/ CTN]]*IF(NOTA[[#This Row],[C]]="",0,NOTA[[#This Row],[C]]))</f>
        <v>2830000</v>
      </c>
      <c r="X1105" s="52">
        <f>IF(NOTA[[#This Row],[JUMLAH]]="","",NOTA[[#This Row],[JUMLAH]]*NOTA[[#This Row],[DISC 1]])</f>
        <v>353750</v>
      </c>
      <c r="Y1105" s="52">
        <f>IF(NOTA[[#This Row],[JUMLAH]]="","",(NOTA[[#This Row],[JUMLAH]]-NOTA[[#This Row],[DISC 1-]])*NOTA[[#This Row],[DISC 2]])</f>
        <v>123812.5</v>
      </c>
      <c r="Z1105" s="52">
        <f>IF(NOTA[[#This Row],[JUMLAH]]="","",NOTA[[#This Row],[DISC 1-]]+NOTA[[#This Row],[DISC 2-]])</f>
        <v>477562.5</v>
      </c>
      <c r="AA1105" s="52">
        <f>IF(NOTA[[#This Row],[JUMLAH]]="","",NOTA[[#This Row],[JUMLAH]]-NOTA[[#This Row],[DISC]])</f>
        <v>2352437.5</v>
      </c>
      <c r="AB1105" s="52"/>
      <c r="AC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5" s="64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105" s="203">
        <f>IF(OR(NOTA[[#This Row],[QTY]]="",NOTA[[#This Row],[HARGA SATUAN]]="",),"",NOTA[[#This Row],[QTY]]*NOTA[[#This Row],[HARGA SATUAN]])</f>
        <v>2830000</v>
      </c>
      <c r="AG1105" s="53">
        <f ca="1">IF(NOTA[ID_H]="","",INDEX(NOTA[TANGGAL],MATCH(,INDIRECT(ADDRESS(ROW(NOTA[TANGGAL]),COLUMN(NOTA[TANGGAL]))&amp;":"&amp;ADDRESS(ROW(),COLUMN(NOTA[TANGGAL]))),-1)))</f>
        <v>45079</v>
      </c>
      <c r="AH1105" s="64" t="str">
        <f ca="1">IF(NOTA[[#This Row],[NAMA BARANG]]="","",INDEX(NOTA[SUPPLIER],MATCH(,INDIRECT(ADDRESS(ROW(NOTA[ID]),COLUMN(NOTA[ID]))&amp;":"&amp;ADDRESS(ROW(),COLUMN(NOTA[ID]))),-1)))</f>
        <v>ATALI MAKMUR</v>
      </c>
      <c r="AI1105" s="64" t="str">
        <f ca="1">IF(NOTA[[#This Row],[ID_H]]="","",IF(NOTA[[#This Row],[FAKTUR]]="",INDIRECT(ADDRESS(ROW()-1,COLUMN())),NOTA[[#This Row],[FAKTUR]]))</f>
        <v>ARTO MORO</v>
      </c>
      <c r="AJ1105" s="66" t="str">
        <f ca="1">IF(NOTA[[#This Row],[ID]]="","",COUNTIF(NOTA[ID_H],NOTA[[#This Row],[ID_H]]))</f>
        <v/>
      </c>
      <c r="AK1105" s="66">
        <f ca="1">IF(NOTA[[#This Row],[TGL.NOTA]]="",IF(NOTA[[#This Row],[SUPPLIER_H]]="","",AK1104),MONTH(NOTA[[#This Row],[TGL.NOTA]]))</f>
        <v>5</v>
      </c>
      <c r="AL110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M11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N11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O11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5" s="66" t="str">
        <f>IF(NOTA[[#This Row],[CONCAT4]]="","",_xlfn.IFNA(MATCH(NOTA[[#This Row],[CONCAT4]],[2]!RAW[CONCAT_H],0),FALSE))</f>
        <v/>
      </c>
      <c r="AQ1105" s="66">
        <f>IF(NOTA[[#This Row],[CONCAT1]]="","",MATCH(NOTA[[#This Row],[CONCAT1]],[3]!db[NB NOTA_C],0)+1)</f>
        <v>743</v>
      </c>
    </row>
    <row r="1106" spans="1:43" ht="20.100000000000001" customHeight="1" x14ac:dyDescent="0.25">
      <c r="A110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6" s="66" t="str">
        <f>IF(NOTA[[#This Row],[ID_P]]="","",MATCH(NOTA[[#This Row],[ID_P]],[1]!B_MSK[N_ID],0))</f>
        <v/>
      </c>
      <c r="D1106" s="66">
        <f ca="1">IF(NOTA[[#This Row],[NAMA BARANG]]="","",INDEX(NOTA[ID],MATCH(,INDIRECT(ADDRESS(ROW(NOTA[ID]),COLUMN(NOTA[ID]))&amp;":"&amp;ADDRESS(ROW(),COLUMN(NOTA[ID]))),-1)))</f>
        <v>184</v>
      </c>
      <c r="E1106" s="113"/>
      <c r="H1106" s="54"/>
      <c r="L1106" s="27" t="s">
        <v>606</v>
      </c>
      <c r="M1106" s="114">
        <v>3</v>
      </c>
      <c r="N1106" s="66">
        <v>150</v>
      </c>
      <c r="O1106" s="27" t="s">
        <v>262</v>
      </c>
      <c r="P1106" s="64">
        <v>34100</v>
      </c>
      <c r="Q1106" s="79"/>
      <c r="R1106" s="42" t="s">
        <v>307</v>
      </c>
      <c r="S1106" s="80">
        <v>0.125</v>
      </c>
      <c r="T1106" s="115">
        <v>0.05</v>
      </c>
      <c r="U1106" s="52"/>
      <c r="V1106" s="77"/>
      <c r="W1106" s="52">
        <f>IF(NOTA[[#This Row],[HARGA/ CTN]]="",NOTA[[#This Row],[JUMLAH_H]],NOTA[[#This Row],[HARGA/ CTN]]*IF(NOTA[[#This Row],[C]]="",0,NOTA[[#This Row],[C]]))</f>
        <v>5115000</v>
      </c>
      <c r="X1106" s="52">
        <f>IF(NOTA[[#This Row],[JUMLAH]]="","",NOTA[[#This Row],[JUMLAH]]*NOTA[[#This Row],[DISC 1]])</f>
        <v>639375</v>
      </c>
      <c r="Y1106" s="52">
        <f>IF(NOTA[[#This Row],[JUMLAH]]="","",(NOTA[[#This Row],[JUMLAH]]-NOTA[[#This Row],[DISC 1-]])*NOTA[[#This Row],[DISC 2]])</f>
        <v>223781.25</v>
      </c>
      <c r="Z1106" s="52">
        <f>IF(NOTA[[#This Row],[JUMLAH]]="","",NOTA[[#This Row],[DISC 1-]]+NOTA[[#This Row],[DISC 2-]])</f>
        <v>863156.25</v>
      </c>
      <c r="AA1106" s="52">
        <f>IF(NOTA[[#This Row],[JUMLAH]]="","",NOTA[[#This Row],[JUMLAH]]-NOTA[[#This Row],[DISC]])</f>
        <v>4251843.75</v>
      </c>
      <c r="AB1106" s="52"/>
      <c r="AC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6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06" s="203">
        <f>IF(OR(NOTA[[#This Row],[QTY]]="",NOTA[[#This Row],[HARGA SATUAN]]="",),"",NOTA[[#This Row],[QTY]]*NOTA[[#This Row],[HARGA SATUAN]])</f>
        <v>5115000</v>
      </c>
      <c r="AG1106" s="53">
        <f ca="1">IF(NOTA[ID_H]="","",INDEX(NOTA[TANGGAL],MATCH(,INDIRECT(ADDRESS(ROW(NOTA[TANGGAL]),COLUMN(NOTA[TANGGAL]))&amp;":"&amp;ADDRESS(ROW(),COLUMN(NOTA[TANGGAL]))),-1)))</f>
        <v>45079</v>
      </c>
      <c r="AH1106" s="64" t="str">
        <f ca="1">IF(NOTA[[#This Row],[NAMA BARANG]]="","",INDEX(NOTA[SUPPLIER],MATCH(,INDIRECT(ADDRESS(ROW(NOTA[ID]),COLUMN(NOTA[ID]))&amp;":"&amp;ADDRESS(ROW(),COLUMN(NOTA[ID]))),-1)))</f>
        <v>ATALI MAKMUR</v>
      </c>
      <c r="AI1106" s="64" t="str">
        <f ca="1">IF(NOTA[[#This Row],[ID_H]]="","",IF(NOTA[[#This Row],[FAKTUR]]="",INDIRECT(ADDRESS(ROW()-1,COLUMN())),NOTA[[#This Row],[FAKTUR]]))</f>
        <v>ARTO MORO</v>
      </c>
      <c r="AJ1106" s="66" t="str">
        <f ca="1">IF(NOTA[[#This Row],[ID]]="","",COUNTIF(NOTA[ID_H],NOTA[[#This Row],[ID_H]]))</f>
        <v/>
      </c>
      <c r="AK1106" s="66">
        <f ca="1">IF(NOTA[[#This Row],[TGL.NOTA]]="",IF(NOTA[[#This Row],[SUPPLIER_H]]="","",AK1105),MONTH(NOTA[[#This Row],[TGL.NOTA]]))</f>
        <v>5</v>
      </c>
      <c r="AL110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M11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N11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O11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6" s="66" t="str">
        <f>IF(NOTA[[#This Row],[CONCAT4]]="","",_xlfn.IFNA(MATCH(NOTA[[#This Row],[CONCAT4]],[2]!RAW[CONCAT_H],0),FALSE))</f>
        <v/>
      </c>
      <c r="AQ1106" s="66">
        <f>IF(NOTA[[#This Row],[CONCAT1]]="","",MATCH(NOTA[[#This Row],[CONCAT1]],[3]!db[NB NOTA_C],0)+1)</f>
        <v>742</v>
      </c>
    </row>
    <row r="1107" spans="1:43" ht="20.100000000000001" customHeight="1" x14ac:dyDescent="0.25">
      <c r="A110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7" s="66" t="str">
        <f>IF(NOTA[[#This Row],[ID_P]]="","",MATCH(NOTA[[#This Row],[ID_P]],[1]!B_MSK[N_ID],0))</f>
        <v/>
      </c>
      <c r="D1107" s="66">
        <f ca="1">IF(NOTA[[#This Row],[NAMA BARANG]]="","",INDEX(NOTA[ID],MATCH(,INDIRECT(ADDRESS(ROW(NOTA[ID]),COLUMN(NOTA[ID]))&amp;":"&amp;ADDRESS(ROW(),COLUMN(NOTA[ID]))),-1)))</f>
        <v>184</v>
      </c>
      <c r="E1107" s="113"/>
      <c r="H1107" s="54"/>
      <c r="L1107" s="27" t="s">
        <v>1229</v>
      </c>
      <c r="M1107" s="114">
        <v>1</v>
      </c>
      <c r="N1107" s="66">
        <v>50</v>
      </c>
      <c r="O1107" s="27" t="s">
        <v>262</v>
      </c>
      <c r="P1107" s="64">
        <v>34100</v>
      </c>
      <c r="Q1107" s="79"/>
      <c r="R1107" s="42" t="s">
        <v>307</v>
      </c>
      <c r="S1107" s="80">
        <v>0.125</v>
      </c>
      <c r="T1107" s="115">
        <v>0.05</v>
      </c>
      <c r="U1107" s="52"/>
      <c r="V1107" s="77"/>
      <c r="W1107" s="52">
        <f>IF(NOTA[[#This Row],[HARGA/ CTN]]="",NOTA[[#This Row],[JUMLAH_H]],NOTA[[#This Row],[HARGA/ CTN]]*IF(NOTA[[#This Row],[C]]="",0,NOTA[[#This Row],[C]]))</f>
        <v>1705000</v>
      </c>
      <c r="X1107" s="52">
        <f>IF(NOTA[[#This Row],[JUMLAH]]="","",NOTA[[#This Row],[JUMLAH]]*NOTA[[#This Row],[DISC 1]])</f>
        <v>213125</v>
      </c>
      <c r="Y1107" s="52">
        <f>IF(NOTA[[#This Row],[JUMLAH]]="","",(NOTA[[#This Row],[JUMLAH]]-NOTA[[#This Row],[DISC 1-]])*NOTA[[#This Row],[DISC 2]])</f>
        <v>74593.75</v>
      </c>
      <c r="Z1107" s="52">
        <f>IF(NOTA[[#This Row],[JUMLAH]]="","",NOTA[[#This Row],[DISC 1-]]+NOTA[[#This Row],[DISC 2-]])</f>
        <v>287718.75</v>
      </c>
      <c r="AA1107" s="52">
        <f>IF(NOTA[[#This Row],[JUMLAH]]="","",NOTA[[#This Row],[JUMLAH]]-NOTA[[#This Row],[DISC]])</f>
        <v>1417281.25</v>
      </c>
      <c r="AB1107" s="52"/>
      <c r="AC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7" s="64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1107" s="203">
        <f>IF(OR(NOTA[[#This Row],[QTY]]="",NOTA[[#This Row],[HARGA SATUAN]]="",),"",NOTA[[#This Row],[QTY]]*NOTA[[#This Row],[HARGA SATUAN]])</f>
        <v>1705000</v>
      </c>
      <c r="AG1107" s="53">
        <f ca="1">IF(NOTA[ID_H]="","",INDEX(NOTA[TANGGAL],MATCH(,INDIRECT(ADDRESS(ROW(NOTA[TANGGAL]),COLUMN(NOTA[TANGGAL]))&amp;":"&amp;ADDRESS(ROW(),COLUMN(NOTA[TANGGAL]))),-1)))</f>
        <v>45079</v>
      </c>
      <c r="AH1107" s="64" t="str">
        <f ca="1">IF(NOTA[[#This Row],[NAMA BARANG]]="","",INDEX(NOTA[SUPPLIER],MATCH(,INDIRECT(ADDRESS(ROW(NOTA[ID]),COLUMN(NOTA[ID]))&amp;":"&amp;ADDRESS(ROW(),COLUMN(NOTA[ID]))),-1)))</f>
        <v>ATALI MAKMUR</v>
      </c>
      <c r="AI1107" s="64" t="str">
        <f ca="1">IF(NOTA[[#This Row],[ID_H]]="","",IF(NOTA[[#This Row],[FAKTUR]]="",INDIRECT(ADDRESS(ROW()-1,COLUMN())),NOTA[[#This Row],[FAKTUR]]))</f>
        <v>ARTO MORO</v>
      </c>
      <c r="AJ1107" s="66" t="str">
        <f ca="1">IF(NOTA[[#This Row],[ID]]="","",COUNTIF(NOTA[ID_H],NOTA[[#This Row],[ID_H]]))</f>
        <v/>
      </c>
      <c r="AK1107" s="66">
        <f ca="1">IF(NOTA[[#This Row],[TGL.NOTA]]="",IF(NOTA[[#This Row],[SUPPLIER_H]]="","",AK1106),MONTH(NOTA[[#This Row],[TGL.NOTA]]))</f>
        <v>5</v>
      </c>
      <c r="AL110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M11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N11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O11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7" s="66" t="str">
        <f>IF(NOTA[[#This Row],[CONCAT4]]="","",_xlfn.IFNA(MATCH(NOTA[[#This Row],[CONCAT4]],[2]!RAW[CONCAT_H],0),FALSE))</f>
        <v/>
      </c>
      <c r="AQ1107" s="66">
        <f>IF(NOTA[[#This Row],[CONCAT1]]="","",MATCH(NOTA[[#This Row],[CONCAT1]],[3]!db[NB NOTA_C],0)+1)</f>
        <v>753</v>
      </c>
    </row>
    <row r="1108" spans="1:43" ht="20.100000000000001" customHeight="1" x14ac:dyDescent="0.25">
      <c r="A110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8" s="66" t="str">
        <f>IF(NOTA[[#This Row],[ID_P]]="","",MATCH(NOTA[[#This Row],[ID_P]],[1]!B_MSK[N_ID],0))</f>
        <v/>
      </c>
      <c r="D1108" s="66">
        <f ca="1">IF(NOTA[[#This Row],[NAMA BARANG]]="","",INDEX(NOTA[ID],MATCH(,INDIRECT(ADDRESS(ROW(NOTA[ID]),COLUMN(NOTA[ID]))&amp;":"&amp;ADDRESS(ROW(),COLUMN(NOTA[ID]))),-1)))</f>
        <v>184</v>
      </c>
      <c r="E1108" s="113"/>
      <c r="H1108" s="54"/>
      <c r="L1108" s="27" t="s">
        <v>1230</v>
      </c>
      <c r="M1108" s="114">
        <v>2</v>
      </c>
      <c r="N1108" s="66">
        <v>100</v>
      </c>
      <c r="O1108" s="27" t="s">
        <v>262</v>
      </c>
      <c r="P1108" s="64">
        <v>32000</v>
      </c>
      <c r="Q1108" s="79"/>
      <c r="R1108" s="42" t="s">
        <v>309</v>
      </c>
      <c r="S1108" s="80">
        <v>0.125</v>
      </c>
      <c r="T1108" s="115">
        <v>0.05</v>
      </c>
      <c r="U1108" s="52"/>
      <c r="V1108" s="77"/>
      <c r="W1108" s="52">
        <f>IF(NOTA[[#This Row],[HARGA/ CTN]]="",NOTA[[#This Row],[JUMLAH_H]],NOTA[[#This Row],[HARGA/ CTN]]*IF(NOTA[[#This Row],[C]]="",0,NOTA[[#This Row],[C]]))</f>
        <v>3200000</v>
      </c>
      <c r="X1108" s="52">
        <f>IF(NOTA[[#This Row],[JUMLAH]]="","",NOTA[[#This Row],[JUMLAH]]*NOTA[[#This Row],[DISC 1]])</f>
        <v>400000</v>
      </c>
      <c r="Y1108" s="52">
        <f>IF(NOTA[[#This Row],[JUMLAH]]="","",(NOTA[[#This Row],[JUMLAH]]-NOTA[[#This Row],[DISC 1-]])*NOTA[[#This Row],[DISC 2]])</f>
        <v>140000</v>
      </c>
      <c r="Z1108" s="52">
        <f>IF(NOTA[[#This Row],[JUMLAH]]="","",NOTA[[#This Row],[DISC 1-]]+NOTA[[#This Row],[DISC 2-]])</f>
        <v>540000</v>
      </c>
      <c r="AA1108" s="52">
        <f>IF(NOTA[[#This Row],[JUMLAH]]="","",NOTA[[#This Row],[JUMLAH]]-NOTA[[#This Row],[DISC]])</f>
        <v>2660000</v>
      </c>
      <c r="AB1108" s="52"/>
      <c r="AC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8" s="64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1108" s="203">
        <f>IF(OR(NOTA[[#This Row],[QTY]]="",NOTA[[#This Row],[HARGA SATUAN]]="",),"",NOTA[[#This Row],[QTY]]*NOTA[[#This Row],[HARGA SATUAN]])</f>
        <v>3200000</v>
      </c>
      <c r="AG1108" s="53">
        <f ca="1">IF(NOTA[ID_H]="","",INDEX(NOTA[TANGGAL],MATCH(,INDIRECT(ADDRESS(ROW(NOTA[TANGGAL]),COLUMN(NOTA[TANGGAL]))&amp;":"&amp;ADDRESS(ROW(),COLUMN(NOTA[TANGGAL]))),-1)))</f>
        <v>45079</v>
      </c>
      <c r="AH1108" s="64" t="str">
        <f ca="1">IF(NOTA[[#This Row],[NAMA BARANG]]="","",INDEX(NOTA[SUPPLIER],MATCH(,INDIRECT(ADDRESS(ROW(NOTA[ID]),COLUMN(NOTA[ID]))&amp;":"&amp;ADDRESS(ROW(),COLUMN(NOTA[ID]))),-1)))</f>
        <v>ATALI MAKMUR</v>
      </c>
      <c r="AI1108" s="64" t="str">
        <f ca="1">IF(NOTA[[#This Row],[ID_H]]="","",IF(NOTA[[#This Row],[FAKTUR]]="",INDIRECT(ADDRESS(ROW()-1,COLUMN())),NOTA[[#This Row],[FAKTUR]]))</f>
        <v>ARTO MORO</v>
      </c>
      <c r="AJ1108" s="66" t="str">
        <f ca="1">IF(NOTA[[#This Row],[ID]]="","",COUNTIF(NOTA[ID_H],NOTA[[#This Row],[ID_H]]))</f>
        <v/>
      </c>
      <c r="AK1108" s="66">
        <f ca="1">IF(NOTA[[#This Row],[TGL.NOTA]]="",IF(NOTA[[#This Row],[SUPPLIER_H]]="","",AK1107),MONTH(NOTA[[#This Row],[TGL.NOTA]]))</f>
        <v>5</v>
      </c>
      <c r="AL1108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M11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N11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O11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8" s="66" t="str">
        <f>IF(NOTA[[#This Row],[CONCAT4]]="","",_xlfn.IFNA(MATCH(NOTA[[#This Row],[CONCAT4]],[2]!RAW[CONCAT_H],0),FALSE))</f>
        <v/>
      </c>
      <c r="AQ1108" s="66">
        <f>IF(NOTA[[#This Row],[CONCAT1]]="","",MATCH(NOTA[[#This Row],[CONCAT1]],[3]!db[NB NOTA_C],0)+1)</f>
        <v>752</v>
      </c>
    </row>
    <row r="1109" spans="1:43" ht="20.100000000000001" customHeight="1" x14ac:dyDescent="0.25">
      <c r="A110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9" s="66" t="str">
        <f>IF(NOTA[[#This Row],[ID_P]]="","",MATCH(NOTA[[#This Row],[ID_P]],[1]!B_MSK[N_ID],0))</f>
        <v/>
      </c>
      <c r="D1109" s="66">
        <f ca="1">IF(NOTA[[#This Row],[NAMA BARANG]]="","",INDEX(NOTA[ID],MATCH(,INDIRECT(ADDRESS(ROW(NOTA[ID]),COLUMN(NOTA[ID]))&amp;":"&amp;ADDRESS(ROW(),COLUMN(NOTA[ID]))),-1)))</f>
        <v>184</v>
      </c>
      <c r="E1109" s="113"/>
      <c r="H1109" s="54"/>
      <c r="L1109" s="27" t="s">
        <v>1105</v>
      </c>
      <c r="M1109" s="114">
        <v>3</v>
      </c>
      <c r="N1109" s="66">
        <v>864</v>
      </c>
      <c r="O1109" s="27" t="s">
        <v>252</v>
      </c>
      <c r="P1109" s="64">
        <v>6700</v>
      </c>
      <c r="Q1109" s="79"/>
      <c r="R1109" s="42" t="s">
        <v>884</v>
      </c>
      <c r="S1109" s="80">
        <v>0.125</v>
      </c>
      <c r="T1109" s="115">
        <v>0.05</v>
      </c>
      <c r="U1109" s="52"/>
      <c r="V1109" s="77"/>
      <c r="W1109" s="52">
        <f>IF(NOTA[[#This Row],[HARGA/ CTN]]="",NOTA[[#This Row],[JUMLAH_H]],NOTA[[#This Row],[HARGA/ CTN]]*IF(NOTA[[#This Row],[C]]="",0,NOTA[[#This Row],[C]]))</f>
        <v>5788800</v>
      </c>
      <c r="X1109" s="52">
        <f>IF(NOTA[[#This Row],[JUMLAH]]="","",NOTA[[#This Row],[JUMLAH]]*NOTA[[#This Row],[DISC 1]])</f>
        <v>723600</v>
      </c>
      <c r="Y1109" s="52">
        <f>IF(NOTA[[#This Row],[JUMLAH]]="","",(NOTA[[#This Row],[JUMLAH]]-NOTA[[#This Row],[DISC 1-]])*NOTA[[#This Row],[DISC 2]])</f>
        <v>253260</v>
      </c>
      <c r="Z1109" s="52">
        <f>IF(NOTA[[#This Row],[JUMLAH]]="","",NOTA[[#This Row],[DISC 1-]]+NOTA[[#This Row],[DISC 2-]])</f>
        <v>976860</v>
      </c>
      <c r="AA1109" s="52">
        <f>IF(NOTA[[#This Row],[JUMLAH]]="","",NOTA[[#This Row],[JUMLAH]]-NOTA[[#This Row],[DISC]])</f>
        <v>4811940</v>
      </c>
      <c r="AB1109" s="52"/>
      <c r="AC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9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09" s="203">
        <f>IF(OR(NOTA[[#This Row],[QTY]]="",NOTA[[#This Row],[HARGA SATUAN]]="",),"",NOTA[[#This Row],[QTY]]*NOTA[[#This Row],[HARGA SATUAN]])</f>
        <v>5788800</v>
      </c>
      <c r="AG1109" s="53">
        <f ca="1">IF(NOTA[ID_H]="","",INDEX(NOTA[TANGGAL],MATCH(,INDIRECT(ADDRESS(ROW(NOTA[TANGGAL]),COLUMN(NOTA[TANGGAL]))&amp;":"&amp;ADDRESS(ROW(),COLUMN(NOTA[TANGGAL]))),-1)))</f>
        <v>45079</v>
      </c>
      <c r="AH1109" s="64" t="str">
        <f ca="1">IF(NOTA[[#This Row],[NAMA BARANG]]="","",INDEX(NOTA[SUPPLIER],MATCH(,INDIRECT(ADDRESS(ROW(NOTA[ID]),COLUMN(NOTA[ID]))&amp;":"&amp;ADDRESS(ROW(),COLUMN(NOTA[ID]))),-1)))</f>
        <v>ATALI MAKMUR</v>
      </c>
      <c r="AI1109" s="64" t="str">
        <f ca="1">IF(NOTA[[#This Row],[ID_H]]="","",IF(NOTA[[#This Row],[FAKTUR]]="",INDIRECT(ADDRESS(ROW()-1,COLUMN())),NOTA[[#This Row],[FAKTUR]]))</f>
        <v>ARTO MORO</v>
      </c>
      <c r="AJ1109" s="66" t="str">
        <f ca="1">IF(NOTA[[#This Row],[ID]]="","",COUNTIF(NOTA[ID_H],NOTA[[#This Row],[ID_H]]))</f>
        <v/>
      </c>
      <c r="AK1109" s="66">
        <f ca="1">IF(NOTA[[#This Row],[TGL.NOTA]]="",IF(NOTA[[#This Row],[SUPPLIER_H]]="","",AK1108),MONTH(NOTA[[#This Row],[TGL.NOTA]]))</f>
        <v>5</v>
      </c>
      <c r="AL1109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9" s="66" t="str">
        <f>IF(NOTA[[#This Row],[CONCAT4]]="","",_xlfn.IFNA(MATCH(NOTA[[#This Row],[CONCAT4]],[2]!RAW[CONCAT_H],0),FALSE))</f>
        <v/>
      </c>
      <c r="AQ1109" s="66">
        <f>IF(NOTA[[#This Row],[CONCAT1]]="","",MATCH(NOTA[[#This Row],[CONCAT1]],[3]!db[NB NOTA_C],0)+1)</f>
        <v>535</v>
      </c>
    </row>
    <row r="1110" spans="1:43" ht="20.100000000000001" customHeight="1" x14ac:dyDescent="0.25">
      <c r="A111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0" s="66" t="str">
        <f>IF(NOTA[[#This Row],[ID_P]]="","",MATCH(NOTA[[#This Row],[ID_P]],[1]!B_MSK[N_ID],0))</f>
        <v/>
      </c>
      <c r="D1110" s="66">
        <f ca="1">IF(NOTA[[#This Row],[NAMA BARANG]]="","",INDEX(NOTA[ID],MATCH(,INDIRECT(ADDRESS(ROW(NOTA[ID]),COLUMN(NOTA[ID]))&amp;":"&amp;ADDRESS(ROW(),COLUMN(NOTA[ID]))),-1)))</f>
        <v>184</v>
      </c>
      <c r="E1110" s="113"/>
      <c r="H1110" s="54"/>
      <c r="L1110" s="27" t="s">
        <v>604</v>
      </c>
      <c r="M1110" s="114">
        <v>4</v>
      </c>
      <c r="N1110" s="66">
        <v>576</v>
      </c>
      <c r="O1110" s="27" t="s">
        <v>252</v>
      </c>
      <c r="P1110" s="64">
        <v>10600</v>
      </c>
      <c r="Q1110" s="79"/>
      <c r="R1110" s="42" t="s">
        <v>273</v>
      </c>
      <c r="S1110" s="80">
        <v>0.125</v>
      </c>
      <c r="T1110" s="115">
        <v>0.05</v>
      </c>
      <c r="U1110" s="52"/>
      <c r="V1110" s="77"/>
      <c r="W1110" s="52">
        <f>IF(NOTA[[#This Row],[HARGA/ CTN]]="",NOTA[[#This Row],[JUMLAH_H]],NOTA[[#This Row],[HARGA/ CTN]]*IF(NOTA[[#This Row],[C]]="",0,NOTA[[#This Row],[C]]))</f>
        <v>6105600</v>
      </c>
      <c r="X1110" s="52">
        <f>IF(NOTA[[#This Row],[JUMLAH]]="","",NOTA[[#This Row],[JUMLAH]]*NOTA[[#This Row],[DISC 1]])</f>
        <v>763200</v>
      </c>
      <c r="Y1110" s="52">
        <f>IF(NOTA[[#This Row],[JUMLAH]]="","",(NOTA[[#This Row],[JUMLAH]]-NOTA[[#This Row],[DISC 1-]])*NOTA[[#This Row],[DISC 2]])</f>
        <v>267120</v>
      </c>
      <c r="Z1110" s="52">
        <f>IF(NOTA[[#This Row],[JUMLAH]]="","",NOTA[[#This Row],[DISC 1-]]+NOTA[[#This Row],[DISC 2-]])</f>
        <v>1030320</v>
      </c>
      <c r="AA1110" s="52">
        <f>IF(NOTA[[#This Row],[JUMLAH]]="","",NOTA[[#This Row],[JUMLAH]]-NOTA[[#This Row],[DISC]])</f>
        <v>5075280</v>
      </c>
      <c r="AB1110" s="52"/>
      <c r="AC11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0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10" s="203">
        <f>IF(OR(NOTA[[#This Row],[QTY]]="",NOTA[[#This Row],[HARGA SATUAN]]="",),"",NOTA[[#This Row],[QTY]]*NOTA[[#This Row],[HARGA SATUAN]])</f>
        <v>6105600</v>
      </c>
      <c r="AG1110" s="53">
        <f ca="1">IF(NOTA[ID_H]="","",INDEX(NOTA[TANGGAL],MATCH(,INDIRECT(ADDRESS(ROW(NOTA[TANGGAL]),COLUMN(NOTA[TANGGAL]))&amp;":"&amp;ADDRESS(ROW(),COLUMN(NOTA[TANGGAL]))),-1)))</f>
        <v>45079</v>
      </c>
      <c r="AH1110" s="64" t="str">
        <f ca="1">IF(NOTA[[#This Row],[NAMA BARANG]]="","",INDEX(NOTA[SUPPLIER],MATCH(,INDIRECT(ADDRESS(ROW(NOTA[ID]),COLUMN(NOTA[ID]))&amp;":"&amp;ADDRESS(ROW(),COLUMN(NOTA[ID]))),-1)))</f>
        <v>ATALI MAKMUR</v>
      </c>
      <c r="AI1110" s="64" t="str">
        <f ca="1">IF(NOTA[[#This Row],[ID_H]]="","",IF(NOTA[[#This Row],[FAKTUR]]="",INDIRECT(ADDRESS(ROW()-1,COLUMN())),NOTA[[#This Row],[FAKTUR]]))</f>
        <v>ARTO MORO</v>
      </c>
      <c r="AJ1110" s="66" t="str">
        <f ca="1">IF(NOTA[[#This Row],[ID]]="","",COUNTIF(NOTA[ID_H],NOTA[[#This Row],[ID_H]]))</f>
        <v/>
      </c>
      <c r="AK1110" s="66">
        <f ca="1">IF(NOTA[[#This Row],[TGL.NOTA]]="",IF(NOTA[[#This Row],[SUPPLIER_H]]="","",AK1109),MONTH(NOTA[[#This Row],[TGL.NOTA]]))</f>
        <v>5</v>
      </c>
      <c r="AL1110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M11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N11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O11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0" s="66" t="str">
        <f>IF(NOTA[[#This Row],[CONCAT4]]="","",_xlfn.IFNA(MATCH(NOTA[[#This Row],[CONCAT4]],[2]!RAW[CONCAT_H],0),FALSE))</f>
        <v/>
      </c>
      <c r="AQ1110" s="66">
        <f>IF(NOTA[[#This Row],[CONCAT1]]="","",MATCH(NOTA[[#This Row],[CONCAT1]],[3]!db[NB NOTA_C],0)+1)</f>
        <v>530</v>
      </c>
    </row>
    <row r="1111" spans="1:43" ht="20.100000000000001" customHeight="1" x14ac:dyDescent="0.25">
      <c r="A111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1" s="66" t="str">
        <f>IF(NOTA[[#This Row],[ID_P]]="","",MATCH(NOTA[[#This Row],[ID_P]],[1]!B_MSK[N_ID],0))</f>
        <v/>
      </c>
      <c r="D1111" s="66">
        <f ca="1">IF(NOTA[[#This Row],[NAMA BARANG]]="","",INDEX(NOTA[ID],MATCH(,INDIRECT(ADDRESS(ROW(NOTA[ID]),COLUMN(NOTA[ID]))&amp;":"&amp;ADDRESS(ROW(),COLUMN(NOTA[ID]))),-1)))</f>
        <v>184</v>
      </c>
      <c r="E1111" s="113"/>
      <c r="H1111" s="54"/>
      <c r="L1111" s="27" t="s">
        <v>616</v>
      </c>
      <c r="M1111" s="114">
        <v>1</v>
      </c>
      <c r="N1111" s="66">
        <v>72</v>
      </c>
      <c r="O1111" s="27" t="s">
        <v>252</v>
      </c>
      <c r="P1111" s="64">
        <v>21200</v>
      </c>
      <c r="Q1111" s="79"/>
      <c r="R1111" s="42" t="s">
        <v>617</v>
      </c>
      <c r="S1111" s="80">
        <v>0.125</v>
      </c>
      <c r="T1111" s="115">
        <v>0.05</v>
      </c>
      <c r="U1111" s="52"/>
      <c r="V1111" s="77"/>
      <c r="W1111" s="52">
        <f>IF(NOTA[[#This Row],[HARGA/ CTN]]="",NOTA[[#This Row],[JUMLAH_H]],NOTA[[#This Row],[HARGA/ CTN]]*IF(NOTA[[#This Row],[C]]="",0,NOTA[[#This Row],[C]]))</f>
        <v>1526400</v>
      </c>
      <c r="X1111" s="52">
        <f>IF(NOTA[[#This Row],[JUMLAH]]="","",NOTA[[#This Row],[JUMLAH]]*NOTA[[#This Row],[DISC 1]])</f>
        <v>190800</v>
      </c>
      <c r="Y1111" s="52">
        <f>IF(NOTA[[#This Row],[JUMLAH]]="","",(NOTA[[#This Row],[JUMLAH]]-NOTA[[#This Row],[DISC 1-]])*NOTA[[#This Row],[DISC 2]])</f>
        <v>66780</v>
      </c>
      <c r="Z1111" s="52">
        <f>IF(NOTA[[#This Row],[JUMLAH]]="","",NOTA[[#This Row],[DISC 1-]]+NOTA[[#This Row],[DISC 2-]])</f>
        <v>257580</v>
      </c>
      <c r="AA1111" s="52">
        <f>IF(NOTA[[#This Row],[JUMLAH]]="","",NOTA[[#This Row],[JUMLAH]]-NOTA[[#This Row],[DISC]])</f>
        <v>1268820</v>
      </c>
      <c r="AB1111" s="52"/>
      <c r="AC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1" s="64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111" s="203">
        <f>IF(OR(NOTA[[#This Row],[QTY]]="",NOTA[[#This Row],[HARGA SATUAN]]="",),"",NOTA[[#This Row],[QTY]]*NOTA[[#This Row],[HARGA SATUAN]])</f>
        <v>1526400</v>
      </c>
      <c r="AG1111" s="53">
        <f ca="1">IF(NOTA[ID_H]="","",INDEX(NOTA[TANGGAL],MATCH(,INDIRECT(ADDRESS(ROW(NOTA[TANGGAL]),COLUMN(NOTA[TANGGAL]))&amp;":"&amp;ADDRESS(ROW(),COLUMN(NOTA[TANGGAL]))),-1)))</f>
        <v>45079</v>
      </c>
      <c r="AH1111" s="64" t="str">
        <f ca="1">IF(NOTA[[#This Row],[NAMA BARANG]]="","",INDEX(NOTA[SUPPLIER],MATCH(,INDIRECT(ADDRESS(ROW(NOTA[ID]),COLUMN(NOTA[ID]))&amp;":"&amp;ADDRESS(ROW(),COLUMN(NOTA[ID]))),-1)))</f>
        <v>ATALI MAKMUR</v>
      </c>
      <c r="AI1111" s="64" t="str">
        <f ca="1">IF(NOTA[[#This Row],[ID_H]]="","",IF(NOTA[[#This Row],[FAKTUR]]="",INDIRECT(ADDRESS(ROW()-1,COLUMN())),NOTA[[#This Row],[FAKTUR]]))</f>
        <v>ARTO MORO</v>
      </c>
      <c r="AJ1111" s="66" t="str">
        <f ca="1">IF(NOTA[[#This Row],[ID]]="","",COUNTIF(NOTA[ID_H],NOTA[[#This Row],[ID_H]]))</f>
        <v/>
      </c>
      <c r="AK1111" s="66">
        <f ca="1">IF(NOTA[[#This Row],[TGL.NOTA]]="",IF(NOTA[[#This Row],[SUPPLIER_H]]="","",AK1110),MONTH(NOTA[[#This Row],[TGL.NOTA]]))</f>
        <v>5</v>
      </c>
      <c r="AL1111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M11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N11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O11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1" s="66" t="str">
        <f>IF(NOTA[[#This Row],[CONCAT4]]="","",_xlfn.IFNA(MATCH(NOTA[[#This Row],[CONCAT4]],[2]!RAW[CONCAT_H],0),FALSE))</f>
        <v/>
      </c>
      <c r="AQ1111" s="66">
        <f>IF(NOTA[[#This Row],[CONCAT1]]="","",MATCH(NOTA[[#This Row],[CONCAT1]],[3]!db[NB NOTA_C],0)+1)</f>
        <v>532</v>
      </c>
    </row>
    <row r="1112" spans="1:43" ht="20.100000000000001" customHeight="1" x14ac:dyDescent="0.25">
      <c r="A111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2" s="66" t="str">
        <f>IF(NOTA[[#This Row],[ID_P]]="","",MATCH(NOTA[[#This Row],[ID_P]],[1]!B_MSK[N_ID],0))</f>
        <v/>
      </c>
      <c r="D1112" s="66">
        <f ca="1">IF(NOTA[[#This Row],[NAMA BARANG]]="","",INDEX(NOTA[ID],MATCH(,INDIRECT(ADDRESS(ROW(NOTA[ID]),COLUMN(NOTA[ID]))&amp;":"&amp;ADDRESS(ROW(),COLUMN(NOTA[ID]))),-1)))</f>
        <v>184</v>
      </c>
      <c r="E1112" s="113"/>
      <c r="H1112" s="54"/>
      <c r="L1112" s="27" t="s">
        <v>1147</v>
      </c>
      <c r="M1112" s="114">
        <v>1</v>
      </c>
      <c r="N1112" s="66">
        <v>144</v>
      </c>
      <c r="O1112" s="27" t="s">
        <v>252</v>
      </c>
      <c r="P1112" s="64">
        <v>23900</v>
      </c>
      <c r="Q1112" s="79"/>
      <c r="R1112" s="42" t="s">
        <v>273</v>
      </c>
      <c r="S1112" s="80">
        <v>0.125</v>
      </c>
      <c r="T1112" s="115">
        <v>0.05</v>
      </c>
      <c r="U1112" s="52"/>
      <c r="V1112" s="77"/>
      <c r="W1112" s="52">
        <f>IF(NOTA[[#This Row],[HARGA/ CTN]]="",NOTA[[#This Row],[JUMLAH_H]],NOTA[[#This Row],[HARGA/ CTN]]*IF(NOTA[[#This Row],[C]]="",0,NOTA[[#This Row],[C]]))</f>
        <v>3441600</v>
      </c>
      <c r="X1112" s="52">
        <f>IF(NOTA[[#This Row],[JUMLAH]]="","",NOTA[[#This Row],[JUMLAH]]*NOTA[[#This Row],[DISC 1]])</f>
        <v>430200</v>
      </c>
      <c r="Y1112" s="52">
        <f>IF(NOTA[[#This Row],[JUMLAH]]="","",(NOTA[[#This Row],[JUMLAH]]-NOTA[[#This Row],[DISC 1-]])*NOTA[[#This Row],[DISC 2]])</f>
        <v>150570</v>
      </c>
      <c r="Z1112" s="52">
        <f>IF(NOTA[[#This Row],[JUMLAH]]="","",NOTA[[#This Row],[DISC 1-]]+NOTA[[#This Row],[DISC 2-]])</f>
        <v>580770</v>
      </c>
      <c r="AA1112" s="52">
        <f>IF(NOTA[[#This Row],[JUMLAH]]="","",NOTA[[#This Row],[JUMLAH]]-NOTA[[#This Row],[DISC]])</f>
        <v>2860830</v>
      </c>
      <c r="AB1112" s="52"/>
      <c r="AC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2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12" s="203">
        <f>IF(OR(NOTA[[#This Row],[QTY]]="",NOTA[[#This Row],[HARGA SATUAN]]="",),"",NOTA[[#This Row],[QTY]]*NOTA[[#This Row],[HARGA SATUAN]])</f>
        <v>3441600</v>
      </c>
      <c r="AG1112" s="53">
        <f ca="1">IF(NOTA[ID_H]="","",INDEX(NOTA[TANGGAL],MATCH(,INDIRECT(ADDRESS(ROW(NOTA[TANGGAL]),COLUMN(NOTA[TANGGAL]))&amp;":"&amp;ADDRESS(ROW(),COLUMN(NOTA[TANGGAL]))),-1)))</f>
        <v>45079</v>
      </c>
      <c r="AH1112" s="64" t="str">
        <f ca="1">IF(NOTA[[#This Row],[NAMA BARANG]]="","",INDEX(NOTA[SUPPLIER],MATCH(,INDIRECT(ADDRESS(ROW(NOTA[ID]),COLUMN(NOTA[ID]))&amp;":"&amp;ADDRESS(ROW(),COLUMN(NOTA[ID]))),-1)))</f>
        <v>ATALI MAKMUR</v>
      </c>
      <c r="AI1112" s="64" t="str">
        <f ca="1">IF(NOTA[[#This Row],[ID_H]]="","",IF(NOTA[[#This Row],[FAKTUR]]="",INDIRECT(ADDRESS(ROW()-1,COLUMN())),NOTA[[#This Row],[FAKTUR]]))</f>
        <v>ARTO MORO</v>
      </c>
      <c r="AJ1112" s="66" t="str">
        <f ca="1">IF(NOTA[[#This Row],[ID]]="","",COUNTIF(NOTA[ID_H],NOTA[[#This Row],[ID_H]]))</f>
        <v/>
      </c>
      <c r="AK1112" s="66">
        <f ca="1">IF(NOTA[[#This Row],[TGL.NOTA]]="",IF(NOTA[[#This Row],[SUPPLIER_H]]="","",AK1111),MONTH(NOTA[[#This Row],[TGL.NOTA]]))</f>
        <v>5</v>
      </c>
      <c r="AL1112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11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11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11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2" s="66" t="str">
        <f>IF(NOTA[[#This Row],[CONCAT4]]="","",_xlfn.IFNA(MATCH(NOTA[[#This Row],[CONCAT4]],[2]!RAW[CONCAT_H],0),FALSE))</f>
        <v/>
      </c>
      <c r="AQ1112" s="66">
        <f>IF(NOTA[[#This Row],[CONCAT1]]="","",MATCH(NOTA[[#This Row],[CONCAT1]],[3]!db[NB NOTA_C],0)+1)</f>
        <v>603</v>
      </c>
    </row>
    <row r="1113" spans="1:43" ht="20.100000000000001" customHeight="1" x14ac:dyDescent="0.25">
      <c r="A111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3" s="66" t="str">
        <f>IF(NOTA[[#This Row],[ID_P]]="","",MATCH(NOTA[[#This Row],[ID_P]],[1]!B_MSK[N_ID],0))</f>
        <v/>
      </c>
      <c r="D1113" s="66">
        <f ca="1">IF(NOTA[[#This Row],[NAMA BARANG]]="","",INDEX(NOTA[ID],MATCH(,INDIRECT(ADDRESS(ROW(NOTA[ID]),COLUMN(NOTA[ID]))&amp;":"&amp;ADDRESS(ROW(),COLUMN(NOTA[ID]))),-1)))</f>
        <v>184</v>
      </c>
      <c r="E1113" s="113"/>
      <c r="H1113" s="54"/>
      <c r="L1113" s="27" t="s">
        <v>1088</v>
      </c>
      <c r="M1113" s="114">
        <v>1</v>
      </c>
      <c r="N1113" s="66">
        <v>72</v>
      </c>
      <c r="O1113" s="27" t="s">
        <v>252</v>
      </c>
      <c r="P1113" s="64">
        <v>47800</v>
      </c>
      <c r="Q1113" s="79"/>
      <c r="R1113" s="42" t="s">
        <v>617</v>
      </c>
      <c r="S1113" s="80">
        <v>0.125</v>
      </c>
      <c r="T1113" s="115">
        <v>0.05</v>
      </c>
      <c r="U1113" s="52"/>
      <c r="V1113" s="77"/>
      <c r="W1113" s="52">
        <f>IF(NOTA[[#This Row],[HARGA/ CTN]]="",NOTA[[#This Row],[JUMLAH_H]],NOTA[[#This Row],[HARGA/ CTN]]*IF(NOTA[[#This Row],[C]]="",0,NOTA[[#This Row],[C]]))</f>
        <v>3441600</v>
      </c>
      <c r="X1113" s="52">
        <f>IF(NOTA[[#This Row],[JUMLAH]]="","",NOTA[[#This Row],[JUMLAH]]*NOTA[[#This Row],[DISC 1]])</f>
        <v>430200</v>
      </c>
      <c r="Y1113" s="52">
        <f>IF(NOTA[[#This Row],[JUMLAH]]="","",(NOTA[[#This Row],[JUMLAH]]-NOTA[[#This Row],[DISC 1-]])*NOTA[[#This Row],[DISC 2]])</f>
        <v>150570</v>
      </c>
      <c r="Z1113" s="52">
        <f>IF(NOTA[[#This Row],[JUMLAH]]="","",NOTA[[#This Row],[DISC 1-]]+NOTA[[#This Row],[DISC 2-]])</f>
        <v>580770</v>
      </c>
      <c r="AA1113" s="52">
        <f>IF(NOTA[[#This Row],[JUMLAH]]="","",NOTA[[#This Row],[JUMLAH]]-NOTA[[#This Row],[DISC]])</f>
        <v>2860830</v>
      </c>
      <c r="AB1113" s="52"/>
      <c r="AC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3" s="64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1113" s="203">
        <f>IF(OR(NOTA[[#This Row],[QTY]]="",NOTA[[#This Row],[HARGA SATUAN]]="",),"",NOTA[[#This Row],[QTY]]*NOTA[[#This Row],[HARGA SATUAN]])</f>
        <v>3441600</v>
      </c>
      <c r="AG1113" s="53">
        <f ca="1">IF(NOTA[ID_H]="","",INDEX(NOTA[TANGGAL],MATCH(,INDIRECT(ADDRESS(ROW(NOTA[TANGGAL]),COLUMN(NOTA[TANGGAL]))&amp;":"&amp;ADDRESS(ROW(),COLUMN(NOTA[TANGGAL]))),-1)))</f>
        <v>45079</v>
      </c>
      <c r="AH1113" s="64" t="str">
        <f ca="1">IF(NOTA[[#This Row],[NAMA BARANG]]="","",INDEX(NOTA[SUPPLIER],MATCH(,INDIRECT(ADDRESS(ROW(NOTA[ID]),COLUMN(NOTA[ID]))&amp;":"&amp;ADDRESS(ROW(),COLUMN(NOTA[ID]))),-1)))</f>
        <v>ATALI MAKMUR</v>
      </c>
      <c r="AI1113" s="64" t="str">
        <f ca="1">IF(NOTA[[#This Row],[ID_H]]="","",IF(NOTA[[#This Row],[FAKTUR]]="",INDIRECT(ADDRESS(ROW()-1,COLUMN())),NOTA[[#This Row],[FAKTUR]]))</f>
        <v>ARTO MORO</v>
      </c>
      <c r="AJ1113" s="66" t="str">
        <f ca="1">IF(NOTA[[#This Row],[ID]]="","",COUNTIF(NOTA[ID_H],NOTA[[#This Row],[ID_H]]))</f>
        <v/>
      </c>
      <c r="AK1113" s="66">
        <f ca="1">IF(NOTA[[#This Row],[TGL.NOTA]]="",IF(NOTA[[#This Row],[SUPPLIER_H]]="","",AK1112),MONTH(NOTA[[#This Row],[TGL.NOTA]]))</f>
        <v>5</v>
      </c>
      <c r="AL1113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M11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N11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O11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3" s="66" t="str">
        <f>IF(NOTA[[#This Row],[CONCAT4]]="","",_xlfn.IFNA(MATCH(NOTA[[#This Row],[CONCAT4]],[2]!RAW[CONCAT_H],0),FALSE))</f>
        <v/>
      </c>
      <c r="AQ1113" s="66">
        <f>IF(NOTA[[#This Row],[CONCAT1]]="","",MATCH(NOTA[[#This Row],[CONCAT1]],[3]!db[NB NOTA_C],0)+1)</f>
        <v>604</v>
      </c>
    </row>
    <row r="1114" spans="1:43" ht="20.100000000000001" customHeight="1" x14ac:dyDescent="0.25">
      <c r="A111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4" s="66" t="str">
        <f>IF(NOTA[[#This Row],[ID_P]]="","",MATCH(NOTA[[#This Row],[ID_P]],[1]!B_MSK[N_ID],0))</f>
        <v/>
      </c>
      <c r="D1114" s="66">
        <f ca="1">IF(NOTA[[#This Row],[NAMA BARANG]]="","",INDEX(NOTA[ID],MATCH(,INDIRECT(ADDRESS(ROW(NOTA[ID]),COLUMN(NOTA[ID]))&amp;":"&amp;ADDRESS(ROW(),COLUMN(NOTA[ID]))),-1)))</f>
        <v>184</v>
      </c>
      <c r="E1114" s="113"/>
      <c r="H1114" s="54"/>
      <c r="L1114" s="27" t="s">
        <v>1231</v>
      </c>
      <c r="M1114" s="114">
        <v>1</v>
      </c>
      <c r="N1114" s="66">
        <v>144</v>
      </c>
      <c r="O1114" s="27" t="s">
        <v>146</v>
      </c>
      <c r="P1114" s="64">
        <v>20400</v>
      </c>
      <c r="Q1114" s="79"/>
      <c r="R1114" s="42" t="s">
        <v>293</v>
      </c>
      <c r="S1114" s="80">
        <v>0.125</v>
      </c>
      <c r="T1114" s="115">
        <v>0.05</v>
      </c>
      <c r="U1114" s="52"/>
      <c r="V1114" s="77"/>
      <c r="W1114" s="52">
        <f>IF(NOTA[[#This Row],[HARGA/ CTN]]="",NOTA[[#This Row],[JUMLAH_H]],NOTA[[#This Row],[HARGA/ CTN]]*IF(NOTA[[#This Row],[C]]="",0,NOTA[[#This Row],[C]]))</f>
        <v>2937600</v>
      </c>
      <c r="X1114" s="52">
        <f>IF(NOTA[[#This Row],[JUMLAH]]="","",NOTA[[#This Row],[JUMLAH]]*NOTA[[#This Row],[DISC 1]])</f>
        <v>367200</v>
      </c>
      <c r="Y1114" s="52">
        <f>IF(NOTA[[#This Row],[JUMLAH]]="","",(NOTA[[#This Row],[JUMLAH]]-NOTA[[#This Row],[DISC 1-]])*NOTA[[#This Row],[DISC 2]])</f>
        <v>128520</v>
      </c>
      <c r="Z1114" s="52">
        <f>IF(NOTA[[#This Row],[JUMLAH]]="","",NOTA[[#This Row],[DISC 1-]]+NOTA[[#This Row],[DISC 2-]])</f>
        <v>495720</v>
      </c>
      <c r="AA1114" s="52">
        <f>IF(NOTA[[#This Row],[JUMLAH]]="","",NOTA[[#This Row],[JUMLAH]]-NOTA[[#This Row],[DISC]])</f>
        <v>2441880</v>
      </c>
      <c r="AB1114" s="52"/>
      <c r="AC11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6806801.25</v>
      </c>
      <c r="AD111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33529798.75</v>
      </c>
      <c r="AE1114" s="64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114" s="203">
        <f>IF(OR(NOTA[[#This Row],[QTY]]="",NOTA[[#This Row],[HARGA SATUAN]]="",),"",NOTA[[#This Row],[QTY]]*NOTA[[#This Row],[HARGA SATUAN]])</f>
        <v>2937600</v>
      </c>
      <c r="AG1114" s="53">
        <f ca="1">IF(NOTA[ID_H]="","",INDEX(NOTA[TANGGAL],MATCH(,INDIRECT(ADDRESS(ROW(NOTA[TANGGAL]),COLUMN(NOTA[TANGGAL]))&amp;":"&amp;ADDRESS(ROW(),COLUMN(NOTA[TANGGAL]))),-1)))</f>
        <v>45079</v>
      </c>
      <c r="AH1114" s="64" t="str">
        <f ca="1">IF(NOTA[[#This Row],[NAMA BARANG]]="","",INDEX(NOTA[SUPPLIER],MATCH(,INDIRECT(ADDRESS(ROW(NOTA[ID]),COLUMN(NOTA[ID]))&amp;":"&amp;ADDRESS(ROW(),COLUMN(NOTA[ID]))),-1)))</f>
        <v>ATALI MAKMUR</v>
      </c>
      <c r="AI1114" s="64" t="str">
        <f ca="1">IF(NOTA[[#This Row],[ID_H]]="","",IF(NOTA[[#This Row],[FAKTUR]]="",INDIRECT(ADDRESS(ROW()-1,COLUMN())),NOTA[[#This Row],[FAKTUR]]))</f>
        <v>ARTO MORO</v>
      </c>
      <c r="AJ1114" s="66" t="str">
        <f ca="1">IF(NOTA[[#This Row],[ID]]="","",COUNTIF(NOTA[ID_H],NOTA[[#This Row],[ID_H]]))</f>
        <v/>
      </c>
      <c r="AK1114" s="66">
        <f ca="1">IF(NOTA[[#This Row],[TGL.NOTA]]="",IF(NOTA[[#This Row],[SUPPLIER_H]]="","",AK1113),MONTH(NOTA[[#This Row],[TGL.NOTA]]))</f>
        <v>5</v>
      </c>
      <c r="AL111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M11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N11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O11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4" s="66" t="str">
        <f>IF(NOTA[[#This Row],[CONCAT4]]="","",_xlfn.IFNA(MATCH(NOTA[[#This Row],[CONCAT4]],[2]!RAW[CONCAT_H],0),FALSE))</f>
        <v/>
      </c>
      <c r="AQ1114" s="66">
        <f>IF(NOTA[[#This Row],[CONCAT1]]="","",MATCH(NOTA[[#This Row],[CONCAT1]],[3]!db[NB NOTA_C],0)+1)</f>
        <v>1445</v>
      </c>
    </row>
    <row r="1115" spans="1:43" ht="20.100000000000001" customHeight="1" x14ac:dyDescent="0.25">
      <c r="A111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5" s="66" t="str">
        <f>IF(NOTA[[#This Row],[ID_P]]="","",MATCH(NOTA[[#This Row],[ID_P]],[1]!B_MSK[N_ID],0))</f>
        <v/>
      </c>
      <c r="D1115" s="66" t="str">
        <f ca="1">IF(NOTA[[#This Row],[NAMA BARANG]]="","",INDEX(NOTA[ID],MATCH(,INDIRECT(ADDRESS(ROW(NOTA[ID]),COLUMN(NOTA[ID]))&amp;":"&amp;ADDRESS(ROW(),COLUMN(NOTA[ID]))),-1)))</f>
        <v/>
      </c>
      <c r="E1115" s="113"/>
      <c r="H1115" s="54"/>
      <c r="N1115" s="66"/>
      <c r="Q1115" s="79"/>
      <c r="R1115" s="42"/>
      <c r="S1115" s="80"/>
      <c r="U1115" s="52"/>
      <c r="V1115" s="77"/>
      <c r="W1115" s="52" t="str">
        <f>IF(NOTA[[#This Row],[HARGA/ CTN]]="",NOTA[[#This Row],[JUMLAH_H]],NOTA[[#This Row],[HARGA/ CTN]]*IF(NOTA[[#This Row],[C]]="",0,NOTA[[#This Row],[C]]))</f>
        <v/>
      </c>
      <c r="X1115" s="52" t="str">
        <f>IF(NOTA[[#This Row],[JUMLAH]]="","",NOTA[[#This Row],[JUMLAH]]*NOTA[[#This Row],[DISC 1]])</f>
        <v/>
      </c>
      <c r="Y1115" s="52" t="str">
        <f>IF(NOTA[[#This Row],[JUMLAH]]="","",(NOTA[[#This Row],[JUMLAH]]-NOTA[[#This Row],[DISC 1-]])*NOTA[[#This Row],[DISC 2]])</f>
        <v/>
      </c>
      <c r="Z1115" s="52" t="str">
        <f>IF(NOTA[[#This Row],[JUMLAH]]="","",NOTA[[#This Row],[DISC 1-]]+NOTA[[#This Row],[DISC 2-]])</f>
        <v/>
      </c>
      <c r="AA1115" s="52" t="str">
        <f>IF(NOTA[[#This Row],[JUMLAH]]="","",NOTA[[#This Row],[JUMLAH]]-NOTA[[#This Row],[DISC]])</f>
        <v/>
      </c>
      <c r="AB1115" s="52"/>
      <c r="AC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15" s="203" t="str">
        <f>IF(OR(NOTA[[#This Row],[QTY]]="",NOTA[[#This Row],[HARGA SATUAN]]="",),"",NOTA[[#This Row],[QTY]]*NOTA[[#This Row],[HARGA SATUAN]])</f>
        <v/>
      </c>
      <c r="AG1115" s="53" t="str">
        <f ca="1">IF(NOTA[ID_H]="","",INDEX(NOTA[TANGGAL],MATCH(,INDIRECT(ADDRESS(ROW(NOTA[TANGGAL]),COLUMN(NOTA[TANGGAL]))&amp;":"&amp;ADDRESS(ROW(),COLUMN(NOTA[TANGGAL]))),-1)))</f>
        <v/>
      </c>
      <c r="AH1115" s="64" t="str">
        <f ca="1">IF(NOTA[[#This Row],[NAMA BARANG]]="","",INDEX(NOTA[SUPPLIER],MATCH(,INDIRECT(ADDRESS(ROW(NOTA[ID]),COLUMN(NOTA[ID]))&amp;":"&amp;ADDRESS(ROW(),COLUMN(NOTA[ID]))),-1)))</f>
        <v/>
      </c>
      <c r="AI1115" s="64" t="str">
        <f ca="1">IF(NOTA[[#This Row],[ID_H]]="","",IF(NOTA[[#This Row],[FAKTUR]]="",INDIRECT(ADDRESS(ROW()-1,COLUMN())),NOTA[[#This Row],[FAKTUR]]))</f>
        <v/>
      </c>
      <c r="AJ1115" s="66" t="str">
        <f ca="1">IF(NOTA[[#This Row],[ID]]="","",COUNTIF(NOTA[ID_H],NOTA[[#This Row],[ID_H]]))</f>
        <v/>
      </c>
      <c r="AK1115" s="66" t="str">
        <f ca="1">IF(NOTA[[#This Row],[TGL.NOTA]]="",IF(NOTA[[#This Row],[SUPPLIER_H]]="","",AK1114),MONTH(NOTA[[#This Row],[TGL.NOTA]]))</f>
        <v/>
      </c>
      <c r="AL1115" s="66" t="str">
        <f>LOWER(SUBSTITUTE(SUBSTITUTE(SUBSTITUTE(SUBSTITUTE(SUBSTITUTE(SUBSTITUTE(SUBSTITUTE(SUBSTITUTE(SUBSTITUTE(NOTA[NAMA BARANG]," ",),".",""),"-",""),"(",""),")",""),",",""),"/",""),"""",""),"+",""))</f>
        <v/>
      </c>
      <c r="AM11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5" s="66" t="str">
        <f>IF(NOTA[[#This Row],[CONCAT4]]="","",_xlfn.IFNA(MATCH(NOTA[[#This Row],[CONCAT4]],[2]!RAW[CONCAT_H],0),FALSE))</f>
        <v/>
      </c>
      <c r="AQ1115" s="66" t="str">
        <f>IF(NOTA[[#This Row],[CONCAT1]]="","",MATCH(NOTA[[#This Row],[CONCAT1]],[3]!db[NB NOTA_C],0)+1)</f>
        <v/>
      </c>
    </row>
    <row r="1116" spans="1:43" ht="20.100000000000001" customHeight="1" x14ac:dyDescent="0.25">
      <c r="A1116" s="64">
        <f ca="1">IF(INDIRECT(ADDRESS(ROW()-1,COLUMN(NOTA[[#Headers],[ID]])))="ID",1,IF(NOTA[[#This Row],[FAKTUR]]="","",COUNT(INDIRECT(ADDRESS(ROW(NOTA[ID]),COLUMN(NOTA[ID]))&amp;":"&amp;ADDRESS(ROW()-1,COLUMN(NOTA[ID]))))+1))</f>
        <v>185</v>
      </c>
      <c r="B111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ATA_0206_542-7</v>
      </c>
      <c r="C1116" s="66" t="e">
        <f ca="1">IF(NOTA[[#This Row],[ID_P]]="","",MATCH(NOTA[[#This Row],[ID_P]],[1]!B_MSK[N_ID],0))</f>
        <v>#REF!</v>
      </c>
      <c r="D1116" s="66">
        <f ca="1">IF(NOTA[[#This Row],[NAMA BARANG]]="","",INDEX(NOTA[ID],MATCH(,INDIRECT(ADDRESS(ROW(NOTA[ID]),COLUMN(NOTA[ID]))&amp;":"&amp;ADDRESS(ROW(),COLUMN(NOTA[ID]))),-1)))</f>
        <v>185</v>
      </c>
      <c r="E1116" s="113"/>
      <c r="F1116" s="27" t="s">
        <v>25</v>
      </c>
      <c r="G1116" s="27" t="s">
        <v>24</v>
      </c>
      <c r="H1116" s="54" t="s">
        <v>1232</v>
      </c>
      <c r="J1116" s="53">
        <v>45075</v>
      </c>
      <c r="L1116" s="27" t="s">
        <v>1105</v>
      </c>
      <c r="M1116" s="114">
        <v>1</v>
      </c>
      <c r="N1116" s="66">
        <v>288</v>
      </c>
      <c r="O1116" s="27" t="s">
        <v>252</v>
      </c>
      <c r="P1116" s="64">
        <v>6700</v>
      </c>
      <c r="Q1116" s="79"/>
      <c r="R1116" s="42" t="s">
        <v>884</v>
      </c>
      <c r="S1116" s="80">
        <v>0.125</v>
      </c>
      <c r="T1116" s="115">
        <v>0.05</v>
      </c>
      <c r="U1116" s="52"/>
      <c r="V1116" s="77"/>
      <c r="W1116" s="52">
        <f>IF(NOTA[[#This Row],[HARGA/ CTN]]="",NOTA[[#This Row],[JUMLAH_H]],NOTA[[#This Row],[HARGA/ CTN]]*IF(NOTA[[#This Row],[C]]="",0,NOTA[[#This Row],[C]]))</f>
        <v>1929600</v>
      </c>
      <c r="X1116" s="52">
        <f>IF(NOTA[[#This Row],[JUMLAH]]="","",NOTA[[#This Row],[JUMLAH]]*NOTA[[#This Row],[DISC 1]])</f>
        <v>241200</v>
      </c>
      <c r="Y1116" s="52">
        <f>IF(NOTA[[#This Row],[JUMLAH]]="","",(NOTA[[#This Row],[JUMLAH]]-NOTA[[#This Row],[DISC 1-]])*NOTA[[#This Row],[DISC 2]])</f>
        <v>84420</v>
      </c>
      <c r="Z1116" s="52">
        <f>IF(NOTA[[#This Row],[JUMLAH]]="","",NOTA[[#This Row],[DISC 1-]]+NOTA[[#This Row],[DISC 2-]])</f>
        <v>325620</v>
      </c>
      <c r="AA1116" s="52">
        <f>IF(NOTA[[#This Row],[JUMLAH]]="","",NOTA[[#This Row],[JUMLAH]]-NOTA[[#This Row],[DISC]])</f>
        <v>1603980</v>
      </c>
      <c r="AB1116" s="52"/>
      <c r="AC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6" s="64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1116" s="203">
        <f>IF(OR(NOTA[[#This Row],[QTY]]="",NOTA[[#This Row],[HARGA SATUAN]]="",),"",NOTA[[#This Row],[QTY]]*NOTA[[#This Row],[HARGA SATUAN]])</f>
        <v>1929600</v>
      </c>
      <c r="AG1116" s="53">
        <f ca="1">IF(NOTA[ID_H]="","",INDEX(NOTA[TANGGAL],MATCH(,INDIRECT(ADDRESS(ROW(NOTA[TANGGAL]),COLUMN(NOTA[TANGGAL]))&amp;":"&amp;ADDRESS(ROW(),COLUMN(NOTA[TANGGAL]))),-1)))</f>
        <v>45079</v>
      </c>
      <c r="AH1116" s="64" t="str">
        <f ca="1">IF(NOTA[[#This Row],[NAMA BARANG]]="","",INDEX(NOTA[SUPPLIER],MATCH(,INDIRECT(ADDRESS(ROW(NOTA[ID]),COLUMN(NOTA[ID]))&amp;":"&amp;ADDRESS(ROW(),COLUMN(NOTA[ID]))),-1)))</f>
        <v>ATALI MAKMUR</v>
      </c>
      <c r="AI1116" s="64" t="str">
        <f ca="1">IF(NOTA[[#This Row],[ID_H]]="","",IF(NOTA[[#This Row],[FAKTUR]]="",INDIRECT(ADDRESS(ROW()-1,COLUMN())),NOTA[[#This Row],[FAKTUR]]))</f>
        <v>ARTO MORO</v>
      </c>
      <c r="AJ1116" s="66">
        <f ca="1">IF(NOTA[[#This Row],[ID]]="","",COUNTIF(NOTA[ID_H],NOTA[[#This Row],[ID_H]]))</f>
        <v>7</v>
      </c>
      <c r="AK1116" s="66">
        <f>IF(NOTA[[#This Row],[TGL.NOTA]]="",IF(NOTA[[#This Row],[SUPPLIER_H]]="","",AK1115),MONTH(NOTA[[#This Row],[TGL.NOTA]]))</f>
        <v>5</v>
      </c>
      <c r="AL1116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11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11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111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MOROSA23050854245075colorpencilcps12jk</v>
      </c>
      <c r="AP1116" s="66" t="e">
        <f>IF(NOTA[[#This Row],[CONCAT4]]="","",_xlfn.IFNA(MATCH(NOTA[[#This Row],[CONCAT4]],[2]!RAW[CONCAT_H],0),FALSE))</f>
        <v>#REF!</v>
      </c>
      <c r="AQ1116" s="66">
        <f>IF(NOTA[[#This Row],[CONCAT1]]="","",MATCH(NOTA[[#This Row],[CONCAT1]],[3]!db[NB NOTA_C],0)+1)</f>
        <v>535</v>
      </c>
    </row>
    <row r="1117" spans="1:43" ht="20.100000000000001" customHeight="1" x14ac:dyDescent="0.25">
      <c r="A111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7" s="66" t="str">
        <f>IF(NOTA[[#This Row],[ID_P]]="","",MATCH(NOTA[[#This Row],[ID_P]],[1]!B_MSK[N_ID],0))</f>
        <v/>
      </c>
      <c r="D1117" s="66">
        <f ca="1">IF(NOTA[[#This Row],[NAMA BARANG]]="","",INDEX(NOTA[ID],MATCH(,INDIRECT(ADDRESS(ROW(NOTA[ID]),COLUMN(NOTA[ID]))&amp;":"&amp;ADDRESS(ROW(),COLUMN(NOTA[ID]))),-1)))</f>
        <v>185</v>
      </c>
      <c r="E1117" s="113"/>
      <c r="H1117" s="54"/>
      <c r="L1117" s="27" t="s">
        <v>1233</v>
      </c>
      <c r="M1117" s="114">
        <v>1</v>
      </c>
      <c r="N1117" s="66">
        <v>60</v>
      </c>
      <c r="O1117" s="27" t="s">
        <v>262</v>
      </c>
      <c r="P1117" s="64">
        <v>22200</v>
      </c>
      <c r="Q1117" s="79"/>
      <c r="R1117" s="42" t="s">
        <v>1234</v>
      </c>
      <c r="S1117" s="80">
        <v>0.125</v>
      </c>
      <c r="T1117" s="115">
        <v>0.05</v>
      </c>
      <c r="U1117" s="52"/>
      <c r="V1117" s="77"/>
      <c r="W1117" s="52">
        <f>IF(NOTA[[#This Row],[HARGA/ CTN]]="",NOTA[[#This Row],[JUMLAH_H]],NOTA[[#This Row],[HARGA/ CTN]]*IF(NOTA[[#This Row],[C]]="",0,NOTA[[#This Row],[C]]))</f>
        <v>1332000</v>
      </c>
      <c r="X1117" s="52">
        <f>IF(NOTA[[#This Row],[JUMLAH]]="","",NOTA[[#This Row],[JUMLAH]]*NOTA[[#This Row],[DISC 1]])</f>
        <v>166500</v>
      </c>
      <c r="Y1117" s="52">
        <f>IF(NOTA[[#This Row],[JUMLAH]]="","",(NOTA[[#This Row],[JUMLAH]]-NOTA[[#This Row],[DISC 1-]])*NOTA[[#This Row],[DISC 2]])</f>
        <v>58275</v>
      </c>
      <c r="Z1117" s="52">
        <f>IF(NOTA[[#This Row],[JUMLAH]]="","",NOTA[[#This Row],[DISC 1-]]+NOTA[[#This Row],[DISC 2-]])</f>
        <v>224775</v>
      </c>
      <c r="AA1117" s="52">
        <f>IF(NOTA[[#This Row],[JUMLAH]]="","",NOTA[[#This Row],[JUMLAH]]-NOTA[[#This Row],[DISC]])</f>
        <v>1107225</v>
      </c>
      <c r="AB1117" s="52"/>
      <c r="AC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7" s="64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117" s="203">
        <f>IF(OR(NOTA[[#This Row],[QTY]]="",NOTA[[#This Row],[HARGA SATUAN]]="",),"",NOTA[[#This Row],[QTY]]*NOTA[[#This Row],[HARGA SATUAN]])</f>
        <v>1332000</v>
      </c>
      <c r="AG1117" s="53">
        <f ca="1">IF(NOTA[ID_H]="","",INDEX(NOTA[TANGGAL],MATCH(,INDIRECT(ADDRESS(ROW(NOTA[TANGGAL]),COLUMN(NOTA[TANGGAL]))&amp;":"&amp;ADDRESS(ROW(),COLUMN(NOTA[TANGGAL]))),-1)))</f>
        <v>45079</v>
      </c>
      <c r="AH1117" s="64" t="str">
        <f ca="1">IF(NOTA[[#This Row],[NAMA BARANG]]="","",INDEX(NOTA[SUPPLIER],MATCH(,INDIRECT(ADDRESS(ROW(NOTA[ID]),COLUMN(NOTA[ID]))&amp;":"&amp;ADDRESS(ROW(),COLUMN(NOTA[ID]))),-1)))</f>
        <v>ATALI MAKMUR</v>
      </c>
      <c r="AI1117" s="64" t="str">
        <f ca="1">IF(NOTA[[#This Row],[ID_H]]="","",IF(NOTA[[#This Row],[FAKTUR]]="",INDIRECT(ADDRESS(ROW()-1,COLUMN())),NOTA[[#This Row],[FAKTUR]]))</f>
        <v>ARTO MORO</v>
      </c>
      <c r="AJ1117" s="66" t="str">
        <f ca="1">IF(NOTA[[#This Row],[ID]]="","",COUNTIF(NOTA[ID_H],NOTA[[#This Row],[ID_H]]))</f>
        <v/>
      </c>
      <c r="AK1117" s="66">
        <f ca="1">IF(NOTA[[#This Row],[TGL.NOTA]]="",IF(NOTA[[#This Row],[SUPPLIER_H]]="","",AK1116),MONTH(NOTA[[#This Row],[TGL.NOTA]]))</f>
        <v>5</v>
      </c>
      <c r="AL1117" s="66" t="str">
        <f>LOWER(SUBSTITUTE(SUBSTITUTE(SUBSTITUTE(SUBSTITUTE(SUBSTITUTE(SUBSTITUTE(SUBSTITUTE(SUBSTITUTE(SUBSTITUTE(NOTA[NAMA BARANG]," ",),".",""),"-",""),"(",""),")",""),",",""),"/",""),"""",""),"+",""))</f>
        <v>sharpenerb23jk</v>
      </c>
      <c r="AM11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1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1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7" s="66" t="str">
        <f>IF(NOTA[[#This Row],[CONCAT4]]="","",_xlfn.IFNA(MATCH(NOTA[[#This Row],[CONCAT4]],[2]!RAW[CONCAT_H],0),FALSE))</f>
        <v/>
      </c>
      <c r="AQ1117" s="66">
        <f>IF(NOTA[[#This Row],[CONCAT1]]="","",MATCH(NOTA[[#This Row],[CONCAT1]],[3]!db[NB NOTA_C],0)+1)</f>
        <v>2148</v>
      </c>
    </row>
    <row r="1118" spans="1:43" ht="20.100000000000001" customHeight="1" x14ac:dyDescent="0.25">
      <c r="A111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8" s="66" t="str">
        <f>IF(NOTA[[#This Row],[ID_P]]="","",MATCH(NOTA[[#This Row],[ID_P]],[1]!B_MSK[N_ID],0))</f>
        <v/>
      </c>
      <c r="D1118" s="66">
        <f ca="1">IF(NOTA[[#This Row],[NAMA BARANG]]="","",INDEX(NOTA[ID],MATCH(,INDIRECT(ADDRESS(ROW(NOTA[ID]),COLUMN(NOTA[ID]))&amp;":"&amp;ADDRESS(ROW(),COLUMN(NOTA[ID]))),-1)))</f>
        <v>185</v>
      </c>
      <c r="E1118" s="113"/>
      <c r="H1118" s="54"/>
      <c r="L1118" s="27" t="s">
        <v>605</v>
      </c>
      <c r="M1118" s="114">
        <v>1</v>
      </c>
      <c r="N1118" s="66">
        <v>30</v>
      </c>
      <c r="O1118" s="27" t="s">
        <v>183</v>
      </c>
      <c r="P1118" s="64">
        <v>104400</v>
      </c>
      <c r="Q1118" s="79"/>
      <c r="R1118" s="42" t="s">
        <v>270</v>
      </c>
      <c r="S1118" s="80">
        <v>0.125</v>
      </c>
      <c r="T1118" s="115">
        <v>0.05</v>
      </c>
      <c r="U1118" s="52"/>
      <c r="V1118" s="77"/>
      <c r="W1118" s="52">
        <f>IF(NOTA[[#This Row],[HARGA/ CTN]]="",NOTA[[#This Row],[JUMLAH_H]],NOTA[[#This Row],[HARGA/ CTN]]*IF(NOTA[[#This Row],[C]]="",0,NOTA[[#This Row],[C]]))</f>
        <v>3132000</v>
      </c>
      <c r="X1118" s="52">
        <f>IF(NOTA[[#This Row],[JUMLAH]]="","",NOTA[[#This Row],[JUMLAH]]*NOTA[[#This Row],[DISC 1]])</f>
        <v>391500</v>
      </c>
      <c r="Y1118" s="52">
        <f>IF(NOTA[[#This Row],[JUMLAH]]="","",(NOTA[[#This Row],[JUMLAH]]-NOTA[[#This Row],[DISC 1-]])*NOTA[[#This Row],[DISC 2]])</f>
        <v>137025</v>
      </c>
      <c r="Z1118" s="52">
        <f>IF(NOTA[[#This Row],[JUMLAH]]="","",NOTA[[#This Row],[DISC 1-]]+NOTA[[#This Row],[DISC 2-]])</f>
        <v>528525</v>
      </c>
      <c r="AA1118" s="52">
        <f>IF(NOTA[[#This Row],[JUMLAH]]="","",NOTA[[#This Row],[JUMLAH]]-NOTA[[#This Row],[DISC]])</f>
        <v>2603475</v>
      </c>
      <c r="AB1118" s="52"/>
      <c r="AC11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8" s="64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1118" s="203">
        <f>IF(OR(NOTA[[#This Row],[QTY]]="",NOTA[[#This Row],[HARGA SATUAN]]="",),"",NOTA[[#This Row],[QTY]]*NOTA[[#This Row],[HARGA SATUAN]])</f>
        <v>3132000</v>
      </c>
      <c r="AG1118" s="53">
        <f ca="1">IF(NOTA[ID_H]="","",INDEX(NOTA[TANGGAL],MATCH(,INDIRECT(ADDRESS(ROW(NOTA[TANGGAL]),COLUMN(NOTA[TANGGAL]))&amp;":"&amp;ADDRESS(ROW(),COLUMN(NOTA[TANGGAL]))),-1)))</f>
        <v>45079</v>
      </c>
      <c r="AH1118" s="64" t="str">
        <f ca="1">IF(NOTA[[#This Row],[NAMA BARANG]]="","",INDEX(NOTA[SUPPLIER],MATCH(,INDIRECT(ADDRESS(ROW(NOTA[ID]),COLUMN(NOTA[ID]))&amp;":"&amp;ADDRESS(ROW(),COLUMN(NOTA[ID]))),-1)))</f>
        <v>ATALI MAKMUR</v>
      </c>
      <c r="AI1118" s="64" t="str">
        <f ca="1">IF(NOTA[[#This Row],[ID_H]]="","",IF(NOTA[[#This Row],[FAKTUR]]="",INDIRECT(ADDRESS(ROW()-1,COLUMN())),NOTA[[#This Row],[FAKTUR]]))</f>
        <v>ARTO MORO</v>
      </c>
      <c r="AJ1118" s="66" t="str">
        <f ca="1">IF(NOTA[[#This Row],[ID]]="","",COUNTIF(NOTA[ID_H],NOTA[[#This Row],[ID_H]]))</f>
        <v/>
      </c>
      <c r="AK1118" s="66">
        <f ca="1">IF(NOTA[[#This Row],[TGL.NOTA]]="",IF(NOTA[[#This Row],[SUPPLIER_H]]="","",AK1117),MONTH(NOTA[[#This Row],[TGL.NOTA]]))</f>
        <v>5</v>
      </c>
      <c r="AL1118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M11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11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11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8" s="66" t="str">
        <f>IF(NOTA[[#This Row],[CONCAT4]]="","",_xlfn.IFNA(MATCH(NOTA[[#This Row],[CONCAT4]],[2]!RAW[CONCAT_H],0),FALSE))</f>
        <v/>
      </c>
      <c r="AQ1118" s="66">
        <f>IF(NOTA[[#This Row],[CONCAT1]]="","",MATCH(NOTA[[#This Row],[CONCAT1]],[3]!db[NB NOTA_C],0)+1)</f>
        <v>1927</v>
      </c>
    </row>
    <row r="1119" spans="1:43" ht="20.100000000000001" customHeight="1" x14ac:dyDescent="0.25">
      <c r="A111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9" s="66" t="str">
        <f>IF(NOTA[[#This Row],[ID_P]]="","",MATCH(NOTA[[#This Row],[ID_P]],[1]!B_MSK[N_ID],0))</f>
        <v/>
      </c>
      <c r="D1119" s="66">
        <f ca="1">IF(NOTA[[#This Row],[NAMA BARANG]]="","",INDEX(NOTA[ID],MATCH(,INDIRECT(ADDRESS(ROW(NOTA[ID]),COLUMN(NOTA[ID]))&amp;":"&amp;ADDRESS(ROW(),COLUMN(NOTA[ID]))),-1)))</f>
        <v>185</v>
      </c>
      <c r="E1119" s="113"/>
      <c r="H1119" s="54"/>
      <c r="L1119" s="27" t="s">
        <v>1235</v>
      </c>
      <c r="M1119" s="114">
        <v>1</v>
      </c>
      <c r="N1119" s="66">
        <v>120</v>
      </c>
      <c r="O1119" s="27" t="s">
        <v>160</v>
      </c>
      <c r="P1119" s="64">
        <v>12950</v>
      </c>
      <c r="Q1119" s="79"/>
      <c r="R1119" s="42" t="s">
        <v>805</v>
      </c>
      <c r="S1119" s="80">
        <v>0.125</v>
      </c>
      <c r="T1119" s="115">
        <v>0.05</v>
      </c>
      <c r="U1119" s="52"/>
      <c r="V1119" s="77"/>
      <c r="W1119" s="52">
        <f>IF(NOTA[[#This Row],[HARGA/ CTN]]="",NOTA[[#This Row],[JUMLAH_H]],NOTA[[#This Row],[HARGA/ CTN]]*IF(NOTA[[#This Row],[C]]="",0,NOTA[[#This Row],[C]]))</f>
        <v>1554000</v>
      </c>
      <c r="X1119" s="52">
        <f>IF(NOTA[[#This Row],[JUMLAH]]="","",NOTA[[#This Row],[JUMLAH]]*NOTA[[#This Row],[DISC 1]])</f>
        <v>194250</v>
      </c>
      <c r="Y1119" s="52">
        <f>IF(NOTA[[#This Row],[JUMLAH]]="","",(NOTA[[#This Row],[JUMLAH]]-NOTA[[#This Row],[DISC 1-]])*NOTA[[#This Row],[DISC 2]])</f>
        <v>67987.5</v>
      </c>
      <c r="Z1119" s="52">
        <f>IF(NOTA[[#This Row],[JUMLAH]]="","",NOTA[[#This Row],[DISC 1-]]+NOTA[[#This Row],[DISC 2-]])</f>
        <v>262237.5</v>
      </c>
      <c r="AA1119" s="52">
        <f>IF(NOTA[[#This Row],[JUMLAH]]="","",NOTA[[#This Row],[JUMLAH]]-NOTA[[#This Row],[DISC]])</f>
        <v>1291762.5</v>
      </c>
      <c r="AB1119" s="52"/>
      <c r="AC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9" s="64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1119" s="203">
        <f>IF(OR(NOTA[[#This Row],[QTY]]="",NOTA[[#This Row],[HARGA SATUAN]]="",),"",NOTA[[#This Row],[QTY]]*NOTA[[#This Row],[HARGA SATUAN]])</f>
        <v>1554000</v>
      </c>
      <c r="AG1119" s="53">
        <f ca="1">IF(NOTA[ID_H]="","",INDEX(NOTA[TANGGAL],MATCH(,INDIRECT(ADDRESS(ROW(NOTA[TANGGAL]),COLUMN(NOTA[TANGGAL]))&amp;":"&amp;ADDRESS(ROW(),COLUMN(NOTA[TANGGAL]))),-1)))</f>
        <v>45079</v>
      </c>
      <c r="AH1119" s="64" t="str">
        <f ca="1">IF(NOTA[[#This Row],[NAMA BARANG]]="","",INDEX(NOTA[SUPPLIER],MATCH(,INDIRECT(ADDRESS(ROW(NOTA[ID]),COLUMN(NOTA[ID]))&amp;":"&amp;ADDRESS(ROW(),COLUMN(NOTA[ID]))),-1)))</f>
        <v>ATALI MAKMUR</v>
      </c>
      <c r="AI1119" s="64" t="str">
        <f ca="1">IF(NOTA[[#This Row],[ID_H]]="","",IF(NOTA[[#This Row],[FAKTUR]]="",INDIRECT(ADDRESS(ROW()-1,COLUMN())),NOTA[[#This Row],[FAKTUR]]))</f>
        <v>ARTO MORO</v>
      </c>
      <c r="AJ1119" s="66" t="str">
        <f ca="1">IF(NOTA[[#This Row],[ID]]="","",COUNTIF(NOTA[ID_H],NOTA[[#This Row],[ID_H]]))</f>
        <v/>
      </c>
      <c r="AK1119" s="66">
        <f ca="1">IF(NOTA[[#This Row],[TGL.NOTA]]="",IF(NOTA[[#This Row],[SUPPLIER_H]]="","",AK1118),MONTH(NOTA[[#This Row],[TGL.NOTA]]))</f>
        <v>5</v>
      </c>
      <c r="AL1119" s="66" t="str">
        <f>LOWER(SUBSTITUTE(SUBSTITUTE(SUBSTITUTE(SUBSTITUTE(SUBSTITUTE(SUBSTITUTE(SUBSTITUTE(SUBSTITUTE(SUBSTITUTE(NOTA[NAMA BARANG]," ",),".",""),"-",""),"(",""),")",""),",",""),"/",""),"""",""),"+",""))</f>
        <v>punch30xljk</v>
      </c>
      <c r="AM11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11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11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19" s="66" t="str">
        <f>IF(NOTA[[#This Row],[CONCAT4]]="","",_xlfn.IFNA(MATCH(NOTA[[#This Row],[CONCAT4]],[2]!RAW[CONCAT_H],0),FALSE))</f>
        <v/>
      </c>
      <c r="AQ1119" s="66">
        <f>IF(NOTA[[#This Row],[CONCAT1]]="","",MATCH(NOTA[[#This Row],[CONCAT1]],[3]!db[NB NOTA_C],0)+1)</f>
        <v>2066</v>
      </c>
    </row>
    <row r="1120" spans="1:43" ht="20.100000000000001" customHeight="1" x14ac:dyDescent="0.25">
      <c r="A112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0" s="66" t="str">
        <f>IF(NOTA[[#This Row],[ID_P]]="","",MATCH(NOTA[[#This Row],[ID_P]],[1]!B_MSK[N_ID],0))</f>
        <v/>
      </c>
      <c r="D1120" s="66">
        <f ca="1">IF(NOTA[[#This Row],[NAMA BARANG]]="","",INDEX(NOTA[ID],MATCH(,INDIRECT(ADDRESS(ROW(NOTA[ID]),COLUMN(NOTA[ID]))&amp;":"&amp;ADDRESS(ROW(),COLUMN(NOTA[ID]))),-1)))</f>
        <v>185</v>
      </c>
      <c r="E1120" s="113"/>
      <c r="H1120" s="54"/>
      <c r="L1120" s="27" t="s">
        <v>1236</v>
      </c>
      <c r="M1120" s="114">
        <v>1</v>
      </c>
      <c r="N1120" s="66">
        <v>24</v>
      </c>
      <c r="O1120" s="27" t="s">
        <v>160</v>
      </c>
      <c r="P1120" s="64">
        <v>41000</v>
      </c>
      <c r="Q1120" s="79"/>
      <c r="R1120" s="42" t="s">
        <v>236</v>
      </c>
      <c r="S1120" s="80">
        <v>0.125</v>
      </c>
      <c r="T1120" s="115">
        <v>0.05</v>
      </c>
      <c r="U1120" s="52"/>
      <c r="V1120" s="77"/>
      <c r="W1120" s="52">
        <f>IF(NOTA[[#This Row],[HARGA/ CTN]]="",NOTA[[#This Row],[JUMLAH_H]],NOTA[[#This Row],[HARGA/ CTN]]*IF(NOTA[[#This Row],[C]]="",0,NOTA[[#This Row],[C]]))</f>
        <v>984000</v>
      </c>
      <c r="X1120" s="52">
        <f>IF(NOTA[[#This Row],[JUMLAH]]="","",NOTA[[#This Row],[JUMLAH]]*NOTA[[#This Row],[DISC 1]])</f>
        <v>123000</v>
      </c>
      <c r="Y1120" s="52">
        <f>IF(NOTA[[#This Row],[JUMLAH]]="","",(NOTA[[#This Row],[JUMLAH]]-NOTA[[#This Row],[DISC 1-]])*NOTA[[#This Row],[DISC 2]])</f>
        <v>43050</v>
      </c>
      <c r="Z1120" s="52">
        <f>IF(NOTA[[#This Row],[JUMLAH]]="","",NOTA[[#This Row],[DISC 1-]]+NOTA[[#This Row],[DISC 2-]])</f>
        <v>166050</v>
      </c>
      <c r="AA1120" s="52">
        <f>IF(NOTA[[#This Row],[JUMLAH]]="","",NOTA[[#This Row],[JUMLAH]]-NOTA[[#This Row],[DISC]])</f>
        <v>817950</v>
      </c>
      <c r="AB1120" s="52"/>
      <c r="AC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0" s="64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F1120" s="203">
        <f>IF(OR(NOTA[[#This Row],[QTY]]="",NOTA[[#This Row],[HARGA SATUAN]]="",),"",NOTA[[#This Row],[QTY]]*NOTA[[#This Row],[HARGA SATUAN]])</f>
        <v>984000</v>
      </c>
      <c r="AG1120" s="53">
        <f ca="1">IF(NOTA[ID_H]="","",INDEX(NOTA[TANGGAL],MATCH(,INDIRECT(ADDRESS(ROW(NOTA[TANGGAL]),COLUMN(NOTA[TANGGAL]))&amp;":"&amp;ADDRESS(ROW(),COLUMN(NOTA[TANGGAL]))),-1)))</f>
        <v>45079</v>
      </c>
      <c r="AH1120" s="64" t="str">
        <f ca="1">IF(NOTA[[#This Row],[NAMA BARANG]]="","",INDEX(NOTA[SUPPLIER],MATCH(,INDIRECT(ADDRESS(ROW(NOTA[ID]),COLUMN(NOTA[ID]))&amp;":"&amp;ADDRESS(ROW(),COLUMN(NOTA[ID]))),-1)))</f>
        <v>ATALI MAKMUR</v>
      </c>
      <c r="AI1120" s="64" t="str">
        <f ca="1">IF(NOTA[[#This Row],[ID_H]]="","",IF(NOTA[[#This Row],[FAKTUR]]="",INDIRECT(ADDRESS(ROW()-1,COLUMN())),NOTA[[#This Row],[FAKTUR]]))</f>
        <v>ARTO MORO</v>
      </c>
      <c r="AJ1120" s="66" t="str">
        <f ca="1">IF(NOTA[[#This Row],[ID]]="","",COUNTIF(NOTA[ID_H],NOTA[[#This Row],[ID_H]]))</f>
        <v/>
      </c>
      <c r="AK1120" s="66">
        <f ca="1">IF(NOTA[[#This Row],[TGL.NOTA]]="",IF(NOTA[[#This Row],[SUPPLIER_H]]="","",AK1119),MONTH(NOTA[[#This Row],[TGL.NOTA]]))</f>
        <v>5</v>
      </c>
      <c r="AL1120" s="66" t="str">
        <f>LOWER(SUBSTITUTE(SUBSTITUTE(SUBSTITUTE(SUBSTITUTE(SUBSTITUTE(SUBSTITUTE(SUBSTITUTE(SUBSTITUTE(SUBSTITUTE(NOTA[NAMA BARANG]," ",),".",""),"-",""),"(",""),")",""),",",""),"/",""),"""",""),"+",""))</f>
        <v>tapecuttertd2hjk</v>
      </c>
      <c r="AM11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tapecuttertd2hjk9840000.1250.05</v>
      </c>
      <c r="AN11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tapecuttertd2hjk9840000.1250.05</v>
      </c>
      <c r="AO11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0" s="66" t="str">
        <f>IF(NOTA[[#This Row],[CONCAT4]]="","",_xlfn.IFNA(MATCH(NOTA[[#This Row],[CONCAT4]],[2]!RAW[CONCAT_H],0),FALSE))</f>
        <v/>
      </c>
      <c r="AQ1120" s="66">
        <f>IF(NOTA[[#This Row],[CONCAT1]]="","",MATCH(NOTA[[#This Row],[CONCAT1]],[3]!db[NB NOTA_C],0)+1)</f>
        <v>2222</v>
      </c>
    </row>
    <row r="1121" spans="1:43" ht="20.100000000000001" customHeight="1" x14ac:dyDescent="0.25">
      <c r="A112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1" s="66" t="str">
        <f>IF(NOTA[[#This Row],[ID_P]]="","",MATCH(NOTA[[#This Row],[ID_P]],[1]!B_MSK[N_ID],0))</f>
        <v/>
      </c>
      <c r="D1121" s="66">
        <f ca="1">IF(NOTA[[#This Row],[NAMA BARANG]]="","",INDEX(NOTA[ID],MATCH(,INDIRECT(ADDRESS(ROW(NOTA[ID]),COLUMN(NOTA[ID]))&amp;":"&amp;ADDRESS(ROW(),COLUMN(NOTA[ID]))),-1)))</f>
        <v>185</v>
      </c>
      <c r="E1121" s="113"/>
      <c r="H1121" s="54"/>
      <c r="L1121" s="27" t="s">
        <v>1237</v>
      </c>
      <c r="M1121" s="114">
        <v>1</v>
      </c>
      <c r="N1121" s="66">
        <v>24</v>
      </c>
      <c r="O1121" s="27" t="s">
        <v>160</v>
      </c>
      <c r="P1121" s="64">
        <v>22500</v>
      </c>
      <c r="Q1121" s="79"/>
      <c r="R1121" s="42" t="s">
        <v>236</v>
      </c>
      <c r="S1121" s="80">
        <v>0.125</v>
      </c>
      <c r="T1121" s="115">
        <v>0.05</v>
      </c>
      <c r="U1121" s="52"/>
      <c r="V1121" s="77"/>
      <c r="W1121" s="52">
        <f>IF(NOTA[[#This Row],[HARGA/ CTN]]="",NOTA[[#This Row],[JUMLAH_H]],NOTA[[#This Row],[HARGA/ CTN]]*IF(NOTA[[#This Row],[C]]="",0,NOTA[[#This Row],[C]]))</f>
        <v>540000</v>
      </c>
      <c r="X1121" s="52">
        <f>IF(NOTA[[#This Row],[JUMLAH]]="","",NOTA[[#This Row],[JUMLAH]]*NOTA[[#This Row],[DISC 1]])</f>
        <v>67500</v>
      </c>
      <c r="Y1121" s="52">
        <f>IF(NOTA[[#This Row],[JUMLAH]]="","",(NOTA[[#This Row],[JUMLAH]]-NOTA[[#This Row],[DISC 1-]])*NOTA[[#This Row],[DISC 2]])</f>
        <v>23625</v>
      </c>
      <c r="Z1121" s="52">
        <f>IF(NOTA[[#This Row],[JUMLAH]]="","",NOTA[[#This Row],[DISC 1-]]+NOTA[[#This Row],[DISC 2-]])</f>
        <v>91125</v>
      </c>
      <c r="AA1121" s="52">
        <f>IF(NOTA[[#This Row],[JUMLAH]]="","",NOTA[[#This Row],[JUMLAH]]-NOTA[[#This Row],[DISC]])</f>
        <v>448875</v>
      </c>
      <c r="AB1121" s="52"/>
      <c r="AC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1" s="64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F1121" s="203">
        <f>IF(OR(NOTA[[#This Row],[QTY]]="",NOTA[[#This Row],[HARGA SATUAN]]="",),"",NOTA[[#This Row],[QTY]]*NOTA[[#This Row],[HARGA SATUAN]])</f>
        <v>540000</v>
      </c>
      <c r="AG1121" s="53">
        <f ca="1">IF(NOTA[ID_H]="","",INDEX(NOTA[TANGGAL],MATCH(,INDIRECT(ADDRESS(ROW(NOTA[TANGGAL]),COLUMN(NOTA[TANGGAL]))&amp;":"&amp;ADDRESS(ROW(),COLUMN(NOTA[TANGGAL]))),-1)))</f>
        <v>45079</v>
      </c>
      <c r="AH1121" s="64" t="str">
        <f ca="1">IF(NOTA[[#This Row],[NAMA BARANG]]="","",INDEX(NOTA[SUPPLIER],MATCH(,INDIRECT(ADDRESS(ROW(NOTA[ID]),COLUMN(NOTA[ID]))&amp;":"&amp;ADDRESS(ROW(),COLUMN(NOTA[ID]))),-1)))</f>
        <v>ATALI MAKMUR</v>
      </c>
      <c r="AI1121" s="64" t="str">
        <f ca="1">IF(NOTA[[#This Row],[ID_H]]="","",IF(NOTA[[#This Row],[FAKTUR]]="",INDIRECT(ADDRESS(ROW()-1,COLUMN())),NOTA[[#This Row],[FAKTUR]]))</f>
        <v>ARTO MORO</v>
      </c>
      <c r="AJ1121" s="66" t="str">
        <f ca="1">IF(NOTA[[#This Row],[ID]]="","",COUNTIF(NOTA[ID_H],NOTA[[#This Row],[ID_H]]))</f>
        <v/>
      </c>
      <c r="AK1121" s="66">
        <f ca="1">IF(NOTA[[#This Row],[TGL.NOTA]]="",IF(NOTA[[#This Row],[SUPPLIER_H]]="","",AK1120),MONTH(NOTA[[#This Row],[TGL.NOTA]]))</f>
        <v>5</v>
      </c>
      <c r="AL1121" s="66" t="str">
        <f>LOWER(SUBSTITUTE(SUBSTITUTE(SUBSTITUTE(SUBSTITUTE(SUBSTITUTE(SUBSTITUTE(SUBSTITUTE(SUBSTITUTE(SUBSTITUTE(NOTA[NAMA BARANG]," ",),".",""),"-",""),"(",""),")",""),",",""),"/",""),"""",""),"+",""))</f>
        <v>tapecuttertd09njk</v>
      </c>
      <c r="AM11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N11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O11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1" s="66" t="str">
        <f>IF(NOTA[[#This Row],[CONCAT4]]="","",_xlfn.IFNA(MATCH(NOTA[[#This Row],[CONCAT4]],[2]!RAW[CONCAT_H],0),FALSE))</f>
        <v/>
      </c>
      <c r="AQ1121" s="66">
        <f>IF(NOTA[[#This Row],[CONCAT1]]="","",MATCH(NOTA[[#This Row],[CONCAT1]],[3]!db[NB NOTA_C],0)+1)</f>
        <v>2216</v>
      </c>
    </row>
    <row r="1122" spans="1:43" ht="20.100000000000001" customHeight="1" x14ac:dyDescent="0.25">
      <c r="A112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2" s="66" t="str">
        <f>IF(NOTA[[#This Row],[ID_P]]="","",MATCH(NOTA[[#This Row],[ID_P]],[1]!B_MSK[N_ID],0))</f>
        <v/>
      </c>
      <c r="D1122" s="66">
        <f ca="1">IF(NOTA[[#This Row],[NAMA BARANG]]="","",INDEX(NOTA[ID],MATCH(,INDIRECT(ADDRESS(ROW(NOTA[ID]),COLUMN(NOTA[ID]))&amp;":"&amp;ADDRESS(ROW(),COLUMN(NOTA[ID]))),-1)))</f>
        <v>185</v>
      </c>
      <c r="E1122" s="113"/>
      <c r="H1122" s="54"/>
      <c r="L1122" s="27" t="s">
        <v>290</v>
      </c>
      <c r="M1122" s="114">
        <v>1</v>
      </c>
      <c r="N1122" s="66">
        <v>24</v>
      </c>
      <c r="O1122" s="27" t="s">
        <v>160</v>
      </c>
      <c r="P1122" s="64">
        <v>19000</v>
      </c>
      <c r="Q1122" s="79"/>
      <c r="R1122" s="42" t="s">
        <v>236</v>
      </c>
      <c r="S1122" s="80">
        <v>0.125</v>
      </c>
      <c r="T1122" s="115">
        <v>0.05</v>
      </c>
      <c r="U1122" s="52"/>
      <c r="V1122" s="77"/>
      <c r="W1122" s="52">
        <f>IF(NOTA[[#This Row],[HARGA/ CTN]]="",NOTA[[#This Row],[JUMLAH_H]],NOTA[[#This Row],[HARGA/ CTN]]*IF(NOTA[[#This Row],[C]]="",0,NOTA[[#This Row],[C]]))</f>
        <v>456000</v>
      </c>
      <c r="X1122" s="52">
        <f>IF(NOTA[[#This Row],[JUMLAH]]="","",NOTA[[#This Row],[JUMLAH]]*NOTA[[#This Row],[DISC 1]])</f>
        <v>57000</v>
      </c>
      <c r="Y1122" s="52">
        <f>IF(NOTA[[#This Row],[JUMLAH]]="","",(NOTA[[#This Row],[JUMLAH]]-NOTA[[#This Row],[DISC 1-]])*NOTA[[#This Row],[DISC 2]])</f>
        <v>19950</v>
      </c>
      <c r="Z1122" s="52">
        <f>IF(NOTA[[#This Row],[JUMLAH]]="","",NOTA[[#This Row],[DISC 1-]]+NOTA[[#This Row],[DISC 2-]])</f>
        <v>76950</v>
      </c>
      <c r="AA1122" s="52">
        <f>IF(NOTA[[#This Row],[JUMLAH]]="","",NOTA[[#This Row],[JUMLAH]]-NOTA[[#This Row],[DISC]])</f>
        <v>379050</v>
      </c>
      <c r="AB1122" s="52"/>
      <c r="AC11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1675282.5</v>
      </c>
      <c r="AD1122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8252317.5</v>
      </c>
      <c r="AE1122" s="64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1122" s="203">
        <f>IF(OR(NOTA[[#This Row],[QTY]]="",NOTA[[#This Row],[HARGA SATUAN]]="",),"",NOTA[[#This Row],[QTY]]*NOTA[[#This Row],[HARGA SATUAN]])</f>
        <v>456000</v>
      </c>
      <c r="AG1122" s="53">
        <f ca="1">IF(NOTA[ID_H]="","",INDEX(NOTA[TANGGAL],MATCH(,INDIRECT(ADDRESS(ROW(NOTA[TANGGAL]),COLUMN(NOTA[TANGGAL]))&amp;":"&amp;ADDRESS(ROW(),COLUMN(NOTA[TANGGAL]))),-1)))</f>
        <v>45079</v>
      </c>
      <c r="AH1122" s="64" t="str">
        <f ca="1">IF(NOTA[[#This Row],[NAMA BARANG]]="","",INDEX(NOTA[SUPPLIER],MATCH(,INDIRECT(ADDRESS(ROW(NOTA[ID]),COLUMN(NOTA[ID]))&amp;":"&amp;ADDRESS(ROW(),COLUMN(NOTA[ID]))),-1)))</f>
        <v>ATALI MAKMUR</v>
      </c>
      <c r="AI1122" s="64" t="str">
        <f ca="1">IF(NOTA[[#This Row],[ID_H]]="","",IF(NOTA[[#This Row],[FAKTUR]]="",INDIRECT(ADDRESS(ROW()-1,COLUMN())),NOTA[[#This Row],[FAKTUR]]))</f>
        <v>ARTO MORO</v>
      </c>
      <c r="AJ1122" s="66" t="str">
        <f ca="1">IF(NOTA[[#This Row],[ID]]="","",COUNTIF(NOTA[ID_H],NOTA[[#This Row],[ID_H]]))</f>
        <v/>
      </c>
      <c r="AK1122" s="66">
        <f ca="1">IF(NOTA[[#This Row],[TGL.NOTA]]="",IF(NOTA[[#This Row],[SUPPLIER_H]]="","",AK1121),MONTH(NOTA[[#This Row],[TGL.NOTA]]))</f>
        <v>5</v>
      </c>
      <c r="AL112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M11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11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11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2" s="66" t="str">
        <f>IF(NOTA[[#This Row],[CONCAT4]]="","",_xlfn.IFNA(MATCH(NOTA[[#This Row],[CONCAT4]],[2]!RAW[CONCAT_H],0),FALSE))</f>
        <v/>
      </c>
      <c r="AQ1122" s="66">
        <f>IF(NOTA[[#This Row],[CONCAT1]]="","",MATCH(NOTA[[#This Row],[CONCAT1]],[3]!db[NB NOTA_C],0)+1)</f>
        <v>2219</v>
      </c>
    </row>
    <row r="1123" spans="1:43" ht="20.100000000000001" customHeight="1" x14ac:dyDescent="0.25">
      <c r="A112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3" s="66" t="str">
        <f>IF(NOTA[[#This Row],[ID_P]]="","",MATCH(NOTA[[#This Row],[ID_P]],[1]!B_MSK[N_ID],0))</f>
        <v/>
      </c>
      <c r="D1123" s="66" t="str">
        <f ca="1">IF(NOTA[[#This Row],[NAMA BARANG]]="","",INDEX(NOTA[ID],MATCH(,INDIRECT(ADDRESS(ROW(NOTA[ID]),COLUMN(NOTA[ID]))&amp;":"&amp;ADDRESS(ROW(),COLUMN(NOTA[ID]))),-1)))</f>
        <v/>
      </c>
      <c r="E1123" s="113"/>
      <c r="H1123" s="54"/>
      <c r="N1123" s="66"/>
      <c r="Q1123" s="79"/>
      <c r="R1123" s="42"/>
      <c r="S1123" s="80"/>
      <c r="U1123" s="52"/>
      <c r="V1123" s="77"/>
      <c r="W1123" s="52" t="str">
        <f>IF(NOTA[[#This Row],[HARGA/ CTN]]="",NOTA[[#This Row],[JUMLAH_H]],NOTA[[#This Row],[HARGA/ CTN]]*IF(NOTA[[#This Row],[C]]="",0,NOTA[[#This Row],[C]]))</f>
        <v/>
      </c>
      <c r="X1123" s="52" t="str">
        <f>IF(NOTA[[#This Row],[JUMLAH]]="","",NOTA[[#This Row],[JUMLAH]]*NOTA[[#This Row],[DISC 1]])</f>
        <v/>
      </c>
      <c r="Y1123" s="52" t="str">
        <f>IF(NOTA[[#This Row],[JUMLAH]]="","",(NOTA[[#This Row],[JUMLAH]]-NOTA[[#This Row],[DISC 1-]])*NOTA[[#This Row],[DISC 2]])</f>
        <v/>
      </c>
      <c r="Z1123" s="52" t="str">
        <f>IF(NOTA[[#This Row],[JUMLAH]]="","",NOTA[[#This Row],[DISC 1-]]+NOTA[[#This Row],[DISC 2-]])</f>
        <v/>
      </c>
      <c r="AA1123" s="52" t="str">
        <f>IF(NOTA[[#This Row],[JUMLAH]]="","",NOTA[[#This Row],[JUMLAH]]-NOTA[[#This Row],[DISC]])</f>
        <v/>
      </c>
      <c r="AB1123" s="52"/>
      <c r="AC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3" s="203" t="str">
        <f>IF(OR(NOTA[[#This Row],[QTY]]="",NOTA[[#This Row],[HARGA SATUAN]]="",),"",NOTA[[#This Row],[QTY]]*NOTA[[#This Row],[HARGA SATUAN]])</f>
        <v/>
      </c>
      <c r="AG1123" s="53" t="str">
        <f ca="1">IF(NOTA[ID_H]="","",INDEX(NOTA[TANGGAL],MATCH(,INDIRECT(ADDRESS(ROW(NOTA[TANGGAL]),COLUMN(NOTA[TANGGAL]))&amp;":"&amp;ADDRESS(ROW(),COLUMN(NOTA[TANGGAL]))),-1)))</f>
        <v/>
      </c>
      <c r="AH1123" s="64" t="str">
        <f ca="1">IF(NOTA[[#This Row],[NAMA BARANG]]="","",INDEX(NOTA[SUPPLIER],MATCH(,INDIRECT(ADDRESS(ROW(NOTA[ID]),COLUMN(NOTA[ID]))&amp;":"&amp;ADDRESS(ROW(),COLUMN(NOTA[ID]))),-1)))</f>
        <v/>
      </c>
      <c r="AI1123" s="64" t="str">
        <f ca="1">IF(NOTA[[#This Row],[ID_H]]="","",IF(NOTA[[#This Row],[FAKTUR]]="",INDIRECT(ADDRESS(ROW()-1,COLUMN())),NOTA[[#This Row],[FAKTUR]]))</f>
        <v/>
      </c>
      <c r="AJ1123" s="66" t="str">
        <f ca="1">IF(NOTA[[#This Row],[ID]]="","",COUNTIF(NOTA[ID_H],NOTA[[#This Row],[ID_H]]))</f>
        <v/>
      </c>
      <c r="AK1123" s="66" t="str">
        <f ca="1">IF(NOTA[[#This Row],[TGL.NOTA]]="",IF(NOTA[[#This Row],[SUPPLIER_H]]="","",AK1122),MONTH(NOTA[[#This Row],[TGL.NOTA]]))</f>
        <v/>
      </c>
      <c r="AL1123" s="66" t="str">
        <f>LOWER(SUBSTITUTE(SUBSTITUTE(SUBSTITUTE(SUBSTITUTE(SUBSTITUTE(SUBSTITUTE(SUBSTITUTE(SUBSTITUTE(SUBSTITUTE(NOTA[NAMA BARANG]," ",),".",""),"-",""),"(",""),")",""),",",""),"/",""),"""",""),"+",""))</f>
        <v/>
      </c>
      <c r="AM11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3" s="66" t="str">
        <f>IF(NOTA[[#This Row],[CONCAT4]]="","",_xlfn.IFNA(MATCH(NOTA[[#This Row],[CONCAT4]],[2]!RAW[CONCAT_H],0),FALSE))</f>
        <v/>
      </c>
      <c r="AQ1123" s="66" t="str">
        <f>IF(NOTA[[#This Row],[CONCAT1]]="","",MATCH(NOTA[[#This Row],[CONCAT1]],[3]!db[NB NOTA_C],0)+1)</f>
        <v/>
      </c>
    </row>
    <row r="1124" spans="1:43" ht="20.100000000000001" customHeight="1" x14ac:dyDescent="0.25">
      <c r="A1124" s="64">
        <f ca="1">IF(INDIRECT(ADDRESS(ROW()-1,COLUMN(NOTA[[#Headers],[ID]])))="ID",1,IF(NOTA[[#This Row],[FAKTUR]]="","",COUNT(INDIRECT(ADDRESS(ROW(NOTA[ID]),COLUMN(NOTA[ID]))&amp;":"&amp;ADDRESS(ROW()-1,COLUMN(NOTA[ID]))))+1))</f>
        <v>186</v>
      </c>
      <c r="B11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BIN_0206_030-1</v>
      </c>
      <c r="C1124" s="66" t="e">
        <f ca="1">IF(NOTA[[#This Row],[ID_P]]="","",MATCH(NOTA[[#This Row],[ID_P]],[1]!B_MSK[N_ID],0))</f>
        <v>#REF!</v>
      </c>
      <c r="D1124" s="66">
        <f ca="1">IF(NOTA[[#This Row],[NAMA BARANG]]="","",INDEX(NOTA[ID],MATCH(,INDIRECT(ADDRESS(ROW(NOTA[ID]),COLUMN(NOTA[ID]))&amp;":"&amp;ADDRESS(ROW(),COLUMN(NOTA[ID]))),-1)))</f>
        <v>186</v>
      </c>
      <c r="E1124" s="113">
        <v>45079</v>
      </c>
      <c r="F1124" s="27" t="s">
        <v>157</v>
      </c>
      <c r="G1124" s="27" t="s">
        <v>112</v>
      </c>
      <c r="H1124" s="54" t="s">
        <v>1238</v>
      </c>
      <c r="J1124" s="53">
        <v>45076</v>
      </c>
      <c r="L1124" s="27" t="s">
        <v>1239</v>
      </c>
      <c r="M1124" s="114">
        <v>10</v>
      </c>
      <c r="N1124" s="66">
        <v>960</v>
      </c>
      <c r="O1124" s="27" t="s">
        <v>160</v>
      </c>
      <c r="P1124" s="64">
        <v>17000</v>
      </c>
      <c r="Q1124" s="79"/>
      <c r="R1124" s="42" t="s">
        <v>728</v>
      </c>
      <c r="S1124" s="80"/>
      <c r="U1124" s="52"/>
      <c r="V1124" s="77"/>
      <c r="W1124" s="52">
        <f>IF(NOTA[[#This Row],[HARGA/ CTN]]="",NOTA[[#This Row],[JUMLAH_H]],NOTA[[#This Row],[HARGA/ CTN]]*IF(NOTA[[#This Row],[C]]="",0,NOTA[[#This Row],[C]]))</f>
        <v>16320000</v>
      </c>
      <c r="X1124" s="52">
        <f>IF(NOTA[[#This Row],[JUMLAH]]="","",NOTA[[#This Row],[JUMLAH]]*NOTA[[#This Row],[DISC 1]])</f>
        <v>0</v>
      </c>
      <c r="Y1124" s="52">
        <f>IF(NOTA[[#This Row],[JUMLAH]]="","",(NOTA[[#This Row],[JUMLAH]]-NOTA[[#This Row],[DISC 1-]])*NOTA[[#This Row],[DISC 2]])</f>
        <v>0</v>
      </c>
      <c r="Z1124" s="52">
        <f>IF(NOTA[[#This Row],[JUMLAH]]="","",NOTA[[#This Row],[DISC 1-]]+NOTA[[#This Row],[DISC 2-]])</f>
        <v>0</v>
      </c>
      <c r="AA1124" s="52">
        <f>IF(NOTA[[#This Row],[JUMLAH]]="","",NOTA[[#This Row],[JUMLAH]]-NOTA[[#This Row],[DISC]])</f>
        <v>16320000</v>
      </c>
      <c r="AB1124" s="52"/>
      <c r="AC112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24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16320000</v>
      </c>
      <c r="AE1124" s="64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1124" s="203">
        <f>IF(OR(NOTA[[#This Row],[QTY]]="",NOTA[[#This Row],[HARGA SATUAN]]="",),"",NOTA[[#This Row],[QTY]]*NOTA[[#This Row],[HARGA SATUAN]])</f>
        <v>16320000</v>
      </c>
      <c r="AG1124" s="53">
        <f ca="1">IF(NOTA[ID_H]="","",INDEX(NOTA[TANGGAL],MATCH(,INDIRECT(ADDRESS(ROW(NOTA[TANGGAL]),COLUMN(NOTA[TANGGAL]))&amp;":"&amp;ADDRESS(ROW(),COLUMN(NOTA[TANGGAL]))),-1)))</f>
        <v>45079</v>
      </c>
      <c r="AH1124" s="64" t="str">
        <f ca="1">IF(NOTA[[#This Row],[NAMA BARANG]]="","",INDEX(NOTA[SUPPLIER],MATCH(,INDIRECT(ADDRESS(ROW(NOTA[ID]),COLUMN(NOTA[ID]))&amp;":"&amp;ADDRESS(ROW(),COLUMN(NOTA[ID]))),-1)))</f>
        <v>BINTANG JAYA</v>
      </c>
      <c r="AI1124" s="64" t="str">
        <f ca="1">IF(NOTA[[#This Row],[ID_H]]="","",IF(NOTA[[#This Row],[FAKTUR]]="",INDIRECT(ADDRESS(ROW()-1,COLUMN())),NOTA[[#This Row],[FAKTUR]]))</f>
        <v>UNTANA</v>
      </c>
      <c r="AJ1124" s="66">
        <f ca="1">IF(NOTA[[#This Row],[ID]]="","",COUNTIF(NOTA[ID_H],NOTA[[#This Row],[ID_H]]))</f>
        <v>1</v>
      </c>
      <c r="AK1124" s="66">
        <f>IF(NOTA[[#This Row],[TGL.NOTA]]="",IF(NOTA[[#This Row],[SUPPLIER_H]]="","",#REF!),MONTH(NOTA[[#This Row],[TGL.NOTA]]))</f>
        <v>5</v>
      </c>
      <c r="AL1124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M11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N11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O1124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JAYAUNTANASI.2023.05.0103045076pencilcasemagnetisicc1025</v>
      </c>
      <c r="AP1124" s="66" t="e">
        <f>IF(NOTA[[#This Row],[CONCAT4]]="","",_xlfn.IFNA(MATCH(NOTA[[#This Row],[CONCAT4]],[2]!RAW[CONCAT_H],0),FALSE))</f>
        <v>#REF!</v>
      </c>
      <c r="AQ1124" s="66" t="e">
        <f>IF(NOTA[[#This Row],[CONCAT1]]="","",MATCH(NOTA[[#This Row],[CONCAT1]],[3]!db[NB NOTA_C],0)+1)</f>
        <v>#N/A</v>
      </c>
    </row>
    <row r="1125" spans="1:43" ht="20.100000000000001" customHeight="1" x14ac:dyDescent="0.25">
      <c r="A112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5" s="66" t="str">
        <f>IF(NOTA[[#This Row],[ID_P]]="","",MATCH(NOTA[[#This Row],[ID_P]],[1]!B_MSK[N_ID],0))</f>
        <v/>
      </c>
      <c r="D1125" s="66" t="str">
        <f ca="1">IF(NOTA[[#This Row],[NAMA BARANG]]="","",INDEX(NOTA[ID],MATCH(,INDIRECT(ADDRESS(ROW(NOTA[ID]),COLUMN(NOTA[ID]))&amp;":"&amp;ADDRESS(ROW(),COLUMN(NOTA[ID]))),-1)))</f>
        <v/>
      </c>
      <c r="E1125" s="113"/>
      <c r="H1125" s="54"/>
      <c r="N1125" s="66"/>
      <c r="Q1125" s="79"/>
      <c r="R1125" s="42"/>
      <c r="S1125" s="80"/>
      <c r="U1125" s="52"/>
      <c r="V1125" s="77"/>
      <c r="W1125" s="52" t="str">
        <f>IF(NOTA[[#This Row],[HARGA/ CTN]]="",NOTA[[#This Row],[JUMLAH_H]],NOTA[[#This Row],[HARGA/ CTN]]*IF(NOTA[[#This Row],[C]]="",0,NOTA[[#This Row],[C]]))</f>
        <v/>
      </c>
      <c r="X1125" s="52" t="str">
        <f>IF(NOTA[[#This Row],[JUMLAH]]="","",NOTA[[#This Row],[JUMLAH]]*NOTA[[#This Row],[DISC 1]])</f>
        <v/>
      </c>
      <c r="Y1125" s="52" t="str">
        <f>IF(NOTA[[#This Row],[JUMLAH]]="","",(NOTA[[#This Row],[JUMLAH]]-NOTA[[#This Row],[DISC 1-]])*NOTA[[#This Row],[DISC 2]])</f>
        <v/>
      </c>
      <c r="Z1125" s="52" t="str">
        <f>IF(NOTA[[#This Row],[JUMLAH]]="","",NOTA[[#This Row],[DISC 1-]]+NOTA[[#This Row],[DISC 2-]])</f>
        <v/>
      </c>
      <c r="AA1125" s="52" t="str">
        <f>IF(NOTA[[#This Row],[JUMLAH]]="","",NOTA[[#This Row],[JUMLAH]]-NOTA[[#This Row],[DISC]])</f>
        <v/>
      </c>
      <c r="AB1125" s="52"/>
      <c r="AC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5" s="203" t="str">
        <f>IF(OR(NOTA[[#This Row],[QTY]]="",NOTA[[#This Row],[HARGA SATUAN]]="",),"",NOTA[[#This Row],[QTY]]*NOTA[[#This Row],[HARGA SATUAN]])</f>
        <v/>
      </c>
      <c r="AG1125" s="53" t="str">
        <f ca="1">IF(NOTA[ID_H]="","",INDEX(NOTA[TANGGAL],MATCH(,INDIRECT(ADDRESS(ROW(NOTA[TANGGAL]),COLUMN(NOTA[TANGGAL]))&amp;":"&amp;ADDRESS(ROW(),COLUMN(NOTA[TANGGAL]))),-1)))</f>
        <v/>
      </c>
      <c r="AH1125" s="64" t="str">
        <f ca="1">IF(NOTA[[#This Row],[NAMA BARANG]]="","",INDEX(NOTA[SUPPLIER],MATCH(,INDIRECT(ADDRESS(ROW(NOTA[ID]),COLUMN(NOTA[ID]))&amp;":"&amp;ADDRESS(ROW(),COLUMN(NOTA[ID]))),-1)))</f>
        <v/>
      </c>
      <c r="AI1125" s="64" t="str">
        <f ca="1">IF(NOTA[[#This Row],[ID_H]]="","",IF(NOTA[[#This Row],[FAKTUR]]="",INDIRECT(ADDRESS(ROW()-1,COLUMN())),NOTA[[#This Row],[FAKTUR]]))</f>
        <v/>
      </c>
      <c r="AJ1125" s="66" t="str">
        <f ca="1">IF(NOTA[[#This Row],[ID]]="","",COUNTIF(NOTA[ID_H],NOTA[[#This Row],[ID_H]]))</f>
        <v/>
      </c>
      <c r="AK1125" s="66" t="str">
        <f ca="1">IF(NOTA[[#This Row],[TGL.NOTA]]="",IF(NOTA[[#This Row],[SUPPLIER_H]]="","",AK1124),MONTH(NOTA[[#This Row],[TGL.NOTA]]))</f>
        <v/>
      </c>
      <c r="AL1125" s="66" t="str">
        <f>LOWER(SUBSTITUTE(SUBSTITUTE(SUBSTITUTE(SUBSTITUTE(SUBSTITUTE(SUBSTITUTE(SUBSTITUTE(SUBSTITUTE(SUBSTITUTE(NOTA[NAMA BARANG]," ",),".",""),"-",""),"(",""),")",""),",",""),"/",""),"""",""),"+",""))</f>
        <v/>
      </c>
      <c r="AM11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5" s="66" t="str">
        <f>IF(NOTA[[#This Row],[CONCAT4]]="","",_xlfn.IFNA(MATCH(NOTA[[#This Row],[CONCAT4]],[2]!RAW[CONCAT_H],0),FALSE))</f>
        <v/>
      </c>
      <c r="AQ1125" s="66" t="str">
        <f>IF(NOTA[[#This Row],[CONCAT1]]="","",MATCH(NOTA[[#This Row],[CONCAT1]],[3]!db[NB NOTA_C],0)+1)</f>
        <v/>
      </c>
    </row>
    <row r="1126" spans="1:43" ht="20.100000000000001" customHeight="1" x14ac:dyDescent="0.25">
      <c r="A1126" s="64">
        <f ca="1">IF(INDIRECT(ADDRESS(ROW()-1,COLUMN(NOTA[[#Headers],[ID]])))="ID",1,IF(NOTA[[#This Row],[FAKTUR]]="","",COUNT(INDIRECT(ADDRESS(ROW(NOTA[ID]),COLUMN(NOTA[ID]))&amp;":"&amp;ADDRESS(ROW()-1,COLUMN(NOTA[ID]))))+1))</f>
        <v>187</v>
      </c>
      <c r="B11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SAP_0206_SOS-1</v>
      </c>
      <c r="C1126" s="66" t="e">
        <f ca="1">IF(NOTA[[#This Row],[ID_P]]="","",MATCH(NOTA[[#This Row],[ID_P]],[1]!B_MSK[N_ID],0))</f>
        <v>#REF!</v>
      </c>
      <c r="D1126" s="66">
        <f ca="1">IF(NOTA[[#This Row],[NAMA BARANG]]="","",INDEX(NOTA[ID],MATCH(,INDIRECT(ADDRESS(ROW(NOTA[ID]),COLUMN(NOTA[ID]))&amp;":"&amp;ADDRESS(ROW(),COLUMN(NOTA[ID]))),-1)))</f>
        <v>187</v>
      </c>
      <c r="E1126" s="113"/>
      <c r="F1126" s="27" t="s">
        <v>1240</v>
      </c>
      <c r="G1126" s="27" t="s">
        <v>112</v>
      </c>
      <c r="H1126" s="54" t="s">
        <v>1241</v>
      </c>
      <c r="J1126" s="53">
        <v>45077</v>
      </c>
      <c r="L1126" s="27" t="s">
        <v>1242</v>
      </c>
      <c r="M1126" s="114">
        <v>50</v>
      </c>
      <c r="N1126" s="66">
        <v>500</v>
      </c>
      <c r="O1126" s="27" t="s">
        <v>160</v>
      </c>
      <c r="P1126" s="64">
        <v>48000</v>
      </c>
      <c r="Q1126" s="79"/>
      <c r="R1126" s="42" t="s">
        <v>179</v>
      </c>
      <c r="S1126" s="80"/>
      <c r="U1126" s="52"/>
      <c r="V1126" s="77"/>
      <c r="W1126" s="52">
        <f>IF(NOTA[[#This Row],[HARGA/ CTN]]="",NOTA[[#This Row],[JUMLAH_H]],NOTA[[#This Row],[HARGA/ CTN]]*IF(NOTA[[#This Row],[C]]="",0,NOTA[[#This Row],[C]]))</f>
        <v>24000000</v>
      </c>
      <c r="X1126" s="52">
        <f>IF(NOTA[[#This Row],[JUMLAH]]="","",NOTA[[#This Row],[JUMLAH]]*NOTA[[#This Row],[DISC 1]])</f>
        <v>0</v>
      </c>
      <c r="Y1126" s="52">
        <f>IF(NOTA[[#This Row],[JUMLAH]]="","",(NOTA[[#This Row],[JUMLAH]]-NOTA[[#This Row],[DISC 1-]])*NOTA[[#This Row],[DISC 2]])</f>
        <v>0</v>
      </c>
      <c r="Z1126" s="52">
        <f>IF(NOTA[[#This Row],[JUMLAH]]="","",NOTA[[#This Row],[DISC 1-]]+NOTA[[#This Row],[DISC 2-]])</f>
        <v>0</v>
      </c>
      <c r="AA1126" s="52">
        <f>IF(NOTA[[#This Row],[JUMLAH]]="","",NOTA[[#This Row],[JUMLAH]]-NOTA[[#This Row],[DISC]])</f>
        <v>24000000</v>
      </c>
      <c r="AB1126" s="52"/>
      <c r="AC112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2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E1126" s="64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1126" s="203">
        <f>IF(OR(NOTA[[#This Row],[QTY]]="",NOTA[[#This Row],[HARGA SATUAN]]="",),"",NOTA[[#This Row],[QTY]]*NOTA[[#This Row],[HARGA SATUAN]])</f>
        <v>24000000</v>
      </c>
      <c r="AG1126" s="53">
        <f ca="1">IF(NOTA[ID_H]="","",INDEX(NOTA[TANGGAL],MATCH(,INDIRECT(ADDRESS(ROW(NOTA[TANGGAL]),COLUMN(NOTA[TANGGAL]))&amp;":"&amp;ADDRESS(ROW(),COLUMN(NOTA[TANGGAL]))),-1)))</f>
        <v>45079</v>
      </c>
      <c r="AH1126" s="64" t="str">
        <f ca="1">IF(NOTA[[#This Row],[NAMA BARANG]]="","",INDEX(NOTA[SUPPLIER],MATCH(,INDIRECT(ADDRESS(ROW(NOTA[ID]),COLUMN(NOTA[ID]))&amp;":"&amp;ADDRESS(ROW(),COLUMN(NOTA[ID]))),-1)))</f>
        <v>SAPUTRO OFFICE</v>
      </c>
      <c r="AI1126" s="64" t="str">
        <f ca="1">IF(NOTA[[#This Row],[ID_H]]="","",IF(NOTA[[#This Row],[FAKTUR]]="",INDIRECT(ADDRESS(ROW()-1,COLUMN())),NOTA[[#This Row],[FAKTUR]]))</f>
        <v>UNTANA</v>
      </c>
      <c r="AJ1126" s="66">
        <f ca="1">IF(NOTA[[#This Row],[ID]]="","",COUNTIF(NOTA[ID_H],NOTA[[#This Row],[ID_H]]))</f>
        <v>1</v>
      </c>
      <c r="AK1126" s="66">
        <f>IF(NOTA[[#This Row],[TGL.NOTA]]="",IF(NOTA[[#This Row],[SUPPLIER_H]]="","",AK1125),MONTH(NOTA[[#This Row],[TGL.NOTA]]))</f>
        <v>5</v>
      </c>
      <c r="AL1126" s="66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M11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mejaipadimportjumbokarakter480000</v>
      </c>
      <c r="AN11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mejaipadimportjumbokarakter480000</v>
      </c>
      <c r="AO1126" s="6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OFFICEUNTANAG-1271 INV SOS45077mejaipadimportjumbokarakter</v>
      </c>
      <c r="AP1126" s="66" t="e">
        <f>IF(NOTA[[#This Row],[CONCAT4]]="","",_xlfn.IFNA(MATCH(NOTA[[#This Row],[CONCAT4]],[2]!RAW[CONCAT_H],0),FALSE))</f>
        <v>#REF!</v>
      </c>
      <c r="AQ1126" s="66">
        <f>IF(NOTA[[#This Row],[CONCAT1]]="","",MATCH(NOTA[[#This Row],[CONCAT1]],[3]!db[NB NOTA_C],0)+1)</f>
        <v>1632</v>
      </c>
    </row>
    <row r="1127" spans="1:43" ht="20.100000000000001" customHeight="1" x14ac:dyDescent="0.25">
      <c r="A112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7" s="66" t="str">
        <f>IF(NOTA[[#This Row],[ID_P]]="","",MATCH(NOTA[[#This Row],[ID_P]],[1]!B_MSK[N_ID],0))</f>
        <v/>
      </c>
      <c r="D1127" s="66" t="str">
        <f ca="1">IF(NOTA[[#This Row],[NAMA BARANG]]="","",INDEX(NOTA[ID],MATCH(,INDIRECT(ADDRESS(ROW(NOTA[ID]),COLUMN(NOTA[ID]))&amp;":"&amp;ADDRESS(ROW(),COLUMN(NOTA[ID]))),-1)))</f>
        <v/>
      </c>
      <c r="E1127" s="113"/>
      <c r="H1127" s="54"/>
      <c r="N1127" s="66"/>
      <c r="Q1127" s="79"/>
      <c r="R1127" s="42"/>
      <c r="S1127" s="80"/>
      <c r="U1127" s="52"/>
      <c r="V1127" s="77"/>
      <c r="W1127" s="52" t="str">
        <f>IF(NOTA[[#This Row],[HARGA/ CTN]]="",NOTA[[#This Row],[JUMLAH_H]],NOTA[[#This Row],[HARGA/ CTN]]*IF(NOTA[[#This Row],[C]]="",0,NOTA[[#This Row],[C]]))</f>
        <v/>
      </c>
      <c r="X1127" s="52" t="str">
        <f>IF(NOTA[[#This Row],[JUMLAH]]="","",NOTA[[#This Row],[JUMLAH]]*NOTA[[#This Row],[DISC 1]])</f>
        <v/>
      </c>
      <c r="Y1127" s="52" t="str">
        <f>IF(NOTA[[#This Row],[JUMLAH]]="","",(NOTA[[#This Row],[JUMLAH]]-NOTA[[#This Row],[DISC 1-]])*NOTA[[#This Row],[DISC 2]])</f>
        <v/>
      </c>
      <c r="Z1127" s="52" t="str">
        <f>IF(NOTA[[#This Row],[JUMLAH]]="","",NOTA[[#This Row],[DISC 1-]]+NOTA[[#This Row],[DISC 2-]])</f>
        <v/>
      </c>
      <c r="AA1127" s="52" t="str">
        <f>IF(NOTA[[#This Row],[JUMLAH]]="","",NOTA[[#This Row],[JUMLAH]]-NOTA[[#This Row],[DISC]])</f>
        <v/>
      </c>
      <c r="AB1127" s="52"/>
      <c r="AC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7" s="203" t="str">
        <f>IF(OR(NOTA[[#This Row],[QTY]]="",NOTA[[#This Row],[HARGA SATUAN]]="",),"",NOTA[[#This Row],[QTY]]*NOTA[[#This Row],[HARGA SATUAN]])</f>
        <v/>
      </c>
      <c r="AG1127" s="53" t="str">
        <f ca="1">IF(NOTA[ID_H]="","",INDEX(NOTA[TANGGAL],MATCH(,INDIRECT(ADDRESS(ROW(NOTA[TANGGAL]),COLUMN(NOTA[TANGGAL]))&amp;":"&amp;ADDRESS(ROW(),COLUMN(NOTA[TANGGAL]))),-1)))</f>
        <v/>
      </c>
      <c r="AH1127" s="64" t="str">
        <f ca="1">IF(NOTA[[#This Row],[NAMA BARANG]]="","",INDEX(NOTA[SUPPLIER],MATCH(,INDIRECT(ADDRESS(ROW(NOTA[ID]),COLUMN(NOTA[ID]))&amp;":"&amp;ADDRESS(ROW(),COLUMN(NOTA[ID]))),-1)))</f>
        <v/>
      </c>
      <c r="AI1127" s="64" t="str">
        <f ca="1">IF(NOTA[[#This Row],[ID_H]]="","",IF(NOTA[[#This Row],[FAKTUR]]="",INDIRECT(ADDRESS(ROW()-1,COLUMN())),NOTA[[#This Row],[FAKTUR]]))</f>
        <v/>
      </c>
      <c r="AJ1127" s="66" t="str">
        <f ca="1">IF(NOTA[[#This Row],[ID]]="","",COUNTIF(NOTA[ID_H],NOTA[[#This Row],[ID_H]]))</f>
        <v/>
      </c>
      <c r="AK1127" s="66" t="str">
        <f ca="1">IF(NOTA[[#This Row],[TGL.NOTA]]="",IF(NOTA[[#This Row],[SUPPLIER_H]]="","",AK1126),MONTH(NOTA[[#This Row],[TGL.NOTA]]))</f>
        <v/>
      </c>
      <c r="AL1127" s="66" t="str">
        <f>LOWER(SUBSTITUTE(SUBSTITUTE(SUBSTITUTE(SUBSTITUTE(SUBSTITUTE(SUBSTITUTE(SUBSTITUTE(SUBSTITUTE(SUBSTITUTE(NOTA[NAMA BARANG]," ",),".",""),"-",""),"(",""),")",""),",",""),"/",""),"""",""),"+",""))</f>
        <v/>
      </c>
      <c r="AM11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7" s="66" t="str">
        <f>IF(NOTA[[#This Row],[CONCAT4]]="","",_xlfn.IFNA(MATCH(NOTA[[#This Row],[CONCAT4]],[2]!RAW[CONCAT_H],0),FALSE))</f>
        <v/>
      </c>
      <c r="AQ1127" s="66" t="str">
        <f>IF(NOTA[[#This Row],[CONCAT1]]="","",MATCH(NOTA[[#This Row],[CONCAT1]],[3]!db[NB NOTA_C],0)+1)</f>
        <v/>
      </c>
    </row>
    <row r="1128" spans="1:43" ht="20.100000000000001" customHeight="1" x14ac:dyDescent="0.25">
      <c r="A1128" s="64">
        <f ca="1">IF(INDIRECT(ADDRESS(ROW()-1,COLUMN(NOTA[[#Headers],[ID]])))="ID",1,IF(NOTA[[#This Row],[FAKTUR]]="","",COUNT(INDIRECT(ADDRESS(ROW(NOTA[ID]),COLUMN(NOTA[ID]))&amp;":"&amp;ADDRESS(ROW()-1,COLUMN(NOTA[ID]))))+1))</f>
        <v>188</v>
      </c>
      <c r="B112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TFS_0206_173-8</v>
      </c>
      <c r="C1128" s="66" t="e">
        <f ca="1">IF(NOTA[[#This Row],[ID_P]]="","",MATCH(NOTA[[#This Row],[ID_P]],[1]!B_MSK[N_ID],0))</f>
        <v>#REF!</v>
      </c>
      <c r="D1128" s="66">
        <f ca="1">IF(NOTA[[#This Row],[NAMA BARANG]]="","",INDEX(NOTA[ID],MATCH(,INDIRECT(ADDRESS(ROW(NOTA[ID]),COLUMN(NOTA[ID]))&amp;":"&amp;ADDRESS(ROW(),COLUMN(NOTA[ID]))),-1)))</f>
        <v>188</v>
      </c>
      <c r="E1128" s="113"/>
      <c r="F1128" s="27" t="s">
        <v>1243</v>
      </c>
      <c r="G1128" s="27" t="s">
        <v>112</v>
      </c>
      <c r="H1128" s="54" t="s">
        <v>1244</v>
      </c>
      <c r="J1128" s="53">
        <v>45076</v>
      </c>
      <c r="L1128" s="27" t="s">
        <v>1245</v>
      </c>
      <c r="N1128" s="66">
        <v>15</v>
      </c>
      <c r="O1128" s="27" t="s">
        <v>160</v>
      </c>
      <c r="P1128" s="64">
        <v>29500</v>
      </c>
      <c r="Q1128" s="79"/>
      <c r="R1128" s="42"/>
      <c r="S1128" s="80"/>
      <c r="U1128" s="52"/>
      <c r="V1128" s="77"/>
      <c r="W1128" s="52">
        <f>IF(NOTA[[#This Row],[HARGA/ CTN]]="",NOTA[[#This Row],[JUMLAH_H]],NOTA[[#This Row],[HARGA/ CTN]]*IF(NOTA[[#This Row],[C]]="",0,NOTA[[#This Row],[C]]))</f>
        <v>442500</v>
      </c>
      <c r="X1128" s="52">
        <f>IF(NOTA[[#This Row],[JUMLAH]]="","",NOTA[[#This Row],[JUMLAH]]*NOTA[[#This Row],[DISC 1]])</f>
        <v>0</v>
      </c>
      <c r="Y1128" s="52">
        <f>IF(NOTA[[#This Row],[JUMLAH]]="","",(NOTA[[#This Row],[JUMLAH]]-NOTA[[#This Row],[DISC 1-]])*NOTA[[#This Row],[DISC 2]])</f>
        <v>0</v>
      </c>
      <c r="Z1128" s="52">
        <f>IF(NOTA[[#This Row],[JUMLAH]]="","",NOTA[[#This Row],[DISC 1-]]+NOTA[[#This Row],[DISC 2-]])</f>
        <v>0</v>
      </c>
      <c r="AA1128" s="52">
        <f>IF(NOTA[[#This Row],[JUMLAH]]="","",NOTA[[#This Row],[JUMLAH]]-NOTA[[#This Row],[DISC]])</f>
        <v>442500</v>
      </c>
      <c r="AB1128" s="52"/>
      <c r="AC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8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28" s="203">
        <f>IF(OR(NOTA[[#This Row],[QTY]]="",NOTA[[#This Row],[HARGA SATUAN]]="",),"",NOTA[[#This Row],[QTY]]*NOTA[[#This Row],[HARGA SATUAN]])</f>
        <v>442500</v>
      </c>
      <c r="AG1128" s="53">
        <f ca="1">IF(NOTA[ID_H]="","",INDEX(NOTA[TANGGAL],MATCH(,INDIRECT(ADDRESS(ROW(NOTA[TANGGAL]),COLUMN(NOTA[TANGGAL]))&amp;":"&amp;ADDRESS(ROW(),COLUMN(NOTA[TANGGAL]))),-1)))</f>
        <v>45079</v>
      </c>
      <c r="AH1128" s="64" t="str">
        <f ca="1">IF(NOTA[[#This Row],[NAMA BARANG]]="","",INDEX(NOTA[SUPPLIER],MATCH(,INDIRECT(ADDRESS(ROW(NOTA[ID]),COLUMN(NOTA[ID]))&amp;":"&amp;ADDRESS(ROW(),COLUMN(NOTA[ID]))),-1)))</f>
        <v>TFS</v>
      </c>
      <c r="AI1128" s="64" t="str">
        <f ca="1">IF(NOTA[[#This Row],[ID_H]]="","",IF(NOTA[[#This Row],[FAKTUR]]="",INDIRECT(ADDRESS(ROW()-1,COLUMN())),NOTA[[#This Row],[FAKTUR]]))</f>
        <v>UNTANA</v>
      </c>
      <c r="AJ1128" s="66">
        <f ca="1">IF(NOTA[[#This Row],[ID]]="","",COUNTIF(NOTA[ID_H],NOTA[[#This Row],[ID_H]]))</f>
        <v>8</v>
      </c>
      <c r="AK1128" s="66">
        <f>IF(NOTA[[#This Row],[TGL.NOTA]]="",IF(NOTA[[#This Row],[SUPPLIER_H]]="","",AK1127),MONTH(NOTA[[#This Row],[TGL.NOTA]]))</f>
        <v>5</v>
      </c>
      <c r="AL1128" s="66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M11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N11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O1128" s="66" t="str">
        <f>IF(NOTA[[#This Row],[SUPPLIER]]="","",NOTA[[#This Row],[SUPPLIER]]&amp;NOTA[[#This Row],[FAKTUR]]&amp;NOTA[[#This Row],[NO.NOTA]]&amp;NOTA[[#This Row],[NO.SJ]]&amp;NOTA[[#This Row],[TGL.NOTA]]&amp;NOTA[[#This Row],[CONCAT1]])</f>
        <v>TFSUNTANAPK-23050017345076zipperfileclearholder55540filegreen</v>
      </c>
      <c r="AP1128" s="66" t="e">
        <f>IF(NOTA[[#This Row],[CONCAT4]]="","",_xlfn.IFNA(MATCH(NOTA[[#This Row],[CONCAT4]],[2]!RAW[CONCAT_H],0),FALSE))</f>
        <v>#REF!</v>
      </c>
      <c r="AQ1128" s="66">
        <f>IF(NOTA[[#This Row],[CONCAT1]]="","",MATCH(NOTA[[#This Row],[CONCAT1]],[3]!db[NB NOTA_C],0)+1)</f>
        <v>2344</v>
      </c>
    </row>
    <row r="1129" spans="1:43" ht="20.100000000000001" customHeight="1" x14ac:dyDescent="0.25">
      <c r="A112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9" s="66" t="str">
        <f>IF(NOTA[[#This Row],[ID_P]]="","",MATCH(NOTA[[#This Row],[ID_P]],[1]!B_MSK[N_ID],0))</f>
        <v/>
      </c>
      <c r="D1129" s="66">
        <f ca="1">IF(NOTA[[#This Row],[NAMA BARANG]]="","",INDEX(NOTA[ID],MATCH(,INDIRECT(ADDRESS(ROW(NOTA[ID]),COLUMN(NOTA[ID]))&amp;":"&amp;ADDRESS(ROW(),COLUMN(NOTA[ID]))),-1)))</f>
        <v>188</v>
      </c>
      <c r="E1129" s="113"/>
      <c r="H1129" s="54"/>
      <c r="L1129" s="27" t="s">
        <v>1246</v>
      </c>
      <c r="N1129" s="66">
        <v>15</v>
      </c>
      <c r="O1129" s="27" t="s">
        <v>160</v>
      </c>
      <c r="P1129" s="64">
        <v>29500</v>
      </c>
      <c r="Q1129" s="79"/>
      <c r="R1129" s="42"/>
      <c r="S1129" s="80"/>
      <c r="U1129" s="52"/>
      <c r="V1129" s="77"/>
      <c r="W1129" s="52">
        <f>IF(NOTA[[#This Row],[HARGA/ CTN]]="",NOTA[[#This Row],[JUMLAH_H]],NOTA[[#This Row],[HARGA/ CTN]]*IF(NOTA[[#This Row],[C]]="",0,NOTA[[#This Row],[C]]))</f>
        <v>442500</v>
      </c>
      <c r="X1129" s="52">
        <f>IF(NOTA[[#This Row],[JUMLAH]]="","",NOTA[[#This Row],[JUMLAH]]*NOTA[[#This Row],[DISC 1]])</f>
        <v>0</v>
      </c>
      <c r="Y1129" s="52">
        <f>IF(NOTA[[#This Row],[JUMLAH]]="","",(NOTA[[#This Row],[JUMLAH]]-NOTA[[#This Row],[DISC 1-]])*NOTA[[#This Row],[DISC 2]])</f>
        <v>0</v>
      </c>
      <c r="Z1129" s="52">
        <f>IF(NOTA[[#This Row],[JUMLAH]]="","",NOTA[[#This Row],[DISC 1-]]+NOTA[[#This Row],[DISC 2-]])</f>
        <v>0</v>
      </c>
      <c r="AA1129" s="52">
        <f>IF(NOTA[[#This Row],[JUMLAH]]="","",NOTA[[#This Row],[JUMLAH]]-NOTA[[#This Row],[DISC]])</f>
        <v>442500</v>
      </c>
      <c r="AB1129" s="52"/>
      <c r="AC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9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29" s="203">
        <f>IF(OR(NOTA[[#This Row],[QTY]]="",NOTA[[#This Row],[HARGA SATUAN]]="",),"",NOTA[[#This Row],[QTY]]*NOTA[[#This Row],[HARGA SATUAN]])</f>
        <v>442500</v>
      </c>
      <c r="AG1129" s="53">
        <f ca="1">IF(NOTA[ID_H]="","",INDEX(NOTA[TANGGAL],MATCH(,INDIRECT(ADDRESS(ROW(NOTA[TANGGAL]),COLUMN(NOTA[TANGGAL]))&amp;":"&amp;ADDRESS(ROW(),COLUMN(NOTA[TANGGAL]))),-1)))</f>
        <v>45079</v>
      </c>
      <c r="AH1129" s="64" t="str">
        <f ca="1">IF(NOTA[[#This Row],[NAMA BARANG]]="","",INDEX(NOTA[SUPPLIER],MATCH(,INDIRECT(ADDRESS(ROW(NOTA[ID]),COLUMN(NOTA[ID]))&amp;":"&amp;ADDRESS(ROW(),COLUMN(NOTA[ID]))),-1)))</f>
        <v>TFS</v>
      </c>
      <c r="AI1129" s="64" t="str">
        <f ca="1">IF(NOTA[[#This Row],[ID_H]]="","",IF(NOTA[[#This Row],[FAKTUR]]="",INDIRECT(ADDRESS(ROW()-1,COLUMN())),NOTA[[#This Row],[FAKTUR]]))</f>
        <v>UNTANA</v>
      </c>
      <c r="AJ1129" s="66" t="str">
        <f ca="1">IF(NOTA[[#This Row],[ID]]="","",COUNTIF(NOTA[ID_H],NOTA[[#This Row],[ID_H]]))</f>
        <v/>
      </c>
      <c r="AK1129" s="66">
        <f ca="1">IF(NOTA[[#This Row],[TGL.NOTA]]="",IF(NOTA[[#This Row],[SUPPLIER_H]]="","",AK1128),MONTH(NOTA[[#This Row],[TGL.NOTA]]))</f>
        <v>5</v>
      </c>
      <c r="AL1129" s="66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M11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N11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O11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9" s="66" t="str">
        <f>IF(NOTA[[#This Row],[CONCAT4]]="","",_xlfn.IFNA(MATCH(NOTA[[#This Row],[CONCAT4]],[2]!RAW[CONCAT_H],0),FALSE))</f>
        <v/>
      </c>
      <c r="AQ1129" s="66">
        <f>IF(NOTA[[#This Row],[CONCAT1]]="","",MATCH(NOTA[[#This Row],[CONCAT1]],[3]!db[NB NOTA_C],0)+1)</f>
        <v>2345</v>
      </c>
    </row>
    <row r="1130" spans="1:43" ht="20.100000000000001" customHeight="1" x14ac:dyDescent="0.25">
      <c r="A113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0" s="66" t="str">
        <f>IF(NOTA[[#This Row],[ID_P]]="","",MATCH(NOTA[[#This Row],[ID_P]],[1]!B_MSK[N_ID],0))</f>
        <v/>
      </c>
      <c r="D1130" s="66">
        <f ca="1">IF(NOTA[[#This Row],[NAMA BARANG]]="","",INDEX(NOTA[ID],MATCH(,INDIRECT(ADDRESS(ROW(NOTA[ID]),COLUMN(NOTA[ID]))&amp;":"&amp;ADDRESS(ROW(),COLUMN(NOTA[ID]))),-1)))</f>
        <v>188</v>
      </c>
      <c r="E1130" s="113"/>
      <c r="H1130" s="54"/>
      <c r="L1130" s="27" t="s">
        <v>1247</v>
      </c>
      <c r="N1130" s="66">
        <v>15</v>
      </c>
      <c r="O1130" s="27" t="s">
        <v>160</v>
      </c>
      <c r="P1130" s="64">
        <v>29500</v>
      </c>
      <c r="Q1130" s="79"/>
      <c r="R1130" s="42"/>
      <c r="S1130" s="80"/>
      <c r="U1130" s="52"/>
      <c r="V1130" s="77"/>
      <c r="W1130" s="52">
        <f>IF(NOTA[[#This Row],[HARGA/ CTN]]="",NOTA[[#This Row],[JUMLAH_H]],NOTA[[#This Row],[HARGA/ CTN]]*IF(NOTA[[#This Row],[C]]="",0,NOTA[[#This Row],[C]]))</f>
        <v>442500</v>
      </c>
      <c r="X1130" s="52">
        <f>IF(NOTA[[#This Row],[JUMLAH]]="","",NOTA[[#This Row],[JUMLAH]]*NOTA[[#This Row],[DISC 1]])</f>
        <v>0</v>
      </c>
      <c r="Y1130" s="52">
        <f>IF(NOTA[[#This Row],[JUMLAH]]="","",(NOTA[[#This Row],[JUMLAH]]-NOTA[[#This Row],[DISC 1-]])*NOTA[[#This Row],[DISC 2]])</f>
        <v>0</v>
      </c>
      <c r="Z1130" s="52">
        <f>IF(NOTA[[#This Row],[JUMLAH]]="","",NOTA[[#This Row],[DISC 1-]]+NOTA[[#This Row],[DISC 2-]])</f>
        <v>0</v>
      </c>
      <c r="AA1130" s="52">
        <f>IF(NOTA[[#This Row],[JUMLAH]]="","",NOTA[[#This Row],[JUMLAH]]-NOTA[[#This Row],[DISC]])</f>
        <v>442500</v>
      </c>
      <c r="AB1130" s="52"/>
      <c r="AC11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0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30" s="203">
        <f>IF(OR(NOTA[[#This Row],[QTY]]="",NOTA[[#This Row],[HARGA SATUAN]]="",),"",NOTA[[#This Row],[QTY]]*NOTA[[#This Row],[HARGA SATUAN]])</f>
        <v>442500</v>
      </c>
      <c r="AG1130" s="53">
        <f ca="1">IF(NOTA[ID_H]="","",INDEX(NOTA[TANGGAL],MATCH(,INDIRECT(ADDRESS(ROW(NOTA[TANGGAL]),COLUMN(NOTA[TANGGAL]))&amp;":"&amp;ADDRESS(ROW(),COLUMN(NOTA[TANGGAL]))),-1)))</f>
        <v>45079</v>
      </c>
      <c r="AH1130" s="64" t="str">
        <f ca="1">IF(NOTA[[#This Row],[NAMA BARANG]]="","",INDEX(NOTA[SUPPLIER],MATCH(,INDIRECT(ADDRESS(ROW(NOTA[ID]),COLUMN(NOTA[ID]))&amp;":"&amp;ADDRESS(ROW(),COLUMN(NOTA[ID]))),-1)))</f>
        <v>TFS</v>
      </c>
      <c r="AI1130" s="64" t="str">
        <f ca="1">IF(NOTA[[#This Row],[ID_H]]="","",IF(NOTA[[#This Row],[FAKTUR]]="",INDIRECT(ADDRESS(ROW()-1,COLUMN())),NOTA[[#This Row],[FAKTUR]]))</f>
        <v>UNTANA</v>
      </c>
      <c r="AJ1130" s="66" t="str">
        <f ca="1">IF(NOTA[[#This Row],[ID]]="","",COUNTIF(NOTA[ID_H],NOTA[[#This Row],[ID_H]]))</f>
        <v/>
      </c>
      <c r="AK1130" s="66">
        <f ca="1">IF(NOTA[[#This Row],[TGL.NOTA]]="",IF(NOTA[[#This Row],[SUPPLIER_H]]="","",AK1129),MONTH(NOTA[[#This Row],[TGL.NOTA]]))</f>
        <v>5</v>
      </c>
      <c r="AL1130" s="66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M11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N11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O11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0" s="66" t="str">
        <f>IF(NOTA[[#This Row],[CONCAT4]]="","",_xlfn.IFNA(MATCH(NOTA[[#This Row],[CONCAT4]],[2]!RAW[CONCAT_H],0),FALSE))</f>
        <v/>
      </c>
      <c r="AQ1130" s="66">
        <f>IF(NOTA[[#This Row],[CONCAT1]]="","",MATCH(NOTA[[#This Row],[CONCAT1]],[3]!db[NB NOTA_C],0)+1)</f>
        <v>2346</v>
      </c>
    </row>
    <row r="1131" spans="1:43" ht="20.100000000000001" customHeight="1" x14ac:dyDescent="0.25">
      <c r="A113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1" s="66" t="str">
        <f>IF(NOTA[[#This Row],[ID_P]]="","",MATCH(NOTA[[#This Row],[ID_P]],[1]!B_MSK[N_ID],0))</f>
        <v/>
      </c>
      <c r="D1131" s="66">
        <f ca="1">IF(NOTA[[#This Row],[NAMA BARANG]]="","",INDEX(NOTA[ID],MATCH(,INDIRECT(ADDRESS(ROW(NOTA[ID]),COLUMN(NOTA[ID]))&amp;":"&amp;ADDRESS(ROW(),COLUMN(NOTA[ID]))),-1)))</f>
        <v>188</v>
      </c>
      <c r="E1131" s="113"/>
      <c r="H1131" s="54"/>
      <c r="L1131" s="27" t="s">
        <v>1248</v>
      </c>
      <c r="N1131" s="66">
        <v>15</v>
      </c>
      <c r="O1131" s="27" t="s">
        <v>160</v>
      </c>
      <c r="P1131" s="64">
        <v>29500</v>
      </c>
      <c r="Q1131" s="79"/>
      <c r="R1131" s="42"/>
      <c r="S1131" s="80"/>
      <c r="U1131" s="52"/>
      <c r="V1131" s="77"/>
      <c r="W1131" s="52">
        <f>IF(NOTA[[#This Row],[HARGA/ CTN]]="",NOTA[[#This Row],[JUMLAH_H]],NOTA[[#This Row],[HARGA/ CTN]]*IF(NOTA[[#This Row],[C]]="",0,NOTA[[#This Row],[C]]))</f>
        <v>442500</v>
      </c>
      <c r="X1131" s="52">
        <f>IF(NOTA[[#This Row],[JUMLAH]]="","",NOTA[[#This Row],[JUMLAH]]*NOTA[[#This Row],[DISC 1]])</f>
        <v>0</v>
      </c>
      <c r="Y1131" s="52">
        <f>IF(NOTA[[#This Row],[JUMLAH]]="","",(NOTA[[#This Row],[JUMLAH]]-NOTA[[#This Row],[DISC 1-]])*NOTA[[#This Row],[DISC 2]])</f>
        <v>0</v>
      </c>
      <c r="Z1131" s="52">
        <f>IF(NOTA[[#This Row],[JUMLAH]]="","",NOTA[[#This Row],[DISC 1-]]+NOTA[[#This Row],[DISC 2-]])</f>
        <v>0</v>
      </c>
      <c r="AA1131" s="52">
        <f>IF(NOTA[[#This Row],[JUMLAH]]="","",NOTA[[#This Row],[JUMLAH]]-NOTA[[#This Row],[DISC]])</f>
        <v>442500</v>
      </c>
      <c r="AB1131" s="52"/>
      <c r="AC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1" s="64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131" s="203">
        <f>IF(OR(NOTA[[#This Row],[QTY]]="",NOTA[[#This Row],[HARGA SATUAN]]="",),"",NOTA[[#This Row],[QTY]]*NOTA[[#This Row],[HARGA SATUAN]])</f>
        <v>442500</v>
      </c>
      <c r="AG1131" s="53">
        <f ca="1">IF(NOTA[ID_H]="","",INDEX(NOTA[TANGGAL],MATCH(,INDIRECT(ADDRESS(ROW(NOTA[TANGGAL]),COLUMN(NOTA[TANGGAL]))&amp;":"&amp;ADDRESS(ROW(),COLUMN(NOTA[TANGGAL]))),-1)))</f>
        <v>45079</v>
      </c>
      <c r="AH1131" s="64" t="str">
        <f ca="1">IF(NOTA[[#This Row],[NAMA BARANG]]="","",INDEX(NOTA[SUPPLIER],MATCH(,INDIRECT(ADDRESS(ROW(NOTA[ID]),COLUMN(NOTA[ID]))&amp;":"&amp;ADDRESS(ROW(),COLUMN(NOTA[ID]))),-1)))</f>
        <v>TFS</v>
      </c>
      <c r="AI1131" s="64" t="str">
        <f ca="1">IF(NOTA[[#This Row],[ID_H]]="","",IF(NOTA[[#This Row],[FAKTUR]]="",INDIRECT(ADDRESS(ROW()-1,COLUMN())),NOTA[[#This Row],[FAKTUR]]))</f>
        <v>UNTANA</v>
      </c>
      <c r="AJ1131" s="66" t="str">
        <f ca="1">IF(NOTA[[#This Row],[ID]]="","",COUNTIF(NOTA[ID_H],NOTA[[#This Row],[ID_H]]))</f>
        <v/>
      </c>
      <c r="AK1131" s="66">
        <f ca="1">IF(NOTA[[#This Row],[TGL.NOTA]]="",IF(NOTA[[#This Row],[SUPPLIER_H]]="","",AK1130),MONTH(NOTA[[#This Row],[TGL.NOTA]]))</f>
        <v>5</v>
      </c>
      <c r="AL1131" s="66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M11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N11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O11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1" s="66" t="str">
        <f>IF(NOTA[[#This Row],[CONCAT4]]="","",_xlfn.IFNA(MATCH(NOTA[[#This Row],[CONCAT4]],[2]!RAW[CONCAT_H],0),FALSE))</f>
        <v/>
      </c>
      <c r="AQ1131" s="66">
        <f>IF(NOTA[[#This Row],[CONCAT1]]="","",MATCH(NOTA[[#This Row],[CONCAT1]],[3]!db[NB NOTA_C],0)+1)</f>
        <v>2343</v>
      </c>
    </row>
    <row r="1132" spans="1:43" ht="20.100000000000001" customHeight="1" x14ac:dyDescent="0.25">
      <c r="A113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2" s="66" t="str">
        <f>IF(NOTA[[#This Row],[ID_P]]="","",MATCH(NOTA[[#This Row],[ID_P]],[1]!B_MSK[N_ID],0))</f>
        <v/>
      </c>
      <c r="D1132" s="66">
        <f ca="1">IF(NOTA[[#This Row],[NAMA BARANG]]="","",INDEX(NOTA[ID],MATCH(,INDIRECT(ADDRESS(ROW(NOTA[ID]),COLUMN(NOTA[ID]))&amp;":"&amp;ADDRESS(ROW(),COLUMN(NOTA[ID]))),-1)))</f>
        <v>188</v>
      </c>
      <c r="E1132" s="113"/>
      <c r="H1132" s="54"/>
      <c r="L1132" s="27" t="s">
        <v>1249</v>
      </c>
      <c r="N1132" s="66">
        <v>15</v>
      </c>
      <c r="O1132" s="27" t="s">
        <v>160</v>
      </c>
      <c r="P1132" s="64">
        <v>35500</v>
      </c>
      <c r="Q1132" s="79"/>
      <c r="R1132" s="42"/>
      <c r="S1132" s="80"/>
      <c r="U1132" s="52"/>
      <c r="V1132" s="77"/>
      <c r="W1132" s="52">
        <f>IF(NOTA[[#This Row],[HARGA/ CTN]]="",NOTA[[#This Row],[JUMLAH_H]],NOTA[[#This Row],[HARGA/ CTN]]*IF(NOTA[[#This Row],[C]]="",0,NOTA[[#This Row],[C]]))</f>
        <v>532500</v>
      </c>
      <c r="X1132" s="52">
        <f>IF(NOTA[[#This Row],[JUMLAH]]="","",NOTA[[#This Row],[JUMLAH]]*NOTA[[#This Row],[DISC 1]])</f>
        <v>0</v>
      </c>
      <c r="Y1132" s="52">
        <f>IF(NOTA[[#This Row],[JUMLAH]]="","",(NOTA[[#This Row],[JUMLAH]]-NOTA[[#This Row],[DISC 1-]])*NOTA[[#This Row],[DISC 2]])</f>
        <v>0</v>
      </c>
      <c r="Z1132" s="52">
        <f>IF(NOTA[[#This Row],[JUMLAH]]="","",NOTA[[#This Row],[DISC 1-]]+NOTA[[#This Row],[DISC 2-]])</f>
        <v>0</v>
      </c>
      <c r="AA1132" s="52">
        <f>IF(NOTA[[#This Row],[JUMLAH]]="","",NOTA[[#This Row],[JUMLAH]]-NOTA[[#This Row],[DISC]])</f>
        <v>532500</v>
      </c>
      <c r="AB1132" s="52"/>
      <c r="AC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2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32" s="203">
        <f>IF(OR(NOTA[[#This Row],[QTY]]="",NOTA[[#This Row],[HARGA SATUAN]]="",),"",NOTA[[#This Row],[QTY]]*NOTA[[#This Row],[HARGA SATUAN]])</f>
        <v>532500</v>
      </c>
      <c r="AG1132" s="53">
        <f ca="1">IF(NOTA[ID_H]="","",INDEX(NOTA[TANGGAL],MATCH(,INDIRECT(ADDRESS(ROW(NOTA[TANGGAL]),COLUMN(NOTA[TANGGAL]))&amp;":"&amp;ADDRESS(ROW(),COLUMN(NOTA[TANGGAL]))),-1)))</f>
        <v>45079</v>
      </c>
      <c r="AH1132" s="64" t="str">
        <f ca="1">IF(NOTA[[#This Row],[NAMA BARANG]]="","",INDEX(NOTA[SUPPLIER],MATCH(,INDIRECT(ADDRESS(ROW(NOTA[ID]),COLUMN(NOTA[ID]))&amp;":"&amp;ADDRESS(ROW(),COLUMN(NOTA[ID]))),-1)))</f>
        <v>TFS</v>
      </c>
      <c r="AI1132" s="64" t="str">
        <f ca="1">IF(NOTA[[#This Row],[ID_H]]="","",IF(NOTA[[#This Row],[FAKTUR]]="",INDIRECT(ADDRESS(ROW()-1,COLUMN())),NOTA[[#This Row],[FAKTUR]]))</f>
        <v>UNTANA</v>
      </c>
      <c r="AJ1132" s="66" t="str">
        <f ca="1">IF(NOTA[[#This Row],[ID]]="","",COUNTIF(NOTA[ID_H],NOTA[[#This Row],[ID_H]]))</f>
        <v/>
      </c>
      <c r="AK1132" s="66">
        <f ca="1">IF(NOTA[[#This Row],[TGL.NOTA]]="",IF(NOTA[[#This Row],[SUPPLIER_H]]="","",AK1131),MONTH(NOTA[[#This Row],[TGL.NOTA]]))</f>
        <v>5</v>
      </c>
      <c r="AL1132" s="66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M11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zipperfileclearholder55560filegreen532500</v>
      </c>
      <c r="AN11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O11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2" s="66" t="str">
        <f>IF(NOTA[[#This Row],[CONCAT4]]="","",_xlfn.IFNA(MATCH(NOTA[[#This Row],[CONCAT4]],[2]!RAW[CONCAT_H],0),FALSE))</f>
        <v/>
      </c>
      <c r="AQ1132" s="66">
        <f>IF(NOTA[[#This Row],[CONCAT1]]="","",MATCH(NOTA[[#This Row],[CONCAT1]],[3]!db[NB NOTA_C],0)+1)</f>
        <v>2348</v>
      </c>
    </row>
    <row r="1133" spans="1:43" ht="20.100000000000001" customHeight="1" x14ac:dyDescent="0.25">
      <c r="A113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3" s="66" t="str">
        <f>IF(NOTA[[#This Row],[ID_P]]="","",MATCH(NOTA[[#This Row],[ID_P]],[1]!B_MSK[N_ID],0))</f>
        <v/>
      </c>
      <c r="D1133" s="66">
        <f ca="1">IF(NOTA[[#This Row],[NAMA BARANG]]="","",INDEX(NOTA[ID],MATCH(,INDIRECT(ADDRESS(ROW(NOTA[ID]),COLUMN(NOTA[ID]))&amp;":"&amp;ADDRESS(ROW(),COLUMN(NOTA[ID]))),-1)))</f>
        <v>188</v>
      </c>
      <c r="E1133" s="113"/>
      <c r="H1133" s="54"/>
      <c r="L1133" s="27" t="s">
        <v>1250</v>
      </c>
      <c r="N1133" s="66">
        <v>15</v>
      </c>
      <c r="O1133" s="27" t="s">
        <v>160</v>
      </c>
      <c r="P1133" s="64">
        <v>35500</v>
      </c>
      <c r="Q1133" s="79"/>
      <c r="R1133" s="42"/>
      <c r="S1133" s="80"/>
      <c r="U1133" s="52"/>
      <c r="V1133" s="77"/>
      <c r="W1133" s="52">
        <f>IF(NOTA[[#This Row],[HARGA/ CTN]]="",NOTA[[#This Row],[JUMLAH_H]],NOTA[[#This Row],[HARGA/ CTN]]*IF(NOTA[[#This Row],[C]]="",0,NOTA[[#This Row],[C]]))</f>
        <v>532500</v>
      </c>
      <c r="X1133" s="52">
        <f>IF(NOTA[[#This Row],[JUMLAH]]="","",NOTA[[#This Row],[JUMLAH]]*NOTA[[#This Row],[DISC 1]])</f>
        <v>0</v>
      </c>
      <c r="Y1133" s="52">
        <f>IF(NOTA[[#This Row],[JUMLAH]]="","",(NOTA[[#This Row],[JUMLAH]]-NOTA[[#This Row],[DISC 1-]])*NOTA[[#This Row],[DISC 2]])</f>
        <v>0</v>
      </c>
      <c r="Z1133" s="52">
        <f>IF(NOTA[[#This Row],[JUMLAH]]="","",NOTA[[#This Row],[DISC 1-]]+NOTA[[#This Row],[DISC 2-]])</f>
        <v>0</v>
      </c>
      <c r="AA1133" s="52">
        <f>IF(NOTA[[#This Row],[JUMLAH]]="","",NOTA[[#This Row],[JUMLAH]]-NOTA[[#This Row],[DISC]])</f>
        <v>532500</v>
      </c>
      <c r="AB1133" s="52"/>
      <c r="AC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3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33" s="203">
        <f>IF(OR(NOTA[[#This Row],[QTY]]="",NOTA[[#This Row],[HARGA SATUAN]]="",),"",NOTA[[#This Row],[QTY]]*NOTA[[#This Row],[HARGA SATUAN]])</f>
        <v>532500</v>
      </c>
      <c r="AG1133" s="53">
        <f ca="1">IF(NOTA[ID_H]="","",INDEX(NOTA[TANGGAL],MATCH(,INDIRECT(ADDRESS(ROW(NOTA[TANGGAL]),COLUMN(NOTA[TANGGAL]))&amp;":"&amp;ADDRESS(ROW(),COLUMN(NOTA[TANGGAL]))),-1)))</f>
        <v>45079</v>
      </c>
      <c r="AH1133" s="64" t="str">
        <f ca="1">IF(NOTA[[#This Row],[NAMA BARANG]]="","",INDEX(NOTA[SUPPLIER],MATCH(,INDIRECT(ADDRESS(ROW(NOTA[ID]),COLUMN(NOTA[ID]))&amp;":"&amp;ADDRESS(ROW(),COLUMN(NOTA[ID]))),-1)))</f>
        <v>TFS</v>
      </c>
      <c r="AI1133" s="64" t="str">
        <f ca="1">IF(NOTA[[#This Row],[ID_H]]="","",IF(NOTA[[#This Row],[FAKTUR]]="",INDIRECT(ADDRESS(ROW()-1,COLUMN())),NOTA[[#This Row],[FAKTUR]]))</f>
        <v>UNTANA</v>
      </c>
      <c r="AJ1133" s="66" t="str">
        <f ca="1">IF(NOTA[[#This Row],[ID]]="","",COUNTIF(NOTA[ID_H],NOTA[[#This Row],[ID_H]]))</f>
        <v/>
      </c>
      <c r="AK1133" s="66">
        <f ca="1">IF(NOTA[[#This Row],[TGL.NOTA]]="",IF(NOTA[[#This Row],[SUPPLIER_H]]="","",AK1132),MONTH(NOTA[[#This Row],[TGL.NOTA]]))</f>
        <v>5</v>
      </c>
      <c r="AL1133" s="66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M11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zipperfileclearholder55560filered532500</v>
      </c>
      <c r="AN11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O11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3" s="66" t="str">
        <f>IF(NOTA[[#This Row],[CONCAT4]]="","",_xlfn.IFNA(MATCH(NOTA[[#This Row],[CONCAT4]],[2]!RAW[CONCAT_H],0),FALSE))</f>
        <v/>
      </c>
      <c r="AQ1133" s="66">
        <f>IF(NOTA[[#This Row],[CONCAT1]]="","",MATCH(NOTA[[#This Row],[CONCAT1]],[3]!db[NB NOTA_C],0)+1)</f>
        <v>2349</v>
      </c>
    </row>
    <row r="1134" spans="1:43" ht="20.100000000000001" customHeight="1" x14ac:dyDescent="0.25">
      <c r="A113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4" s="66" t="str">
        <f>IF(NOTA[[#This Row],[ID_P]]="","",MATCH(NOTA[[#This Row],[ID_P]],[1]!B_MSK[N_ID],0))</f>
        <v/>
      </c>
      <c r="D1134" s="66">
        <f ca="1">IF(NOTA[[#This Row],[NAMA BARANG]]="","",INDEX(NOTA[ID],MATCH(,INDIRECT(ADDRESS(ROW(NOTA[ID]),COLUMN(NOTA[ID]))&amp;":"&amp;ADDRESS(ROW(),COLUMN(NOTA[ID]))),-1)))</f>
        <v>188</v>
      </c>
      <c r="E1134" s="113"/>
      <c r="H1134" s="54"/>
      <c r="L1134" s="27" t="s">
        <v>1251</v>
      </c>
      <c r="N1134" s="66">
        <v>15</v>
      </c>
      <c r="O1134" s="27" t="s">
        <v>160</v>
      </c>
      <c r="P1134" s="64">
        <v>35500</v>
      </c>
      <c r="Q1134" s="79"/>
      <c r="R1134" s="42"/>
      <c r="S1134" s="80"/>
      <c r="U1134" s="52"/>
      <c r="V1134" s="77"/>
      <c r="W1134" s="52">
        <f>IF(NOTA[[#This Row],[HARGA/ CTN]]="",NOTA[[#This Row],[JUMLAH_H]],NOTA[[#This Row],[HARGA/ CTN]]*IF(NOTA[[#This Row],[C]]="",0,NOTA[[#This Row],[C]]))</f>
        <v>532500</v>
      </c>
      <c r="X1134" s="52">
        <f>IF(NOTA[[#This Row],[JUMLAH]]="","",NOTA[[#This Row],[JUMLAH]]*NOTA[[#This Row],[DISC 1]])</f>
        <v>0</v>
      </c>
      <c r="Y1134" s="52">
        <f>IF(NOTA[[#This Row],[JUMLAH]]="","",(NOTA[[#This Row],[JUMLAH]]-NOTA[[#This Row],[DISC 1-]])*NOTA[[#This Row],[DISC 2]])</f>
        <v>0</v>
      </c>
      <c r="Z1134" s="52">
        <f>IF(NOTA[[#This Row],[JUMLAH]]="","",NOTA[[#This Row],[DISC 1-]]+NOTA[[#This Row],[DISC 2-]])</f>
        <v>0</v>
      </c>
      <c r="AA1134" s="52">
        <f>IF(NOTA[[#This Row],[JUMLAH]]="","",NOTA[[#This Row],[JUMLAH]]-NOTA[[#This Row],[DISC]])</f>
        <v>532500</v>
      </c>
      <c r="AB1134" s="52"/>
      <c r="AC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4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34" s="203">
        <f>IF(OR(NOTA[[#This Row],[QTY]]="",NOTA[[#This Row],[HARGA SATUAN]]="",),"",NOTA[[#This Row],[QTY]]*NOTA[[#This Row],[HARGA SATUAN]])</f>
        <v>532500</v>
      </c>
      <c r="AG1134" s="53">
        <f ca="1">IF(NOTA[ID_H]="","",INDEX(NOTA[TANGGAL],MATCH(,INDIRECT(ADDRESS(ROW(NOTA[TANGGAL]),COLUMN(NOTA[TANGGAL]))&amp;":"&amp;ADDRESS(ROW(),COLUMN(NOTA[TANGGAL]))),-1)))</f>
        <v>45079</v>
      </c>
      <c r="AH1134" s="64" t="str">
        <f ca="1">IF(NOTA[[#This Row],[NAMA BARANG]]="","",INDEX(NOTA[SUPPLIER],MATCH(,INDIRECT(ADDRESS(ROW(NOTA[ID]),COLUMN(NOTA[ID]))&amp;":"&amp;ADDRESS(ROW(),COLUMN(NOTA[ID]))),-1)))</f>
        <v>TFS</v>
      </c>
      <c r="AI1134" s="64" t="str">
        <f ca="1">IF(NOTA[[#This Row],[ID_H]]="","",IF(NOTA[[#This Row],[FAKTUR]]="",INDIRECT(ADDRESS(ROW()-1,COLUMN())),NOTA[[#This Row],[FAKTUR]]))</f>
        <v>UNTANA</v>
      </c>
      <c r="AJ1134" s="66" t="str">
        <f ca="1">IF(NOTA[[#This Row],[ID]]="","",COUNTIF(NOTA[ID_H],NOTA[[#This Row],[ID_H]]))</f>
        <v/>
      </c>
      <c r="AK1134" s="66">
        <f ca="1">IF(NOTA[[#This Row],[TGL.NOTA]]="",IF(NOTA[[#This Row],[SUPPLIER_H]]="","",AK1133),MONTH(NOTA[[#This Row],[TGL.NOTA]]))</f>
        <v>5</v>
      </c>
      <c r="AL1134" s="66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M11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zipperfileclearholder55560fileyellow532500</v>
      </c>
      <c r="AN11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O11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4" s="66" t="str">
        <f>IF(NOTA[[#This Row],[CONCAT4]]="","",_xlfn.IFNA(MATCH(NOTA[[#This Row],[CONCAT4]],[2]!RAW[CONCAT_H],0),FALSE))</f>
        <v/>
      </c>
      <c r="AQ1134" s="66">
        <f>IF(NOTA[[#This Row],[CONCAT1]]="","",MATCH(NOTA[[#This Row],[CONCAT1]],[3]!db[NB NOTA_C],0)+1)</f>
        <v>2350</v>
      </c>
    </row>
    <row r="1135" spans="1:43" ht="20.100000000000001" customHeight="1" x14ac:dyDescent="0.25">
      <c r="A113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5" s="66" t="str">
        <f>IF(NOTA[[#This Row],[ID_P]]="","",MATCH(NOTA[[#This Row],[ID_P]],[1]!B_MSK[N_ID],0))</f>
        <v/>
      </c>
      <c r="D1135" s="66">
        <f ca="1">IF(NOTA[[#This Row],[NAMA BARANG]]="","",INDEX(NOTA[ID],MATCH(,INDIRECT(ADDRESS(ROW(NOTA[ID]),COLUMN(NOTA[ID]))&amp;":"&amp;ADDRESS(ROW(),COLUMN(NOTA[ID]))),-1)))</f>
        <v>188</v>
      </c>
      <c r="E1135" s="113"/>
      <c r="H1135" s="54"/>
      <c r="L1135" s="27" t="s">
        <v>1252</v>
      </c>
      <c r="N1135" s="66">
        <v>15</v>
      </c>
      <c r="O1135" s="27" t="s">
        <v>160</v>
      </c>
      <c r="P1135" s="64">
        <v>35500</v>
      </c>
      <c r="Q1135" s="79"/>
      <c r="R1135" s="42"/>
      <c r="S1135" s="80"/>
      <c r="U1135" s="52"/>
      <c r="V1135" s="77"/>
      <c r="W1135" s="52">
        <f>IF(NOTA[[#This Row],[HARGA/ CTN]]="",NOTA[[#This Row],[JUMLAH_H]],NOTA[[#This Row],[HARGA/ CTN]]*IF(NOTA[[#This Row],[C]]="",0,NOTA[[#This Row],[C]]))</f>
        <v>532500</v>
      </c>
      <c r="X1135" s="52">
        <f>IF(NOTA[[#This Row],[JUMLAH]]="","",NOTA[[#This Row],[JUMLAH]]*NOTA[[#This Row],[DISC 1]])</f>
        <v>0</v>
      </c>
      <c r="Y1135" s="52">
        <f>IF(NOTA[[#This Row],[JUMLAH]]="","",(NOTA[[#This Row],[JUMLAH]]-NOTA[[#This Row],[DISC 1-]])*NOTA[[#This Row],[DISC 2]])</f>
        <v>0</v>
      </c>
      <c r="Z1135" s="52">
        <f>IF(NOTA[[#This Row],[JUMLAH]]="","",NOTA[[#This Row],[DISC 1-]]+NOTA[[#This Row],[DISC 2-]])</f>
        <v>0</v>
      </c>
      <c r="AA1135" s="52">
        <f>IF(NOTA[[#This Row],[JUMLAH]]="","",NOTA[[#This Row],[JUMLAH]]-NOTA[[#This Row],[DISC]])</f>
        <v>532500</v>
      </c>
      <c r="AB1135" s="52"/>
      <c r="AC113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35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1135" s="64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F1135" s="203">
        <f>IF(OR(NOTA[[#This Row],[QTY]]="",NOTA[[#This Row],[HARGA SATUAN]]="",),"",NOTA[[#This Row],[QTY]]*NOTA[[#This Row],[HARGA SATUAN]])</f>
        <v>532500</v>
      </c>
      <c r="AG1135" s="53">
        <f ca="1">IF(NOTA[ID_H]="","",INDEX(NOTA[TANGGAL],MATCH(,INDIRECT(ADDRESS(ROW(NOTA[TANGGAL]),COLUMN(NOTA[TANGGAL]))&amp;":"&amp;ADDRESS(ROW(),COLUMN(NOTA[TANGGAL]))),-1)))</f>
        <v>45079</v>
      </c>
      <c r="AH1135" s="64" t="str">
        <f ca="1">IF(NOTA[[#This Row],[NAMA BARANG]]="","",INDEX(NOTA[SUPPLIER],MATCH(,INDIRECT(ADDRESS(ROW(NOTA[ID]),COLUMN(NOTA[ID]))&amp;":"&amp;ADDRESS(ROW(),COLUMN(NOTA[ID]))),-1)))</f>
        <v>TFS</v>
      </c>
      <c r="AI1135" s="64" t="str">
        <f ca="1">IF(NOTA[[#This Row],[ID_H]]="","",IF(NOTA[[#This Row],[FAKTUR]]="",INDIRECT(ADDRESS(ROW()-1,COLUMN())),NOTA[[#This Row],[FAKTUR]]))</f>
        <v>UNTANA</v>
      </c>
      <c r="AJ1135" s="66" t="str">
        <f ca="1">IF(NOTA[[#This Row],[ID]]="","",COUNTIF(NOTA[ID_H],NOTA[[#This Row],[ID_H]]))</f>
        <v/>
      </c>
      <c r="AK1135" s="66">
        <f ca="1">IF(NOTA[[#This Row],[TGL.NOTA]]="",IF(NOTA[[#This Row],[SUPPLIER_H]]="","",AK1134),MONTH(NOTA[[#This Row],[TGL.NOTA]]))</f>
        <v>5</v>
      </c>
      <c r="AL1135" s="66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M11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zipperfileclearholder55560fileblue532500</v>
      </c>
      <c r="AN11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O11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5" s="66" t="str">
        <f>IF(NOTA[[#This Row],[CONCAT4]]="","",_xlfn.IFNA(MATCH(NOTA[[#This Row],[CONCAT4]],[2]!RAW[CONCAT_H],0),FALSE))</f>
        <v/>
      </c>
      <c r="AQ1135" s="66">
        <f>IF(NOTA[[#This Row],[CONCAT1]]="","",MATCH(NOTA[[#This Row],[CONCAT1]],[3]!db[NB NOTA_C],0)+1)</f>
        <v>2347</v>
      </c>
    </row>
    <row r="1136" spans="1:43" ht="20.100000000000001" customHeight="1" x14ac:dyDescent="0.25">
      <c r="A113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6" s="66" t="str">
        <f>IF(NOTA[[#This Row],[ID_P]]="","",MATCH(NOTA[[#This Row],[ID_P]],[1]!B_MSK[N_ID],0))</f>
        <v/>
      </c>
      <c r="D1136" s="66" t="str">
        <f ca="1">IF(NOTA[[#This Row],[NAMA BARANG]]="","",INDEX(NOTA[ID],MATCH(,INDIRECT(ADDRESS(ROW(NOTA[ID]),COLUMN(NOTA[ID]))&amp;":"&amp;ADDRESS(ROW(),COLUMN(NOTA[ID]))),-1)))</f>
        <v/>
      </c>
      <c r="E1136" s="113"/>
      <c r="H1136" s="54"/>
      <c r="N1136" s="66"/>
      <c r="Q1136" s="79"/>
      <c r="R1136" s="42"/>
      <c r="S1136" s="80"/>
      <c r="U1136" s="52"/>
      <c r="V1136" s="77"/>
      <c r="W1136" s="52" t="str">
        <f>IF(NOTA[[#This Row],[HARGA/ CTN]]="",NOTA[[#This Row],[JUMLAH_H]],NOTA[[#This Row],[HARGA/ CTN]]*IF(NOTA[[#This Row],[C]]="",0,NOTA[[#This Row],[C]]))</f>
        <v/>
      </c>
      <c r="X1136" s="52" t="str">
        <f>IF(NOTA[[#This Row],[JUMLAH]]="","",NOTA[[#This Row],[JUMLAH]]*NOTA[[#This Row],[DISC 1]])</f>
        <v/>
      </c>
      <c r="Y1136" s="52" t="str">
        <f>IF(NOTA[[#This Row],[JUMLAH]]="","",(NOTA[[#This Row],[JUMLAH]]-NOTA[[#This Row],[DISC 1-]])*NOTA[[#This Row],[DISC 2]])</f>
        <v/>
      </c>
      <c r="Z1136" s="52" t="str">
        <f>IF(NOTA[[#This Row],[JUMLAH]]="","",NOTA[[#This Row],[DISC 1-]]+NOTA[[#This Row],[DISC 2-]])</f>
        <v/>
      </c>
      <c r="AA1136" s="52" t="str">
        <f>IF(NOTA[[#This Row],[JUMLAH]]="","",NOTA[[#This Row],[JUMLAH]]-NOTA[[#This Row],[DISC]])</f>
        <v/>
      </c>
      <c r="AB1136" s="52"/>
      <c r="AC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6" s="203" t="str">
        <f>IF(OR(NOTA[[#This Row],[QTY]]="",NOTA[[#This Row],[HARGA SATUAN]]="",),"",NOTA[[#This Row],[QTY]]*NOTA[[#This Row],[HARGA SATUAN]])</f>
        <v/>
      </c>
      <c r="AG1136" s="53" t="str">
        <f ca="1">IF(NOTA[ID_H]="","",INDEX(NOTA[TANGGAL],MATCH(,INDIRECT(ADDRESS(ROW(NOTA[TANGGAL]),COLUMN(NOTA[TANGGAL]))&amp;":"&amp;ADDRESS(ROW(),COLUMN(NOTA[TANGGAL]))),-1)))</f>
        <v/>
      </c>
      <c r="AH1136" s="64" t="str">
        <f ca="1">IF(NOTA[[#This Row],[NAMA BARANG]]="","",INDEX(NOTA[SUPPLIER],MATCH(,INDIRECT(ADDRESS(ROW(NOTA[ID]),COLUMN(NOTA[ID]))&amp;":"&amp;ADDRESS(ROW(),COLUMN(NOTA[ID]))),-1)))</f>
        <v/>
      </c>
      <c r="AI1136" s="64" t="str">
        <f ca="1">IF(NOTA[[#This Row],[ID_H]]="","",IF(NOTA[[#This Row],[FAKTUR]]="",INDIRECT(ADDRESS(ROW()-1,COLUMN())),NOTA[[#This Row],[FAKTUR]]))</f>
        <v/>
      </c>
      <c r="AJ1136" s="66" t="str">
        <f ca="1">IF(NOTA[[#This Row],[ID]]="","",COUNTIF(NOTA[ID_H],NOTA[[#This Row],[ID_H]]))</f>
        <v/>
      </c>
      <c r="AK1136" s="66" t="str">
        <f ca="1">IF(NOTA[[#This Row],[TGL.NOTA]]="",IF(NOTA[[#This Row],[SUPPLIER_H]]="","",AK1135),MONTH(NOTA[[#This Row],[TGL.NOTA]]))</f>
        <v/>
      </c>
      <c r="AL1136" s="66" t="str">
        <f>LOWER(SUBSTITUTE(SUBSTITUTE(SUBSTITUTE(SUBSTITUTE(SUBSTITUTE(SUBSTITUTE(SUBSTITUTE(SUBSTITUTE(SUBSTITUTE(NOTA[NAMA BARANG]," ",),".",""),"-",""),"(",""),")",""),",",""),"/",""),"""",""),"+",""))</f>
        <v/>
      </c>
      <c r="AM11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6" s="66" t="str">
        <f>IF(NOTA[[#This Row],[CONCAT4]]="","",_xlfn.IFNA(MATCH(NOTA[[#This Row],[CONCAT4]],[2]!RAW[CONCAT_H],0),FALSE))</f>
        <v/>
      </c>
      <c r="AQ1136" s="66" t="str">
        <f>IF(NOTA[[#This Row],[CONCAT1]]="","",MATCH(NOTA[[#This Row],[CONCAT1]],[3]!db[NB NOTA_C],0)+1)</f>
        <v/>
      </c>
    </row>
    <row r="1137" spans="1:43" ht="20.100000000000001" customHeight="1" x14ac:dyDescent="0.25">
      <c r="A1137" s="64">
        <f ca="1">IF(INDIRECT(ADDRESS(ROW()-1,COLUMN(NOTA[[#Headers],[ID]])))="ID",1,IF(NOTA[[#This Row],[FAKTUR]]="","",COUNT(INDIRECT(ADDRESS(ROW(NOTA[ID]),COLUMN(NOTA[ID]))&amp;":"&amp;ADDRESS(ROW()-1,COLUMN(NOTA[ID]))))+1))</f>
        <v>189</v>
      </c>
      <c r="B11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DBS_0206_723-1</v>
      </c>
      <c r="C1137" s="66" t="e">
        <f ca="1">IF(NOTA[[#This Row],[ID_P]]="","",MATCH(NOTA[[#This Row],[ID_P]],[1]!B_MSK[N_ID],0))</f>
        <v>#REF!</v>
      </c>
      <c r="D1137" s="66">
        <f ca="1">IF(NOTA[[#This Row],[NAMA BARANG]]="","",INDEX(NOTA[ID],MATCH(,INDIRECT(ADDRESS(ROW(NOTA[ID]),COLUMN(NOTA[ID]))&amp;":"&amp;ADDRESS(ROW(),COLUMN(NOTA[ID]))),-1)))</f>
        <v>189</v>
      </c>
      <c r="E1137" s="113"/>
      <c r="F1137" s="27" t="s">
        <v>168</v>
      </c>
      <c r="G1137" s="27" t="s">
        <v>112</v>
      </c>
      <c r="H1137" s="54" t="s">
        <v>1253</v>
      </c>
      <c r="J1137" s="53">
        <v>45077</v>
      </c>
      <c r="L1137" s="27" t="s">
        <v>1255</v>
      </c>
      <c r="M1137" s="114">
        <v>5</v>
      </c>
      <c r="N1137" s="66">
        <v>600</v>
      </c>
      <c r="O1137" s="27" t="s">
        <v>125</v>
      </c>
      <c r="P1137" s="64">
        <v>16750</v>
      </c>
      <c r="Q1137" s="79"/>
      <c r="R1137" s="42" t="s">
        <v>1254</v>
      </c>
      <c r="S1137" s="80"/>
      <c r="U1137" s="52"/>
      <c r="V1137" s="77"/>
      <c r="W1137" s="52">
        <f>IF(NOTA[[#This Row],[HARGA/ CTN]]="",NOTA[[#This Row],[JUMLAH_H]],NOTA[[#This Row],[HARGA/ CTN]]*IF(NOTA[[#This Row],[C]]="",0,NOTA[[#This Row],[C]]))</f>
        <v>10050000</v>
      </c>
      <c r="X1137" s="52">
        <f>IF(NOTA[[#This Row],[JUMLAH]]="","",NOTA[[#This Row],[JUMLAH]]*NOTA[[#This Row],[DISC 1]])</f>
        <v>0</v>
      </c>
      <c r="Y1137" s="52">
        <f>IF(NOTA[[#This Row],[JUMLAH]]="","",(NOTA[[#This Row],[JUMLAH]]-NOTA[[#This Row],[DISC 1-]])*NOTA[[#This Row],[DISC 2]])</f>
        <v>0</v>
      </c>
      <c r="Z1137" s="52">
        <f>IF(NOTA[[#This Row],[JUMLAH]]="","",NOTA[[#This Row],[DISC 1-]]+NOTA[[#This Row],[DISC 2-]])</f>
        <v>0</v>
      </c>
      <c r="AA1137" s="52">
        <f>IF(NOTA[[#This Row],[JUMLAH]]="","",NOTA[[#This Row],[JUMLAH]]-NOTA[[#This Row],[DISC]])</f>
        <v>10050000</v>
      </c>
      <c r="AB1137" s="52"/>
      <c r="AC113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37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10050000</v>
      </c>
      <c r="AE1137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37" s="203">
        <f>IF(OR(NOTA[[#This Row],[QTY]]="",NOTA[[#This Row],[HARGA SATUAN]]="",),"",NOTA[[#This Row],[QTY]]*NOTA[[#This Row],[HARGA SATUAN]])</f>
        <v>10050000</v>
      </c>
      <c r="AG1137" s="53">
        <f ca="1">IF(NOTA[ID_H]="","",INDEX(NOTA[TANGGAL],MATCH(,INDIRECT(ADDRESS(ROW(NOTA[TANGGAL]),COLUMN(NOTA[TANGGAL]))&amp;":"&amp;ADDRESS(ROW(),COLUMN(NOTA[TANGGAL]))),-1)))</f>
        <v>45079</v>
      </c>
      <c r="AH1137" s="64" t="str">
        <f ca="1">IF(NOTA[[#This Row],[NAMA BARANG]]="","",INDEX(NOTA[SUPPLIER],MATCH(,INDIRECT(ADDRESS(ROW(NOTA[ID]),COLUMN(NOTA[ID]))&amp;":"&amp;ADDRESS(ROW(),COLUMN(NOTA[ID]))),-1)))</f>
        <v>DB STATIONERY</v>
      </c>
      <c r="AI1137" s="64" t="str">
        <f ca="1">IF(NOTA[[#This Row],[ID_H]]="","",IF(NOTA[[#This Row],[FAKTUR]]="",INDIRECT(ADDRESS(ROW()-1,COLUMN())),NOTA[[#This Row],[FAKTUR]]))</f>
        <v>UNTANA</v>
      </c>
      <c r="AJ1137" s="66">
        <f ca="1">IF(NOTA[[#This Row],[ID]]="","",COUNTIF(NOTA[ID_H],NOTA[[#This Row],[ID_H]]))</f>
        <v>1</v>
      </c>
      <c r="AK1137" s="66">
        <f>IF(NOTA[[#This Row],[TGL.NOTA]]="",IF(NOTA[[#This Row],[SUPPLIER_H]]="","",AK1136),MONTH(NOTA[[#This Row],[TGL.NOTA]]))</f>
        <v>5</v>
      </c>
      <c r="AL1137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3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STATIONERYUNTANAJUE827/2345077gelminicolorisig212c</v>
      </c>
      <c r="AP1137" s="66" t="e">
        <f>IF(NOTA[[#This Row],[CONCAT4]]="","",_xlfn.IFNA(MATCH(NOTA[[#This Row],[CONCAT4]],[2]!RAW[CONCAT_H],0),FALSE))</f>
        <v>#REF!</v>
      </c>
      <c r="AQ1137" s="66">
        <f>IF(NOTA[[#This Row],[CONCAT1]]="","",MATCH(NOTA[[#This Row],[CONCAT1]],[3]!db[NB NOTA_C],0)+1)</f>
        <v>795</v>
      </c>
    </row>
    <row r="1138" spans="1:43" ht="20.100000000000001" customHeight="1" x14ac:dyDescent="0.25">
      <c r="A113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8" s="66" t="str">
        <f>IF(NOTA[[#This Row],[ID_P]]="","",MATCH(NOTA[[#This Row],[ID_P]],[1]!B_MSK[N_ID],0))</f>
        <v/>
      </c>
      <c r="D1138" s="66" t="str">
        <f ca="1">IF(NOTA[[#This Row],[NAMA BARANG]]="","",INDEX(NOTA[ID],MATCH(,INDIRECT(ADDRESS(ROW(NOTA[ID]),COLUMN(NOTA[ID]))&amp;":"&amp;ADDRESS(ROW(),COLUMN(NOTA[ID]))),-1)))</f>
        <v/>
      </c>
      <c r="E1138" s="113"/>
      <c r="H1138" s="54"/>
      <c r="N1138" s="66"/>
      <c r="Q1138" s="79"/>
      <c r="R1138" s="42"/>
      <c r="S1138" s="80"/>
      <c r="U1138" s="52"/>
      <c r="V1138" s="77"/>
      <c r="W1138" s="52" t="str">
        <f>IF(NOTA[[#This Row],[HARGA/ CTN]]="",NOTA[[#This Row],[JUMLAH_H]],NOTA[[#This Row],[HARGA/ CTN]]*IF(NOTA[[#This Row],[C]]="",0,NOTA[[#This Row],[C]]))</f>
        <v/>
      </c>
      <c r="X1138" s="52" t="str">
        <f>IF(NOTA[[#This Row],[JUMLAH]]="","",NOTA[[#This Row],[JUMLAH]]*NOTA[[#This Row],[DISC 1]])</f>
        <v/>
      </c>
      <c r="Y1138" s="52" t="str">
        <f>IF(NOTA[[#This Row],[JUMLAH]]="","",(NOTA[[#This Row],[JUMLAH]]-NOTA[[#This Row],[DISC 1-]])*NOTA[[#This Row],[DISC 2]])</f>
        <v/>
      </c>
      <c r="Z1138" s="52" t="str">
        <f>IF(NOTA[[#This Row],[JUMLAH]]="","",NOTA[[#This Row],[DISC 1-]]+NOTA[[#This Row],[DISC 2-]])</f>
        <v/>
      </c>
      <c r="AA1138" s="52" t="str">
        <f>IF(NOTA[[#This Row],[JUMLAH]]="","",NOTA[[#This Row],[JUMLAH]]-NOTA[[#This Row],[DISC]])</f>
        <v/>
      </c>
      <c r="AB1138" s="52"/>
      <c r="AC11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38" s="203" t="str">
        <f>IF(OR(NOTA[[#This Row],[QTY]]="",NOTA[[#This Row],[HARGA SATUAN]]="",),"",NOTA[[#This Row],[QTY]]*NOTA[[#This Row],[HARGA SATUAN]])</f>
        <v/>
      </c>
      <c r="AG1138" s="53" t="str">
        <f ca="1">IF(NOTA[ID_H]="","",INDEX(NOTA[TANGGAL],MATCH(,INDIRECT(ADDRESS(ROW(NOTA[TANGGAL]),COLUMN(NOTA[TANGGAL]))&amp;":"&amp;ADDRESS(ROW(),COLUMN(NOTA[TANGGAL]))),-1)))</f>
        <v/>
      </c>
      <c r="AH1138" s="64" t="str">
        <f ca="1">IF(NOTA[[#This Row],[NAMA BARANG]]="","",INDEX(NOTA[SUPPLIER],MATCH(,INDIRECT(ADDRESS(ROW(NOTA[ID]),COLUMN(NOTA[ID]))&amp;":"&amp;ADDRESS(ROW(),COLUMN(NOTA[ID]))),-1)))</f>
        <v/>
      </c>
      <c r="AI1138" s="64" t="str">
        <f ca="1">IF(NOTA[[#This Row],[ID_H]]="","",IF(NOTA[[#This Row],[FAKTUR]]="",INDIRECT(ADDRESS(ROW()-1,COLUMN())),NOTA[[#This Row],[FAKTUR]]))</f>
        <v/>
      </c>
      <c r="AJ1138" s="66" t="str">
        <f ca="1">IF(NOTA[[#This Row],[ID]]="","",COUNTIF(NOTA[ID_H],NOTA[[#This Row],[ID_H]]))</f>
        <v/>
      </c>
      <c r="AK1138" s="66" t="str">
        <f ca="1">IF(NOTA[[#This Row],[TGL.NOTA]]="",IF(NOTA[[#This Row],[SUPPLIER_H]]="","",AK1137),MONTH(NOTA[[#This Row],[TGL.NOTA]]))</f>
        <v/>
      </c>
      <c r="AL1138" s="66" t="str">
        <f>LOWER(SUBSTITUTE(SUBSTITUTE(SUBSTITUTE(SUBSTITUTE(SUBSTITUTE(SUBSTITUTE(SUBSTITUTE(SUBSTITUTE(SUBSTITUTE(NOTA[NAMA BARANG]," ",),".",""),"-",""),"(",""),")",""),",",""),"/",""),"""",""),"+",""))</f>
        <v/>
      </c>
      <c r="AM11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38" s="66" t="str">
        <f>IF(NOTA[[#This Row],[CONCAT4]]="","",_xlfn.IFNA(MATCH(NOTA[[#This Row],[CONCAT4]],[2]!RAW[CONCAT_H],0),FALSE))</f>
        <v/>
      </c>
      <c r="AQ1138" s="66" t="str">
        <f>IF(NOTA[[#This Row],[CONCAT1]]="","",MATCH(NOTA[[#This Row],[CONCAT1]],[3]!db[NB NOTA_C],0)+1)</f>
        <v/>
      </c>
    </row>
    <row r="1139" spans="1:43" ht="20.100000000000001" customHeight="1" x14ac:dyDescent="0.25">
      <c r="A1139" s="64">
        <f ca="1">IF(INDIRECT(ADDRESS(ROW()-1,COLUMN(NOTA[[#Headers],[ID]])))="ID",1,IF(NOTA[[#This Row],[FAKTUR]]="","",COUNT(INDIRECT(ADDRESS(ROW(NOTA[ID]),COLUMN(NOTA[ID]))&amp;":"&amp;ADDRESS(ROW()-1,COLUMN(NOTA[ID]))))+1))</f>
        <v>190</v>
      </c>
      <c r="B113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99J_0206_623-8</v>
      </c>
      <c r="C1139" s="66" t="e">
        <f ca="1">IF(NOTA[[#This Row],[ID_P]]="","",MATCH(NOTA[[#This Row],[ID_P]],[1]!B_MSK[N_ID],0))</f>
        <v>#REF!</v>
      </c>
      <c r="D1139" s="66">
        <f ca="1">IF(NOTA[[#This Row],[NAMA BARANG]]="","",INDEX(NOTA[ID],MATCH(,INDIRECT(ADDRESS(ROW(NOTA[ID]),COLUMN(NOTA[ID]))&amp;":"&amp;ADDRESS(ROW(),COLUMN(NOTA[ID]))),-1)))</f>
        <v>190</v>
      </c>
      <c r="E1139" s="113"/>
      <c r="F1139" s="27" t="s">
        <v>26</v>
      </c>
      <c r="G1139" s="27" t="s">
        <v>24</v>
      </c>
      <c r="H1139" s="54" t="s">
        <v>1256</v>
      </c>
      <c r="J1139" s="53">
        <v>45077</v>
      </c>
      <c r="L1139" s="27" t="s">
        <v>207</v>
      </c>
      <c r="M1139" s="114">
        <v>1</v>
      </c>
      <c r="N1139" s="66">
        <v>144</v>
      </c>
      <c r="O1139" s="27" t="s">
        <v>125</v>
      </c>
      <c r="P1139" s="64">
        <v>18250</v>
      </c>
      <c r="Q1139" s="79"/>
      <c r="R1139" s="42" t="s">
        <v>171</v>
      </c>
      <c r="S1139" s="80"/>
      <c r="U1139" s="52"/>
      <c r="V1139" s="77"/>
      <c r="W1139" s="52">
        <f>IF(NOTA[[#This Row],[HARGA/ CTN]]="",NOTA[[#This Row],[JUMLAH_H]],NOTA[[#This Row],[HARGA/ CTN]]*IF(NOTA[[#This Row],[C]]="",0,NOTA[[#This Row],[C]]))</f>
        <v>2628000</v>
      </c>
      <c r="X1139" s="52">
        <f>IF(NOTA[[#This Row],[JUMLAH]]="","",NOTA[[#This Row],[JUMLAH]]*NOTA[[#This Row],[DISC 1]])</f>
        <v>0</v>
      </c>
      <c r="Y1139" s="52">
        <f>IF(NOTA[[#This Row],[JUMLAH]]="","",(NOTA[[#This Row],[JUMLAH]]-NOTA[[#This Row],[DISC 1-]])*NOTA[[#This Row],[DISC 2]])</f>
        <v>0</v>
      </c>
      <c r="Z1139" s="52">
        <f>IF(NOTA[[#This Row],[JUMLAH]]="","",NOTA[[#This Row],[DISC 1-]]+NOTA[[#This Row],[DISC 2-]])</f>
        <v>0</v>
      </c>
      <c r="AA1139" s="52">
        <f>IF(NOTA[[#This Row],[JUMLAH]]="","",NOTA[[#This Row],[JUMLAH]]-NOTA[[#This Row],[DISC]])</f>
        <v>2628000</v>
      </c>
      <c r="AB1139" s="52"/>
      <c r="AC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3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39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39" s="203">
        <f>IF(OR(NOTA[[#This Row],[QTY]]="",NOTA[[#This Row],[HARGA SATUAN]]="",),"",NOTA[[#This Row],[QTY]]*NOTA[[#This Row],[HARGA SATUAN]])</f>
        <v>2628000</v>
      </c>
      <c r="AG1139" s="53">
        <f ca="1">IF(NOTA[ID_H]="","",INDEX(NOTA[TANGGAL],MATCH(,INDIRECT(ADDRESS(ROW(NOTA[TANGGAL]),COLUMN(NOTA[TANGGAL]))&amp;":"&amp;ADDRESS(ROW(),COLUMN(NOTA[TANGGAL]))),-1)))</f>
        <v>45079</v>
      </c>
      <c r="AH1139" s="64" t="str">
        <f ca="1">IF(NOTA[[#This Row],[NAMA BARANG]]="","",INDEX(NOTA[SUPPLIER],MATCH(,INDIRECT(ADDRESS(ROW(NOTA[ID]),COLUMN(NOTA[ID]))&amp;":"&amp;ADDRESS(ROW(),COLUMN(NOTA[ID]))),-1)))</f>
        <v>99 JAYA UTAMA</v>
      </c>
      <c r="AI1139" s="64" t="str">
        <f ca="1">IF(NOTA[[#This Row],[ID_H]]="","",IF(NOTA[[#This Row],[FAKTUR]]="",INDIRECT(ADDRESS(ROW()-1,COLUMN())),NOTA[[#This Row],[FAKTUR]]))</f>
        <v>ARTO MORO</v>
      </c>
      <c r="AJ1139" s="66">
        <f ca="1">IF(NOTA[[#This Row],[ID]]="","",COUNTIF(NOTA[ID_H],NOTA[[#This Row],[ID_H]]))</f>
        <v>8</v>
      </c>
      <c r="AK1139" s="66">
        <f>IF(NOTA[[#This Row],[TGL.NOTA]]="",IF(NOTA[[#This Row],[SUPPLIER_H]]="","",AK1138),MONTH(NOTA[[#This Row],[TGL.NOTA]]))</f>
        <v>5</v>
      </c>
      <c r="AL1139" s="6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M11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N11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O1139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MOROJUE826/2345077geltizofancytg31780e</v>
      </c>
      <c r="AP1139" s="66" t="e">
        <f>IF(NOTA[[#This Row],[CONCAT4]]="","",_xlfn.IFNA(MATCH(NOTA[[#This Row],[CONCAT4]],[2]!RAW[CONCAT_H],0),FALSE))</f>
        <v>#REF!</v>
      </c>
      <c r="AQ1139" s="66">
        <f>IF(NOTA[[#This Row],[CONCAT1]]="","",MATCH(NOTA[[#This Row],[CONCAT1]],[3]!db[NB NOTA_C],0)+1)</f>
        <v>896</v>
      </c>
    </row>
    <row r="1140" spans="1:43" ht="20.100000000000001" customHeight="1" x14ac:dyDescent="0.25">
      <c r="A114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0" s="66" t="str">
        <f>IF(NOTA[[#This Row],[ID_P]]="","",MATCH(NOTA[[#This Row],[ID_P]],[1]!B_MSK[N_ID],0))</f>
        <v/>
      </c>
      <c r="D1140" s="66">
        <f ca="1">IF(NOTA[[#This Row],[NAMA BARANG]]="","",INDEX(NOTA[ID],MATCH(,INDIRECT(ADDRESS(ROW(NOTA[ID]),COLUMN(NOTA[ID]))&amp;":"&amp;ADDRESS(ROW(),COLUMN(NOTA[ID]))),-1)))</f>
        <v>190</v>
      </c>
      <c r="E1140" s="113"/>
      <c r="H1140" s="54"/>
      <c r="L1140" s="27" t="s">
        <v>210</v>
      </c>
      <c r="M1140" s="114">
        <v>1</v>
      </c>
      <c r="N1140" s="66">
        <v>144</v>
      </c>
      <c r="O1140" s="27" t="s">
        <v>125</v>
      </c>
      <c r="P1140" s="64">
        <v>18250</v>
      </c>
      <c r="Q1140" s="79"/>
      <c r="R1140" s="42" t="s">
        <v>171</v>
      </c>
      <c r="S1140" s="80"/>
      <c r="U1140" s="52"/>
      <c r="V1140" s="77"/>
      <c r="W1140" s="52">
        <f>IF(NOTA[[#This Row],[HARGA/ CTN]]="",NOTA[[#This Row],[JUMLAH_H]],NOTA[[#This Row],[HARGA/ CTN]]*IF(NOTA[[#This Row],[C]]="",0,NOTA[[#This Row],[C]]))</f>
        <v>2628000</v>
      </c>
      <c r="X1140" s="52">
        <f>IF(NOTA[[#This Row],[JUMLAH]]="","",NOTA[[#This Row],[JUMLAH]]*NOTA[[#This Row],[DISC 1]])</f>
        <v>0</v>
      </c>
      <c r="Y1140" s="52">
        <f>IF(NOTA[[#This Row],[JUMLAH]]="","",(NOTA[[#This Row],[JUMLAH]]-NOTA[[#This Row],[DISC 1-]])*NOTA[[#This Row],[DISC 2]])</f>
        <v>0</v>
      </c>
      <c r="Z1140" s="52">
        <f>IF(NOTA[[#This Row],[JUMLAH]]="","",NOTA[[#This Row],[DISC 1-]]+NOTA[[#This Row],[DISC 2-]])</f>
        <v>0</v>
      </c>
      <c r="AA1140" s="52">
        <f>IF(NOTA[[#This Row],[JUMLAH]]="","",NOTA[[#This Row],[JUMLAH]]-NOTA[[#This Row],[DISC]])</f>
        <v>2628000</v>
      </c>
      <c r="AB1140" s="52"/>
      <c r="AC11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0" s="203">
        <f>IF(OR(NOTA[[#This Row],[QTY]]="",NOTA[[#This Row],[HARGA SATUAN]]="",),"",NOTA[[#This Row],[QTY]]*NOTA[[#This Row],[HARGA SATUAN]])</f>
        <v>2628000</v>
      </c>
      <c r="AG1140" s="53">
        <f ca="1">IF(NOTA[ID_H]="","",INDEX(NOTA[TANGGAL],MATCH(,INDIRECT(ADDRESS(ROW(NOTA[TANGGAL]),COLUMN(NOTA[TANGGAL]))&amp;":"&amp;ADDRESS(ROW(),COLUMN(NOTA[TANGGAL]))),-1)))</f>
        <v>45079</v>
      </c>
      <c r="AH1140" s="64" t="str">
        <f ca="1">IF(NOTA[[#This Row],[NAMA BARANG]]="","",INDEX(NOTA[SUPPLIER],MATCH(,INDIRECT(ADDRESS(ROW(NOTA[ID]),COLUMN(NOTA[ID]))&amp;":"&amp;ADDRESS(ROW(),COLUMN(NOTA[ID]))),-1)))</f>
        <v>99 JAYA UTAMA</v>
      </c>
      <c r="AI1140" s="64" t="str">
        <f ca="1">IF(NOTA[[#This Row],[ID_H]]="","",IF(NOTA[[#This Row],[FAKTUR]]="",INDIRECT(ADDRESS(ROW()-1,COLUMN())),NOTA[[#This Row],[FAKTUR]]))</f>
        <v>ARTO MORO</v>
      </c>
      <c r="AJ1140" s="66" t="str">
        <f ca="1">IF(NOTA[[#This Row],[ID]]="","",COUNTIF(NOTA[ID_H],NOTA[[#This Row],[ID_H]]))</f>
        <v/>
      </c>
      <c r="AK1140" s="66">
        <f ca="1">IF(NOTA[[#This Row],[TGL.NOTA]]="",IF(NOTA[[#This Row],[SUPPLIER_H]]="","",AK1139),MONTH(NOTA[[#This Row],[TGL.NOTA]]))</f>
        <v>5</v>
      </c>
      <c r="AL1140" s="6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M11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N11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O11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0" s="66" t="str">
        <f>IF(NOTA[[#This Row],[CONCAT4]]="","",_xlfn.IFNA(MATCH(NOTA[[#This Row],[CONCAT4]],[2]!RAW[CONCAT_H],0),FALSE))</f>
        <v/>
      </c>
      <c r="AQ1140" s="66">
        <f>IF(NOTA[[#This Row],[CONCAT1]]="","",MATCH(NOTA[[#This Row],[CONCAT1]],[3]!db[NB NOTA_C],0)+1)</f>
        <v>906</v>
      </c>
    </row>
    <row r="1141" spans="1:43" ht="20.100000000000001" customHeight="1" x14ac:dyDescent="0.25">
      <c r="A114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1" s="66" t="str">
        <f>IF(NOTA[[#This Row],[ID_P]]="","",MATCH(NOTA[[#This Row],[ID_P]],[1]!B_MSK[N_ID],0))</f>
        <v/>
      </c>
      <c r="D1141" s="66">
        <f ca="1">IF(NOTA[[#This Row],[NAMA BARANG]]="","",INDEX(NOTA[ID],MATCH(,INDIRECT(ADDRESS(ROW(NOTA[ID]),COLUMN(NOTA[ID]))&amp;":"&amp;ADDRESS(ROW(),COLUMN(NOTA[ID]))),-1)))</f>
        <v>190</v>
      </c>
      <c r="E1141" s="113"/>
      <c r="H1141" s="54"/>
      <c r="L1141" s="27" t="s">
        <v>205</v>
      </c>
      <c r="M1141" s="114">
        <v>1</v>
      </c>
      <c r="N1141" s="66">
        <v>144</v>
      </c>
      <c r="O1141" s="27" t="s">
        <v>125</v>
      </c>
      <c r="P1141" s="64">
        <v>18250</v>
      </c>
      <c r="Q1141" s="79"/>
      <c r="R1141" s="42" t="s">
        <v>171</v>
      </c>
      <c r="S1141" s="80"/>
      <c r="U1141" s="52"/>
      <c r="V1141" s="77"/>
      <c r="W1141" s="52">
        <f>IF(NOTA[[#This Row],[HARGA/ CTN]]="",NOTA[[#This Row],[JUMLAH_H]],NOTA[[#This Row],[HARGA/ CTN]]*IF(NOTA[[#This Row],[C]]="",0,NOTA[[#This Row],[C]]))</f>
        <v>2628000</v>
      </c>
      <c r="X1141" s="52">
        <f>IF(NOTA[[#This Row],[JUMLAH]]="","",NOTA[[#This Row],[JUMLAH]]*NOTA[[#This Row],[DISC 1]])</f>
        <v>0</v>
      </c>
      <c r="Y1141" s="52">
        <f>IF(NOTA[[#This Row],[JUMLAH]]="","",(NOTA[[#This Row],[JUMLAH]]-NOTA[[#This Row],[DISC 1-]])*NOTA[[#This Row],[DISC 2]])</f>
        <v>0</v>
      </c>
      <c r="Z1141" s="52">
        <f>IF(NOTA[[#This Row],[JUMLAH]]="","",NOTA[[#This Row],[DISC 1-]]+NOTA[[#This Row],[DISC 2-]])</f>
        <v>0</v>
      </c>
      <c r="AA1141" s="52">
        <f>IF(NOTA[[#This Row],[JUMLAH]]="","",NOTA[[#This Row],[JUMLAH]]-NOTA[[#This Row],[DISC]])</f>
        <v>2628000</v>
      </c>
      <c r="AB1141" s="52"/>
      <c r="AC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1" s="203">
        <f>IF(OR(NOTA[[#This Row],[QTY]]="",NOTA[[#This Row],[HARGA SATUAN]]="",),"",NOTA[[#This Row],[QTY]]*NOTA[[#This Row],[HARGA SATUAN]])</f>
        <v>2628000</v>
      </c>
      <c r="AG1141" s="53">
        <f ca="1">IF(NOTA[ID_H]="","",INDEX(NOTA[TANGGAL],MATCH(,INDIRECT(ADDRESS(ROW(NOTA[TANGGAL]),COLUMN(NOTA[TANGGAL]))&amp;":"&amp;ADDRESS(ROW(),COLUMN(NOTA[TANGGAL]))),-1)))</f>
        <v>45079</v>
      </c>
      <c r="AH1141" s="64" t="str">
        <f ca="1">IF(NOTA[[#This Row],[NAMA BARANG]]="","",INDEX(NOTA[SUPPLIER],MATCH(,INDIRECT(ADDRESS(ROW(NOTA[ID]),COLUMN(NOTA[ID]))&amp;":"&amp;ADDRESS(ROW(),COLUMN(NOTA[ID]))),-1)))</f>
        <v>99 JAYA UTAMA</v>
      </c>
      <c r="AI1141" s="64" t="str">
        <f ca="1">IF(NOTA[[#This Row],[ID_H]]="","",IF(NOTA[[#This Row],[FAKTUR]]="",INDIRECT(ADDRESS(ROW()-1,COLUMN())),NOTA[[#This Row],[FAKTUR]]))</f>
        <v>ARTO MORO</v>
      </c>
      <c r="AJ1141" s="66" t="str">
        <f ca="1">IF(NOTA[[#This Row],[ID]]="","",COUNTIF(NOTA[ID_H],NOTA[[#This Row],[ID_H]]))</f>
        <v/>
      </c>
      <c r="AK1141" s="66">
        <f ca="1">IF(NOTA[[#This Row],[TGL.NOTA]]="",IF(NOTA[[#This Row],[SUPPLIER_H]]="","",AK1140),MONTH(NOTA[[#This Row],[TGL.NOTA]]))</f>
        <v>5</v>
      </c>
      <c r="AL1141" s="6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M11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N11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O11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1" s="66" t="str">
        <f>IF(NOTA[[#This Row],[CONCAT4]]="","",_xlfn.IFNA(MATCH(NOTA[[#This Row],[CONCAT4]],[2]!RAW[CONCAT_H],0),FALSE))</f>
        <v/>
      </c>
      <c r="AQ1141" s="66">
        <f>IF(NOTA[[#This Row],[CONCAT1]]="","",MATCH(NOTA[[#This Row],[CONCAT1]],[3]!db[NB NOTA_C],0)+1)</f>
        <v>881</v>
      </c>
    </row>
    <row r="1142" spans="1:43" ht="20.100000000000001" customHeight="1" x14ac:dyDescent="0.25">
      <c r="A114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2" s="66" t="str">
        <f>IF(NOTA[[#This Row],[ID_P]]="","",MATCH(NOTA[[#This Row],[ID_P]],[1]!B_MSK[N_ID],0))</f>
        <v/>
      </c>
      <c r="D1142" s="66">
        <f ca="1">IF(NOTA[[#This Row],[NAMA BARANG]]="","",INDEX(NOTA[ID],MATCH(,INDIRECT(ADDRESS(ROW(NOTA[ID]),COLUMN(NOTA[ID]))&amp;":"&amp;ADDRESS(ROW(),COLUMN(NOTA[ID]))),-1)))</f>
        <v>190</v>
      </c>
      <c r="E1142" s="113"/>
      <c r="H1142" s="54"/>
      <c r="L1142" s="27" t="s">
        <v>209</v>
      </c>
      <c r="M1142" s="114">
        <v>1</v>
      </c>
      <c r="N1142" s="66">
        <v>144</v>
      </c>
      <c r="O1142" s="27" t="s">
        <v>125</v>
      </c>
      <c r="P1142" s="64">
        <v>18250</v>
      </c>
      <c r="Q1142" s="79"/>
      <c r="R1142" s="42" t="s">
        <v>171</v>
      </c>
      <c r="S1142" s="80"/>
      <c r="U1142" s="52"/>
      <c r="V1142" s="77"/>
      <c r="W1142" s="52">
        <f>IF(NOTA[[#This Row],[HARGA/ CTN]]="",NOTA[[#This Row],[JUMLAH_H]],NOTA[[#This Row],[HARGA/ CTN]]*IF(NOTA[[#This Row],[C]]="",0,NOTA[[#This Row],[C]]))</f>
        <v>2628000</v>
      </c>
      <c r="X1142" s="52">
        <f>IF(NOTA[[#This Row],[JUMLAH]]="","",NOTA[[#This Row],[JUMLAH]]*NOTA[[#This Row],[DISC 1]])</f>
        <v>0</v>
      </c>
      <c r="Y1142" s="52">
        <f>IF(NOTA[[#This Row],[JUMLAH]]="","",(NOTA[[#This Row],[JUMLAH]]-NOTA[[#This Row],[DISC 1-]])*NOTA[[#This Row],[DISC 2]])</f>
        <v>0</v>
      </c>
      <c r="Z1142" s="52">
        <f>IF(NOTA[[#This Row],[JUMLAH]]="","",NOTA[[#This Row],[DISC 1-]]+NOTA[[#This Row],[DISC 2-]])</f>
        <v>0</v>
      </c>
      <c r="AA1142" s="52">
        <f>IF(NOTA[[#This Row],[JUMLAH]]="","",NOTA[[#This Row],[JUMLAH]]-NOTA[[#This Row],[DISC]])</f>
        <v>2628000</v>
      </c>
      <c r="AB1142" s="52"/>
      <c r="AC11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2" s="203">
        <f>IF(OR(NOTA[[#This Row],[QTY]]="",NOTA[[#This Row],[HARGA SATUAN]]="",),"",NOTA[[#This Row],[QTY]]*NOTA[[#This Row],[HARGA SATUAN]])</f>
        <v>2628000</v>
      </c>
      <c r="AG1142" s="53">
        <f ca="1">IF(NOTA[ID_H]="","",INDEX(NOTA[TANGGAL],MATCH(,INDIRECT(ADDRESS(ROW(NOTA[TANGGAL]),COLUMN(NOTA[TANGGAL]))&amp;":"&amp;ADDRESS(ROW(),COLUMN(NOTA[TANGGAL]))),-1)))</f>
        <v>45079</v>
      </c>
      <c r="AH1142" s="64" t="str">
        <f ca="1">IF(NOTA[[#This Row],[NAMA BARANG]]="","",INDEX(NOTA[SUPPLIER],MATCH(,INDIRECT(ADDRESS(ROW(NOTA[ID]),COLUMN(NOTA[ID]))&amp;":"&amp;ADDRESS(ROW(),COLUMN(NOTA[ID]))),-1)))</f>
        <v>99 JAYA UTAMA</v>
      </c>
      <c r="AI1142" s="64" t="str">
        <f ca="1">IF(NOTA[[#This Row],[ID_H]]="","",IF(NOTA[[#This Row],[FAKTUR]]="",INDIRECT(ADDRESS(ROW()-1,COLUMN())),NOTA[[#This Row],[FAKTUR]]))</f>
        <v>ARTO MORO</v>
      </c>
      <c r="AJ1142" s="66" t="str">
        <f ca="1">IF(NOTA[[#This Row],[ID]]="","",COUNTIF(NOTA[ID_H],NOTA[[#This Row],[ID_H]]))</f>
        <v/>
      </c>
      <c r="AK1142" s="66">
        <f ca="1">IF(NOTA[[#This Row],[TGL.NOTA]]="",IF(NOTA[[#This Row],[SUPPLIER_H]]="","",AK1141),MONTH(NOTA[[#This Row],[TGL.NOTA]]))</f>
        <v>5</v>
      </c>
      <c r="AL1142" s="6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M11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N11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O11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2" s="66" t="str">
        <f>IF(NOTA[[#This Row],[CONCAT4]]="","",_xlfn.IFNA(MATCH(NOTA[[#This Row],[CONCAT4]],[2]!RAW[CONCAT_H],0),FALSE))</f>
        <v/>
      </c>
      <c r="AQ1142" s="66">
        <f>IF(NOTA[[#This Row],[CONCAT1]]="","",MATCH(NOTA[[#This Row],[CONCAT1]],[3]!db[NB NOTA_C],0)+1)</f>
        <v>899</v>
      </c>
    </row>
    <row r="1143" spans="1:43" ht="20.100000000000001" customHeight="1" x14ac:dyDescent="0.25">
      <c r="A114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3" s="66" t="str">
        <f>IF(NOTA[[#This Row],[ID_P]]="","",MATCH(NOTA[[#This Row],[ID_P]],[1]!B_MSK[N_ID],0))</f>
        <v/>
      </c>
      <c r="D1143" s="66">
        <f ca="1">IF(NOTA[[#This Row],[NAMA BARANG]]="","",INDEX(NOTA[ID],MATCH(,INDIRECT(ADDRESS(ROW(NOTA[ID]),COLUMN(NOTA[ID]))&amp;":"&amp;ADDRESS(ROW(),COLUMN(NOTA[ID]))),-1)))</f>
        <v>190</v>
      </c>
      <c r="E1143" s="113"/>
      <c r="H1143" s="54"/>
      <c r="L1143" s="27" t="s">
        <v>213</v>
      </c>
      <c r="M1143" s="114">
        <v>1</v>
      </c>
      <c r="N1143" s="66">
        <v>144</v>
      </c>
      <c r="O1143" s="27" t="s">
        <v>125</v>
      </c>
      <c r="P1143" s="64">
        <v>18250</v>
      </c>
      <c r="Q1143" s="79"/>
      <c r="R1143" s="42" t="s">
        <v>171</v>
      </c>
      <c r="S1143" s="80"/>
      <c r="U1143" s="52"/>
      <c r="V1143" s="77"/>
      <c r="W1143" s="52">
        <f>IF(NOTA[[#This Row],[HARGA/ CTN]]="",NOTA[[#This Row],[JUMLAH_H]],NOTA[[#This Row],[HARGA/ CTN]]*IF(NOTA[[#This Row],[C]]="",0,NOTA[[#This Row],[C]]))</f>
        <v>2628000</v>
      </c>
      <c r="X1143" s="52">
        <f>IF(NOTA[[#This Row],[JUMLAH]]="","",NOTA[[#This Row],[JUMLAH]]*NOTA[[#This Row],[DISC 1]])</f>
        <v>0</v>
      </c>
      <c r="Y1143" s="52">
        <f>IF(NOTA[[#This Row],[JUMLAH]]="","",(NOTA[[#This Row],[JUMLAH]]-NOTA[[#This Row],[DISC 1-]])*NOTA[[#This Row],[DISC 2]])</f>
        <v>0</v>
      </c>
      <c r="Z1143" s="52">
        <f>IF(NOTA[[#This Row],[JUMLAH]]="","",NOTA[[#This Row],[DISC 1-]]+NOTA[[#This Row],[DISC 2-]])</f>
        <v>0</v>
      </c>
      <c r="AA1143" s="52">
        <f>IF(NOTA[[#This Row],[JUMLAH]]="","",NOTA[[#This Row],[JUMLAH]]-NOTA[[#This Row],[DISC]])</f>
        <v>2628000</v>
      </c>
      <c r="AB1143" s="52"/>
      <c r="AC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3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3" s="203">
        <f>IF(OR(NOTA[[#This Row],[QTY]]="",NOTA[[#This Row],[HARGA SATUAN]]="",),"",NOTA[[#This Row],[QTY]]*NOTA[[#This Row],[HARGA SATUAN]])</f>
        <v>2628000</v>
      </c>
      <c r="AG1143" s="53">
        <f ca="1">IF(NOTA[ID_H]="","",INDEX(NOTA[TANGGAL],MATCH(,INDIRECT(ADDRESS(ROW(NOTA[TANGGAL]),COLUMN(NOTA[TANGGAL]))&amp;":"&amp;ADDRESS(ROW(),COLUMN(NOTA[TANGGAL]))),-1)))</f>
        <v>45079</v>
      </c>
      <c r="AH1143" s="64" t="str">
        <f ca="1">IF(NOTA[[#This Row],[NAMA BARANG]]="","",INDEX(NOTA[SUPPLIER],MATCH(,INDIRECT(ADDRESS(ROW(NOTA[ID]),COLUMN(NOTA[ID]))&amp;":"&amp;ADDRESS(ROW(),COLUMN(NOTA[ID]))),-1)))</f>
        <v>99 JAYA UTAMA</v>
      </c>
      <c r="AI1143" s="64" t="str">
        <f ca="1">IF(NOTA[[#This Row],[ID_H]]="","",IF(NOTA[[#This Row],[FAKTUR]]="",INDIRECT(ADDRESS(ROW()-1,COLUMN())),NOTA[[#This Row],[FAKTUR]]))</f>
        <v>ARTO MORO</v>
      </c>
      <c r="AJ1143" s="66" t="str">
        <f ca="1">IF(NOTA[[#This Row],[ID]]="","",COUNTIF(NOTA[ID_H],NOTA[[#This Row],[ID_H]]))</f>
        <v/>
      </c>
      <c r="AK1143" s="66">
        <f ca="1">IF(NOTA[[#This Row],[TGL.NOTA]]="",IF(NOTA[[#This Row],[SUPPLIER_H]]="","",AK1142),MONTH(NOTA[[#This Row],[TGL.NOTA]]))</f>
        <v>5</v>
      </c>
      <c r="AL1143" s="6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M11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N11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O11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3" s="66" t="str">
        <f>IF(NOTA[[#This Row],[CONCAT4]]="","",_xlfn.IFNA(MATCH(NOTA[[#This Row],[CONCAT4]],[2]!RAW[CONCAT_H],0),FALSE))</f>
        <v/>
      </c>
      <c r="AQ1143" s="66">
        <f>IF(NOTA[[#This Row],[CONCAT1]]="","",MATCH(NOTA[[#This Row],[CONCAT1]],[3]!db[NB NOTA_C],0)+1)</f>
        <v>854</v>
      </c>
    </row>
    <row r="1144" spans="1:43" ht="20.100000000000001" customHeight="1" x14ac:dyDescent="0.25">
      <c r="A114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4" s="66" t="str">
        <f>IF(NOTA[[#This Row],[ID_P]]="","",MATCH(NOTA[[#This Row],[ID_P]],[1]!B_MSK[N_ID],0))</f>
        <v/>
      </c>
      <c r="D1144" s="66">
        <f ca="1">IF(NOTA[[#This Row],[NAMA BARANG]]="","",INDEX(NOTA[ID],MATCH(,INDIRECT(ADDRESS(ROW(NOTA[ID]),COLUMN(NOTA[ID]))&amp;":"&amp;ADDRESS(ROW(),COLUMN(NOTA[ID]))),-1)))</f>
        <v>190</v>
      </c>
      <c r="E1144" s="113"/>
      <c r="H1144" s="54"/>
      <c r="L1144" s="27" t="s">
        <v>955</v>
      </c>
      <c r="M1144" s="114">
        <v>1</v>
      </c>
      <c r="N1144" s="66">
        <v>144</v>
      </c>
      <c r="O1144" s="27" t="s">
        <v>125</v>
      </c>
      <c r="P1144" s="64">
        <v>18250</v>
      </c>
      <c r="Q1144" s="79"/>
      <c r="R1144" s="42" t="s">
        <v>171</v>
      </c>
      <c r="S1144" s="80"/>
      <c r="U1144" s="52"/>
      <c r="V1144" s="77"/>
      <c r="W1144" s="52">
        <f>IF(NOTA[[#This Row],[HARGA/ CTN]]="",NOTA[[#This Row],[JUMLAH_H]],NOTA[[#This Row],[HARGA/ CTN]]*IF(NOTA[[#This Row],[C]]="",0,NOTA[[#This Row],[C]]))</f>
        <v>2628000</v>
      </c>
      <c r="X1144" s="52">
        <f>IF(NOTA[[#This Row],[JUMLAH]]="","",NOTA[[#This Row],[JUMLAH]]*NOTA[[#This Row],[DISC 1]])</f>
        <v>0</v>
      </c>
      <c r="Y1144" s="52">
        <f>IF(NOTA[[#This Row],[JUMLAH]]="","",(NOTA[[#This Row],[JUMLAH]]-NOTA[[#This Row],[DISC 1-]])*NOTA[[#This Row],[DISC 2]])</f>
        <v>0</v>
      </c>
      <c r="Z1144" s="52">
        <f>IF(NOTA[[#This Row],[JUMLAH]]="","",NOTA[[#This Row],[DISC 1-]]+NOTA[[#This Row],[DISC 2-]])</f>
        <v>0</v>
      </c>
      <c r="AA1144" s="52">
        <f>IF(NOTA[[#This Row],[JUMLAH]]="","",NOTA[[#This Row],[JUMLAH]]-NOTA[[#This Row],[DISC]])</f>
        <v>2628000</v>
      </c>
      <c r="AB1144" s="52"/>
      <c r="AC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4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4" s="203">
        <f>IF(OR(NOTA[[#This Row],[QTY]]="",NOTA[[#This Row],[HARGA SATUAN]]="",),"",NOTA[[#This Row],[QTY]]*NOTA[[#This Row],[HARGA SATUAN]])</f>
        <v>2628000</v>
      </c>
      <c r="AG1144" s="53">
        <f ca="1">IF(NOTA[ID_H]="","",INDEX(NOTA[TANGGAL],MATCH(,INDIRECT(ADDRESS(ROW(NOTA[TANGGAL]),COLUMN(NOTA[TANGGAL]))&amp;":"&amp;ADDRESS(ROW(),COLUMN(NOTA[TANGGAL]))),-1)))</f>
        <v>45079</v>
      </c>
      <c r="AH1144" s="64" t="str">
        <f ca="1">IF(NOTA[[#This Row],[NAMA BARANG]]="","",INDEX(NOTA[SUPPLIER],MATCH(,INDIRECT(ADDRESS(ROW(NOTA[ID]),COLUMN(NOTA[ID]))&amp;":"&amp;ADDRESS(ROW(),COLUMN(NOTA[ID]))),-1)))</f>
        <v>99 JAYA UTAMA</v>
      </c>
      <c r="AI1144" s="64" t="str">
        <f ca="1">IF(NOTA[[#This Row],[ID_H]]="","",IF(NOTA[[#This Row],[FAKTUR]]="",INDIRECT(ADDRESS(ROW()-1,COLUMN())),NOTA[[#This Row],[FAKTUR]]))</f>
        <v>ARTO MORO</v>
      </c>
      <c r="AJ1144" s="66" t="str">
        <f ca="1">IF(NOTA[[#This Row],[ID]]="","",COUNTIF(NOTA[ID_H],NOTA[[#This Row],[ID_H]]))</f>
        <v/>
      </c>
      <c r="AK1144" s="66">
        <f ca="1">IF(NOTA[[#This Row],[TGL.NOTA]]="",IF(NOTA[[#This Row],[SUPPLIER_H]]="","",AK1143),MONTH(NOTA[[#This Row],[TGL.NOTA]]))</f>
        <v>5</v>
      </c>
      <c r="AL1144" s="6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M11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N11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O11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4" s="66" t="str">
        <f>IF(NOTA[[#This Row],[CONCAT4]]="","",_xlfn.IFNA(MATCH(NOTA[[#This Row],[CONCAT4]],[2]!RAW[CONCAT_H],0),FALSE))</f>
        <v/>
      </c>
      <c r="AQ1144" s="66">
        <f>IF(NOTA[[#This Row],[CONCAT1]]="","",MATCH(NOTA[[#This Row],[CONCAT1]],[3]!db[NB NOTA_C],0)+1)</f>
        <v>886</v>
      </c>
    </row>
    <row r="1145" spans="1:43" ht="20.100000000000001" customHeight="1" x14ac:dyDescent="0.25">
      <c r="A114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5" s="66" t="str">
        <f>IF(NOTA[[#This Row],[ID_P]]="","",MATCH(NOTA[[#This Row],[ID_P]],[1]!B_MSK[N_ID],0))</f>
        <v/>
      </c>
      <c r="D1145" s="66">
        <f ca="1">IF(NOTA[[#This Row],[NAMA BARANG]]="","",INDEX(NOTA[ID],MATCH(,INDIRECT(ADDRESS(ROW(NOTA[ID]),COLUMN(NOTA[ID]))&amp;":"&amp;ADDRESS(ROW(),COLUMN(NOTA[ID]))),-1)))</f>
        <v>190</v>
      </c>
      <c r="E1145" s="113"/>
      <c r="H1145" s="54"/>
      <c r="L1145" s="27" t="s">
        <v>957</v>
      </c>
      <c r="M1145" s="114">
        <v>2</v>
      </c>
      <c r="N1145" s="66">
        <v>288</v>
      </c>
      <c r="O1145" s="27" t="s">
        <v>125</v>
      </c>
      <c r="P1145" s="64">
        <v>18250</v>
      </c>
      <c r="Q1145" s="79"/>
      <c r="R1145" s="42" t="s">
        <v>171</v>
      </c>
      <c r="S1145" s="80"/>
      <c r="U1145" s="52"/>
      <c r="V1145" s="77"/>
      <c r="W1145" s="52">
        <f>IF(NOTA[[#This Row],[HARGA/ CTN]]="",NOTA[[#This Row],[JUMLAH_H]],NOTA[[#This Row],[HARGA/ CTN]]*IF(NOTA[[#This Row],[C]]="",0,NOTA[[#This Row],[C]]))</f>
        <v>5256000</v>
      </c>
      <c r="X1145" s="52">
        <f>IF(NOTA[[#This Row],[JUMLAH]]="","",NOTA[[#This Row],[JUMLAH]]*NOTA[[#This Row],[DISC 1]])</f>
        <v>0</v>
      </c>
      <c r="Y1145" s="52">
        <f>IF(NOTA[[#This Row],[JUMLAH]]="","",(NOTA[[#This Row],[JUMLAH]]-NOTA[[#This Row],[DISC 1-]])*NOTA[[#This Row],[DISC 2]])</f>
        <v>0</v>
      </c>
      <c r="Z1145" s="52">
        <f>IF(NOTA[[#This Row],[JUMLAH]]="","",NOTA[[#This Row],[DISC 1-]]+NOTA[[#This Row],[DISC 2-]])</f>
        <v>0</v>
      </c>
      <c r="AA1145" s="52">
        <f>IF(NOTA[[#This Row],[JUMLAH]]="","",NOTA[[#This Row],[JUMLAH]]-NOTA[[#This Row],[DISC]])</f>
        <v>5256000</v>
      </c>
      <c r="AB1145" s="52"/>
      <c r="AC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5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45" s="203">
        <f>IF(OR(NOTA[[#This Row],[QTY]]="",NOTA[[#This Row],[HARGA SATUAN]]="",),"",NOTA[[#This Row],[QTY]]*NOTA[[#This Row],[HARGA SATUAN]])</f>
        <v>5256000</v>
      </c>
      <c r="AG1145" s="53">
        <f ca="1">IF(NOTA[ID_H]="","",INDEX(NOTA[TANGGAL],MATCH(,INDIRECT(ADDRESS(ROW(NOTA[TANGGAL]),COLUMN(NOTA[TANGGAL]))&amp;":"&amp;ADDRESS(ROW(),COLUMN(NOTA[TANGGAL]))),-1)))</f>
        <v>45079</v>
      </c>
      <c r="AH1145" s="64" t="str">
        <f ca="1">IF(NOTA[[#This Row],[NAMA BARANG]]="","",INDEX(NOTA[SUPPLIER],MATCH(,INDIRECT(ADDRESS(ROW(NOTA[ID]),COLUMN(NOTA[ID]))&amp;":"&amp;ADDRESS(ROW(),COLUMN(NOTA[ID]))),-1)))</f>
        <v>99 JAYA UTAMA</v>
      </c>
      <c r="AI1145" s="64" t="str">
        <f ca="1">IF(NOTA[[#This Row],[ID_H]]="","",IF(NOTA[[#This Row],[FAKTUR]]="",INDIRECT(ADDRESS(ROW()-1,COLUMN())),NOTA[[#This Row],[FAKTUR]]))</f>
        <v>ARTO MORO</v>
      </c>
      <c r="AJ1145" s="66" t="str">
        <f ca="1">IF(NOTA[[#This Row],[ID]]="","",COUNTIF(NOTA[ID_H],NOTA[[#This Row],[ID_H]]))</f>
        <v/>
      </c>
      <c r="AK1145" s="66">
        <f ca="1">IF(NOTA[[#This Row],[TGL.NOTA]]="",IF(NOTA[[#This Row],[SUPPLIER_H]]="","",AK1144),MONTH(NOTA[[#This Row],[TGL.NOTA]]))</f>
        <v>5</v>
      </c>
      <c r="AL1145" s="6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M11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N11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O11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5" s="66" t="str">
        <f>IF(NOTA[[#This Row],[CONCAT4]]="","",_xlfn.IFNA(MATCH(NOTA[[#This Row],[CONCAT4]],[2]!RAW[CONCAT_H],0),FALSE))</f>
        <v/>
      </c>
      <c r="AQ1145" s="66">
        <f>IF(NOTA[[#This Row],[CONCAT1]]="","",MATCH(NOTA[[#This Row],[CONCAT1]],[3]!db[NB NOTA_C],0)+1)</f>
        <v>871</v>
      </c>
    </row>
    <row r="1146" spans="1:43" ht="20.100000000000001" customHeight="1" x14ac:dyDescent="0.25">
      <c r="A114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6" s="66" t="str">
        <f>IF(NOTA[[#This Row],[ID_P]]="","",MATCH(NOTA[[#This Row],[ID_P]],[1]!B_MSK[N_ID],0))</f>
        <v/>
      </c>
      <c r="D1146" s="66">
        <f ca="1">IF(NOTA[[#This Row],[NAMA BARANG]]="","",INDEX(NOTA[ID],MATCH(,INDIRECT(ADDRESS(ROW(NOTA[ID]),COLUMN(NOTA[ID]))&amp;":"&amp;ADDRESS(ROW(),COLUMN(NOTA[ID]))),-1)))</f>
        <v>190</v>
      </c>
      <c r="E1146" s="113"/>
      <c r="H1146" s="54"/>
      <c r="L1146" s="27" t="s">
        <v>208</v>
      </c>
      <c r="M1146" s="114">
        <v>1</v>
      </c>
      <c r="N1146" s="66">
        <v>144</v>
      </c>
      <c r="O1146" s="27" t="s">
        <v>125</v>
      </c>
      <c r="Q1146" s="79"/>
      <c r="R1146" s="42" t="s">
        <v>171</v>
      </c>
      <c r="S1146" s="80"/>
      <c r="U1146" s="52"/>
      <c r="V1146" s="77" t="s">
        <v>181</v>
      </c>
      <c r="W1146" s="52" t="str">
        <f>IF(NOTA[[#This Row],[HARGA/ CTN]]="",NOTA[[#This Row],[JUMLAH_H]],NOTA[[#This Row],[HARGA/ CTN]]*IF(NOTA[[#This Row],[C]]="",0,NOTA[[#This Row],[C]]))</f>
        <v/>
      </c>
      <c r="X1146" s="52" t="str">
        <f>IF(NOTA[[#This Row],[JUMLAH]]="","",NOTA[[#This Row],[JUMLAH]]*NOTA[[#This Row],[DISC 1]])</f>
        <v/>
      </c>
      <c r="Y1146" s="52" t="str">
        <f>IF(NOTA[[#This Row],[JUMLAH]]="","",(NOTA[[#This Row],[JUMLAH]]-NOTA[[#This Row],[DISC 1-]])*NOTA[[#This Row],[DISC 2]])</f>
        <v/>
      </c>
      <c r="Z1146" s="52" t="str">
        <f>IF(NOTA[[#This Row],[JUMLAH]]="","",NOTA[[#This Row],[DISC 1-]]+NOTA[[#This Row],[DISC 2-]])</f>
        <v/>
      </c>
      <c r="AA1146" s="52" t="str">
        <f>IF(NOTA[[#This Row],[JUMLAH]]="","",NOTA[[#This Row],[JUMLAH]]-NOTA[[#This Row],[DISC]])</f>
        <v/>
      </c>
      <c r="AB1146" s="52"/>
      <c r="AC11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4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21024000</v>
      </c>
      <c r="AE1146" s="64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46" s="203" t="str">
        <f>IF(OR(NOTA[[#This Row],[QTY]]="",NOTA[[#This Row],[HARGA SATUAN]]="",),"",NOTA[[#This Row],[QTY]]*NOTA[[#This Row],[HARGA SATUAN]])</f>
        <v/>
      </c>
      <c r="AG1146" s="53">
        <f ca="1">IF(NOTA[ID_H]="","",INDEX(NOTA[TANGGAL],MATCH(,INDIRECT(ADDRESS(ROW(NOTA[TANGGAL]),COLUMN(NOTA[TANGGAL]))&amp;":"&amp;ADDRESS(ROW(),COLUMN(NOTA[TANGGAL]))),-1)))</f>
        <v>45079</v>
      </c>
      <c r="AH1146" s="64" t="str">
        <f ca="1">IF(NOTA[[#This Row],[NAMA BARANG]]="","",INDEX(NOTA[SUPPLIER],MATCH(,INDIRECT(ADDRESS(ROW(NOTA[ID]),COLUMN(NOTA[ID]))&amp;":"&amp;ADDRESS(ROW(),COLUMN(NOTA[ID]))),-1)))</f>
        <v>99 JAYA UTAMA</v>
      </c>
      <c r="AI1146" s="64" t="str">
        <f ca="1">IF(NOTA[[#This Row],[ID_H]]="","",IF(NOTA[[#This Row],[FAKTUR]]="",INDIRECT(ADDRESS(ROW()-1,COLUMN())),NOTA[[#This Row],[FAKTUR]]))</f>
        <v>ARTO MORO</v>
      </c>
      <c r="AJ1146" s="66" t="str">
        <f ca="1">IF(NOTA[[#This Row],[ID]]="","",COUNTIF(NOTA[ID_H],NOTA[[#This Row],[ID_H]]))</f>
        <v/>
      </c>
      <c r="AK1146" s="66">
        <f ca="1">IF(NOTA[[#This Row],[TGL.NOTA]]="",IF(NOTA[[#This Row],[SUPPLIER_H]]="","",AK1145),MONTH(NOTA[[#This Row],[TGL.NOTA]]))</f>
        <v>5</v>
      </c>
      <c r="AL1146" s="66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M11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N11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O11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6" s="66" t="str">
        <f>IF(NOTA[[#This Row],[CONCAT4]]="","",_xlfn.IFNA(MATCH(NOTA[[#This Row],[CONCAT4]],[2]!RAW[CONCAT_H],0),FALSE))</f>
        <v/>
      </c>
      <c r="AQ1146" s="66">
        <f>IF(NOTA[[#This Row],[CONCAT1]]="","",MATCH(NOTA[[#This Row],[CONCAT1]],[3]!db[NB NOTA_C],0)+1)</f>
        <v>865</v>
      </c>
    </row>
    <row r="1147" spans="1:43" ht="20.100000000000001" customHeight="1" x14ac:dyDescent="0.25">
      <c r="A114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7" s="66" t="str">
        <f>IF(NOTA[[#This Row],[ID_P]]="","",MATCH(NOTA[[#This Row],[ID_P]],[1]!B_MSK[N_ID],0))</f>
        <v/>
      </c>
      <c r="D1147" s="66" t="str">
        <f ca="1">IF(NOTA[[#This Row],[NAMA BARANG]]="","",INDEX(NOTA[ID],MATCH(,INDIRECT(ADDRESS(ROW(NOTA[ID]),COLUMN(NOTA[ID]))&amp;":"&amp;ADDRESS(ROW(),COLUMN(NOTA[ID]))),-1)))</f>
        <v/>
      </c>
      <c r="E1147" s="113"/>
      <c r="H1147" s="54"/>
      <c r="N1147" s="66"/>
      <c r="Q1147" s="79"/>
      <c r="R1147" s="42"/>
      <c r="S1147" s="80"/>
      <c r="U1147" s="52"/>
      <c r="V1147" s="77"/>
      <c r="W1147" s="52" t="str">
        <f>IF(NOTA[[#This Row],[HARGA/ CTN]]="",NOTA[[#This Row],[JUMLAH_H]],NOTA[[#This Row],[HARGA/ CTN]]*IF(NOTA[[#This Row],[C]]="",0,NOTA[[#This Row],[C]]))</f>
        <v/>
      </c>
      <c r="X1147" s="52" t="str">
        <f>IF(NOTA[[#This Row],[JUMLAH]]="","",NOTA[[#This Row],[JUMLAH]]*NOTA[[#This Row],[DISC 1]])</f>
        <v/>
      </c>
      <c r="Y1147" s="52" t="str">
        <f>IF(NOTA[[#This Row],[JUMLAH]]="","",(NOTA[[#This Row],[JUMLAH]]-NOTA[[#This Row],[DISC 1-]])*NOTA[[#This Row],[DISC 2]])</f>
        <v/>
      </c>
      <c r="Z1147" s="52" t="str">
        <f>IF(NOTA[[#This Row],[JUMLAH]]="","",NOTA[[#This Row],[DISC 1-]]+NOTA[[#This Row],[DISC 2-]])</f>
        <v/>
      </c>
      <c r="AA1147" s="52" t="str">
        <f>IF(NOTA[[#This Row],[JUMLAH]]="","",NOTA[[#This Row],[JUMLAH]]-NOTA[[#This Row],[DISC]])</f>
        <v/>
      </c>
      <c r="AB1147" s="52"/>
      <c r="AC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7" s="203" t="str">
        <f>IF(OR(NOTA[[#This Row],[QTY]]="",NOTA[[#This Row],[HARGA SATUAN]]="",),"",NOTA[[#This Row],[QTY]]*NOTA[[#This Row],[HARGA SATUAN]])</f>
        <v/>
      </c>
      <c r="AG1147" s="53" t="str">
        <f ca="1">IF(NOTA[ID_H]="","",INDEX(NOTA[TANGGAL],MATCH(,INDIRECT(ADDRESS(ROW(NOTA[TANGGAL]),COLUMN(NOTA[TANGGAL]))&amp;":"&amp;ADDRESS(ROW(),COLUMN(NOTA[TANGGAL]))),-1)))</f>
        <v/>
      </c>
      <c r="AH1147" s="64" t="str">
        <f ca="1">IF(NOTA[[#This Row],[NAMA BARANG]]="","",INDEX(NOTA[SUPPLIER],MATCH(,INDIRECT(ADDRESS(ROW(NOTA[ID]),COLUMN(NOTA[ID]))&amp;":"&amp;ADDRESS(ROW(),COLUMN(NOTA[ID]))),-1)))</f>
        <v/>
      </c>
      <c r="AI1147" s="64" t="str">
        <f ca="1">IF(NOTA[[#This Row],[ID_H]]="","",IF(NOTA[[#This Row],[FAKTUR]]="",INDIRECT(ADDRESS(ROW()-1,COLUMN())),NOTA[[#This Row],[FAKTUR]]))</f>
        <v/>
      </c>
      <c r="AJ1147" s="66" t="str">
        <f ca="1">IF(NOTA[[#This Row],[ID]]="","",COUNTIF(NOTA[ID_H],NOTA[[#This Row],[ID_H]]))</f>
        <v/>
      </c>
      <c r="AK1147" s="66" t="str">
        <f ca="1">IF(NOTA[[#This Row],[TGL.NOTA]]="",IF(NOTA[[#This Row],[SUPPLIER_H]]="","",AK1146),MONTH(NOTA[[#This Row],[TGL.NOTA]]))</f>
        <v/>
      </c>
      <c r="AL1147" s="66" t="str">
        <f>LOWER(SUBSTITUTE(SUBSTITUTE(SUBSTITUTE(SUBSTITUTE(SUBSTITUTE(SUBSTITUTE(SUBSTITUTE(SUBSTITUTE(SUBSTITUTE(NOTA[NAMA BARANG]," ",),".",""),"-",""),"(",""),")",""),",",""),"/",""),"""",""),"+",""))</f>
        <v/>
      </c>
      <c r="AM11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7" s="66" t="str">
        <f>IF(NOTA[[#This Row],[CONCAT4]]="","",_xlfn.IFNA(MATCH(NOTA[[#This Row],[CONCAT4]],[2]!RAW[CONCAT_H],0),FALSE))</f>
        <v/>
      </c>
      <c r="AQ1147" s="66" t="str">
        <f>IF(NOTA[[#This Row],[CONCAT1]]="","",MATCH(NOTA[[#This Row],[CONCAT1]],[3]!db[NB NOTA_C],0)+1)</f>
        <v/>
      </c>
    </row>
    <row r="1148" spans="1:43" ht="20.100000000000001" customHeight="1" x14ac:dyDescent="0.25">
      <c r="A1148" s="64">
        <f ca="1">IF(INDIRECT(ADDRESS(ROW()-1,COLUMN(NOTA[[#Headers],[ID]])))="ID",1,IF(NOTA[[#This Row],[FAKTUR]]="","",COUNT(INDIRECT(ADDRESS(ROW(NOTA[ID]),COLUMN(NOTA[ID]))&amp;":"&amp;ADDRESS(ROW()-1,COLUMN(NOTA[ID]))))+1))</f>
        <v>191</v>
      </c>
      <c r="B11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99J_0206_523-9</v>
      </c>
      <c r="C1148" s="66" t="e">
        <f ca="1">IF(NOTA[[#This Row],[ID_P]]="","",MATCH(NOTA[[#This Row],[ID_P]],[1]!B_MSK[N_ID],0))</f>
        <v>#REF!</v>
      </c>
      <c r="D1148" s="66">
        <f ca="1">IF(NOTA[[#This Row],[NAMA BARANG]]="","",INDEX(NOTA[ID],MATCH(,INDIRECT(ADDRESS(ROW(NOTA[ID]),COLUMN(NOTA[ID]))&amp;":"&amp;ADDRESS(ROW(),COLUMN(NOTA[ID]))),-1)))</f>
        <v>191</v>
      </c>
      <c r="E1148" s="113"/>
      <c r="F1148" s="27" t="s">
        <v>26</v>
      </c>
      <c r="G1148" s="27" t="s">
        <v>24</v>
      </c>
      <c r="H1148" s="54" t="s">
        <v>1257</v>
      </c>
      <c r="J1148" s="53">
        <v>45077</v>
      </c>
      <c r="L1148" s="27" t="s">
        <v>1255</v>
      </c>
      <c r="M1148" s="114">
        <v>5</v>
      </c>
      <c r="N1148" s="66">
        <v>600</v>
      </c>
      <c r="O1148" s="27" t="s">
        <v>125</v>
      </c>
      <c r="P1148" s="64">
        <v>16750</v>
      </c>
      <c r="Q1148" s="79"/>
      <c r="R1148" s="42" t="s">
        <v>173</v>
      </c>
      <c r="S1148" s="80"/>
      <c r="U1148" s="52"/>
      <c r="V1148" s="77"/>
      <c r="W1148" s="52">
        <f>IF(NOTA[[#This Row],[HARGA/ CTN]]="",NOTA[[#This Row],[JUMLAH_H]],NOTA[[#This Row],[HARGA/ CTN]]*IF(NOTA[[#This Row],[C]]="",0,NOTA[[#This Row],[C]]))</f>
        <v>10050000</v>
      </c>
      <c r="X1148" s="52">
        <f>IF(NOTA[[#This Row],[JUMLAH]]="","",NOTA[[#This Row],[JUMLAH]]*NOTA[[#This Row],[DISC 1]])</f>
        <v>0</v>
      </c>
      <c r="Y1148" s="52">
        <f>IF(NOTA[[#This Row],[JUMLAH]]="","",(NOTA[[#This Row],[JUMLAH]]-NOTA[[#This Row],[DISC 1-]])*NOTA[[#This Row],[DISC 2]])</f>
        <v>0</v>
      </c>
      <c r="Z1148" s="52">
        <f>IF(NOTA[[#This Row],[JUMLAH]]="","",NOTA[[#This Row],[DISC 1-]]+NOTA[[#This Row],[DISC 2-]])</f>
        <v>0</v>
      </c>
      <c r="AA1148" s="52">
        <f>IF(NOTA[[#This Row],[JUMLAH]]="","",NOTA[[#This Row],[JUMLAH]]-NOTA[[#This Row],[DISC]])</f>
        <v>10050000</v>
      </c>
      <c r="AB1148" s="52"/>
      <c r="AC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8" s="64">
        <f>IF(NOTA[[#This Row],[NAMA BARANG]]="","",IF(NOTA[[#This Row],[JUMLAH_H]]="",NOTA[[#This Row],[HARGA/ CTN]],NOTA[[#This Row],[QTY]]*NOTA[[#This Row],[HARGA SATUAN]]/IF(ISNUMBER(NOTA[[#This Row],[C]]),NOTA[[#This Row],[C]],1)))</f>
        <v>2010000</v>
      </c>
      <c r="AF1148" s="203">
        <f>IF(OR(NOTA[[#This Row],[QTY]]="",NOTA[[#This Row],[HARGA SATUAN]]="",),"",NOTA[[#This Row],[QTY]]*NOTA[[#This Row],[HARGA SATUAN]])</f>
        <v>10050000</v>
      </c>
      <c r="AG1148" s="53">
        <f ca="1">IF(NOTA[ID_H]="","",INDEX(NOTA[TANGGAL],MATCH(,INDIRECT(ADDRESS(ROW(NOTA[TANGGAL]),COLUMN(NOTA[TANGGAL]))&amp;":"&amp;ADDRESS(ROW(),COLUMN(NOTA[TANGGAL]))),-1)))</f>
        <v>45079</v>
      </c>
      <c r="AH1148" s="64" t="str">
        <f ca="1">IF(NOTA[[#This Row],[NAMA BARANG]]="","",INDEX(NOTA[SUPPLIER],MATCH(,INDIRECT(ADDRESS(ROW(NOTA[ID]),COLUMN(NOTA[ID]))&amp;":"&amp;ADDRESS(ROW(),COLUMN(NOTA[ID]))),-1)))</f>
        <v>99 JAYA UTAMA</v>
      </c>
      <c r="AI1148" s="64" t="str">
        <f ca="1">IF(NOTA[[#This Row],[ID_H]]="","",IF(NOTA[[#This Row],[FAKTUR]]="",INDIRECT(ADDRESS(ROW()-1,COLUMN())),NOTA[[#This Row],[FAKTUR]]))</f>
        <v>ARTO MORO</v>
      </c>
      <c r="AJ1148" s="66">
        <f ca="1">IF(NOTA[[#This Row],[ID]]="","",COUNTIF(NOTA[ID_H],NOTA[[#This Row],[ID_H]]))</f>
        <v>9</v>
      </c>
      <c r="AK1148" s="66">
        <f>IF(NOTA[[#This Row],[TGL.NOTA]]="",IF(NOTA[[#This Row],[SUPPLIER_H]]="","",AK1147),MONTH(NOTA[[#This Row],[TGL.NOTA]]))</f>
        <v>5</v>
      </c>
      <c r="AL1148" s="66" t="str">
        <f>LOWER(SUBSTITUTE(SUBSTITUTE(SUBSTITUTE(SUBSTITUTE(SUBSTITUTE(SUBSTITUTE(SUBSTITUTE(SUBSTITUTE(SUBSTITUTE(NOTA[NAMA BARANG]," ",),".",""),"-",""),"(",""),")",""),",",""),"/",""),"""",""),"+",""))</f>
        <v>gelminicolorisig212c</v>
      </c>
      <c r="AM11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gelminicolorisig212c2010000</v>
      </c>
      <c r="AN11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gelminicolorisig212c2010000</v>
      </c>
      <c r="AO1148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MOROJUE825/2345077gelminicolorisig212c</v>
      </c>
      <c r="AP1148" s="66" t="e">
        <f>IF(NOTA[[#This Row],[CONCAT4]]="","",_xlfn.IFNA(MATCH(NOTA[[#This Row],[CONCAT4]],[2]!RAW[CONCAT_H],0),FALSE))</f>
        <v>#REF!</v>
      </c>
      <c r="AQ1148" s="66">
        <f>IF(NOTA[[#This Row],[CONCAT1]]="","",MATCH(NOTA[[#This Row],[CONCAT1]],[3]!db[NB NOTA_C],0)+1)</f>
        <v>795</v>
      </c>
    </row>
    <row r="1149" spans="1:43" ht="20.100000000000001" customHeight="1" x14ac:dyDescent="0.25">
      <c r="A114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9" s="66" t="str">
        <f>IF(NOTA[[#This Row],[ID_P]]="","",MATCH(NOTA[[#This Row],[ID_P]],[1]!B_MSK[N_ID],0))</f>
        <v/>
      </c>
      <c r="D1149" s="66">
        <f ca="1">IF(NOTA[[#This Row],[NAMA BARANG]]="","",INDEX(NOTA[ID],MATCH(,INDIRECT(ADDRESS(ROW(NOTA[ID]),COLUMN(NOTA[ID]))&amp;":"&amp;ADDRESS(ROW(),COLUMN(NOTA[ID]))),-1)))</f>
        <v>191</v>
      </c>
      <c r="E1149" s="113"/>
      <c r="H1149" s="54"/>
      <c r="L1149" s="27" t="s">
        <v>992</v>
      </c>
      <c r="M1149" s="114">
        <v>1</v>
      </c>
      <c r="N1149" s="66">
        <v>24</v>
      </c>
      <c r="O1149" s="27" t="s">
        <v>160</v>
      </c>
      <c r="P1149" s="64">
        <v>106000</v>
      </c>
      <c r="Q1149" s="79"/>
      <c r="R1149" s="42" t="s">
        <v>236</v>
      </c>
      <c r="S1149" s="80"/>
      <c r="U1149" s="52"/>
      <c r="V1149" s="77"/>
      <c r="W1149" s="52">
        <f>IF(NOTA[[#This Row],[HARGA/ CTN]]="",NOTA[[#This Row],[JUMLAH_H]],NOTA[[#This Row],[HARGA/ CTN]]*IF(NOTA[[#This Row],[C]]="",0,NOTA[[#This Row],[C]]))</f>
        <v>2544000</v>
      </c>
      <c r="X1149" s="52">
        <f>IF(NOTA[[#This Row],[JUMLAH]]="","",NOTA[[#This Row],[JUMLAH]]*NOTA[[#This Row],[DISC 1]])</f>
        <v>0</v>
      </c>
      <c r="Y1149" s="52">
        <f>IF(NOTA[[#This Row],[JUMLAH]]="","",(NOTA[[#This Row],[JUMLAH]]-NOTA[[#This Row],[DISC 1-]])*NOTA[[#This Row],[DISC 2]])</f>
        <v>0</v>
      </c>
      <c r="Z1149" s="52">
        <f>IF(NOTA[[#This Row],[JUMLAH]]="","",NOTA[[#This Row],[DISC 1-]]+NOTA[[#This Row],[DISC 2-]])</f>
        <v>0</v>
      </c>
      <c r="AA1149" s="52">
        <f>IF(NOTA[[#This Row],[JUMLAH]]="","",NOTA[[#This Row],[JUMLAH]]-NOTA[[#This Row],[DISC]])</f>
        <v>2544000</v>
      </c>
      <c r="AB1149" s="52"/>
      <c r="AC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9" s="64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49" s="203">
        <f>IF(OR(NOTA[[#This Row],[QTY]]="",NOTA[[#This Row],[HARGA SATUAN]]="",),"",NOTA[[#This Row],[QTY]]*NOTA[[#This Row],[HARGA SATUAN]])</f>
        <v>2544000</v>
      </c>
      <c r="AG1149" s="53">
        <f ca="1">IF(NOTA[ID_H]="","",INDEX(NOTA[TANGGAL],MATCH(,INDIRECT(ADDRESS(ROW(NOTA[TANGGAL]),COLUMN(NOTA[TANGGAL]))&amp;":"&amp;ADDRESS(ROW(),COLUMN(NOTA[TANGGAL]))),-1)))</f>
        <v>45079</v>
      </c>
      <c r="AH1149" s="64" t="str">
        <f ca="1">IF(NOTA[[#This Row],[NAMA BARANG]]="","",INDEX(NOTA[SUPPLIER],MATCH(,INDIRECT(ADDRESS(ROW(NOTA[ID]),COLUMN(NOTA[ID]))&amp;":"&amp;ADDRESS(ROW(),COLUMN(NOTA[ID]))),-1)))</f>
        <v>99 JAYA UTAMA</v>
      </c>
      <c r="AI1149" s="64" t="str">
        <f ca="1">IF(NOTA[[#This Row],[ID_H]]="","",IF(NOTA[[#This Row],[FAKTUR]]="",INDIRECT(ADDRESS(ROW()-1,COLUMN())),NOTA[[#This Row],[FAKTUR]]))</f>
        <v>ARTO MORO</v>
      </c>
      <c r="AJ1149" s="66" t="str">
        <f ca="1">IF(NOTA[[#This Row],[ID]]="","",COUNTIF(NOTA[ID_H],NOTA[[#This Row],[ID_H]]))</f>
        <v/>
      </c>
      <c r="AK1149" s="66">
        <f ca="1">IF(NOTA[[#This Row],[TGL.NOTA]]="",IF(NOTA[[#This Row],[SUPPLIER_H]]="","",AK1148),MONTH(NOTA[[#This Row],[TGL.NOTA]]))</f>
        <v>5</v>
      </c>
      <c r="AL1149" s="6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M11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N11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O11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9" s="66" t="str">
        <f>IF(NOTA[[#This Row],[CONCAT4]]="","",_xlfn.IFNA(MATCH(NOTA[[#This Row],[CONCAT4]],[2]!RAW[CONCAT_H],0),FALSE))</f>
        <v/>
      </c>
      <c r="AQ1149" s="66">
        <f>IF(NOTA[[#This Row],[CONCAT1]]="","",MATCH(NOTA[[#This Row],[CONCAT1]],[3]!db[NB NOTA_C],0)+1)</f>
        <v>2167</v>
      </c>
    </row>
    <row r="1150" spans="1:43" ht="20.100000000000001" customHeight="1" x14ac:dyDescent="0.25">
      <c r="A115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0" s="66" t="str">
        <f>IF(NOTA[[#This Row],[ID_P]]="","",MATCH(NOTA[[#This Row],[ID_P]],[1]!B_MSK[N_ID],0))</f>
        <v/>
      </c>
      <c r="D1150" s="66">
        <f ca="1">IF(NOTA[[#This Row],[NAMA BARANG]]="","",INDEX(NOTA[ID],MATCH(,INDIRECT(ADDRESS(ROW(NOTA[ID]),COLUMN(NOTA[ID]))&amp;":"&amp;ADDRESS(ROW(),COLUMN(NOTA[ID]))),-1)))</f>
        <v>191</v>
      </c>
      <c r="E1150" s="113"/>
      <c r="H1150" s="54"/>
      <c r="L1150" s="27" t="s">
        <v>206</v>
      </c>
      <c r="M1150" s="114">
        <v>1</v>
      </c>
      <c r="N1150" s="66">
        <v>144</v>
      </c>
      <c r="O1150" s="27" t="s">
        <v>125</v>
      </c>
      <c r="P1150" s="64">
        <v>18250</v>
      </c>
      <c r="Q1150" s="79"/>
      <c r="R1150" s="42" t="s">
        <v>171</v>
      </c>
      <c r="S1150" s="80"/>
      <c r="U1150" s="52"/>
      <c r="V1150" s="77"/>
      <c r="W1150" s="52">
        <f>IF(NOTA[[#This Row],[HARGA/ CTN]]="",NOTA[[#This Row],[JUMLAH_H]],NOTA[[#This Row],[HARGA/ CTN]]*IF(NOTA[[#This Row],[C]]="",0,NOTA[[#This Row],[C]]))</f>
        <v>2628000</v>
      </c>
      <c r="X1150" s="52">
        <f>IF(NOTA[[#This Row],[JUMLAH]]="","",NOTA[[#This Row],[JUMLAH]]*NOTA[[#This Row],[DISC 1]])</f>
        <v>0</v>
      </c>
      <c r="Y1150" s="52">
        <f>IF(NOTA[[#This Row],[JUMLAH]]="","",(NOTA[[#This Row],[JUMLAH]]-NOTA[[#This Row],[DISC 1-]])*NOTA[[#This Row],[DISC 2]])</f>
        <v>0</v>
      </c>
      <c r="Z1150" s="52">
        <f>IF(NOTA[[#This Row],[JUMLAH]]="","",NOTA[[#This Row],[DISC 1-]]+NOTA[[#This Row],[DISC 2-]])</f>
        <v>0</v>
      </c>
      <c r="AA1150" s="52">
        <f>IF(NOTA[[#This Row],[JUMLAH]]="","",NOTA[[#This Row],[JUMLAH]]-NOTA[[#This Row],[DISC]])</f>
        <v>2628000</v>
      </c>
      <c r="AB1150" s="52"/>
      <c r="AC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0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0" s="203">
        <f>IF(OR(NOTA[[#This Row],[QTY]]="",NOTA[[#This Row],[HARGA SATUAN]]="",),"",NOTA[[#This Row],[QTY]]*NOTA[[#This Row],[HARGA SATUAN]])</f>
        <v>2628000</v>
      </c>
      <c r="AG1150" s="53">
        <f ca="1">IF(NOTA[ID_H]="","",INDEX(NOTA[TANGGAL],MATCH(,INDIRECT(ADDRESS(ROW(NOTA[TANGGAL]),COLUMN(NOTA[TANGGAL]))&amp;":"&amp;ADDRESS(ROW(),COLUMN(NOTA[TANGGAL]))),-1)))</f>
        <v>45079</v>
      </c>
      <c r="AH1150" s="64" t="str">
        <f ca="1">IF(NOTA[[#This Row],[NAMA BARANG]]="","",INDEX(NOTA[SUPPLIER],MATCH(,INDIRECT(ADDRESS(ROW(NOTA[ID]),COLUMN(NOTA[ID]))&amp;":"&amp;ADDRESS(ROW(),COLUMN(NOTA[ID]))),-1)))</f>
        <v>99 JAYA UTAMA</v>
      </c>
      <c r="AI1150" s="64" t="str">
        <f ca="1">IF(NOTA[[#This Row],[ID_H]]="","",IF(NOTA[[#This Row],[FAKTUR]]="",INDIRECT(ADDRESS(ROW()-1,COLUMN())),NOTA[[#This Row],[FAKTUR]]))</f>
        <v>ARTO MORO</v>
      </c>
      <c r="AJ1150" s="66" t="str">
        <f ca="1">IF(NOTA[[#This Row],[ID]]="","",COUNTIF(NOTA[ID_H],NOTA[[#This Row],[ID_H]]))</f>
        <v/>
      </c>
      <c r="AK1150" s="66">
        <f ca="1">IF(NOTA[[#This Row],[TGL.NOTA]]="",IF(NOTA[[#This Row],[SUPPLIER_H]]="","",AK1149),MONTH(NOTA[[#This Row],[TGL.NOTA]]))</f>
        <v>5</v>
      </c>
      <c r="AL1150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0" s="66" t="str">
        <f>IF(NOTA[[#This Row],[CONCAT4]]="","",_xlfn.IFNA(MATCH(NOTA[[#This Row],[CONCAT4]],[2]!RAW[CONCAT_H],0),FALSE))</f>
        <v/>
      </c>
      <c r="AQ1150" s="66">
        <f>IF(NOTA[[#This Row],[CONCAT1]]="","",MATCH(NOTA[[#This Row],[CONCAT1]],[3]!db[NB NOTA_C],0)+1)</f>
        <v>904</v>
      </c>
    </row>
    <row r="1151" spans="1:43" ht="20.100000000000001" customHeight="1" x14ac:dyDescent="0.25">
      <c r="A115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1" s="66" t="str">
        <f>IF(NOTA[[#This Row],[ID_P]]="","",MATCH(NOTA[[#This Row],[ID_P]],[1]!B_MSK[N_ID],0))</f>
        <v/>
      </c>
      <c r="D1151" s="66">
        <f ca="1">IF(NOTA[[#This Row],[NAMA BARANG]]="","",INDEX(NOTA[ID],MATCH(,INDIRECT(ADDRESS(ROW(NOTA[ID]),COLUMN(NOTA[ID]))&amp;":"&amp;ADDRESS(ROW(),COLUMN(NOTA[ID]))),-1)))</f>
        <v>191</v>
      </c>
      <c r="E1151" s="113"/>
      <c r="H1151" s="54"/>
      <c r="L1151" s="27" t="s">
        <v>206</v>
      </c>
      <c r="M1151" s="114">
        <v>1</v>
      </c>
      <c r="N1151" s="66">
        <v>144</v>
      </c>
      <c r="O1151" s="27" t="s">
        <v>125</v>
      </c>
      <c r="P1151" s="64">
        <v>18250</v>
      </c>
      <c r="Q1151" s="79"/>
      <c r="R1151" s="42" t="s">
        <v>171</v>
      </c>
      <c r="S1151" s="80"/>
      <c r="U1151" s="52"/>
      <c r="V1151" s="77"/>
      <c r="W1151" s="52">
        <f>IF(NOTA[[#This Row],[HARGA/ CTN]]="",NOTA[[#This Row],[JUMLAH_H]],NOTA[[#This Row],[HARGA/ CTN]]*IF(NOTA[[#This Row],[C]]="",0,NOTA[[#This Row],[C]]))</f>
        <v>2628000</v>
      </c>
      <c r="X1151" s="52">
        <f>IF(NOTA[[#This Row],[JUMLAH]]="","",NOTA[[#This Row],[JUMLAH]]*NOTA[[#This Row],[DISC 1]])</f>
        <v>0</v>
      </c>
      <c r="Y1151" s="52">
        <f>IF(NOTA[[#This Row],[JUMLAH]]="","",(NOTA[[#This Row],[JUMLAH]]-NOTA[[#This Row],[DISC 1-]])*NOTA[[#This Row],[DISC 2]])</f>
        <v>0</v>
      </c>
      <c r="Z1151" s="52">
        <f>IF(NOTA[[#This Row],[JUMLAH]]="","",NOTA[[#This Row],[DISC 1-]]+NOTA[[#This Row],[DISC 2-]])</f>
        <v>0</v>
      </c>
      <c r="AA1151" s="52">
        <f>IF(NOTA[[#This Row],[JUMLAH]]="","",NOTA[[#This Row],[JUMLAH]]-NOTA[[#This Row],[DISC]])</f>
        <v>2628000</v>
      </c>
      <c r="AB1151" s="52"/>
      <c r="AC11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1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1" s="203">
        <f>IF(OR(NOTA[[#This Row],[QTY]]="",NOTA[[#This Row],[HARGA SATUAN]]="",),"",NOTA[[#This Row],[QTY]]*NOTA[[#This Row],[HARGA SATUAN]])</f>
        <v>2628000</v>
      </c>
      <c r="AG1151" s="53">
        <f ca="1">IF(NOTA[ID_H]="","",INDEX(NOTA[TANGGAL],MATCH(,INDIRECT(ADDRESS(ROW(NOTA[TANGGAL]),COLUMN(NOTA[TANGGAL]))&amp;":"&amp;ADDRESS(ROW(),COLUMN(NOTA[TANGGAL]))),-1)))</f>
        <v>45079</v>
      </c>
      <c r="AH1151" s="64" t="str">
        <f ca="1">IF(NOTA[[#This Row],[NAMA BARANG]]="","",INDEX(NOTA[SUPPLIER],MATCH(,INDIRECT(ADDRESS(ROW(NOTA[ID]),COLUMN(NOTA[ID]))&amp;":"&amp;ADDRESS(ROW(),COLUMN(NOTA[ID]))),-1)))</f>
        <v>99 JAYA UTAMA</v>
      </c>
      <c r="AI1151" s="64" t="str">
        <f ca="1">IF(NOTA[[#This Row],[ID_H]]="","",IF(NOTA[[#This Row],[FAKTUR]]="",INDIRECT(ADDRESS(ROW()-1,COLUMN())),NOTA[[#This Row],[FAKTUR]]))</f>
        <v>ARTO MORO</v>
      </c>
      <c r="AJ1151" s="66" t="str">
        <f ca="1">IF(NOTA[[#This Row],[ID]]="","",COUNTIF(NOTA[ID_H],NOTA[[#This Row],[ID_H]]))</f>
        <v/>
      </c>
      <c r="AK1151" s="66">
        <f ca="1">IF(NOTA[[#This Row],[TGL.NOTA]]="",IF(NOTA[[#This Row],[SUPPLIER_H]]="","",AK1150),MONTH(NOTA[[#This Row],[TGL.NOTA]]))</f>
        <v>5</v>
      </c>
      <c r="AL1151" s="6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M11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N11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O11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1" s="66" t="str">
        <f>IF(NOTA[[#This Row],[CONCAT4]]="","",_xlfn.IFNA(MATCH(NOTA[[#This Row],[CONCAT4]],[2]!RAW[CONCAT_H],0),FALSE))</f>
        <v/>
      </c>
      <c r="AQ1151" s="66">
        <f>IF(NOTA[[#This Row],[CONCAT1]]="","",MATCH(NOTA[[#This Row],[CONCAT1]],[3]!db[NB NOTA_C],0)+1)</f>
        <v>904</v>
      </c>
    </row>
    <row r="1152" spans="1:43" ht="20.100000000000001" customHeight="1" x14ac:dyDescent="0.25">
      <c r="A115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2" s="66" t="str">
        <f>IF(NOTA[[#This Row],[ID_P]]="","",MATCH(NOTA[[#This Row],[ID_P]],[1]!B_MSK[N_ID],0))</f>
        <v/>
      </c>
      <c r="D1152" s="66">
        <f ca="1">IF(NOTA[[#This Row],[NAMA BARANG]]="","",INDEX(NOTA[ID],MATCH(,INDIRECT(ADDRESS(ROW(NOTA[ID]),COLUMN(NOTA[ID]))&amp;":"&amp;ADDRESS(ROW(),COLUMN(NOTA[ID]))),-1)))</f>
        <v>191</v>
      </c>
      <c r="E1152" s="113"/>
      <c r="H1152" s="54"/>
      <c r="L1152" s="27" t="s">
        <v>211</v>
      </c>
      <c r="M1152" s="114">
        <v>1</v>
      </c>
      <c r="N1152" s="66">
        <v>144</v>
      </c>
      <c r="O1152" s="27" t="s">
        <v>125</v>
      </c>
      <c r="P1152" s="64">
        <v>18250</v>
      </c>
      <c r="Q1152" s="79"/>
      <c r="R1152" s="42" t="s">
        <v>171</v>
      </c>
      <c r="S1152" s="80"/>
      <c r="U1152" s="52"/>
      <c r="V1152" s="77"/>
      <c r="W1152" s="52">
        <f>IF(NOTA[[#This Row],[HARGA/ CTN]]="",NOTA[[#This Row],[JUMLAH_H]],NOTA[[#This Row],[HARGA/ CTN]]*IF(NOTA[[#This Row],[C]]="",0,NOTA[[#This Row],[C]]))</f>
        <v>2628000</v>
      </c>
      <c r="X1152" s="52">
        <f>IF(NOTA[[#This Row],[JUMLAH]]="","",NOTA[[#This Row],[JUMLAH]]*NOTA[[#This Row],[DISC 1]])</f>
        <v>0</v>
      </c>
      <c r="Y1152" s="52">
        <f>IF(NOTA[[#This Row],[JUMLAH]]="","",(NOTA[[#This Row],[JUMLAH]]-NOTA[[#This Row],[DISC 1-]])*NOTA[[#This Row],[DISC 2]])</f>
        <v>0</v>
      </c>
      <c r="Z1152" s="52">
        <f>IF(NOTA[[#This Row],[JUMLAH]]="","",NOTA[[#This Row],[DISC 1-]]+NOTA[[#This Row],[DISC 2-]])</f>
        <v>0</v>
      </c>
      <c r="AA1152" s="52">
        <f>IF(NOTA[[#This Row],[JUMLAH]]="","",NOTA[[#This Row],[JUMLAH]]-NOTA[[#This Row],[DISC]])</f>
        <v>2628000</v>
      </c>
      <c r="AB1152" s="52"/>
      <c r="AC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2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2" s="203">
        <f>IF(OR(NOTA[[#This Row],[QTY]]="",NOTA[[#This Row],[HARGA SATUAN]]="",),"",NOTA[[#This Row],[QTY]]*NOTA[[#This Row],[HARGA SATUAN]])</f>
        <v>2628000</v>
      </c>
      <c r="AG1152" s="53">
        <f ca="1">IF(NOTA[ID_H]="","",INDEX(NOTA[TANGGAL],MATCH(,INDIRECT(ADDRESS(ROW(NOTA[TANGGAL]),COLUMN(NOTA[TANGGAL]))&amp;":"&amp;ADDRESS(ROW(),COLUMN(NOTA[TANGGAL]))),-1)))</f>
        <v>45079</v>
      </c>
      <c r="AH1152" s="64" t="str">
        <f ca="1">IF(NOTA[[#This Row],[NAMA BARANG]]="","",INDEX(NOTA[SUPPLIER],MATCH(,INDIRECT(ADDRESS(ROW(NOTA[ID]),COLUMN(NOTA[ID]))&amp;":"&amp;ADDRESS(ROW(),COLUMN(NOTA[ID]))),-1)))</f>
        <v>99 JAYA UTAMA</v>
      </c>
      <c r="AI1152" s="64" t="str">
        <f ca="1">IF(NOTA[[#This Row],[ID_H]]="","",IF(NOTA[[#This Row],[FAKTUR]]="",INDIRECT(ADDRESS(ROW()-1,COLUMN())),NOTA[[#This Row],[FAKTUR]]))</f>
        <v>ARTO MORO</v>
      </c>
      <c r="AJ1152" s="66" t="str">
        <f ca="1">IF(NOTA[[#This Row],[ID]]="","",COUNTIF(NOTA[ID_H],NOTA[[#This Row],[ID_H]]))</f>
        <v/>
      </c>
      <c r="AK1152" s="66">
        <f ca="1">IF(NOTA[[#This Row],[TGL.NOTA]]="",IF(NOTA[[#This Row],[SUPPLIER_H]]="","",AK1151),MONTH(NOTA[[#This Row],[TGL.NOTA]]))</f>
        <v>5</v>
      </c>
      <c r="AL1152" s="6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M11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N11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O11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2" s="66" t="str">
        <f>IF(NOTA[[#This Row],[CONCAT4]]="","",_xlfn.IFNA(MATCH(NOTA[[#This Row],[CONCAT4]],[2]!RAW[CONCAT_H],0),FALSE))</f>
        <v/>
      </c>
      <c r="AQ1152" s="66">
        <f>IF(NOTA[[#This Row],[CONCAT1]]="","",MATCH(NOTA[[#This Row],[CONCAT1]],[3]!db[NB NOTA_C],0)+1)</f>
        <v>874</v>
      </c>
    </row>
    <row r="1153" spans="1:43" ht="20.100000000000001" customHeight="1" x14ac:dyDescent="0.25">
      <c r="A115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3" s="66" t="str">
        <f>IF(NOTA[[#This Row],[ID_P]]="","",MATCH(NOTA[[#This Row],[ID_P]],[1]!B_MSK[N_ID],0))</f>
        <v/>
      </c>
      <c r="D1153" s="66">
        <f ca="1">IF(NOTA[[#This Row],[NAMA BARANG]]="","",INDEX(NOTA[ID],MATCH(,INDIRECT(ADDRESS(ROW(NOTA[ID]),COLUMN(NOTA[ID]))&amp;":"&amp;ADDRESS(ROW(),COLUMN(NOTA[ID]))),-1)))</f>
        <v>191</v>
      </c>
      <c r="E1153" s="113"/>
      <c r="H1153" s="54"/>
      <c r="L1153" s="27" t="s">
        <v>212</v>
      </c>
      <c r="M1153" s="114">
        <v>1</v>
      </c>
      <c r="N1153" s="66">
        <v>144</v>
      </c>
      <c r="O1153" s="27" t="s">
        <v>125</v>
      </c>
      <c r="P1153" s="64">
        <v>18250</v>
      </c>
      <c r="Q1153" s="79"/>
      <c r="R1153" s="42" t="s">
        <v>171</v>
      </c>
      <c r="S1153" s="80"/>
      <c r="U1153" s="52"/>
      <c r="V1153" s="77"/>
      <c r="W1153" s="52">
        <f>IF(NOTA[[#This Row],[HARGA/ CTN]]="",NOTA[[#This Row],[JUMLAH_H]],NOTA[[#This Row],[HARGA/ CTN]]*IF(NOTA[[#This Row],[C]]="",0,NOTA[[#This Row],[C]]))</f>
        <v>2628000</v>
      </c>
      <c r="X1153" s="52">
        <f>IF(NOTA[[#This Row],[JUMLAH]]="","",NOTA[[#This Row],[JUMLAH]]*NOTA[[#This Row],[DISC 1]])</f>
        <v>0</v>
      </c>
      <c r="Y1153" s="52">
        <f>IF(NOTA[[#This Row],[JUMLAH]]="","",(NOTA[[#This Row],[JUMLAH]]-NOTA[[#This Row],[DISC 1-]])*NOTA[[#This Row],[DISC 2]])</f>
        <v>0</v>
      </c>
      <c r="Z1153" s="52">
        <f>IF(NOTA[[#This Row],[JUMLAH]]="","",NOTA[[#This Row],[DISC 1-]]+NOTA[[#This Row],[DISC 2-]])</f>
        <v>0</v>
      </c>
      <c r="AA1153" s="52">
        <f>IF(NOTA[[#This Row],[JUMLAH]]="","",NOTA[[#This Row],[JUMLAH]]-NOTA[[#This Row],[DISC]])</f>
        <v>2628000</v>
      </c>
      <c r="AB1153" s="52"/>
      <c r="AC11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3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3" s="203">
        <f>IF(OR(NOTA[[#This Row],[QTY]]="",NOTA[[#This Row],[HARGA SATUAN]]="",),"",NOTA[[#This Row],[QTY]]*NOTA[[#This Row],[HARGA SATUAN]])</f>
        <v>2628000</v>
      </c>
      <c r="AG1153" s="53">
        <f ca="1">IF(NOTA[ID_H]="","",INDEX(NOTA[TANGGAL],MATCH(,INDIRECT(ADDRESS(ROW(NOTA[TANGGAL]),COLUMN(NOTA[TANGGAL]))&amp;":"&amp;ADDRESS(ROW(),COLUMN(NOTA[TANGGAL]))),-1)))</f>
        <v>45079</v>
      </c>
      <c r="AH1153" s="64" t="str">
        <f ca="1">IF(NOTA[[#This Row],[NAMA BARANG]]="","",INDEX(NOTA[SUPPLIER],MATCH(,INDIRECT(ADDRESS(ROW(NOTA[ID]),COLUMN(NOTA[ID]))&amp;":"&amp;ADDRESS(ROW(),COLUMN(NOTA[ID]))),-1)))</f>
        <v>99 JAYA UTAMA</v>
      </c>
      <c r="AI1153" s="64" t="str">
        <f ca="1">IF(NOTA[[#This Row],[ID_H]]="","",IF(NOTA[[#This Row],[FAKTUR]]="",INDIRECT(ADDRESS(ROW()-1,COLUMN())),NOTA[[#This Row],[FAKTUR]]))</f>
        <v>ARTO MORO</v>
      </c>
      <c r="AJ1153" s="66" t="str">
        <f ca="1">IF(NOTA[[#This Row],[ID]]="","",COUNTIF(NOTA[ID_H],NOTA[[#This Row],[ID_H]]))</f>
        <v/>
      </c>
      <c r="AK1153" s="66">
        <f ca="1">IF(NOTA[[#This Row],[TGL.NOTA]]="",IF(NOTA[[#This Row],[SUPPLIER_H]]="","",AK1152),MONTH(NOTA[[#This Row],[TGL.NOTA]]))</f>
        <v>5</v>
      </c>
      <c r="AL1153" s="6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M11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N11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O11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3" s="66" t="str">
        <f>IF(NOTA[[#This Row],[CONCAT4]]="","",_xlfn.IFNA(MATCH(NOTA[[#This Row],[CONCAT4]],[2]!RAW[CONCAT_H],0),FALSE))</f>
        <v/>
      </c>
      <c r="AQ1153" s="66">
        <f>IF(NOTA[[#This Row],[CONCAT1]]="","",MATCH(NOTA[[#This Row],[CONCAT1]],[3]!db[NB NOTA_C],0)+1)</f>
        <v>858</v>
      </c>
    </row>
    <row r="1154" spans="1:43" ht="20.100000000000001" customHeight="1" x14ac:dyDescent="0.25">
      <c r="A115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4" s="66" t="str">
        <f>IF(NOTA[[#This Row],[ID_P]]="","",MATCH(NOTA[[#This Row],[ID_P]],[1]!B_MSK[N_ID],0))</f>
        <v/>
      </c>
      <c r="D1154" s="66">
        <f ca="1">IF(NOTA[[#This Row],[NAMA BARANG]]="","",INDEX(NOTA[ID],MATCH(,INDIRECT(ADDRESS(ROW(NOTA[ID]),COLUMN(NOTA[ID]))&amp;":"&amp;ADDRESS(ROW(),COLUMN(NOTA[ID]))),-1)))</f>
        <v>191</v>
      </c>
      <c r="E1154" s="113"/>
      <c r="H1154" s="54"/>
      <c r="L1154" s="27" t="s">
        <v>956</v>
      </c>
      <c r="M1154" s="114">
        <v>1</v>
      </c>
      <c r="N1154" s="66">
        <v>144</v>
      </c>
      <c r="O1154" s="27" t="s">
        <v>125</v>
      </c>
      <c r="P1154" s="64">
        <v>18250</v>
      </c>
      <c r="Q1154" s="79"/>
      <c r="R1154" s="42" t="s">
        <v>171</v>
      </c>
      <c r="S1154" s="80"/>
      <c r="U1154" s="52"/>
      <c r="V1154" s="77"/>
      <c r="W1154" s="52">
        <f>IF(NOTA[[#This Row],[HARGA/ CTN]]="",NOTA[[#This Row],[JUMLAH_H]],NOTA[[#This Row],[HARGA/ CTN]]*IF(NOTA[[#This Row],[C]]="",0,NOTA[[#This Row],[C]]))</f>
        <v>2628000</v>
      </c>
      <c r="X1154" s="52">
        <f>IF(NOTA[[#This Row],[JUMLAH]]="","",NOTA[[#This Row],[JUMLAH]]*NOTA[[#This Row],[DISC 1]])</f>
        <v>0</v>
      </c>
      <c r="Y1154" s="52">
        <f>IF(NOTA[[#This Row],[JUMLAH]]="","",(NOTA[[#This Row],[JUMLAH]]-NOTA[[#This Row],[DISC 1-]])*NOTA[[#This Row],[DISC 2]])</f>
        <v>0</v>
      </c>
      <c r="Z1154" s="52">
        <f>IF(NOTA[[#This Row],[JUMLAH]]="","",NOTA[[#This Row],[DISC 1-]]+NOTA[[#This Row],[DISC 2-]])</f>
        <v>0</v>
      </c>
      <c r="AA1154" s="52">
        <f>IF(NOTA[[#This Row],[JUMLAH]]="","",NOTA[[#This Row],[JUMLAH]]-NOTA[[#This Row],[DISC]])</f>
        <v>2628000</v>
      </c>
      <c r="AB1154" s="52"/>
      <c r="AC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4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4" s="203">
        <f>IF(OR(NOTA[[#This Row],[QTY]]="",NOTA[[#This Row],[HARGA SATUAN]]="",),"",NOTA[[#This Row],[QTY]]*NOTA[[#This Row],[HARGA SATUAN]])</f>
        <v>2628000</v>
      </c>
      <c r="AG1154" s="53">
        <f ca="1">IF(NOTA[ID_H]="","",INDEX(NOTA[TANGGAL],MATCH(,INDIRECT(ADDRESS(ROW(NOTA[TANGGAL]),COLUMN(NOTA[TANGGAL]))&amp;":"&amp;ADDRESS(ROW(),COLUMN(NOTA[TANGGAL]))),-1)))</f>
        <v>45079</v>
      </c>
      <c r="AH1154" s="64" t="str">
        <f ca="1">IF(NOTA[[#This Row],[NAMA BARANG]]="","",INDEX(NOTA[SUPPLIER],MATCH(,INDIRECT(ADDRESS(ROW(NOTA[ID]),COLUMN(NOTA[ID]))&amp;":"&amp;ADDRESS(ROW(),COLUMN(NOTA[ID]))),-1)))</f>
        <v>99 JAYA UTAMA</v>
      </c>
      <c r="AI1154" s="64" t="str">
        <f ca="1">IF(NOTA[[#This Row],[ID_H]]="","",IF(NOTA[[#This Row],[FAKTUR]]="",INDIRECT(ADDRESS(ROW()-1,COLUMN())),NOTA[[#This Row],[FAKTUR]]))</f>
        <v>ARTO MORO</v>
      </c>
      <c r="AJ1154" s="66" t="str">
        <f ca="1">IF(NOTA[[#This Row],[ID]]="","",COUNTIF(NOTA[ID_H],NOTA[[#This Row],[ID_H]]))</f>
        <v/>
      </c>
      <c r="AK1154" s="66">
        <f ca="1">IF(NOTA[[#This Row],[TGL.NOTA]]="",IF(NOTA[[#This Row],[SUPPLIER_H]]="","",AK1153),MONTH(NOTA[[#This Row],[TGL.NOTA]]))</f>
        <v>5</v>
      </c>
      <c r="AL1154" s="66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M11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N11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O11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4" s="66" t="str">
        <f>IF(NOTA[[#This Row],[CONCAT4]]="","",_xlfn.IFNA(MATCH(NOTA[[#This Row],[CONCAT4]],[2]!RAW[CONCAT_H],0),FALSE))</f>
        <v/>
      </c>
      <c r="AQ1154" s="66">
        <f>IF(NOTA[[#This Row],[CONCAT1]]="","",MATCH(NOTA[[#This Row],[CONCAT1]],[3]!db[NB NOTA_C],0)+1)</f>
        <v>878</v>
      </c>
    </row>
    <row r="1155" spans="1:43" ht="20.100000000000001" customHeight="1" x14ac:dyDescent="0.25">
      <c r="A115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5" s="66" t="str">
        <f>IF(NOTA[[#This Row],[ID_P]]="","",MATCH(NOTA[[#This Row],[ID_P]],[1]!B_MSK[N_ID],0))</f>
        <v/>
      </c>
      <c r="D1155" s="66">
        <f ca="1">IF(NOTA[[#This Row],[NAMA BARANG]]="","",INDEX(NOTA[ID],MATCH(,INDIRECT(ADDRESS(ROW(NOTA[ID]),COLUMN(NOTA[ID]))&amp;":"&amp;ADDRESS(ROW(),COLUMN(NOTA[ID]))),-1)))</f>
        <v>191</v>
      </c>
      <c r="E1155" s="113"/>
      <c r="H1155" s="54"/>
      <c r="L1155" s="27" t="s">
        <v>953</v>
      </c>
      <c r="M1155" s="114">
        <v>1</v>
      </c>
      <c r="N1155" s="66">
        <v>144</v>
      </c>
      <c r="O1155" s="27" t="s">
        <v>125</v>
      </c>
      <c r="P1155" s="64">
        <v>18250</v>
      </c>
      <c r="Q1155" s="79"/>
      <c r="R1155" s="42" t="s">
        <v>171</v>
      </c>
      <c r="S1155" s="80"/>
      <c r="U1155" s="52"/>
      <c r="V1155" s="77"/>
      <c r="W1155" s="52">
        <f>IF(NOTA[[#This Row],[HARGA/ CTN]]="",NOTA[[#This Row],[JUMLAH_H]],NOTA[[#This Row],[HARGA/ CTN]]*IF(NOTA[[#This Row],[C]]="",0,NOTA[[#This Row],[C]]))</f>
        <v>2628000</v>
      </c>
      <c r="X1155" s="52">
        <f>IF(NOTA[[#This Row],[JUMLAH]]="","",NOTA[[#This Row],[JUMLAH]]*NOTA[[#This Row],[DISC 1]])</f>
        <v>0</v>
      </c>
      <c r="Y1155" s="52">
        <f>IF(NOTA[[#This Row],[JUMLAH]]="","",(NOTA[[#This Row],[JUMLAH]]-NOTA[[#This Row],[DISC 1-]])*NOTA[[#This Row],[DISC 2]])</f>
        <v>0</v>
      </c>
      <c r="Z1155" s="52">
        <f>IF(NOTA[[#This Row],[JUMLAH]]="","",NOTA[[#This Row],[DISC 1-]]+NOTA[[#This Row],[DISC 2-]])</f>
        <v>0</v>
      </c>
      <c r="AA1155" s="52">
        <f>IF(NOTA[[#This Row],[JUMLAH]]="","",NOTA[[#This Row],[JUMLAH]]-NOTA[[#This Row],[DISC]])</f>
        <v>2628000</v>
      </c>
      <c r="AB1155" s="52"/>
      <c r="AC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5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5" s="203">
        <f>IF(OR(NOTA[[#This Row],[QTY]]="",NOTA[[#This Row],[HARGA SATUAN]]="",),"",NOTA[[#This Row],[QTY]]*NOTA[[#This Row],[HARGA SATUAN]])</f>
        <v>2628000</v>
      </c>
      <c r="AG1155" s="53">
        <f ca="1">IF(NOTA[ID_H]="","",INDEX(NOTA[TANGGAL],MATCH(,INDIRECT(ADDRESS(ROW(NOTA[TANGGAL]),COLUMN(NOTA[TANGGAL]))&amp;":"&amp;ADDRESS(ROW(),COLUMN(NOTA[TANGGAL]))),-1)))</f>
        <v>45079</v>
      </c>
      <c r="AH1155" s="64" t="str">
        <f ca="1">IF(NOTA[[#This Row],[NAMA BARANG]]="","",INDEX(NOTA[SUPPLIER],MATCH(,INDIRECT(ADDRESS(ROW(NOTA[ID]),COLUMN(NOTA[ID]))&amp;":"&amp;ADDRESS(ROW(),COLUMN(NOTA[ID]))),-1)))</f>
        <v>99 JAYA UTAMA</v>
      </c>
      <c r="AI1155" s="64" t="str">
        <f ca="1">IF(NOTA[[#This Row],[ID_H]]="","",IF(NOTA[[#This Row],[FAKTUR]]="",INDIRECT(ADDRESS(ROW()-1,COLUMN())),NOTA[[#This Row],[FAKTUR]]))</f>
        <v>ARTO MORO</v>
      </c>
      <c r="AJ1155" s="66" t="str">
        <f ca="1">IF(NOTA[[#This Row],[ID]]="","",COUNTIF(NOTA[ID_H],NOTA[[#This Row],[ID_H]]))</f>
        <v/>
      </c>
      <c r="AK1155" s="66">
        <f ca="1">IF(NOTA[[#This Row],[TGL.NOTA]]="",IF(NOTA[[#This Row],[SUPPLIER_H]]="","",AK1154),MONTH(NOTA[[#This Row],[TGL.NOTA]]))</f>
        <v>5</v>
      </c>
      <c r="AL1155" s="6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M11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N11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O11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5" s="66" t="str">
        <f>IF(NOTA[[#This Row],[CONCAT4]]="","",_xlfn.IFNA(MATCH(NOTA[[#This Row],[CONCAT4]],[2]!RAW[CONCAT_H],0),FALSE))</f>
        <v/>
      </c>
      <c r="AQ1155" s="66">
        <f>IF(NOTA[[#This Row],[CONCAT1]]="","",MATCH(NOTA[[#This Row],[CONCAT1]],[3]!db[NB NOTA_C],0)+1)</f>
        <v>890</v>
      </c>
    </row>
    <row r="1156" spans="1:43" ht="20.100000000000001" customHeight="1" x14ac:dyDescent="0.25">
      <c r="A115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6" s="66" t="str">
        <f>IF(NOTA[[#This Row],[ID_P]]="","",MATCH(NOTA[[#This Row],[ID_P]],[1]!B_MSK[N_ID],0))</f>
        <v/>
      </c>
      <c r="D1156" s="66">
        <f ca="1">IF(NOTA[[#This Row],[NAMA BARANG]]="","",INDEX(NOTA[ID],MATCH(,INDIRECT(ADDRESS(ROW(NOTA[ID]),COLUMN(NOTA[ID]))&amp;":"&amp;ADDRESS(ROW(),COLUMN(NOTA[ID]))),-1)))</f>
        <v>191</v>
      </c>
      <c r="E1156" s="113"/>
      <c r="H1156" s="54"/>
      <c r="L1156" s="27" t="s">
        <v>954</v>
      </c>
      <c r="M1156" s="114">
        <v>1</v>
      </c>
      <c r="N1156" s="66">
        <v>144</v>
      </c>
      <c r="O1156" s="27" t="s">
        <v>125</v>
      </c>
      <c r="P1156" s="64">
        <v>18250</v>
      </c>
      <c r="Q1156" s="79"/>
      <c r="R1156" s="42" t="s">
        <v>171</v>
      </c>
      <c r="S1156" s="80"/>
      <c r="U1156" s="52"/>
      <c r="V1156" s="77"/>
      <c r="W1156" s="52">
        <f>IF(NOTA[[#This Row],[HARGA/ CTN]]="",NOTA[[#This Row],[JUMLAH_H]],NOTA[[#This Row],[HARGA/ CTN]]*IF(NOTA[[#This Row],[C]]="",0,NOTA[[#This Row],[C]]))</f>
        <v>2628000</v>
      </c>
      <c r="X1156" s="52">
        <f>IF(NOTA[[#This Row],[JUMLAH]]="","",NOTA[[#This Row],[JUMLAH]]*NOTA[[#This Row],[DISC 1]])</f>
        <v>0</v>
      </c>
      <c r="Y1156" s="52">
        <f>IF(NOTA[[#This Row],[JUMLAH]]="","",(NOTA[[#This Row],[JUMLAH]]-NOTA[[#This Row],[DISC 1-]])*NOTA[[#This Row],[DISC 2]])</f>
        <v>0</v>
      </c>
      <c r="Z1156" s="52">
        <f>IF(NOTA[[#This Row],[JUMLAH]]="","",NOTA[[#This Row],[DISC 1-]]+NOTA[[#This Row],[DISC 2-]])</f>
        <v>0</v>
      </c>
      <c r="AA1156" s="52">
        <f>IF(NOTA[[#This Row],[JUMLAH]]="","",NOTA[[#This Row],[JUMLAH]]-NOTA[[#This Row],[DISC]])</f>
        <v>2628000</v>
      </c>
      <c r="AB1156" s="52"/>
      <c r="AC11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6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30990000</v>
      </c>
      <c r="AE1156" s="64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156" s="203">
        <f>IF(OR(NOTA[[#This Row],[QTY]]="",NOTA[[#This Row],[HARGA SATUAN]]="",),"",NOTA[[#This Row],[QTY]]*NOTA[[#This Row],[HARGA SATUAN]])</f>
        <v>2628000</v>
      </c>
      <c r="AG1156" s="53">
        <f ca="1">IF(NOTA[ID_H]="","",INDEX(NOTA[TANGGAL],MATCH(,INDIRECT(ADDRESS(ROW(NOTA[TANGGAL]),COLUMN(NOTA[TANGGAL]))&amp;":"&amp;ADDRESS(ROW(),COLUMN(NOTA[TANGGAL]))),-1)))</f>
        <v>45079</v>
      </c>
      <c r="AH1156" s="64" t="str">
        <f ca="1">IF(NOTA[[#This Row],[NAMA BARANG]]="","",INDEX(NOTA[SUPPLIER],MATCH(,INDIRECT(ADDRESS(ROW(NOTA[ID]),COLUMN(NOTA[ID]))&amp;":"&amp;ADDRESS(ROW(),COLUMN(NOTA[ID]))),-1)))</f>
        <v>99 JAYA UTAMA</v>
      </c>
      <c r="AI1156" s="64" t="str">
        <f ca="1">IF(NOTA[[#This Row],[ID_H]]="","",IF(NOTA[[#This Row],[FAKTUR]]="",INDIRECT(ADDRESS(ROW()-1,COLUMN())),NOTA[[#This Row],[FAKTUR]]))</f>
        <v>ARTO MORO</v>
      </c>
      <c r="AJ1156" s="66" t="str">
        <f ca="1">IF(NOTA[[#This Row],[ID]]="","",COUNTIF(NOTA[ID_H],NOTA[[#This Row],[ID_H]]))</f>
        <v/>
      </c>
      <c r="AK1156" s="66">
        <f ca="1">IF(NOTA[[#This Row],[TGL.NOTA]]="",IF(NOTA[[#This Row],[SUPPLIER_H]]="","",AK1155),MONTH(NOTA[[#This Row],[TGL.NOTA]]))</f>
        <v>5</v>
      </c>
      <c r="AL1156" s="6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M11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N11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O11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6" s="66" t="str">
        <f>IF(NOTA[[#This Row],[CONCAT4]]="","",_xlfn.IFNA(MATCH(NOTA[[#This Row],[CONCAT4]],[2]!RAW[CONCAT_H],0),FALSE))</f>
        <v/>
      </c>
      <c r="AQ1156" s="66">
        <f>IF(NOTA[[#This Row],[CONCAT1]]="","",MATCH(NOTA[[#This Row],[CONCAT1]],[3]!db[NB NOTA_C],0)+1)</f>
        <v>892</v>
      </c>
    </row>
    <row r="1157" spans="1:43" ht="20.100000000000001" customHeight="1" x14ac:dyDescent="0.25">
      <c r="A115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7" s="66" t="str">
        <f>IF(NOTA[[#This Row],[ID_P]]="","",MATCH(NOTA[[#This Row],[ID_P]],[1]!B_MSK[N_ID],0))</f>
        <v/>
      </c>
      <c r="D1157" s="66" t="str">
        <f ca="1">IF(NOTA[[#This Row],[NAMA BARANG]]="","",INDEX(NOTA[ID],MATCH(,INDIRECT(ADDRESS(ROW(NOTA[ID]),COLUMN(NOTA[ID]))&amp;":"&amp;ADDRESS(ROW(),COLUMN(NOTA[ID]))),-1)))</f>
        <v/>
      </c>
      <c r="E1157" s="113"/>
      <c r="H1157" s="54"/>
      <c r="N1157" s="66"/>
      <c r="Q1157" s="79"/>
      <c r="R1157" s="42"/>
      <c r="S1157" s="80"/>
      <c r="U1157" s="52"/>
      <c r="V1157" s="77"/>
      <c r="W1157" s="52" t="str">
        <f>IF(NOTA[[#This Row],[HARGA/ CTN]]="",NOTA[[#This Row],[JUMLAH_H]],NOTA[[#This Row],[HARGA/ CTN]]*IF(NOTA[[#This Row],[C]]="",0,NOTA[[#This Row],[C]]))</f>
        <v/>
      </c>
      <c r="X1157" s="52" t="str">
        <f>IF(NOTA[[#This Row],[JUMLAH]]="","",NOTA[[#This Row],[JUMLAH]]*NOTA[[#This Row],[DISC 1]])</f>
        <v/>
      </c>
      <c r="Y1157" s="52" t="str">
        <f>IF(NOTA[[#This Row],[JUMLAH]]="","",(NOTA[[#This Row],[JUMLAH]]-NOTA[[#This Row],[DISC 1-]])*NOTA[[#This Row],[DISC 2]])</f>
        <v/>
      </c>
      <c r="Z1157" s="52" t="str">
        <f>IF(NOTA[[#This Row],[JUMLAH]]="","",NOTA[[#This Row],[DISC 1-]]+NOTA[[#This Row],[DISC 2-]])</f>
        <v/>
      </c>
      <c r="AA1157" s="52" t="str">
        <f>IF(NOTA[[#This Row],[JUMLAH]]="","",NOTA[[#This Row],[JUMLAH]]-NOTA[[#This Row],[DISC]])</f>
        <v/>
      </c>
      <c r="AB1157" s="52"/>
      <c r="AC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57" s="203" t="str">
        <f>IF(OR(NOTA[[#This Row],[QTY]]="",NOTA[[#This Row],[HARGA SATUAN]]="",),"",NOTA[[#This Row],[QTY]]*NOTA[[#This Row],[HARGA SATUAN]])</f>
        <v/>
      </c>
      <c r="AG1157" s="53" t="str">
        <f ca="1">IF(NOTA[ID_H]="","",INDEX(NOTA[TANGGAL],MATCH(,INDIRECT(ADDRESS(ROW(NOTA[TANGGAL]),COLUMN(NOTA[TANGGAL]))&amp;":"&amp;ADDRESS(ROW(),COLUMN(NOTA[TANGGAL]))),-1)))</f>
        <v/>
      </c>
      <c r="AH1157" s="64" t="str">
        <f ca="1">IF(NOTA[[#This Row],[NAMA BARANG]]="","",INDEX(NOTA[SUPPLIER],MATCH(,INDIRECT(ADDRESS(ROW(NOTA[ID]),COLUMN(NOTA[ID]))&amp;":"&amp;ADDRESS(ROW(),COLUMN(NOTA[ID]))),-1)))</f>
        <v/>
      </c>
      <c r="AI1157" s="64" t="str">
        <f ca="1">IF(NOTA[[#This Row],[ID_H]]="","",IF(NOTA[[#This Row],[FAKTUR]]="",INDIRECT(ADDRESS(ROW()-1,COLUMN())),NOTA[[#This Row],[FAKTUR]]))</f>
        <v/>
      </c>
      <c r="AJ1157" s="66" t="str">
        <f ca="1">IF(NOTA[[#This Row],[ID]]="","",COUNTIF(NOTA[ID_H],NOTA[[#This Row],[ID_H]]))</f>
        <v/>
      </c>
      <c r="AK1157" s="66" t="str">
        <f ca="1">IF(NOTA[[#This Row],[TGL.NOTA]]="",IF(NOTA[[#This Row],[SUPPLIER_H]]="","",AK1156),MONTH(NOTA[[#This Row],[TGL.NOTA]]))</f>
        <v/>
      </c>
      <c r="AL1157" s="66" t="str">
        <f>LOWER(SUBSTITUTE(SUBSTITUTE(SUBSTITUTE(SUBSTITUTE(SUBSTITUTE(SUBSTITUTE(SUBSTITUTE(SUBSTITUTE(SUBSTITUTE(NOTA[NAMA BARANG]," ",),".",""),"-",""),"(",""),")",""),",",""),"/",""),"""",""),"+",""))</f>
        <v/>
      </c>
      <c r="AM11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7" s="66" t="str">
        <f>IF(NOTA[[#This Row],[CONCAT4]]="","",_xlfn.IFNA(MATCH(NOTA[[#This Row],[CONCAT4]],[2]!RAW[CONCAT_H],0),FALSE))</f>
        <v/>
      </c>
      <c r="AQ1157" s="66" t="str">
        <f>IF(NOTA[[#This Row],[CONCAT1]]="","",MATCH(NOTA[[#This Row],[CONCAT1]],[3]!db[NB NOTA_C],0)+1)</f>
        <v/>
      </c>
    </row>
    <row r="1158" spans="1:43" ht="20.100000000000001" customHeight="1" x14ac:dyDescent="0.25">
      <c r="A1158" s="64">
        <f ca="1">IF(INDIRECT(ADDRESS(ROW()-1,COLUMN(NOTA[[#Headers],[ID]])))="ID",1,IF(NOTA[[#This Row],[FAKTUR]]="","",COUNT(INDIRECT(ADDRESS(ROW(NOTA[ID]),COLUMN(NOTA[ID]))&amp;":"&amp;ADDRESS(ROW()-1,COLUMN(NOTA[ID]))))+1))</f>
        <v>192</v>
      </c>
      <c r="B11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COM_0206_602-2</v>
      </c>
      <c r="C1158" s="66" t="e">
        <f ca="1">IF(NOTA[[#This Row],[ID_P]]="","",MATCH(NOTA[[#This Row],[ID_P]],[1]!B_MSK[N_ID],0))</f>
        <v>#REF!</v>
      </c>
      <c r="D1158" s="66">
        <f ca="1">IF(NOTA[[#This Row],[NAMA BARANG]]="","",INDEX(NOTA[ID],MATCH(,INDIRECT(ADDRESS(ROW(NOTA[ID]),COLUMN(NOTA[ID]))&amp;":"&amp;ADDRESS(ROW(),COLUMN(NOTA[ID]))),-1)))</f>
        <v>192</v>
      </c>
      <c r="E1158" s="113"/>
      <c r="F1158" s="27" t="s">
        <v>1258</v>
      </c>
      <c r="G1158" s="27" t="s">
        <v>112</v>
      </c>
      <c r="H1158" s="54" t="s">
        <v>1259</v>
      </c>
      <c r="J1158" s="53">
        <v>45079</v>
      </c>
      <c r="L1158" s="27" t="s">
        <v>1260</v>
      </c>
      <c r="M1158" s="114">
        <v>1</v>
      </c>
      <c r="N1158" s="66">
        <v>7</v>
      </c>
      <c r="O1158" s="27" t="s">
        <v>125</v>
      </c>
      <c r="P1158" s="64">
        <v>195000</v>
      </c>
      <c r="Q1158" s="79"/>
      <c r="R1158" s="42" t="s">
        <v>1261</v>
      </c>
      <c r="S1158" s="80"/>
      <c r="U1158" s="52"/>
      <c r="V1158" s="77"/>
      <c r="W1158" s="52">
        <f>IF(NOTA[[#This Row],[HARGA/ CTN]]="",NOTA[[#This Row],[JUMLAH_H]],NOTA[[#This Row],[HARGA/ CTN]]*IF(NOTA[[#This Row],[C]]="",0,NOTA[[#This Row],[C]]))</f>
        <v>1365000</v>
      </c>
      <c r="X1158" s="52">
        <f>IF(NOTA[[#This Row],[JUMLAH]]="","",NOTA[[#This Row],[JUMLAH]]*NOTA[[#This Row],[DISC 1]])</f>
        <v>0</v>
      </c>
      <c r="Y1158" s="52">
        <f>IF(NOTA[[#This Row],[JUMLAH]]="","",(NOTA[[#This Row],[JUMLAH]]-NOTA[[#This Row],[DISC 1-]])*NOTA[[#This Row],[DISC 2]])</f>
        <v>0</v>
      </c>
      <c r="Z1158" s="52">
        <f>IF(NOTA[[#This Row],[JUMLAH]]="","",NOTA[[#This Row],[DISC 1-]]+NOTA[[#This Row],[DISC 2-]])</f>
        <v>0</v>
      </c>
      <c r="AA1158" s="52">
        <f>IF(NOTA[[#This Row],[JUMLAH]]="","",NOTA[[#This Row],[JUMLAH]]-NOTA[[#This Row],[DISC]])</f>
        <v>1365000</v>
      </c>
      <c r="AB1158" s="52"/>
      <c r="AC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8" s="64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158" s="203">
        <f>IF(OR(NOTA[[#This Row],[QTY]]="",NOTA[[#This Row],[HARGA SATUAN]]="",),"",NOTA[[#This Row],[QTY]]*NOTA[[#This Row],[HARGA SATUAN]])</f>
        <v>1365000</v>
      </c>
      <c r="AG1158" s="53">
        <f ca="1">IF(NOTA[ID_H]="","",INDEX(NOTA[TANGGAL],MATCH(,INDIRECT(ADDRESS(ROW(NOTA[TANGGAL]),COLUMN(NOTA[TANGGAL]))&amp;":"&amp;ADDRESS(ROW(),COLUMN(NOTA[TANGGAL]))),-1)))</f>
        <v>45079</v>
      </c>
      <c r="AH1158" s="64" t="str">
        <f ca="1">IF(NOTA[[#This Row],[NAMA BARANG]]="","",INDEX(NOTA[SUPPLIER],MATCH(,INDIRECT(ADDRESS(ROW(NOTA[ID]),COLUMN(NOTA[ID]))&amp;":"&amp;ADDRESS(ROW(),COLUMN(NOTA[ID]))),-1)))</f>
        <v>COMBI</v>
      </c>
      <c r="AI1158" s="64" t="str">
        <f ca="1">IF(NOTA[[#This Row],[ID_H]]="","",IF(NOTA[[#This Row],[FAKTUR]]="",INDIRECT(ADDRESS(ROW()-1,COLUMN())),NOTA[[#This Row],[FAKTUR]]))</f>
        <v>UNTANA</v>
      </c>
      <c r="AJ1158" s="66">
        <f ca="1">IF(NOTA[[#This Row],[ID]]="","",COUNTIF(NOTA[ID_H],NOTA[[#This Row],[ID_H]]))</f>
        <v>2</v>
      </c>
      <c r="AK1158" s="66">
        <f>IF(NOTA[[#This Row],[TGL.NOTA]]="",IF(NOTA[[#This Row],[SUPPLIER_H]]="","",AK1157),MONTH(NOTA[[#This Row],[TGL.NOTA]]))</f>
        <v>6</v>
      </c>
      <c r="AL1158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docritprestigehitam1365000</v>
      </c>
      <c r="AN11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docritprestigehitam1365000</v>
      </c>
      <c r="AO1158" s="66" t="str">
        <f>IF(NOTA[[#This Row],[SUPPLIER]]="","",NOTA[[#This Row],[SUPPLIER]]&amp;NOTA[[#This Row],[FAKTUR]]&amp;NOTA[[#This Row],[NO.NOTA]]&amp;NOTA[[#This Row],[NO.SJ]]&amp;NOTA[[#This Row],[TGL.NOTA]]&amp;NOTA[[#This Row],[CONCAT1]])</f>
        <v>COMBIUNTANA060245079docritprestigehitam</v>
      </c>
      <c r="AP1158" s="66" t="e">
        <f>IF(NOTA[[#This Row],[CONCAT4]]="","",_xlfn.IFNA(MATCH(NOTA[[#This Row],[CONCAT4]],[2]!RAW[CONCAT_H],0),FALSE))</f>
        <v>#REF!</v>
      </c>
      <c r="AQ1158" s="66" t="e">
        <f>IF(NOTA[[#This Row],[CONCAT1]]="","",MATCH(NOTA[[#This Row],[CONCAT1]],[3]!db[NB NOTA_C],0)+1)</f>
        <v>#N/A</v>
      </c>
    </row>
    <row r="1159" spans="1:43" ht="20.100000000000001" customHeight="1" x14ac:dyDescent="0.25">
      <c r="A115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9" s="66" t="str">
        <f>IF(NOTA[[#This Row],[ID_P]]="","",MATCH(NOTA[[#This Row],[ID_P]],[1]!B_MSK[N_ID],0))</f>
        <v/>
      </c>
      <c r="D1159" s="66">
        <f ca="1">IF(NOTA[[#This Row],[NAMA BARANG]]="","",INDEX(NOTA[ID],MATCH(,INDIRECT(ADDRESS(ROW(NOTA[ID]),COLUMN(NOTA[ID]))&amp;":"&amp;ADDRESS(ROW(),COLUMN(NOTA[ID]))),-1)))</f>
        <v>192</v>
      </c>
      <c r="E1159" s="113"/>
      <c r="H1159" s="54"/>
      <c r="L1159" s="27" t="s">
        <v>1260</v>
      </c>
      <c r="N1159" s="66">
        <v>5</v>
      </c>
      <c r="O1159" s="27" t="s">
        <v>125</v>
      </c>
      <c r="P1159" s="64">
        <v>195000</v>
      </c>
      <c r="Q1159" s="79"/>
      <c r="R1159" s="42" t="s">
        <v>1261</v>
      </c>
      <c r="S1159" s="80"/>
      <c r="U1159" s="52"/>
      <c r="V1159" s="77"/>
      <c r="W1159" s="52">
        <f>IF(NOTA[[#This Row],[HARGA/ CTN]]="",NOTA[[#This Row],[JUMLAH_H]],NOTA[[#This Row],[HARGA/ CTN]]*IF(NOTA[[#This Row],[C]]="",0,NOTA[[#This Row],[C]]))</f>
        <v>975000</v>
      </c>
      <c r="X1159" s="52">
        <f>IF(NOTA[[#This Row],[JUMLAH]]="","",NOTA[[#This Row],[JUMLAH]]*NOTA[[#This Row],[DISC 1]])</f>
        <v>0</v>
      </c>
      <c r="Y1159" s="52">
        <f>IF(NOTA[[#This Row],[JUMLAH]]="","",(NOTA[[#This Row],[JUMLAH]]-NOTA[[#This Row],[DISC 1-]])*NOTA[[#This Row],[DISC 2]])</f>
        <v>0</v>
      </c>
      <c r="Z1159" s="52">
        <f>IF(NOTA[[#This Row],[JUMLAH]]="","",NOTA[[#This Row],[DISC 1-]]+NOTA[[#This Row],[DISC 2-]])</f>
        <v>0</v>
      </c>
      <c r="AA1159" s="52">
        <f>IF(NOTA[[#This Row],[JUMLAH]]="","",NOTA[[#This Row],[JUMLAH]]-NOTA[[#This Row],[DISC]])</f>
        <v>975000</v>
      </c>
      <c r="AB1159" s="52"/>
      <c r="AC115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59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E1159" s="64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F1159" s="203">
        <f>IF(OR(NOTA[[#This Row],[QTY]]="",NOTA[[#This Row],[HARGA SATUAN]]="",),"",NOTA[[#This Row],[QTY]]*NOTA[[#This Row],[HARGA SATUAN]])</f>
        <v>975000</v>
      </c>
      <c r="AG1159" s="53">
        <f ca="1">IF(NOTA[ID_H]="","",INDEX(NOTA[TANGGAL],MATCH(,INDIRECT(ADDRESS(ROW(NOTA[TANGGAL]),COLUMN(NOTA[TANGGAL]))&amp;":"&amp;ADDRESS(ROW(),COLUMN(NOTA[TANGGAL]))),-1)))</f>
        <v>45079</v>
      </c>
      <c r="AH1159" s="64" t="str">
        <f ca="1">IF(NOTA[[#This Row],[NAMA BARANG]]="","",INDEX(NOTA[SUPPLIER],MATCH(,INDIRECT(ADDRESS(ROW(NOTA[ID]),COLUMN(NOTA[ID]))&amp;":"&amp;ADDRESS(ROW(),COLUMN(NOTA[ID]))),-1)))</f>
        <v>COMBI</v>
      </c>
      <c r="AI1159" s="64" t="str">
        <f ca="1">IF(NOTA[[#This Row],[ID_H]]="","",IF(NOTA[[#This Row],[FAKTUR]]="",INDIRECT(ADDRESS(ROW()-1,COLUMN())),NOTA[[#This Row],[FAKTUR]]))</f>
        <v>UNTANA</v>
      </c>
      <c r="AJ1159" s="66" t="str">
        <f ca="1">IF(NOTA[[#This Row],[ID]]="","",COUNTIF(NOTA[ID_H],NOTA[[#This Row],[ID_H]]))</f>
        <v/>
      </c>
      <c r="AK1159" s="66">
        <f ca="1">IF(NOTA[[#This Row],[TGL.NOTA]]="",IF(NOTA[[#This Row],[SUPPLIER_H]]="","",AK1158),MONTH(NOTA[[#This Row],[TGL.NOTA]]))</f>
        <v>6</v>
      </c>
      <c r="AL1159" s="66" t="str">
        <f>LOWER(SUBSTITUTE(SUBSTITUTE(SUBSTITUTE(SUBSTITUTE(SUBSTITUTE(SUBSTITUTE(SUBSTITUTE(SUBSTITUTE(SUBSTITUTE(NOTA[NAMA BARANG]," ",),".",""),"-",""),"(",""),")",""),",",""),"/",""),"""",""),"+",""))</f>
        <v>docritprestigehitam</v>
      </c>
      <c r="AM11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docritprestigehitam975000</v>
      </c>
      <c r="AN11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docritprestigehitam195000</v>
      </c>
      <c r="AO11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59" s="66" t="str">
        <f>IF(NOTA[[#This Row],[CONCAT4]]="","",_xlfn.IFNA(MATCH(NOTA[[#This Row],[CONCAT4]],[2]!RAW[CONCAT_H],0),FALSE))</f>
        <v/>
      </c>
      <c r="AQ1159" s="66" t="e">
        <f>IF(NOTA[[#This Row],[CONCAT1]]="","",MATCH(NOTA[[#This Row],[CONCAT1]],[3]!db[NB NOTA_C],0)+1)</f>
        <v>#N/A</v>
      </c>
    </row>
    <row r="1160" spans="1:43" ht="20.100000000000001" customHeight="1" x14ac:dyDescent="0.25">
      <c r="A116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0" s="66" t="str">
        <f>IF(NOTA[[#This Row],[ID_P]]="","",MATCH(NOTA[[#This Row],[ID_P]],[1]!B_MSK[N_ID],0))</f>
        <v/>
      </c>
      <c r="D1160" s="66" t="str">
        <f ca="1">IF(NOTA[[#This Row],[NAMA BARANG]]="","",INDEX(NOTA[ID],MATCH(,INDIRECT(ADDRESS(ROW(NOTA[ID]),COLUMN(NOTA[ID]))&amp;":"&amp;ADDRESS(ROW(),COLUMN(NOTA[ID]))),-1)))</f>
        <v/>
      </c>
      <c r="E1160" s="113"/>
      <c r="H1160" s="54"/>
      <c r="N1160" s="66"/>
      <c r="Q1160" s="79"/>
      <c r="R1160" s="42"/>
      <c r="S1160" s="80"/>
      <c r="U1160" s="52"/>
      <c r="V1160" s="77"/>
      <c r="W1160" s="52" t="str">
        <f>IF(NOTA[[#This Row],[HARGA/ CTN]]="",NOTA[[#This Row],[JUMLAH_H]],NOTA[[#This Row],[HARGA/ CTN]]*IF(NOTA[[#This Row],[C]]="",0,NOTA[[#This Row],[C]]))</f>
        <v/>
      </c>
      <c r="X1160" s="52" t="str">
        <f>IF(NOTA[[#This Row],[JUMLAH]]="","",NOTA[[#This Row],[JUMLAH]]*NOTA[[#This Row],[DISC 1]])</f>
        <v/>
      </c>
      <c r="Y1160" s="52" t="str">
        <f>IF(NOTA[[#This Row],[JUMLAH]]="","",(NOTA[[#This Row],[JUMLAH]]-NOTA[[#This Row],[DISC 1-]])*NOTA[[#This Row],[DISC 2]])</f>
        <v/>
      </c>
      <c r="Z1160" s="52" t="str">
        <f>IF(NOTA[[#This Row],[JUMLAH]]="","",NOTA[[#This Row],[DISC 1-]]+NOTA[[#This Row],[DISC 2-]])</f>
        <v/>
      </c>
      <c r="AA1160" s="52" t="str">
        <f>IF(NOTA[[#This Row],[JUMLAH]]="","",NOTA[[#This Row],[JUMLAH]]-NOTA[[#This Row],[DISC]])</f>
        <v/>
      </c>
      <c r="AB1160" s="52"/>
      <c r="AC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0" s="203" t="str">
        <f>IF(OR(NOTA[[#This Row],[QTY]]="",NOTA[[#This Row],[HARGA SATUAN]]="",),"",NOTA[[#This Row],[QTY]]*NOTA[[#This Row],[HARGA SATUAN]])</f>
        <v/>
      </c>
      <c r="AG1160" s="53" t="str">
        <f ca="1">IF(NOTA[ID_H]="","",INDEX(NOTA[TANGGAL],MATCH(,INDIRECT(ADDRESS(ROW(NOTA[TANGGAL]),COLUMN(NOTA[TANGGAL]))&amp;":"&amp;ADDRESS(ROW(),COLUMN(NOTA[TANGGAL]))),-1)))</f>
        <v/>
      </c>
      <c r="AH1160" s="64" t="str">
        <f ca="1">IF(NOTA[[#This Row],[NAMA BARANG]]="","",INDEX(NOTA[SUPPLIER],MATCH(,INDIRECT(ADDRESS(ROW(NOTA[ID]),COLUMN(NOTA[ID]))&amp;":"&amp;ADDRESS(ROW(),COLUMN(NOTA[ID]))),-1)))</f>
        <v/>
      </c>
      <c r="AI1160" s="64" t="str">
        <f ca="1">IF(NOTA[[#This Row],[ID_H]]="","",IF(NOTA[[#This Row],[FAKTUR]]="",INDIRECT(ADDRESS(ROW()-1,COLUMN())),NOTA[[#This Row],[FAKTUR]]))</f>
        <v/>
      </c>
      <c r="AJ1160" s="66" t="str">
        <f ca="1">IF(NOTA[[#This Row],[ID]]="","",COUNTIF(NOTA[ID_H],NOTA[[#This Row],[ID_H]]))</f>
        <v/>
      </c>
      <c r="AK1160" s="66" t="str">
        <f ca="1">IF(NOTA[[#This Row],[TGL.NOTA]]="",IF(NOTA[[#This Row],[SUPPLIER_H]]="","",AK1159),MONTH(NOTA[[#This Row],[TGL.NOTA]]))</f>
        <v/>
      </c>
      <c r="AL1160" s="66" t="str">
        <f>LOWER(SUBSTITUTE(SUBSTITUTE(SUBSTITUTE(SUBSTITUTE(SUBSTITUTE(SUBSTITUTE(SUBSTITUTE(SUBSTITUTE(SUBSTITUTE(NOTA[NAMA BARANG]," ",),".",""),"-",""),"(",""),")",""),",",""),"/",""),"""",""),"+",""))</f>
        <v/>
      </c>
      <c r="AM11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0" s="66" t="str">
        <f>IF(NOTA[[#This Row],[CONCAT4]]="","",_xlfn.IFNA(MATCH(NOTA[[#This Row],[CONCAT4]],[2]!RAW[CONCAT_H],0),FALSE))</f>
        <v/>
      </c>
      <c r="AQ1160" s="66" t="str">
        <f>IF(NOTA[[#This Row],[CONCAT1]]="","",MATCH(NOTA[[#This Row],[CONCAT1]],[3]!db[NB NOTA_C],0)+1)</f>
        <v/>
      </c>
    </row>
    <row r="1161" spans="1:43" ht="20.100000000000001" customHeight="1" x14ac:dyDescent="0.25">
      <c r="A1161" s="64">
        <f ca="1">IF(INDIRECT(ADDRESS(ROW()-1,COLUMN(NOTA[[#Headers],[ID]])))="ID",1,IF(NOTA[[#This Row],[FAKTUR]]="","",COUNT(INDIRECT(ADDRESS(ROW(NOTA[ID]),COLUMN(NOTA[ID]))&amp;":"&amp;ADDRESS(ROW()-1,COLUMN(NOTA[ID]))))+1))</f>
        <v>193</v>
      </c>
      <c r="B11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HAN_0206_010-1</v>
      </c>
      <c r="C1161" s="66" t="e">
        <f ca="1">IF(NOTA[[#This Row],[ID_P]]="","",MATCH(NOTA[[#This Row],[ID_P]],[1]!B_MSK[N_ID],0))</f>
        <v>#REF!</v>
      </c>
      <c r="D1161" s="66">
        <f ca="1">IF(NOTA[[#This Row],[NAMA BARANG]]="","",INDEX(NOTA[ID],MATCH(,INDIRECT(ADDRESS(ROW(NOTA[ID]),COLUMN(NOTA[ID]))&amp;":"&amp;ADDRESS(ROW(),COLUMN(NOTA[ID]))),-1)))</f>
        <v>193</v>
      </c>
      <c r="E1161" s="113"/>
      <c r="F1161" s="27" t="s">
        <v>153</v>
      </c>
      <c r="G1161" s="27" t="s">
        <v>112</v>
      </c>
      <c r="H1161" s="54" t="s">
        <v>1262</v>
      </c>
      <c r="J1161" s="53">
        <v>45079</v>
      </c>
      <c r="L1161" s="27" t="s">
        <v>900</v>
      </c>
      <c r="N1161" s="66">
        <v>6</v>
      </c>
      <c r="O1161" s="27" t="s">
        <v>125</v>
      </c>
      <c r="P1161" s="64">
        <v>13000</v>
      </c>
      <c r="Q1161" s="79"/>
      <c r="R1161" s="42"/>
      <c r="S1161" s="80"/>
      <c r="U1161" s="52"/>
      <c r="V1161" s="77" t="s">
        <v>1263</v>
      </c>
      <c r="W1161" s="52">
        <f>IF(NOTA[[#This Row],[HARGA/ CTN]]="",NOTA[[#This Row],[JUMLAH_H]],NOTA[[#This Row],[HARGA/ CTN]]*IF(NOTA[[#This Row],[C]]="",0,NOTA[[#This Row],[C]]))</f>
        <v>78000</v>
      </c>
      <c r="X1161" s="52">
        <f>IF(NOTA[[#This Row],[JUMLAH]]="","",NOTA[[#This Row],[JUMLAH]]*NOTA[[#This Row],[DISC 1]])</f>
        <v>0</v>
      </c>
      <c r="Y1161" s="52">
        <f>IF(NOTA[[#This Row],[JUMLAH]]="","",(NOTA[[#This Row],[JUMLAH]]-NOTA[[#This Row],[DISC 1-]])*NOTA[[#This Row],[DISC 2]])</f>
        <v>0</v>
      </c>
      <c r="Z1161" s="52">
        <f>IF(NOTA[[#This Row],[JUMLAH]]="","",NOTA[[#This Row],[DISC 1-]]+NOTA[[#This Row],[DISC 2-]])</f>
        <v>0</v>
      </c>
      <c r="AA1161" s="52">
        <f>IF(NOTA[[#This Row],[JUMLAH]]="","",NOTA[[#This Row],[JUMLAH]]-NOTA[[#This Row],[DISC]])</f>
        <v>78000</v>
      </c>
      <c r="AB1161" s="52"/>
      <c r="AC116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1" s="5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E1161" s="64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1161" s="203">
        <f>IF(OR(NOTA[[#This Row],[QTY]]="",NOTA[[#This Row],[HARGA SATUAN]]="",),"",NOTA[[#This Row],[QTY]]*NOTA[[#This Row],[HARGA SATUAN]])</f>
        <v>78000</v>
      </c>
      <c r="AG1161" s="53">
        <f ca="1">IF(NOTA[ID_H]="","",INDEX(NOTA[TANGGAL],MATCH(,INDIRECT(ADDRESS(ROW(NOTA[TANGGAL]),COLUMN(NOTA[TANGGAL]))&amp;":"&amp;ADDRESS(ROW(),COLUMN(NOTA[TANGGAL]))),-1)))</f>
        <v>45079</v>
      </c>
      <c r="AH1161" s="64" t="str">
        <f ca="1">IF(NOTA[[#This Row],[NAMA BARANG]]="","",INDEX(NOTA[SUPPLIER],MATCH(,INDIRECT(ADDRESS(ROW(NOTA[ID]),COLUMN(NOTA[ID]))&amp;":"&amp;ADDRESS(ROW(),COLUMN(NOTA[ID]))),-1)))</f>
        <v>HANSA</v>
      </c>
      <c r="AI1161" s="64" t="str">
        <f ca="1">IF(NOTA[[#This Row],[ID_H]]="","",IF(NOTA[[#This Row],[FAKTUR]]="",INDIRECT(ADDRESS(ROW()-1,COLUMN())),NOTA[[#This Row],[FAKTUR]]))</f>
        <v>UNTANA</v>
      </c>
      <c r="AJ1161" s="66">
        <f ca="1">IF(NOTA[[#This Row],[ID]]="","",COUNTIF(NOTA[ID_H],NOTA[[#This Row],[ID_H]]))</f>
        <v>1</v>
      </c>
      <c r="AK1161" s="66">
        <f>IF(NOTA[[#This Row],[TGL.NOTA]]="",IF(NOTA[[#This Row],[SUPPLIER_H]]="","",AK1160),MONTH(NOTA[[#This Row],[TGL.NOTA]]))</f>
        <v>6</v>
      </c>
      <c r="AL1161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11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N11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1161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HANSAUNTANAHN06202301045079lilinangkashintoeng</v>
      </c>
      <c r="AP1161" s="66" t="e">
        <f>IF(NOTA[[#This Row],[CONCAT4]]="","",_xlfn.IFNA(MATCH(NOTA[[#This Row],[CONCAT4]],[2]!RAW[CONCAT_H],0),FALSE))</f>
        <v>#REF!</v>
      </c>
      <c r="AQ1161" s="66">
        <f>IF(NOTA[[#This Row],[CONCAT1]]="","",MATCH(NOTA[[#This Row],[CONCAT1]],[3]!db[NB NOTA_C],0)+1)</f>
        <v>1495</v>
      </c>
    </row>
    <row r="1162" spans="1:43" ht="20.100000000000001" customHeight="1" x14ac:dyDescent="0.25">
      <c r="A116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2" s="66" t="str">
        <f>IF(NOTA[[#This Row],[ID_P]]="","",MATCH(NOTA[[#This Row],[ID_P]],[1]!B_MSK[N_ID],0))</f>
        <v/>
      </c>
      <c r="D1162" s="66" t="str">
        <f ca="1">IF(NOTA[[#This Row],[NAMA BARANG]]="","",INDEX(NOTA[ID],MATCH(,INDIRECT(ADDRESS(ROW(NOTA[ID]),COLUMN(NOTA[ID]))&amp;":"&amp;ADDRESS(ROW(),COLUMN(NOTA[ID]))),-1)))</f>
        <v/>
      </c>
      <c r="E1162" s="113"/>
      <c r="H1162" s="54"/>
      <c r="N1162" s="66"/>
      <c r="Q1162" s="79"/>
      <c r="R1162" s="42"/>
      <c r="S1162" s="80"/>
      <c r="U1162" s="52"/>
      <c r="V1162" s="77"/>
      <c r="W1162" s="52" t="str">
        <f>IF(NOTA[[#This Row],[HARGA/ CTN]]="",NOTA[[#This Row],[JUMLAH_H]],NOTA[[#This Row],[HARGA/ CTN]]*IF(NOTA[[#This Row],[C]]="",0,NOTA[[#This Row],[C]]))</f>
        <v/>
      </c>
      <c r="X1162" s="52" t="str">
        <f>IF(NOTA[[#This Row],[JUMLAH]]="","",NOTA[[#This Row],[JUMLAH]]*NOTA[[#This Row],[DISC 1]])</f>
        <v/>
      </c>
      <c r="Y1162" s="52" t="str">
        <f>IF(NOTA[[#This Row],[JUMLAH]]="","",(NOTA[[#This Row],[JUMLAH]]-NOTA[[#This Row],[DISC 1-]])*NOTA[[#This Row],[DISC 2]])</f>
        <v/>
      </c>
      <c r="Z1162" s="52" t="str">
        <f>IF(NOTA[[#This Row],[JUMLAH]]="","",NOTA[[#This Row],[DISC 1-]]+NOTA[[#This Row],[DISC 2-]])</f>
        <v/>
      </c>
      <c r="AA1162" s="52" t="str">
        <f>IF(NOTA[[#This Row],[JUMLAH]]="","",NOTA[[#This Row],[JUMLAH]]-NOTA[[#This Row],[DISC]])</f>
        <v/>
      </c>
      <c r="AB1162" s="52"/>
      <c r="AC11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2" s="203" t="str">
        <f>IF(OR(NOTA[[#This Row],[QTY]]="",NOTA[[#This Row],[HARGA SATUAN]]="",),"",NOTA[[#This Row],[QTY]]*NOTA[[#This Row],[HARGA SATUAN]])</f>
        <v/>
      </c>
      <c r="AG1162" s="53" t="str">
        <f ca="1">IF(NOTA[ID_H]="","",INDEX(NOTA[TANGGAL],MATCH(,INDIRECT(ADDRESS(ROW(NOTA[TANGGAL]),COLUMN(NOTA[TANGGAL]))&amp;":"&amp;ADDRESS(ROW(),COLUMN(NOTA[TANGGAL]))),-1)))</f>
        <v/>
      </c>
      <c r="AH1162" s="64" t="str">
        <f ca="1">IF(NOTA[[#This Row],[NAMA BARANG]]="","",INDEX(NOTA[SUPPLIER],MATCH(,INDIRECT(ADDRESS(ROW(NOTA[ID]),COLUMN(NOTA[ID]))&amp;":"&amp;ADDRESS(ROW(),COLUMN(NOTA[ID]))),-1)))</f>
        <v/>
      </c>
      <c r="AI1162" s="64" t="str">
        <f ca="1">IF(NOTA[[#This Row],[ID_H]]="","",IF(NOTA[[#This Row],[FAKTUR]]="",INDIRECT(ADDRESS(ROW()-1,COLUMN())),NOTA[[#This Row],[FAKTUR]]))</f>
        <v/>
      </c>
      <c r="AJ1162" s="66" t="str">
        <f ca="1">IF(NOTA[[#This Row],[ID]]="","",COUNTIF(NOTA[ID_H],NOTA[[#This Row],[ID_H]]))</f>
        <v/>
      </c>
      <c r="AK1162" s="66" t="str">
        <f ca="1">IF(NOTA[[#This Row],[TGL.NOTA]]="",IF(NOTA[[#This Row],[SUPPLIER_H]]="","",AK1161),MONTH(NOTA[[#This Row],[TGL.NOTA]]))</f>
        <v/>
      </c>
      <c r="AL1162" s="66" t="str">
        <f>LOWER(SUBSTITUTE(SUBSTITUTE(SUBSTITUTE(SUBSTITUTE(SUBSTITUTE(SUBSTITUTE(SUBSTITUTE(SUBSTITUTE(SUBSTITUTE(NOTA[NAMA BARANG]," ",),".",""),"-",""),"(",""),")",""),",",""),"/",""),"""",""),"+",""))</f>
        <v/>
      </c>
      <c r="AM11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2" s="66" t="str">
        <f>IF(NOTA[[#This Row],[CONCAT4]]="","",_xlfn.IFNA(MATCH(NOTA[[#This Row],[CONCAT4]],[2]!RAW[CONCAT_H],0),FALSE))</f>
        <v/>
      </c>
      <c r="AQ1162" s="66" t="str">
        <f>IF(NOTA[[#This Row],[CONCAT1]]="","",MATCH(NOTA[[#This Row],[CONCAT1]],[3]!db[NB NOTA_C],0)+1)</f>
        <v/>
      </c>
    </row>
    <row r="1163" spans="1:43" ht="20.100000000000001" customHeight="1" x14ac:dyDescent="0.25">
      <c r="A116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3" s="66" t="str">
        <f>IF(NOTA[[#This Row],[ID_P]]="","",MATCH(NOTA[[#This Row],[ID_P]],[1]!B_MSK[N_ID],0))</f>
        <v/>
      </c>
      <c r="D1163" s="66" t="str">
        <f ca="1">IF(NOTA[[#This Row],[NAMA BARANG]]="","",INDEX(NOTA[ID],MATCH(,INDIRECT(ADDRESS(ROW(NOTA[ID]),COLUMN(NOTA[ID]))&amp;":"&amp;ADDRESS(ROW(),COLUMN(NOTA[ID]))),-1)))</f>
        <v/>
      </c>
      <c r="E1163" s="113"/>
      <c r="H1163" s="54"/>
      <c r="N1163" s="66"/>
      <c r="Q1163" s="79"/>
      <c r="R1163" s="42"/>
      <c r="S1163" s="80"/>
      <c r="U1163" s="52"/>
      <c r="V1163" s="77"/>
      <c r="W1163" s="52" t="str">
        <f>IF(NOTA[[#This Row],[HARGA/ CTN]]="",NOTA[[#This Row],[JUMLAH_H]],NOTA[[#This Row],[HARGA/ CTN]]*IF(NOTA[[#This Row],[C]]="",0,NOTA[[#This Row],[C]]))</f>
        <v/>
      </c>
      <c r="X1163" s="52" t="str">
        <f>IF(NOTA[[#This Row],[JUMLAH]]="","",NOTA[[#This Row],[JUMLAH]]*NOTA[[#This Row],[DISC 1]])</f>
        <v/>
      </c>
      <c r="Y1163" s="52" t="str">
        <f>IF(NOTA[[#This Row],[JUMLAH]]="","",(NOTA[[#This Row],[JUMLAH]]-NOTA[[#This Row],[DISC 1-]])*NOTA[[#This Row],[DISC 2]])</f>
        <v/>
      </c>
      <c r="Z1163" s="52" t="str">
        <f>IF(NOTA[[#This Row],[JUMLAH]]="","",NOTA[[#This Row],[DISC 1-]]+NOTA[[#This Row],[DISC 2-]])</f>
        <v/>
      </c>
      <c r="AA1163" s="52" t="str">
        <f>IF(NOTA[[#This Row],[JUMLAH]]="","",NOTA[[#This Row],[JUMLAH]]-NOTA[[#This Row],[DISC]])</f>
        <v/>
      </c>
      <c r="AB1163" s="52"/>
      <c r="AC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3" s="203" t="str">
        <f>IF(OR(NOTA[[#This Row],[QTY]]="",NOTA[[#This Row],[HARGA SATUAN]]="",),"",NOTA[[#This Row],[QTY]]*NOTA[[#This Row],[HARGA SATUAN]])</f>
        <v/>
      </c>
      <c r="AG1163" s="53" t="str">
        <f ca="1">IF(NOTA[ID_H]="","",INDEX(NOTA[TANGGAL],MATCH(,INDIRECT(ADDRESS(ROW(NOTA[TANGGAL]),COLUMN(NOTA[TANGGAL]))&amp;":"&amp;ADDRESS(ROW(),COLUMN(NOTA[TANGGAL]))),-1)))</f>
        <v/>
      </c>
      <c r="AH1163" s="64" t="str">
        <f ca="1">IF(NOTA[[#This Row],[NAMA BARANG]]="","",INDEX(NOTA[SUPPLIER],MATCH(,INDIRECT(ADDRESS(ROW(NOTA[ID]),COLUMN(NOTA[ID]))&amp;":"&amp;ADDRESS(ROW(),COLUMN(NOTA[ID]))),-1)))</f>
        <v/>
      </c>
      <c r="AI1163" s="64" t="str">
        <f ca="1">IF(NOTA[[#This Row],[ID_H]]="","",IF(NOTA[[#This Row],[FAKTUR]]="",INDIRECT(ADDRESS(ROW()-1,COLUMN())),NOTA[[#This Row],[FAKTUR]]))</f>
        <v/>
      </c>
      <c r="AJ1163" s="66" t="str">
        <f ca="1">IF(NOTA[[#This Row],[ID]]="","",COUNTIF(NOTA[ID_H],NOTA[[#This Row],[ID_H]]))</f>
        <v/>
      </c>
      <c r="AK1163" s="66" t="str">
        <f ca="1">IF(NOTA[[#This Row],[TGL.NOTA]]="",IF(NOTA[[#This Row],[SUPPLIER_H]]="","",AK1162),MONTH(NOTA[[#This Row],[TGL.NOTA]]))</f>
        <v/>
      </c>
      <c r="AL1163" s="66" t="str">
        <f>LOWER(SUBSTITUTE(SUBSTITUTE(SUBSTITUTE(SUBSTITUTE(SUBSTITUTE(SUBSTITUTE(SUBSTITUTE(SUBSTITUTE(SUBSTITUTE(NOTA[NAMA BARANG]," ",),".",""),"-",""),"(",""),")",""),",",""),"/",""),"""",""),"+",""))</f>
        <v/>
      </c>
      <c r="AM11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3" s="66" t="str">
        <f>IF(NOTA[[#This Row],[CONCAT4]]="","",_xlfn.IFNA(MATCH(NOTA[[#This Row],[CONCAT4]],[2]!RAW[CONCAT_H],0),FALSE))</f>
        <v/>
      </c>
      <c r="AQ1163" s="66" t="str">
        <f>IF(NOTA[[#This Row],[CONCAT1]]="","",MATCH(NOTA[[#This Row],[CONCAT1]],[3]!db[NB NOTA_C],0)+1)</f>
        <v/>
      </c>
    </row>
    <row r="1164" spans="1:43" ht="20.100000000000001" customHeight="1" x14ac:dyDescent="0.25">
      <c r="A116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4" s="66" t="str">
        <f>IF(NOTA[[#This Row],[ID_P]]="","",MATCH(NOTA[[#This Row],[ID_P]],[1]!B_MSK[N_ID],0))</f>
        <v/>
      </c>
      <c r="D1164" s="66" t="str">
        <f ca="1">IF(NOTA[[#This Row],[NAMA BARANG]]="","",INDEX(NOTA[ID],MATCH(,INDIRECT(ADDRESS(ROW(NOTA[ID]),COLUMN(NOTA[ID]))&amp;":"&amp;ADDRESS(ROW(),COLUMN(NOTA[ID]))),-1)))</f>
        <v/>
      </c>
      <c r="E1164" s="113"/>
      <c r="H1164" s="54"/>
      <c r="N1164" s="66"/>
      <c r="Q1164" s="79"/>
      <c r="R1164" s="42"/>
      <c r="S1164" s="80"/>
      <c r="U1164" s="52"/>
      <c r="V1164" s="77"/>
      <c r="W1164" s="52" t="str">
        <f>IF(NOTA[[#This Row],[HARGA/ CTN]]="",NOTA[[#This Row],[JUMLAH_H]],NOTA[[#This Row],[HARGA/ CTN]]*IF(NOTA[[#This Row],[C]]="",0,NOTA[[#This Row],[C]]))</f>
        <v/>
      </c>
      <c r="X1164" s="52" t="str">
        <f>IF(NOTA[[#This Row],[JUMLAH]]="","",NOTA[[#This Row],[JUMLAH]]*NOTA[[#This Row],[DISC 1]])</f>
        <v/>
      </c>
      <c r="Y1164" s="52" t="str">
        <f>IF(NOTA[[#This Row],[JUMLAH]]="","",(NOTA[[#This Row],[JUMLAH]]-NOTA[[#This Row],[DISC 1-]])*NOTA[[#This Row],[DISC 2]])</f>
        <v/>
      </c>
      <c r="Z1164" s="52" t="str">
        <f>IF(NOTA[[#This Row],[JUMLAH]]="","",NOTA[[#This Row],[DISC 1-]]+NOTA[[#This Row],[DISC 2-]])</f>
        <v/>
      </c>
      <c r="AA1164" s="52" t="str">
        <f>IF(NOTA[[#This Row],[JUMLAH]]="","",NOTA[[#This Row],[JUMLAH]]-NOTA[[#This Row],[DISC]])</f>
        <v/>
      </c>
      <c r="AB1164" s="52"/>
      <c r="AC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4" s="203" t="str">
        <f>IF(OR(NOTA[[#This Row],[QTY]]="",NOTA[[#This Row],[HARGA SATUAN]]="",),"",NOTA[[#This Row],[QTY]]*NOTA[[#This Row],[HARGA SATUAN]])</f>
        <v/>
      </c>
      <c r="AG1164" s="53" t="str">
        <f ca="1">IF(NOTA[ID_H]="","",INDEX(NOTA[TANGGAL],MATCH(,INDIRECT(ADDRESS(ROW(NOTA[TANGGAL]),COLUMN(NOTA[TANGGAL]))&amp;":"&amp;ADDRESS(ROW(),COLUMN(NOTA[TANGGAL]))),-1)))</f>
        <v/>
      </c>
      <c r="AH1164" s="64" t="str">
        <f ca="1">IF(NOTA[[#This Row],[NAMA BARANG]]="","",INDEX(NOTA[SUPPLIER],MATCH(,INDIRECT(ADDRESS(ROW(NOTA[ID]),COLUMN(NOTA[ID]))&amp;":"&amp;ADDRESS(ROW(),COLUMN(NOTA[ID]))),-1)))</f>
        <v/>
      </c>
      <c r="AI1164" s="64" t="str">
        <f ca="1">IF(NOTA[[#This Row],[ID_H]]="","",IF(NOTA[[#This Row],[FAKTUR]]="",INDIRECT(ADDRESS(ROW()-1,COLUMN())),NOTA[[#This Row],[FAKTUR]]))</f>
        <v/>
      </c>
      <c r="AJ1164" s="66" t="str">
        <f ca="1">IF(NOTA[[#This Row],[ID]]="","",COUNTIF(NOTA[ID_H],NOTA[[#This Row],[ID_H]]))</f>
        <v/>
      </c>
      <c r="AK1164" s="66" t="str">
        <f ca="1">IF(NOTA[[#This Row],[TGL.NOTA]]="",IF(NOTA[[#This Row],[SUPPLIER_H]]="","",AK1163),MONTH(NOTA[[#This Row],[TGL.NOTA]]))</f>
        <v/>
      </c>
      <c r="AL1164" s="66" t="str">
        <f>LOWER(SUBSTITUTE(SUBSTITUTE(SUBSTITUTE(SUBSTITUTE(SUBSTITUTE(SUBSTITUTE(SUBSTITUTE(SUBSTITUTE(SUBSTITUTE(NOTA[NAMA BARANG]," ",),".",""),"-",""),"(",""),")",""),",",""),"/",""),"""",""),"+",""))</f>
        <v/>
      </c>
      <c r="AM11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4" s="66" t="str">
        <f>IF(NOTA[[#This Row],[CONCAT4]]="","",_xlfn.IFNA(MATCH(NOTA[[#This Row],[CONCAT4]],[2]!RAW[CONCAT_H],0),FALSE))</f>
        <v/>
      </c>
      <c r="AQ1164" s="66" t="str">
        <f>IF(NOTA[[#This Row],[CONCAT1]]="","",MATCH(NOTA[[#This Row],[CONCAT1]],[3]!db[NB NOTA_C],0)+1)</f>
        <v/>
      </c>
    </row>
    <row r="1165" spans="1:43" ht="20.100000000000001" customHeight="1" x14ac:dyDescent="0.25">
      <c r="A116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5" s="66" t="str">
        <f>IF(NOTA[[#This Row],[ID_P]]="","",MATCH(NOTA[[#This Row],[ID_P]],[1]!B_MSK[N_ID],0))</f>
        <v/>
      </c>
      <c r="D1165" s="66" t="str">
        <f ca="1">IF(NOTA[[#This Row],[NAMA BARANG]]="","",INDEX(NOTA[ID],MATCH(,INDIRECT(ADDRESS(ROW(NOTA[ID]),COLUMN(NOTA[ID]))&amp;":"&amp;ADDRESS(ROW(),COLUMN(NOTA[ID]))),-1)))</f>
        <v/>
      </c>
      <c r="E1165" s="113"/>
      <c r="H1165" s="54"/>
      <c r="N1165" s="66"/>
      <c r="Q1165" s="79"/>
      <c r="R1165" s="42"/>
      <c r="S1165" s="80"/>
      <c r="U1165" s="52"/>
      <c r="V1165" s="77"/>
      <c r="W1165" s="52" t="str">
        <f>IF(NOTA[[#This Row],[HARGA/ CTN]]="",NOTA[[#This Row],[JUMLAH_H]],NOTA[[#This Row],[HARGA/ CTN]]*IF(NOTA[[#This Row],[C]]="",0,NOTA[[#This Row],[C]]))</f>
        <v/>
      </c>
      <c r="X1165" s="52" t="str">
        <f>IF(NOTA[[#This Row],[JUMLAH]]="","",NOTA[[#This Row],[JUMLAH]]*NOTA[[#This Row],[DISC 1]])</f>
        <v/>
      </c>
      <c r="Y1165" s="52" t="str">
        <f>IF(NOTA[[#This Row],[JUMLAH]]="","",(NOTA[[#This Row],[JUMLAH]]-NOTA[[#This Row],[DISC 1-]])*NOTA[[#This Row],[DISC 2]])</f>
        <v/>
      </c>
      <c r="Z1165" s="52" t="str">
        <f>IF(NOTA[[#This Row],[JUMLAH]]="","",NOTA[[#This Row],[DISC 1-]]+NOTA[[#This Row],[DISC 2-]])</f>
        <v/>
      </c>
      <c r="AA1165" s="52" t="str">
        <f>IF(NOTA[[#This Row],[JUMLAH]]="","",NOTA[[#This Row],[JUMLAH]]-NOTA[[#This Row],[DISC]])</f>
        <v/>
      </c>
      <c r="AB1165" s="52"/>
      <c r="AC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5" s="203" t="str">
        <f>IF(OR(NOTA[[#This Row],[QTY]]="",NOTA[[#This Row],[HARGA SATUAN]]="",),"",NOTA[[#This Row],[QTY]]*NOTA[[#This Row],[HARGA SATUAN]])</f>
        <v/>
      </c>
      <c r="AG1165" s="53" t="str">
        <f ca="1">IF(NOTA[ID_H]="","",INDEX(NOTA[TANGGAL],MATCH(,INDIRECT(ADDRESS(ROW(NOTA[TANGGAL]),COLUMN(NOTA[TANGGAL]))&amp;":"&amp;ADDRESS(ROW(),COLUMN(NOTA[TANGGAL]))),-1)))</f>
        <v/>
      </c>
      <c r="AH1165" s="64" t="str">
        <f ca="1">IF(NOTA[[#This Row],[NAMA BARANG]]="","",INDEX(NOTA[SUPPLIER],MATCH(,INDIRECT(ADDRESS(ROW(NOTA[ID]),COLUMN(NOTA[ID]))&amp;":"&amp;ADDRESS(ROW(),COLUMN(NOTA[ID]))),-1)))</f>
        <v/>
      </c>
      <c r="AI1165" s="64" t="str">
        <f ca="1">IF(NOTA[[#This Row],[ID_H]]="","",IF(NOTA[[#This Row],[FAKTUR]]="",INDIRECT(ADDRESS(ROW()-1,COLUMN())),NOTA[[#This Row],[FAKTUR]]))</f>
        <v/>
      </c>
      <c r="AJ1165" s="66" t="str">
        <f ca="1">IF(NOTA[[#This Row],[ID]]="","",COUNTIF(NOTA[ID_H],NOTA[[#This Row],[ID_H]]))</f>
        <v/>
      </c>
      <c r="AK1165" s="66" t="str">
        <f ca="1">IF(NOTA[[#This Row],[TGL.NOTA]]="",IF(NOTA[[#This Row],[SUPPLIER_H]]="","",AK1164),MONTH(NOTA[[#This Row],[TGL.NOTA]]))</f>
        <v/>
      </c>
      <c r="AL1165" s="66" t="str">
        <f>LOWER(SUBSTITUTE(SUBSTITUTE(SUBSTITUTE(SUBSTITUTE(SUBSTITUTE(SUBSTITUTE(SUBSTITUTE(SUBSTITUTE(SUBSTITUTE(NOTA[NAMA BARANG]," ",),".",""),"-",""),"(",""),")",""),",",""),"/",""),"""",""),"+",""))</f>
        <v/>
      </c>
      <c r="AM11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5" s="66" t="str">
        <f>IF(NOTA[[#This Row],[CONCAT4]]="","",_xlfn.IFNA(MATCH(NOTA[[#This Row],[CONCAT4]],[2]!RAW[CONCAT_H],0),FALSE))</f>
        <v/>
      </c>
      <c r="AQ1165" s="66" t="str">
        <f>IF(NOTA[[#This Row],[CONCAT1]]="","",MATCH(NOTA[[#This Row],[CONCAT1]],[3]!db[NB NOTA_C],0)+1)</f>
        <v/>
      </c>
    </row>
    <row r="1166" spans="1:43" ht="20.100000000000001" customHeight="1" x14ac:dyDescent="0.25">
      <c r="A116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6" s="66" t="str">
        <f>IF(NOTA[[#This Row],[ID_P]]="","",MATCH(NOTA[[#This Row],[ID_P]],[1]!B_MSK[N_ID],0))</f>
        <v/>
      </c>
      <c r="D1166" s="66" t="str">
        <f ca="1">IF(NOTA[[#This Row],[NAMA BARANG]]="","",INDEX(NOTA[ID],MATCH(,INDIRECT(ADDRESS(ROW(NOTA[ID]),COLUMN(NOTA[ID]))&amp;":"&amp;ADDRESS(ROW(),COLUMN(NOTA[ID]))),-1)))</f>
        <v/>
      </c>
      <c r="E1166" s="113"/>
      <c r="H1166" s="54"/>
      <c r="N1166" s="66"/>
      <c r="Q1166" s="79"/>
      <c r="R1166" s="42"/>
      <c r="S1166" s="80"/>
      <c r="U1166" s="52"/>
      <c r="V1166" s="77"/>
      <c r="W1166" s="52" t="str">
        <f>IF(NOTA[[#This Row],[HARGA/ CTN]]="",NOTA[[#This Row],[JUMLAH_H]],NOTA[[#This Row],[HARGA/ CTN]]*IF(NOTA[[#This Row],[C]]="",0,NOTA[[#This Row],[C]]))</f>
        <v/>
      </c>
      <c r="X1166" s="52" t="str">
        <f>IF(NOTA[[#This Row],[JUMLAH]]="","",NOTA[[#This Row],[JUMLAH]]*NOTA[[#This Row],[DISC 1]])</f>
        <v/>
      </c>
      <c r="Y1166" s="52" t="str">
        <f>IF(NOTA[[#This Row],[JUMLAH]]="","",(NOTA[[#This Row],[JUMLAH]]-NOTA[[#This Row],[DISC 1-]])*NOTA[[#This Row],[DISC 2]])</f>
        <v/>
      </c>
      <c r="Z1166" s="52" t="str">
        <f>IF(NOTA[[#This Row],[JUMLAH]]="","",NOTA[[#This Row],[DISC 1-]]+NOTA[[#This Row],[DISC 2-]])</f>
        <v/>
      </c>
      <c r="AA1166" s="52" t="str">
        <f>IF(NOTA[[#This Row],[JUMLAH]]="","",NOTA[[#This Row],[JUMLAH]]-NOTA[[#This Row],[DISC]])</f>
        <v/>
      </c>
      <c r="AB1166" s="52"/>
      <c r="AC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6" s="203" t="str">
        <f>IF(OR(NOTA[[#This Row],[QTY]]="",NOTA[[#This Row],[HARGA SATUAN]]="",),"",NOTA[[#This Row],[QTY]]*NOTA[[#This Row],[HARGA SATUAN]])</f>
        <v/>
      </c>
      <c r="AG1166" s="53" t="str">
        <f ca="1">IF(NOTA[ID_H]="","",INDEX(NOTA[TANGGAL],MATCH(,INDIRECT(ADDRESS(ROW(NOTA[TANGGAL]),COLUMN(NOTA[TANGGAL]))&amp;":"&amp;ADDRESS(ROW(),COLUMN(NOTA[TANGGAL]))),-1)))</f>
        <v/>
      </c>
      <c r="AH1166" s="64" t="str">
        <f ca="1">IF(NOTA[[#This Row],[NAMA BARANG]]="","",INDEX(NOTA[SUPPLIER],MATCH(,INDIRECT(ADDRESS(ROW(NOTA[ID]),COLUMN(NOTA[ID]))&amp;":"&amp;ADDRESS(ROW(),COLUMN(NOTA[ID]))),-1)))</f>
        <v/>
      </c>
      <c r="AI1166" s="64" t="str">
        <f ca="1">IF(NOTA[[#This Row],[ID_H]]="","",IF(NOTA[[#This Row],[FAKTUR]]="",INDIRECT(ADDRESS(ROW()-1,COLUMN())),NOTA[[#This Row],[FAKTUR]]))</f>
        <v/>
      </c>
      <c r="AJ1166" s="66" t="str">
        <f ca="1">IF(NOTA[[#This Row],[ID]]="","",COUNTIF(NOTA[ID_H],NOTA[[#This Row],[ID_H]]))</f>
        <v/>
      </c>
      <c r="AK1166" s="66" t="str">
        <f ca="1">IF(NOTA[[#This Row],[TGL.NOTA]]="",IF(NOTA[[#This Row],[SUPPLIER_H]]="","",AK1165),MONTH(NOTA[[#This Row],[TGL.NOTA]]))</f>
        <v/>
      </c>
      <c r="AL1166" s="66" t="str">
        <f>LOWER(SUBSTITUTE(SUBSTITUTE(SUBSTITUTE(SUBSTITUTE(SUBSTITUTE(SUBSTITUTE(SUBSTITUTE(SUBSTITUTE(SUBSTITUTE(NOTA[NAMA BARANG]," ",),".",""),"-",""),"(",""),")",""),",",""),"/",""),"""",""),"+",""))</f>
        <v/>
      </c>
      <c r="AM11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6" s="66" t="str">
        <f>IF(NOTA[[#This Row],[CONCAT4]]="","",_xlfn.IFNA(MATCH(NOTA[[#This Row],[CONCAT4]],[2]!RAW[CONCAT_H],0),FALSE))</f>
        <v/>
      </c>
      <c r="AQ1166" s="66" t="str">
        <f>IF(NOTA[[#This Row],[CONCAT1]]="","",MATCH(NOTA[[#This Row],[CONCAT1]],[3]!db[NB NOTA_C],0)+1)</f>
        <v/>
      </c>
    </row>
    <row r="1167" spans="1:43" ht="20.100000000000001" customHeight="1" x14ac:dyDescent="0.25">
      <c r="A116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7" s="66" t="str">
        <f>IF(NOTA[[#This Row],[ID_P]]="","",MATCH(NOTA[[#This Row],[ID_P]],[1]!B_MSK[N_ID],0))</f>
        <v/>
      </c>
      <c r="D1167" s="66" t="str">
        <f ca="1">IF(NOTA[[#This Row],[NAMA BARANG]]="","",INDEX(NOTA[ID],MATCH(,INDIRECT(ADDRESS(ROW(NOTA[ID]),COLUMN(NOTA[ID]))&amp;":"&amp;ADDRESS(ROW(),COLUMN(NOTA[ID]))),-1)))</f>
        <v/>
      </c>
      <c r="E1167" s="113"/>
      <c r="H1167" s="54"/>
      <c r="N1167" s="66"/>
      <c r="Q1167" s="79"/>
      <c r="R1167" s="42"/>
      <c r="S1167" s="80"/>
      <c r="U1167" s="52"/>
      <c r="V1167" s="77"/>
      <c r="W1167" s="52" t="str">
        <f>IF(NOTA[[#This Row],[HARGA/ CTN]]="",NOTA[[#This Row],[JUMLAH_H]],NOTA[[#This Row],[HARGA/ CTN]]*IF(NOTA[[#This Row],[C]]="",0,NOTA[[#This Row],[C]]))</f>
        <v/>
      </c>
      <c r="X1167" s="52" t="str">
        <f>IF(NOTA[[#This Row],[JUMLAH]]="","",NOTA[[#This Row],[JUMLAH]]*NOTA[[#This Row],[DISC 1]])</f>
        <v/>
      </c>
      <c r="Y1167" s="52" t="str">
        <f>IF(NOTA[[#This Row],[JUMLAH]]="","",(NOTA[[#This Row],[JUMLAH]]-NOTA[[#This Row],[DISC 1-]])*NOTA[[#This Row],[DISC 2]])</f>
        <v/>
      </c>
      <c r="Z1167" s="52" t="str">
        <f>IF(NOTA[[#This Row],[JUMLAH]]="","",NOTA[[#This Row],[DISC 1-]]+NOTA[[#This Row],[DISC 2-]])</f>
        <v/>
      </c>
      <c r="AA1167" s="52" t="str">
        <f>IF(NOTA[[#This Row],[JUMLAH]]="","",NOTA[[#This Row],[JUMLAH]]-NOTA[[#This Row],[DISC]])</f>
        <v/>
      </c>
      <c r="AB1167" s="52"/>
      <c r="AC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7" s="203" t="str">
        <f>IF(OR(NOTA[[#This Row],[QTY]]="",NOTA[[#This Row],[HARGA SATUAN]]="",),"",NOTA[[#This Row],[QTY]]*NOTA[[#This Row],[HARGA SATUAN]])</f>
        <v/>
      </c>
      <c r="AG1167" s="53" t="str">
        <f ca="1">IF(NOTA[ID_H]="","",INDEX(NOTA[TANGGAL],MATCH(,INDIRECT(ADDRESS(ROW(NOTA[TANGGAL]),COLUMN(NOTA[TANGGAL]))&amp;":"&amp;ADDRESS(ROW(),COLUMN(NOTA[TANGGAL]))),-1)))</f>
        <v/>
      </c>
      <c r="AH1167" s="64" t="str">
        <f ca="1">IF(NOTA[[#This Row],[NAMA BARANG]]="","",INDEX(NOTA[SUPPLIER],MATCH(,INDIRECT(ADDRESS(ROW(NOTA[ID]),COLUMN(NOTA[ID]))&amp;":"&amp;ADDRESS(ROW(),COLUMN(NOTA[ID]))),-1)))</f>
        <v/>
      </c>
      <c r="AI1167" s="64" t="str">
        <f ca="1">IF(NOTA[[#This Row],[ID_H]]="","",IF(NOTA[[#This Row],[FAKTUR]]="",INDIRECT(ADDRESS(ROW()-1,COLUMN())),NOTA[[#This Row],[FAKTUR]]))</f>
        <v/>
      </c>
      <c r="AJ1167" s="66" t="str">
        <f ca="1">IF(NOTA[[#This Row],[ID]]="","",COUNTIF(NOTA[ID_H],NOTA[[#This Row],[ID_H]]))</f>
        <v/>
      </c>
      <c r="AK1167" s="66" t="str">
        <f ca="1">IF(NOTA[[#This Row],[TGL.NOTA]]="",IF(NOTA[[#This Row],[SUPPLIER_H]]="","",AK1166),MONTH(NOTA[[#This Row],[TGL.NOTA]]))</f>
        <v/>
      </c>
      <c r="AL1167" s="66" t="str">
        <f>LOWER(SUBSTITUTE(SUBSTITUTE(SUBSTITUTE(SUBSTITUTE(SUBSTITUTE(SUBSTITUTE(SUBSTITUTE(SUBSTITUTE(SUBSTITUTE(NOTA[NAMA BARANG]," ",),".",""),"-",""),"(",""),")",""),",",""),"/",""),"""",""),"+",""))</f>
        <v/>
      </c>
      <c r="AM11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7" s="66" t="str">
        <f>IF(NOTA[[#This Row],[CONCAT4]]="","",_xlfn.IFNA(MATCH(NOTA[[#This Row],[CONCAT4]],[2]!RAW[CONCAT_H],0),FALSE))</f>
        <v/>
      </c>
      <c r="AQ1167" s="66" t="str">
        <f>IF(NOTA[[#This Row],[CONCAT1]]="","",MATCH(NOTA[[#This Row],[CONCAT1]],[3]!db[NB NOTA_C],0)+1)</f>
        <v/>
      </c>
    </row>
    <row r="1168" spans="1:43" ht="20.100000000000001" customHeight="1" x14ac:dyDescent="0.25">
      <c r="A116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8" s="66" t="str">
        <f>IF(NOTA[[#This Row],[ID_P]]="","",MATCH(NOTA[[#This Row],[ID_P]],[1]!B_MSK[N_ID],0))</f>
        <v/>
      </c>
      <c r="D1168" s="66" t="str">
        <f ca="1">IF(NOTA[[#This Row],[NAMA BARANG]]="","",INDEX(NOTA[ID],MATCH(,INDIRECT(ADDRESS(ROW(NOTA[ID]),COLUMN(NOTA[ID]))&amp;":"&amp;ADDRESS(ROW(),COLUMN(NOTA[ID]))),-1)))</f>
        <v/>
      </c>
      <c r="E1168" s="113"/>
      <c r="H1168" s="54"/>
      <c r="N1168" s="66"/>
      <c r="Q1168" s="79"/>
      <c r="R1168" s="42"/>
      <c r="S1168" s="80"/>
      <c r="U1168" s="52"/>
      <c r="V1168" s="77"/>
      <c r="W1168" s="52" t="str">
        <f>IF(NOTA[[#This Row],[HARGA/ CTN]]="",NOTA[[#This Row],[JUMLAH_H]],NOTA[[#This Row],[HARGA/ CTN]]*IF(NOTA[[#This Row],[C]]="",0,NOTA[[#This Row],[C]]))</f>
        <v/>
      </c>
      <c r="X1168" s="52" t="str">
        <f>IF(NOTA[[#This Row],[JUMLAH]]="","",NOTA[[#This Row],[JUMLAH]]*NOTA[[#This Row],[DISC 1]])</f>
        <v/>
      </c>
      <c r="Y1168" s="52" t="str">
        <f>IF(NOTA[[#This Row],[JUMLAH]]="","",(NOTA[[#This Row],[JUMLAH]]-NOTA[[#This Row],[DISC 1-]])*NOTA[[#This Row],[DISC 2]])</f>
        <v/>
      </c>
      <c r="Z1168" s="52" t="str">
        <f>IF(NOTA[[#This Row],[JUMLAH]]="","",NOTA[[#This Row],[DISC 1-]]+NOTA[[#This Row],[DISC 2-]])</f>
        <v/>
      </c>
      <c r="AA1168" s="52" t="str">
        <f>IF(NOTA[[#This Row],[JUMLAH]]="","",NOTA[[#This Row],[JUMLAH]]-NOTA[[#This Row],[DISC]])</f>
        <v/>
      </c>
      <c r="AB1168" s="52"/>
      <c r="AC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8" s="203" t="str">
        <f>IF(OR(NOTA[[#This Row],[QTY]]="",NOTA[[#This Row],[HARGA SATUAN]]="",),"",NOTA[[#This Row],[QTY]]*NOTA[[#This Row],[HARGA SATUAN]])</f>
        <v/>
      </c>
      <c r="AG1168" s="53" t="str">
        <f ca="1">IF(NOTA[ID_H]="","",INDEX(NOTA[TANGGAL],MATCH(,INDIRECT(ADDRESS(ROW(NOTA[TANGGAL]),COLUMN(NOTA[TANGGAL]))&amp;":"&amp;ADDRESS(ROW(),COLUMN(NOTA[TANGGAL]))),-1)))</f>
        <v/>
      </c>
      <c r="AH1168" s="64" t="str">
        <f ca="1">IF(NOTA[[#This Row],[NAMA BARANG]]="","",INDEX(NOTA[SUPPLIER],MATCH(,INDIRECT(ADDRESS(ROW(NOTA[ID]),COLUMN(NOTA[ID]))&amp;":"&amp;ADDRESS(ROW(),COLUMN(NOTA[ID]))),-1)))</f>
        <v/>
      </c>
      <c r="AI1168" s="64" t="str">
        <f ca="1">IF(NOTA[[#This Row],[ID_H]]="","",IF(NOTA[[#This Row],[FAKTUR]]="",INDIRECT(ADDRESS(ROW()-1,COLUMN())),NOTA[[#This Row],[FAKTUR]]))</f>
        <v/>
      </c>
      <c r="AJ1168" s="66" t="str">
        <f ca="1">IF(NOTA[[#This Row],[ID]]="","",COUNTIF(NOTA[ID_H],NOTA[[#This Row],[ID_H]]))</f>
        <v/>
      </c>
      <c r="AK1168" s="66" t="str">
        <f ca="1">IF(NOTA[[#This Row],[TGL.NOTA]]="",IF(NOTA[[#This Row],[SUPPLIER_H]]="","",AK1167),MONTH(NOTA[[#This Row],[TGL.NOTA]]))</f>
        <v/>
      </c>
      <c r="AL1168" s="66" t="str">
        <f>LOWER(SUBSTITUTE(SUBSTITUTE(SUBSTITUTE(SUBSTITUTE(SUBSTITUTE(SUBSTITUTE(SUBSTITUTE(SUBSTITUTE(SUBSTITUTE(NOTA[NAMA BARANG]," ",),".",""),"-",""),"(",""),")",""),",",""),"/",""),"""",""),"+",""))</f>
        <v/>
      </c>
      <c r="AM11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8" s="66" t="str">
        <f>IF(NOTA[[#This Row],[CONCAT4]]="","",_xlfn.IFNA(MATCH(NOTA[[#This Row],[CONCAT4]],[2]!RAW[CONCAT_H],0),FALSE))</f>
        <v/>
      </c>
      <c r="AQ1168" s="66" t="str">
        <f>IF(NOTA[[#This Row],[CONCAT1]]="","",MATCH(NOTA[[#This Row],[CONCAT1]],[3]!db[NB NOTA_C],0)+1)</f>
        <v/>
      </c>
    </row>
    <row r="1169" spans="1:43" ht="20.100000000000001" customHeight="1" x14ac:dyDescent="0.25">
      <c r="A116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9" s="66" t="str">
        <f>IF(NOTA[[#This Row],[ID_P]]="","",MATCH(NOTA[[#This Row],[ID_P]],[1]!B_MSK[N_ID],0))</f>
        <v/>
      </c>
      <c r="D1169" s="66" t="str">
        <f ca="1">IF(NOTA[[#This Row],[NAMA BARANG]]="","",INDEX(NOTA[ID],MATCH(,INDIRECT(ADDRESS(ROW(NOTA[ID]),COLUMN(NOTA[ID]))&amp;":"&amp;ADDRESS(ROW(),COLUMN(NOTA[ID]))),-1)))</f>
        <v/>
      </c>
      <c r="E1169" s="113"/>
      <c r="H1169" s="54"/>
      <c r="N1169" s="66"/>
      <c r="Q1169" s="79"/>
      <c r="R1169" s="42"/>
      <c r="S1169" s="80"/>
      <c r="U1169" s="52"/>
      <c r="V1169" s="77"/>
      <c r="W1169" s="52" t="str">
        <f>IF(NOTA[[#This Row],[HARGA/ CTN]]="",NOTA[[#This Row],[JUMLAH_H]],NOTA[[#This Row],[HARGA/ CTN]]*IF(NOTA[[#This Row],[C]]="",0,NOTA[[#This Row],[C]]))</f>
        <v/>
      </c>
      <c r="X1169" s="52" t="str">
        <f>IF(NOTA[[#This Row],[JUMLAH]]="","",NOTA[[#This Row],[JUMLAH]]*NOTA[[#This Row],[DISC 1]])</f>
        <v/>
      </c>
      <c r="Y1169" s="52" t="str">
        <f>IF(NOTA[[#This Row],[JUMLAH]]="","",(NOTA[[#This Row],[JUMLAH]]-NOTA[[#This Row],[DISC 1-]])*NOTA[[#This Row],[DISC 2]])</f>
        <v/>
      </c>
      <c r="Z1169" s="52" t="str">
        <f>IF(NOTA[[#This Row],[JUMLAH]]="","",NOTA[[#This Row],[DISC 1-]]+NOTA[[#This Row],[DISC 2-]])</f>
        <v/>
      </c>
      <c r="AA1169" s="52" t="str">
        <f>IF(NOTA[[#This Row],[JUMLAH]]="","",NOTA[[#This Row],[JUMLAH]]-NOTA[[#This Row],[DISC]])</f>
        <v/>
      </c>
      <c r="AB1169" s="52"/>
      <c r="AC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69" s="203" t="str">
        <f>IF(OR(NOTA[[#This Row],[QTY]]="",NOTA[[#This Row],[HARGA SATUAN]]="",),"",NOTA[[#This Row],[QTY]]*NOTA[[#This Row],[HARGA SATUAN]])</f>
        <v/>
      </c>
      <c r="AG1169" s="53" t="str">
        <f ca="1">IF(NOTA[ID_H]="","",INDEX(NOTA[TANGGAL],MATCH(,INDIRECT(ADDRESS(ROW(NOTA[TANGGAL]),COLUMN(NOTA[TANGGAL]))&amp;":"&amp;ADDRESS(ROW(),COLUMN(NOTA[TANGGAL]))),-1)))</f>
        <v/>
      </c>
      <c r="AH1169" s="64" t="str">
        <f ca="1">IF(NOTA[[#This Row],[NAMA BARANG]]="","",INDEX(NOTA[SUPPLIER],MATCH(,INDIRECT(ADDRESS(ROW(NOTA[ID]),COLUMN(NOTA[ID]))&amp;":"&amp;ADDRESS(ROW(),COLUMN(NOTA[ID]))),-1)))</f>
        <v/>
      </c>
      <c r="AI1169" s="64" t="str">
        <f ca="1">IF(NOTA[[#This Row],[ID_H]]="","",IF(NOTA[[#This Row],[FAKTUR]]="",INDIRECT(ADDRESS(ROW()-1,COLUMN())),NOTA[[#This Row],[FAKTUR]]))</f>
        <v/>
      </c>
      <c r="AJ1169" s="66" t="str">
        <f ca="1">IF(NOTA[[#This Row],[ID]]="","",COUNTIF(NOTA[ID_H],NOTA[[#This Row],[ID_H]]))</f>
        <v/>
      </c>
      <c r="AK1169" s="66" t="str">
        <f ca="1">IF(NOTA[[#This Row],[TGL.NOTA]]="",IF(NOTA[[#This Row],[SUPPLIER_H]]="","",AK1168),MONTH(NOTA[[#This Row],[TGL.NOTA]]))</f>
        <v/>
      </c>
      <c r="AL1169" s="66" t="str">
        <f>LOWER(SUBSTITUTE(SUBSTITUTE(SUBSTITUTE(SUBSTITUTE(SUBSTITUTE(SUBSTITUTE(SUBSTITUTE(SUBSTITUTE(SUBSTITUTE(NOTA[NAMA BARANG]," ",),".",""),"-",""),"(",""),")",""),",",""),"/",""),"""",""),"+",""))</f>
        <v/>
      </c>
      <c r="AM11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9" s="66" t="str">
        <f>IF(NOTA[[#This Row],[CONCAT4]]="","",_xlfn.IFNA(MATCH(NOTA[[#This Row],[CONCAT4]],[2]!RAW[CONCAT_H],0),FALSE))</f>
        <v/>
      </c>
      <c r="AQ1169" s="66" t="str">
        <f>IF(NOTA[[#This Row],[CONCAT1]]="","",MATCH(NOTA[[#This Row],[CONCAT1]],[3]!db[NB NOTA_C],0)+1)</f>
        <v/>
      </c>
    </row>
    <row r="1170" spans="1:43" ht="20.100000000000001" customHeight="1" x14ac:dyDescent="0.25">
      <c r="A117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0" s="66" t="str">
        <f>IF(NOTA[[#This Row],[ID_P]]="","",MATCH(NOTA[[#This Row],[ID_P]],[1]!B_MSK[N_ID],0))</f>
        <v/>
      </c>
      <c r="D1170" s="66" t="str">
        <f ca="1">IF(NOTA[[#This Row],[NAMA BARANG]]="","",INDEX(NOTA[ID],MATCH(,INDIRECT(ADDRESS(ROW(NOTA[ID]),COLUMN(NOTA[ID]))&amp;":"&amp;ADDRESS(ROW(),COLUMN(NOTA[ID]))),-1)))</f>
        <v/>
      </c>
      <c r="E1170" s="113"/>
      <c r="H1170" s="54"/>
      <c r="N1170" s="66"/>
      <c r="Q1170" s="79"/>
      <c r="R1170" s="42"/>
      <c r="S1170" s="80"/>
      <c r="U1170" s="52"/>
      <c r="V1170" s="77"/>
      <c r="W1170" s="52" t="str">
        <f>IF(NOTA[[#This Row],[HARGA/ CTN]]="",NOTA[[#This Row],[JUMLAH_H]],NOTA[[#This Row],[HARGA/ CTN]]*IF(NOTA[[#This Row],[C]]="",0,NOTA[[#This Row],[C]]))</f>
        <v/>
      </c>
      <c r="X1170" s="52" t="str">
        <f>IF(NOTA[[#This Row],[JUMLAH]]="","",NOTA[[#This Row],[JUMLAH]]*NOTA[[#This Row],[DISC 1]])</f>
        <v/>
      </c>
      <c r="Y1170" s="52" t="str">
        <f>IF(NOTA[[#This Row],[JUMLAH]]="","",(NOTA[[#This Row],[JUMLAH]]-NOTA[[#This Row],[DISC 1-]])*NOTA[[#This Row],[DISC 2]])</f>
        <v/>
      </c>
      <c r="Z1170" s="52" t="str">
        <f>IF(NOTA[[#This Row],[JUMLAH]]="","",NOTA[[#This Row],[DISC 1-]]+NOTA[[#This Row],[DISC 2-]])</f>
        <v/>
      </c>
      <c r="AA1170" s="52" t="str">
        <f>IF(NOTA[[#This Row],[JUMLAH]]="","",NOTA[[#This Row],[JUMLAH]]-NOTA[[#This Row],[DISC]])</f>
        <v/>
      </c>
      <c r="AB1170" s="52"/>
      <c r="AC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0" s="203" t="str">
        <f>IF(OR(NOTA[[#This Row],[QTY]]="",NOTA[[#This Row],[HARGA SATUAN]]="",),"",NOTA[[#This Row],[QTY]]*NOTA[[#This Row],[HARGA SATUAN]])</f>
        <v/>
      </c>
      <c r="AG1170" s="53" t="str">
        <f ca="1">IF(NOTA[ID_H]="","",INDEX(NOTA[TANGGAL],MATCH(,INDIRECT(ADDRESS(ROW(NOTA[TANGGAL]),COLUMN(NOTA[TANGGAL]))&amp;":"&amp;ADDRESS(ROW(),COLUMN(NOTA[TANGGAL]))),-1)))</f>
        <v/>
      </c>
      <c r="AH1170" s="64" t="str">
        <f ca="1">IF(NOTA[[#This Row],[NAMA BARANG]]="","",INDEX(NOTA[SUPPLIER],MATCH(,INDIRECT(ADDRESS(ROW(NOTA[ID]),COLUMN(NOTA[ID]))&amp;":"&amp;ADDRESS(ROW(),COLUMN(NOTA[ID]))),-1)))</f>
        <v/>
      </c>
      <c r="AI1170" s="64" t="str">
        <f ca="1">IF(NOTA[[#This Row],[ID_H]]="","",IF(NOTA[[#This Row],[FAKTUR]]="",INDIRECT(ADDRESS(ROW()-1,COLUMN())),NOTA[[#This Row],[FAKTUR]]))</f>
        <v/>
      </c>
      <c r="AJ1170" s="66" t="str">
        <f ca="1">IF(NOTA[[#This Row],[ID]]="","",COUNTIF(NOTA[ID_H],NOTA[[#This Row],[ID_H]]))</f>
        <v/>
      </c>
      <c r="AK1170" s="66" t="str">
        <f ca="1">IF(NOTA[[#This Row],[TGL.NOTA]]="",IF(NOTA[[#This Row],[SUPPLIER_H]]="","",AK1169),MONTH(NOTA[[#This Row],[TGL.NOTA]]))</f>
        <v/>
      </c>
      <c r="AL1170" s="66" t="str">
        <f>LOWER(SUBSTITUTE(SUBSTITUTE(SUBSTITUTE(SUBSTITUTE(SUBSTITUTE(SUBSTITUTE(SUBSTITUTE(SUBSTITUTE(SUBSTITUTE(NOTA[NAMA BARANG]," ",),".",""),"-",""),"(",""),")",""),",",""),"/",""),"""",""),"+",""))</f>
        <v/>
      </c>
      <c r="AM11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0" s="66" t="str">
        <f>IF(NOTA[[#This Row],[CONCAT4]]="","",_xlfn.IFNA(MATCH(NOTA[[#This Row],[CONCAT4]],[2]!RAW[CONCAT_H],0),FALSE))</f>
        <v/>
      </c>
      <c r="AQ1170" s="66" t="str">
        <f>IF(NOTA[[#This Row],[CONCAT1]]="","",MATCH(NOTA[[#This Row],[CONCAT1]],[3]!db[NB NOTA_C],0)+1)</f>
        <v/>
      </c>
    </row>
    <row r="1171" spans="1:43" ht="20.100000000000001" customHeight="1" x14ac:dyDescent="0.25">
      <c r="A117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1" s="66" t="str">
        <f>IF(NOTA[[#This Row],[ID_P]]="","",MATCH(NOTA[[#This Row],[ID_P]],[1]!B_MSK[N_ID],0))</f>
        <v/>
      </c>
      <c r="D1171" s="66" t="str">
        <f ca="1">IF(NOTA[[#This Row],[NAMA BARANG]]="","",INDEX(NOTA[ID],MATCH(,INDIRECT(ADDRESS(ROW(NOTA[ID]),COLUMN(NOTA[ID]))&amp;":"&amp;ADDRESS(ROW(),COLUMN(NOTA[ID]))),-1)))</f>
        <v/>
      </c>
      <c r="E1171" s="113"/>
      <c r="H1171" s="54"/>
      <c r="N1171" s="66"/>
      <c r="Q1171" s="79"/>
      <c r="R1171" s="42"/>
      <c r="S1171" s="80"/>
      <c r="U1171" s="52"/>
      <c r="V1171" s="77"/>
      <c r="W1171" s="52" t="str">
        <f>IF(NOTA[[#This Row],[HARGA/ CTN]]="",NOTA[[#This Row],[JUMLAH_H]],NOTA[[#This Row],[HARGA/ CTN]]*IF(NOTA[[#This Row],[C]]="",0,NOTA[[#This Row],[C]]))</f>
        <v/>
      </c>
      <c r="X1171" s="52" t="str">
        <f>IF(NOTA[[#This Row],[JUMLAH]]="","",NOTA[[#This Row],[JUMLAH]]*NOTA[[#This Row],[DISC 1]])</f>
        <v/>
      </c>
      <c r="Y1171" s="52" t="str">
        <f>IF(NOTA[[#This Row],[JUMLAH]]="","",(NOTA[[#This Row],[JUMLAH]]-NOTA[[#This Row],[DISC 1-]])*NOTA[[#This Row],[DISC 2]])</f>
        <v/>
      </c>
      <c r="Z1171" s="52" t="str">
        <f>IF(NOTA[[#This Row],[JUMLAH]]="","",NOTA[[#This Row],[DISC 1-]]+NOTA[[#This Row],[DISC 2-]])</f>
        <v/>
      </c>
      <c r="AA1171" s="52" t="str">
        <f>IF(NOTA[[#This Row],[JUMLAH]]="","",NOTA[[#This Row],[JUMLAH]]-NOTA[[#This Row],[DISC]])</f>
        <v/>
      </c>
      <c r="AB1171" s="52"/>
      <c r="AC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1" s="203" t="str">
        <f>IF(OR(NOTA[[#This Row],[QTY]]="",NOTA[[#This Row],[HARGA SATUAN]]="",),"",NOTA[[#This Row],[QTY]]*NOTA[[#This Row],[HARGA SATUAN]])</f>
        <v/>
      </c>
      <c r="AG1171" s="53" t="str">
        <f ca="1">IF(NOTA[ID_H]="","",INDEX(NOTA[TANGGAL],MATCH(,INDIRECT(ADDRESS(ROW(NOTA[TANGGAL]),COLUMN(NOTA[TANGGAL]))&amp;":"&amp;ADDRESS(ROW(),COLUMN(NOTA[TANGGAL]))),-1)))</f>
        <v/>
      </c>
      <c r="AH1171" s="64" t="str">
        <f ca="1">IF(NOTA[[#This Row],[NAMA BARANG]]="","",INDEX(NOTA[SUPPLIER],MATCH(,INDIRECT(ADDRESS(ROW(NOTA[ID]),COLUMN(NOTA[ID]))&amp;":"&amp;ADDRESS(ROW(),COLUMN(NOTA[ID]))),-1)))</f>
        <v/>
      </c>
      <c r="AI1171" s="64" t="str">
        <f ca="1">IF(NOTA[[#This Row],[ID_H]]="","",IF(NOTA[[#This Row],[FAKTUR]]="",INDIRECT(ADDRESS(ROW()-1,COLUMN())),NOTA[[#This Row],[FAKTUR]]))</f>
        <v/>
      </c>
      <c r="AJ1171" s="66" t="str">
        <f ca="1">IF(NOTA[[#This Row],[ID]]="","",COUNTIF(NOTA[ID_H],NOTA[[#This Row],[ID_H]]))</f>
        <v/>
      </c>
      <c r="AK1171" s="66" t="str">
        <f ca="1">IF(NOTA[[#This Row],[TGL.NOTA]]="",IF(NOTA[[#This Row],[SUPPLIER_H]]="","",AK1170),MONTH(NOTA[[#This Row],[TGL.NOTA]]))</f>
        <v/>
      </c>
      <c r="AL1171" s="66" t="str">
        <f>LOWER(SUBSTITUTE(SUBSTITUTE(SUBSTITUTE(SUBSTITUTE(SUBSTITUTE(SUBSTITUTE(SUBSTITUTE(SUBSTITUTE(SUBSTITUTE(NOTA[NAMA BARANG]," ",),".",""),"-",""),"(",""),")",""),",",""),"/",""),"""",""),"+",""))</f>
        <v/>
      </c>
      <c r="AM11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1" s="66" t="str">
        <f>IF(NOTA[[#This Row],[CONCAT4]]="","",_xlfn.IFNA(MATCH(NOTA[[#This Row],[CONCAT4]],[2]!RAW[CONCAT_H],0),FALSE))</f>
        <v/>
      </c>
      <c r="AQ1171" s="66" t="str">
        <f>IF(NOTA[[#This Row],[CONCAT1]]="","",MATCH(NOTA[[#This Row],[CONCAT1]],[3]!db[NB NOTA_C],0)+1)</f>
        <v/>
      </c>
    </row>
    <row r="1172" spans="1:43" ht="20.100000000000001" customHeight="1" x14ac:dyDescent="0.25">
      <c r="A117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2" s="66" t="str">
        <f>IF(NOTA[[#This Row],[ID_P]]="","",MATCH(NOTA[[#This Row],[ID_P]],[1]!B_MSK[N_ID],0))</f>
        <v/>
      </c>
      <c r="D1172" s="66" t="str">
        <f ca="1">IF(NOTA[[#This Row],[NAMA BARANG]]="","",INDEX(NOTA[ID],MATCH(,INDIRECT(ADDRESS(ROW(NOTA[ID]),COLUMN(NOTA[ID]))&amp;":"&amp;ADDRESS(ROW(),COLUMN(NOTA[ID]))),-1)))</f>
        <v/>
      </c>
      <c r="E1172" s="113"/>
      <c r="H1172" s="54"/>
      <c r="N1172" s="66"/>
      <c r="Q1172" s="79"/>
      <c r="R1172" s="42"/>
      <c r="S1172" s="80"/>
      <c r="U1172" s="52"/>
      <c r="V1172" s="77"/>
      <c r="W1172" s="52" t="str">
        <f>IF(NOTA[[#This Row],[HARGA/ CTN]]="",NOTA[[#This Row],[JUMLAH_H]],NOTA[[#This Row],[HARGA/ CTN]]*IF(NOTA[[#This Row],[C]]="",0,NOTA[[#This Row],[C]]))</f>
        <v/>
      </c>
      <c r="X1172" s="52" t="str">
        <f>IF(NOTA[[#This Row],[JUMLAH]]="","",NOTA[[#This Row],[JUMLAH]]*NOTA[[#This Row],[DISC 1]])</f>
        <v/>
      </c>
      <c r="Y1172" s="52" t="str">
        <f>IF(NOTA[[#This Row],[JUMLAH]]="","",(NOTA[[#This Row],[JUMLAH]]-NOTA[[#This Row],[DISC 1-]])*NOTA[[#This Row],[DISC 2]])</f>
        <v/>
      </c>
      <c r="Z1172" s="52" t="str">
        <f>IF(NOTA[[#This Row],[JUMLAH]]="","",NOTA[[#This Row],[DISC 1-]]+NOTA[[#This Row],[DISC 2-]])</f>
        <v/>
      </c>
      <c r="AA1172" s="52" t="str">
        <f>IF(NOTA[[#This Row],[JUMLAH]]="","",NOTA[[#This Row],[JUMLAH]]-NOTA[[#This Row],[DISC]])</f>
        <v/>
      </c>
      <c r="AB1172" s="52"/>
      <c r="AC11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2" s="203" t="str">
        <f>IF(OR(NOTA[[#This Row],[QTY]]="",NOTA[[#This Row],[HARGA SATUAN]]="",),"",NOTA[[#This Row],[QTY]]*NOTA[[#This Row],[HARGA SATUAN]])</f>
        <v/>
      </c>
      <c r="AG1172" s="53" t="str">
        <f ca="1">IF(NOTA[ID_H]="","",INDEX(NOTA[TANGGAL],MATCH(,INDIRECT(ADDRESS(ROW(NOTA[TANGGAL]),COLUMN(NOTA[TANGGAL]))&amp;":"&amp;ADDRESS(ROW(),COLUMN(NOTA[TANGGAL]))),-1)))</f>
        <v/>
      </c>
      <c r="AH1172" s="64" t="str">
        <f ca="1">IF(NOTA[[#This Row],[NAMA BARANG]]="","",INDEX(NOTA[SUPPLIER],MATCH(,INDIRECT(ADDRESS(ROW(NOTA[ID]),COLUMN(NOTA[ID]))&amp;":"&amp;ADDRESS(ROW(),COLUMN(NOTA[ID]))),-1)))</f>
        <v/>
      </c>
      <c r="AI1172" s="64" t="str">
        <f ca="1">IF(NOTA[[#This Row],[ID_H]]="","",IF(NOTA[[#This Row],[FAKTUR]]="",INDIRECT(ADDRESS(ROW()-1,COLUMN())),NOTA[[#This Row],[FAKTUR]]))</f>
        <v/>
      </c>
      <c r="AJ1172" s="66" t="str">
        <f ca="1">IF(NOTA[[#This Row],[ID]]="","",COUNTIF(NOTA[ID_H],NOTA[[#This Row],[ID_H]]))</f>
        <v/>
      </c>
      <c r="AK1172" s="66" t="str">
        <f ca="1">IF(NOTA[[#This Row],[TGL.NOTA]]="",IF(NOTA[[#This Row],[SUPPLIER_H]]="","",AK1171),MONTH(NOTA[[#This Row],[TGL.NOTA]]))</f>
        <v/>
      </c>
      <c r="AL1172" s="66" t="str">
        <f>LOWER(SUBSTITUTE(SUBSTITUTE(SUBSTITUTE(SUBSTITUTE(SUBSTITUTE(SUBSTITUTE(SUBSTITUTE(SUBSTITUTE(SUBSTITUTE(NOTA[NAMA BARANG]," ",),".",""),"-",""),"(",""),")",""),",",""),"/",""),"""",""),"+",""))</f>
        <v/>
      </c>
      <c r="AM11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2" s="66" t="str">
        <f>IF(NOTA[[#This Row],[CONCAT4]]="","",_xlfn.IFNA(MATCH(NOTA[[#This Row],[CONCAT4]],[2]!RAW[CONCAT_H],0),FALSE))</f>
        <v/>
      </c>
      <c r="AQ1172" s="66" t="str">
        <f>IF(NOTA[[#This Row],[CONCAT1]]="","",MATCH(NOTA[[#This Row],[CONCAT1]],[3]!db[NB NOTA_C],0)+1)</f>
        <v/>
      </c>
    </row>
    <row r="1173" spans="1:43" ht="20.100000000000001" customHeight="1" x14ac:dyDescent="0.25">
      <c r="A117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3" s="66" t="str">
        <f>IF(NOTA[[#This Row],[ID_P]]="","",MATCH(NOTA[[#This Row],[ID_P]],[1]!B_MSK[N_ID],0))</f>
        <v/>
      </c>
      <c r="D1173" s="66" t="str">
        <f ca="1">IF(NOTA[[#This Row],[NAMA BARANG]]="","",INDEX(NOTA[ID],MATCH(,INDIRECT(ADDRESS(ROW(NOTA[ID]),COLUMN(NOTA[ID]))&amp;":"&amp;ADDRESS(ROW(),COLUMN(NOTA[ID]))),-1)))</f>
        <v/>
      </c>
      <c r="E1173" s="113"/>
      <c r="H1173" s="54"/>
      <c r="N1173" s="66"/>
      <c r="Q1173" s="79"/>
      <c r="R1173" s="42"/>
      <c r="S1173" s="80"/>
      <c r="U1173" s="52"/>
      <c r="V1173" s="77"/>
      <c r="W1173" s="52" t="str">
        <f>IF(NOTA[[#This Row],[HARGA/ CTN]]="",NOTA[[#This Row],[JUMLAH_H]],NOTA[[#This Row],[HARGA/ CTN]]*IF(NOTA[[#This Row],[C]]="",0,NOTA[[#This Row],[C]]))</f>
        <v/>
      </c>
      <c r="X1173" s="52" t="str">
        <f>IF(NOTA[[#This Row],[JUMLAH]]="","",NOTA[[#This Row],[JUMLAH]]*NOTA[[#This Row],[DISC 1]])</f>
        <v/>
      </c>
      <c r="Y1173" s="52" t="str">
        <f>IF(NOTA[[#This Row],[JUMLAH]]="","",(NOTA[[#This Row],[JUMLAH]]-NOTA[[#This Row],[DISC 1-]])*NOTA[[#This Row],[DISC 2]])</f>
        <v/>
      </c>
      <c r="Z1173" s="52" t="str">
        <f>IF(NOTA[[#This Row],[JUMLAH]]="","",NOTA[[#This Row],[DISC 1-]]+NOTA[[#This Row],[DISC 2-]])</f>
        <v/>
      </c>
      <c r="AA1173" s="52" t="str">
        <f>IF(NOTA[[#This Row],[JUMLAH]]="","",NOTA[[#This Row],[JUMLAH]]-NOTA[[#This Row],[DISC]])</f>
        <v/>
      </c>
      <c r="AB1173" s="52"/>
      <c r="AC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3" s="203" t="str">
        <f>IF(OR(NOTA[[#This Row],[QTY]]="",NOTA[[#This Row],[HARGA SATUAN]]="",),"",NOTA[[#This Row],[QTY]]*NOTA[[#This Row],[HARGA SATUAN]])</f>
        <v/>
      </c>
      <c r="AG1173" s="53" t="str">
        <f ca="1">IF(NOTA[ID_H]="","",INDEX(NOTA[TANGGAL],MATCH(,INDIRECT(ADDRESS(ROW(NOTA[TANGGAL]),COLUMN(NOTA[TANGGAL]))&amp;":"&amp;ADDRESS(ROW(),COLUMN(NOTA[TANGGAL]))),-1)))</f>
        <v/>
      </c>
      <c r="AH1173" s="64" t="str">
        <f ca="1">IF(NOTA[[#This Row],[NAMA BARANG]]="","",INDEX(NOTA[SUPPLIER],MATCH(,INDIRECT(ADDRESS(ROW(NOTA[ID]),COLUMN(NOTA[ID]))&amp;":"&amp;ADDRESS(ROW(),COLUMN(NOTA[ID]))),-1)))</f>
        <v/>
      </c>
      <c r="AI1173" s="64" t="str">
        <f ca="1">IF(NOTA[[#This Row],[ID_H]]="","",IF(NOTA[[#This Row],[FAKTUR]]="",INDIRECT(ADDRESS(ROW()-1,COLUMN())),NOTA[[#This Row],[FAKTUR]]))</f>
        <v/>
      </c>
      <c r="AJ1173" s="66" t="str">
        <f ca="1">IF(NOTA[[#This Row],[ID]]="","",COUNTIF(NOTA[ID_H],NOTA[[#This Row],[ID_H]]))</f>
        <v/>
      </c>
      <c r="AK1173" s="66" t="str">
        <f ca="1">IF(NOTA[[#This Row],[TGL.NOTA]]="",IF(NOTA[[#This Row],[SUPPLIER_H]]="","",AK1172),MONTH(NOTA[[#This Row],[TGL.NOTA]]))</f>
        <v/>
      </c>
      <c r="AL1173" s="66" t="str">
        <f>LOWER(SUBSTITUTE(SUBSTITUTE(SUBSTITUTE(SUBSTITUTE(SUBSTITUTE(SUBSTITUTE(SUBSTITUTE(SUBSTITUTE(SUBSTITUTE(NOTA[NAMA BARANG]," ",),".",""),"-",""),"(",""),")",""),",",""),"/",""),"""",""),"+",""))</f>
        <v/>
      </c>
      <c r="AM11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3" s="66" t="str">
        <f>IF(NOTA[[#This Row],[CONCAT4]]="","",_xlfn.IFNA(MATCH(NOTA[[#This Row],[CONCAT4]],[2]!RAW[CONCAT_H],0),FALSE))</f>
        <v/>
      </c>
      <c r="AQ1173" s="66" t="str">
        <f>IF(NOTA[[#This Row],[CONCAT1]]="","",MATCH(NOTA[[#This Row],[CONCAT1]],[3]!db[NB NOTA_C],0)+1)</f>
        <v/>
      </c>
    </row>
    <row r="1174" spans="1:43" ht="20.100000000000001" customHeight="1" x14ac:dyDescent="0.25">
      <c r="A117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4" s="66" t="str">
        <f>IF(NOTA[[#This Row],[ID_P]]="","",MATCH(NOTA[[#This Row],[ID_P]],[1]!B_MSK[N_ID],0))</f>
        <v/>
      </c>
      <c r="D1174" s="66" t="str">
        <f ca="1">IF(NOTA[[#This Row],[NAMA BARANG]]="","",INDEX(NOTA[ID],MATCH(,INDIRECT(ADDRESS(ROW(NOTA[ID]),COLUMN(NOTA[ID]))&amp;":"&amp;ADDRESS(ROW(),COLUMN(NOTA[ID]))),-1)))</f>
        <v/>
      </c>
      <c r="E1174" s="113"/>
      <c r="H1174" s="54"/>
      <c r="N1174" s="66"/>
      <c r="Q1174" s="79"/>
      <c r="R1174" s="42"/>
      <c r="S1174" s="80"/>
      <c r="U1174" s="52"/>
      <c r="V1174" s="77"/>
      <c r="W1174" s="52" t="str">
        <f>IF(NOTA[[#This Row],[HARGA/ CTN]]="",NOTA[[#This Row],[JUMLAH_H]],NOTA[[#This Row],[HARGA/ CTN]]*IF(NOTA[[#This Row],[C]]="",0,NOTA[[#This Row],[C]]))</f>
        <v/>
      </c>
      <c r="X1174" s="52" t="str">
        <f>IF(NOTA[[#This Row],[JUMLAH]]="","",NOTA[[#This Row],[JUMLAH]]*NOTA[[#This Row],[DISC 1]])</f>
        <v/>
      </c>
      <c r="Y1174" s="52" t="str">
        <f>IF(NOTA[[#This Row],[JUMLAH]]="","",(NOTA[[#This Row],[JUMLAH]]-NOTA[[#This Row],[DISC 1-]])*NOTA[[#This Row],[DISC 2]])</f>
        <v/>
      </c>
      <c r="Z1174" s="52" t="str">
        <f>IF(NOTA[[#This Row],[JUMLAH]]="","",NOTA[[#This Row],[DISC 1-]]+NOTA[[#This Row],[DISC 2-]])</f>
        <v/>
      </c>
      <c r="AA1174" s="52" t="str">
        <f>IF(NOTA[[#This Row],[JUMLAH]]="","",NOTA[[#This Row],[JUMLAH]]-NOTA[[#This Row],[DISC]])</f>
        <v/>
      </c>
      <c r="AB1174" s="52"/>
      <c r="AC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4" s="203" t="str">
        <f>IF(OR(NOTA[[#This Row],[QTY]]="",NOTA[[#This Row],[HARGA SATUAN]]="",),"",NOTA[[#This Row],[QTY]]*NOTA[[#This Row],[HARGA SATUAN]])</f>
        <v/>
      </c>
      <c r="AG1174" s="53" t="str">
        <f ca="1">IF(NOTA[ID_H]="","",INDEX(NOTA[TANGGAL],MATCH(,INDIRECT(ADDRESS(ROW(NOTA[TANGGAL]),COLUMN(NOTA[TANGGAL]))&amp;":"&amp;ADDRESS(ROW(),COLUMN(NOTA[TANGGAL]))),-1)))</f>
        <v/>
      </c>
      <c r="AH1174" s="64" t="str">
        <f ca="1">IF(NOTA[[#This Row],[NAMA BARANG]]="","",INDEX(NOTA[SUPPLIER],MATCH(,INDIRECT(ADDRESS(ROW(NOTA[ID]),COLUMN(NOTA[ID]))&amp;":"&amp;ADDRESS(ROW(),COLUMN(NOTA[ID]))),-1)))</f>
        <v/>
      </c>
      <c r="AI1174" s="64" t="str">
        <f ca="1">IF(NOTA[[#This Row],[ID_H]]="","",IF(NOTA[[#This Row],[FAKTUR]]="",INDIRECT(ADDRESS(ROW()-1,COLUMN())),NOTA[[#This Row],[FAKTUR]]))</f>
        <v/>
      </c>
      <c r="AJ1174" s="66" t="str">
        <f ca="1">IF(NOTA[[#This Row],[ID]]="","",COUNTIF(NOTA[ID_H],NOTA[[#This Row],[ID_H]]))</f>
        <v/>
      </c>
      <c r="AK1174" s="66" t="str">
        <f ca="1">IF(NOTA[[#This Row],[TGL.NOTA]]="",IF(NOTA[[#This Row],[SUPPLIER_H]]="","",AK1173),MONTH(NOTA[[#This Row],[TGL.NOTA]]))</f>
        <v/>
      </c>
      <c r="AL1174" s="66" t="str">
        <f>LOWER(SUBSTITUTE(SUBSTITUTE(SUBSTITUTE(SUBSTITUTE(SUBSTITUTE(SUBSTITUTE(SUBSTITUTE(SUBSTITUTE(SUBSTITUTE(NOTA[NAMA BARANG]," ",),".",""),"-",""),"(",""),")",""),",",""),"/",""),"""",""),"+",""))</f>
        <v/>
      </c>
      <c r="AM11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4" s="66" t="str">
        <f>IF(NOTA[[#This Row],[CONCAT4]]="","",_xlfn.IFNA(MATCH(NOTA[[#This Row],[CONCAT4]],[2]!RAW[CONCAT_H],0),FALSE))</f>
        <v/>
      </c>
      <c r="AQ1174" s="66" t="str">
        <f>IF(NOTA[[#This Row],[CONCAT1]]="","",MATCH(NOTA[[#This Row],[CONCAT1]],[3]!db[NB NOTA_C],0)+1)</f>
        <v/>
      </c>
    </row>
    <row r="1175" spans="1:43" ht="20.100000000000001" customHeight="1" x14ac:dyDescent="0.25">
      <c r="A117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5" s="66" t="str">
        <f>IF(NOTA[[#This Row],[ID_P]]="","",MATCH(NOTA[[#This Row],[ID_P]],[1]!B_MSK[N_ID],0))</f>
        <v/>
      </c>
      <c r="D1175" s="66" t="str">
        <f ca="1">IF(NOTA[[#This Row],[NAMA BARANG]]="","",INDEX(NOTA[ID],MATCH(,INDIRECT(ADDRESS(ROW(NOTA[ID]),COLUMN(NOTA[ID]))&amp;":"&amp;ADDRESS(ROW(),COLUMN(NOTA[ID]))),-1)))</f>
        <v/>
      </c>
      <c r="E1175" s="113"/>
      <c r="H1175" s="54"/>
      <c r="N1175" s="66"/>
      <c r="Q1175" s="79"/>
      <c r="R1175" s="42"/>
      <c r="S1175" s="80"/>
      <c r="U1175" s="52"/>
      <c r="V1175" s="77"/>
      <c r="W1175" s="52" t="str">
        <f>IF(NOTA[[#This Row],[HARGA/ CTN]]="",NOTA[[#This Row],[JUMLAH_H]],NOTA[[#This Row],[HARGA/ CTN]]*IF(NOTA[[#This Row],[C]]="",0,NOTA[[#This Row],[C]]))</f>
        <v/>
      </c>
      <c r="X1175" s="52" t="str">
        <f>IF(NOTA[[#This Row],[JUMLAH]]="","",NOTA[[#This Row],[JUMLAH]]*NOTA[[#This Row],[DISC 1]])</f>
        <v/>
      </c>
      <c r="Y1175" s="52" t="str">
        <f>IF(NOTA[[#This Row],[JUMLAH]]="","",(NOTA[[#This Row],[JUMLAH]]-NOTA[[#This Row],[DISC 1-]])*NOTA[[#This Row],[DISC 2]])</f>
        <v/>
      </c>
      <c r="Z1175" s="52" t="str">
        <f>IF(NOTA[[#This Row],[JUMLAH]]="","",NOTA[[#This Row],[DISC 1-]]+NOTA[[#This Row],[DISC 2-]])</f>
        <v/>
      </c>
      <c r="AA1175" s="52" t="str">
        <f>IF(NOTA[[#This Row],[JUMLAH]]="","",NOTA[[#This Row],[JUMLAH]]-NOTA[[#This Row],[DISC]])</f>
        <v/>
      </c>
      <c r="AB1175" s="52"/>
      <c r="AC11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5" s="203" t="str">
        <f>IF(OR(NOTA[[#This Row],[QTY]]="",NOTA[[#This Row],[HARGA SATUAN]]="",),"",NOTA[[#This Row],[QTY]]*NOTA[[#This Row],[HARGA SATUAN]])</f>
        <v/>
      </c>
      <c r="AG1175" s="53" t="str">
        <f ca="1">IF(NOTA[ID_H]="","",INDEX(NOTA[TANGGAL],MATCH(,INDIRECT(ADDRESS(ROW(NOTA[TANGGAL]),COLUMN(NOTA[TANGGAL]))&amp;":"&amp;ADDRESS(ROW(),COLUMN(NOTA[TANGGAL]))),-1)))</f>
        <v/>
      </c>
      <c r="AH1175" s="64" t="str">
        <f ca="1">IF(NOTA[[#This Row],[NAMA BARANG]]="","",INDEX(NOTA[SUPPLIER],MATCH(,INDIRECT(ADDRESS(ROW(NOTA[ID]),COLUMN(NOTA[ID]))&amp;":"&amp;ADDRESS(ROW(),COLUMN(NOTA[ID]))),-1)))</f>
        <v/>
      </c>
      <c r="AI1175" s="64" t="str">
        <f ca="1">IF(NOTA[[#This Row],[ID_H]]="","",IF(NOTA[[#This Row],[FAKTUR]]="",INDIRECT(ADDRESS(ROW()-1,COLUMN())),NOTA[[#This Row],[FAKTUR]]))</f>
        <v/>
      </c>
      <c r="AJ1175" s="66" t="str">
        <f ca="1">IF(NOTA[[#This Row],[ID]]="","",COUNTIF(NOTA[ID_H],NOTA[[#This Row],[ID_H]]))</f>
        <v/>
      </c>
      <c r="AK1175" s="66" t="str">
        <f ca="1">IF(NOTA[[#This Row],[TGL.NOTA]]="",IF(NOTA[[#This Row],[SUPPLIER_H]]="","",AK1174),MONTH(NOTA[[#This Row],[TGL.NOTA]]))</f>
        <v/>
      </c>
      <c r="AL1175" s="66" t="str">
        <f>LOWER(SUBSTITUTE(SUBSTITUTE(SUBSTITUTE(SUBSTITUTE(SUBSTITUTE(SUBSTITUTE(SUBSTITUTE(SUBSTITUTE(SUBSTITUTE(NOTA[NAMA BARANG]," ",),".",""),"-",""),"(",""),")",""),",",""),"/",""),"""",""),"+",""))</f>
        <v/>
      </c>
      <c r="AM11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5" s="66" t="str">
        <f>IF(NOTA[[#This Row],[CONCAT4]]="","",_xlfn.IFNA(MATCH(NOTA[[#This Row],[CONCAT4]],[2]!RAW[CONCAT_H],0),FALSE))</f>
        <v/>
      </c>
      <c r="AQ1175" s="66" t="str">
        <f>IF(NOTA[[#This Row],[CONCAT1]]="","",MATCH(NOTA[[#This Row],[CONCAT1]],[3]!db[NB NOTA_C],0)+1)</f>
        <v/>
      </c>
    </row>
    <row r="1176" spans="1:43" ht="20.100000000000001" customHeight="1" x14ac:dyDescent="0.25">
      <c r="A117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6" s="66" t="str">
        <f>IF(NOTA[[#This Row],[ID_P]]="","",MATCH(NOTA[[#This Row],[ID_P]],[1]!B_MSK[N_ID],0))</f>
        <v/>
      </c>
      <c r="D1176" s="66" t="str">
        <f ca="1">IF(NOTA[[#This Row],[NAMA BARANG]]="","",INDEX(NOTA[ID],MATCH(,INDIRECT(ADDRESS(ROW(NOTA[ID]),COLUMN(NOTA[ID]))&amp;":"&amp;ADDRESS(ROW(),COLUMN(NOTA[ID]))),-1)))</f>
        <v/>
      </c>
      <c r="E1176" s="113"/>
      <c r="H1176" s="54"/>
      <c r="N1176" s="66"/>
      <c r="Q1176" s="79"/>
      <c r="R1176" s="42"/>
      <c r="S1176" s="80"/>
      <c r="U1176" s="52"/>
      <c r="V1176" s="77"/>
      <c r="W1176" s="52" t="str">
        <f>IF(NOTA[[#This Row],[HARGA/ CTN]]="",NOTA[[#This Row],[JUMLAH_H]],NOTA[[#This Row],[HARGA/ CTN]]*IF(NOTA[[#This Row],[C]]="",0,NOTA[[#This Row],[C]]))</f>
        <v/>
      </c>
      <c r="X1176" s="52" t="str">
        <f>IF(NOTA[[#This Row],[JUMLAH]]="","",NOTA[[#This Row],[JUMLAH]]*NOTA[[#This Row],[DISC 1]])</f>
        <v/>
      </c>
      <c r="Y1176" s="52" t="str">
        <f>IF(NOTA[[#This Row],[JUMLAH]]="","",(NOTA[[#This Row],[JUMLAH]]-NOTA[[#This Row],[DISC 1-]])*NOTA[[#This Row],[DISC 2]])</f>
        <v/>
      </c>
      <c r="Z1176" s="52" t="str">
        <f>IF(NOTA[[#This Row],[JUMLAH]]="","",NOTA[[#This Row],[DISC 1-]]+NOTA[[#This Row],[DISC 2-]])</f>
        <v/>
      </c>
      <c r="AA1176" s="52" t="str">
        <f>IF(NOTA[[#This Row],[JUMLAH]]="","",NOTA[[#This Row],[JUMLAH]]-NOTA[[#This Row],[DISC]])</f>
        <v/>
      </c>
      <c r="AB1176" s="52"/>
      <c r="AC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6" s="203" t="str">
        <f>IF(OR(NOTA[[#This Row],[QTY]]="",NOTA[[#This Row],[HARGA SATUAN]]="",),"",NOTA[[#This Row],[QTY]]*NOTA[[#This Row],[HARGA SATUAN]])</f>
        <v/>
      </c>
      <c r="AG1176" s="53" t="str">
        <f ca="1">IF(NOTA[ID_H]="","",INDEX(NOTA[TANGGAL],MATCH(,INDIRECT(ADDRESS(ROW(NOTA[TANGGAL]),COLUMN(NOTA[TANGGAL]))&amp;":"&amp;ADDRESS(ROW(),COLUMN(NOTA[TANGGAL]))),-1)))</f>
        <v/>
      </c>
      <c r="AH1176" s="64" t="str">
        <f ca="1">IF(NOTA[[#This Row],[NAMA BARANG]]="","",INDEX(NOTA[SUPPLIER],MATCH(,INDIRECT(ADDRESS(ROW(NOTA[ID]),COLUMN(NOTA[ID]))&amp;":"&amp;ADDRESS(ROW(),COLUMN(NOTA[ID]))),-1)))</f>
        <v/>
      </c>
      <c r="AI1176" s="64" t="str">
        <f ca="1">IF(NOTA[[#This Row],[ID_H]]="","",IF(NOTA[[#This Row],[FAKTUR]]="",INDIRECT(ADDRESS(ROW()-1,COLUMN())),NOTA[[#This Row],[FAKTUR]]))</f>
        <v/>
      </c>
      <c r="AJ1176" s="66" t="str">
        <f ca="1">IF(NOTA[[#This Row],[ID]]="","",COUNTIF(NOTA[ID_H],NOTA[[#This Row],[ID_H]]))</f>
        <v/>
      </c>
      <c r="AK1176" s="66" t="str">
        <f ca="1">IF(NOTA[[#This Row],[TGL.NOTA]]="",IF(NOTA[[#This Row],[SUPPLIER_H]]="","",AK1175),MONTH(NOTA[[#This Row],[TGL.NOTA]]))</f>
        <v/>
      </c>
      <c r="AL1176" s="66" t="str">
        <f>LOWER(SUBSTITUTE(SUBSTITUTE(SUBSTITUTE(SUBSTITUTE(SUBSTITUTE(SUBSTITUTE(SUBSTITUTE(SUBSTITUTE(SUBSTITUTE(NOTA[NAMA BARANG]," ",),".",""),"-",""),"(",""),")",""),",",""),"/",""),"""",""),"+",""))</f>
        <v/>
      </c>
      <c r="AM11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6" s="66" t="str">
        <f>IF(NOTA[[#This Row],[CONCAT4]]="","",_xlfn.IFNA(MATCH(NOTA[[#This Row],[CONCAT4]],[2]!RAW[CONCAT_H],0),FALSE))</f>
        <v/>
      </c>
      <c r="AQ1176" s="66" t="str">
        <f>IF(NOTA[[#This Row],[CONCAT1]]="","",MATCH(NOTA[[#This Row],[CONCAT1]],[3]!db[NB NOTA_C],0)+1)</f>
        <v/>
      </c>
    </row>
    <row r="1177" spans="1:43" ht="20.100000000000001" customHeight="1" x14ac:dyDescent="0.25">
      <c r="A117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7" s="66" t="str">
        <f>IF(NOTA[[#This Row],[ID_P]]="","",MATCH(NOTA[[#This Row],[ID_P]],[1]!B_MSK[N_ID],0))</f>
        <v/>
      </c>
      <c r="D1177" s="66" t="str">
        <f ca="1">IF(NOTA[[#This Row],[NAMA BARANG]]="","",INDEX(NOTA[ID],MATCH(,INDIRECT(ADDRESS(ROW(NOTA[ID]),COLUMN(NOTA[ID]))&amp;":"&amp;ADDRESS(ROW(),COLUMN(NOTA[ID]))),-1)))</f>
        <v/>
      </c>
      <c r="E1177" s="113"/>
      <c r="H1177" s="54"/>
      <c r="N1177" s="66"/>
      <c r="Q1177" s="79"/>
      <c r="R1177" s="42"/>
      <c r="S1177" s="80"/>
      <c r="U1177" s="52"/>
      <c r="V1177" s="77"/>
      <c r="W1177" s="52" t="str">
        <f>IF(NOTA[[#This Row],[HARGA/ CTN]]="",NOTA[[#This Row],[JUMLAH_H]],NOTA[[#This Row],[HARGA/ CTN]]*IF(NOTA[[#This Row],[C]]="",0,NOTA[[#This Row],[C]]))</f>
        <v/>
      </c>
      <c r="X1177" s="52" t="str">
        <f>IF(NOTA[[#This Row],[JUMLAH]]="","",NOTA[[#This Row],[JUMLAH]]*NOTA[[#This Row],[DISC 1]])</f>
        <v/>
      </c>
      <c r="Y1177" s="52" t="str">
        <f>IF(NOTA[[#This Row],[JUMLAH]]="","",(NOTA[[#This Row],[JUMLAH]]-NOTA[[#This Row],[DISC 1-]])*NOTA[[#This Row],[DISC 2]])</f>
        <v/>
      </c>
      <c r="Z1177" s="52" t="str">
        <f>IF(NOTA[[#This Row],[JUMLAH]]="","",NOTA[[#This Row],[DISC 1-]]+NOTA[[#This Row],[DISC 2-]])</f>
        <v/>
      </c>
      <c r="AA1177" s="52" t="str">
        <f>IF(NOTA[[#This Row],[JUMLAH]]="","",NOTA[[#This Row],[JUMLAH]]-NOTA[[#This Row],[DISC]])</f>
        <v/>
      </c>
      <c r="AB1177" s="52"/>
      <c r="AC11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7" s="203" t="str">
        <f>IF(OR(NOTA[[#This Row],[QTY]]="",NOTA[[#This Row],[HARGA SATUAN]]="",),"",NOTA[[#This Row],[QTY]]*NOTA[[#This Row],[HARGA SATUAN]])</f>
        <v/>
      </c>
      <c r="AG1177" s="53" t="str">
        <f ca="1">IF(NOTA[ID_H]="","",INDEX(NOTA[TANGGAL],MATCH(,INDIRECT(ADDRESS(ROW(NOTA[TANGGAL]),COLUMN(NOTA[TANGGAL]))&amp;":"&amp;ADDRESS(ROW(),COLUMN(NOTA[TANGGAL]))),-1)))</f>
        <v/>
      </c>
      <c r="AH1177" s="64" t="str">
        <f ca="1">IF(NOTA[[#This Row],[NAMA BARANG]]="","",INDEX(NOTA[SUPPLIER],MATCH(,INDIRECT(ADDRESS(ROW(NOTA[ID]),COLUMN(NOTA[ID]))&amp;":"&amp;ADDRESS(ROW(),COLUMN(NOTA[ID]))),-1)))</f>
        <v/>
      </c>
      <c r="AI1177" s="64" t="str">
        <f ca="1">IF(NOTA[[#This Row],[ID_H]]="","",IF(NOTA[[#This Row],[FAKTUR]]="",INDIRECT(ADDRESS(ROW()-1,COLUMN())),NOTA[[#This Row],[FAKTUR]]))</f>
        <v/>
      </c>
      <c r="AJ1177" s="66" t="str">
        <f ca="1">IF(NOTA[[#This Row],[ID]]="","",COUNTIF(NOTA[ID_H],NOTA[[#This Row],[ID_H]]))</f>
        <v/>
      </c>
      <c r="AK1177" s="66" t="str">
        <f ca="1">IF(NOTA[[#This Row],[TGL.NOTA]]="",IF(NOTA[[#This Row],[SUPPLIER_H]]="","",AK1176),MONTH(NOTA[[#This Row],[TGL.NOTA]]))</f>
        <v/>
      </c>
      <c r="AL1177" s="66" t="str">
        <f>LOWER(SUBSTITUTE(SUBSTITUTE(SUBSTITUTE(SUBSTITUTE(SUBSTITUTE(SUBSTITUTE(SUBSTITUTE(SUBSTITUTE(SUBSTITUTE(NOTA[NAMA BARANG]," ",),".",""),"-",""),"(",""),")",""),",",""),"/",""),"""",""),"+",""))</f>
        <v/>
      </c>
      <c r="AM11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7" s="66" t="str">
        <f>IF(NOTA[[#This Row],[CONCAT4]]="","",_xlfn.IFNA(MATCH(NOTA[[#This Row],[CONCAT4]],[2]!RAW[CONCAT_H],0),FALSE))</f>
        <v/>
      </c>
      <c r="AQ1177" s="66" t="str">
        <f>IF(NOTA[[#This Row],[CONCAT1]]="","",MATCH(NOTA[[#This Row],[CONCAT1]],[3]!db[NB NOTA_C],0)+1)</f>
        <v/>
      </c>
    </row>
    <row r="1178" spans="1:43" ht="20.100000000000001" customHeight="1" x14ac:dyDescent="0.25">
      <c r="A117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8" s="66" t="str">
        <f>IF(NOTA[[#This Row],[ID_P]]="","",MATCH(NOTA[[#This Row],[ID_P]],[1]!B_MSK[N_ID],0))</f>
        <v/>
      </c>
      <c r="D1178" s="66" t="str">
        <f ca="1">IF(NOTA[[#This Row],[NAMA BARANG]]="","",INDEX(NOTA[ID],MATCH(,INDIRECT(ADDRESS(ROW(NOTA[ID]),COLUMN(NOTA[ID]))&amp;":"&amp;ADDRESS(ROW(),COLUMN(NOTA[ID]))),-1)))</f>
        <v/>
      </c>
      <c r="E1178" s="113"/>
      <c r="H1178" s="54"/>
      <c r="N1178" s="66"/>
      <c r="Q1178" s="79"/>
      <c r="R1178" s="42"/>
      <c r="S1178" s="80"/>
      <c r="U1178" s="52"/>
      <c r="V1178" s="77"/>
      <c r="W1178" s="52" t="str">
        <f>IF(NOTA[[#This Row],[HARGA/ CTN]]="",NOTA[[#This Row],[JUMLAH_H]],NOTA[[#This Row],[HARGA/ CTN]]*IF(NOTA[[#This Row],[C]]="",0,NOTA[[#This Row],[C]]))</f>
        <v/>
      </c>
      <c r="X1178" s="52" t="str">
        <f>IF(NOTA[[#This Row],[JUMLAH]]="","",NOTA[[#This Row],[JUMLAH]]*NOTA[[#This Row],[DISC 1]])</f>
        <v/>
      </c>
      <c r="Y1178" s="52" t="str">
        <f>IF(NOTA[[#This Row],[JUMLAH]]="","",(NOTA[[#This Row],[JUMLAH]]-NOTA[[#This Row],[DISC 1-]])*NOTA[[#This Row],[DISC 2]])</f>
        <v/>
      </c>
      <c r="Z1178" s="52" t="str">
        <f>IF(NOTA[[#This Row],[JUMLAH]]="","",NOTA[[#This Row],[DISC 1-]]+NOTA[[#This Row],[DISC 2-]])</f>
        <v/>
      </c>
      <c r="AA1178" s="52" t="str">
        <f>IF(NOTA[[#This Row],[JUMLAH]]="","",NOTA[[#This Row],[JUMLAH]]-NOTA[[#This Row],[DISC]])</f>
        <v/>
      </c>
      <c r="AB1178" s="52"/>
      <c r="AC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8" s="203" t="str">
        <f>IF(OR(NOTA[[#This Row],[QTY]]="",NOTA[[#This Row],[HARGA SATUAN]]="",),"",NOTA[[#This Row],[QTY]]*NOTA[[#This Row],[HARGA SATUAN]])</f>
        <v/>
      </c>
      <c r="AG1178" s="53" t="str">
        <f ca="1">IF(NOTA[ID_H]="","",INDEX(NOTA[TANGGAL],MATCH(,INDIRECT(ADDRESS(ROW(NOTA[TANGGAL]),COLUMN(NOTA[TANGGAL]))&amp;":"&amp;ADDRESS(ROW(),COLUMN(NOTA[TANGGAL]))),-1)))</f>
        <v/>
      </c>
      <c r="AH1178" s="64" t="str">
        <f ca="1">IF(NOTA[[#This Row],[NAMA BARANG]]="","",INDEX(NOTA[SUPPLIER],MATCH(,INDIRECT(ADDRESS(ROW(NOTA[ID]),COLUMN(NOTA[ID]))&amp;":"&amp;ADDRESS(ROW(),COLUMN(NOTA[ID]))),-1)))</f>
        <v/>
      </c>
      <c r="AI1178" s="64" t="str">
        <f ca="1">IF(NOTA[[#This Row],[ID_H]]="","",IF(NOTA[[#This Row],[FAKTUR]]="",INDIRECT(ADDRESS(ROW()-1,COLUMN())),NOTA[[#This Row],[FAKTUR]]))</f>
        <v/>
      </c>
      <c r="AJ1178" s="66" t="str">
        <f ca="1">IF(NOTA[[#This Row],[ID]]="","",COUNTIF(NOTA[ID_H],NOTA[[#This Row],[ID_H]]))</f>
        <v/>
      </c>
      <c r="AK1178" s="66" t="str">
        <f ca="1">IF(NOTA[[#This Row],[TGL.NOTA]]="",IF(NOTA[[#This Row],[SUPPLIER_H]]="","",AK1177),MONTH(NOTA[[#This Row],[TGL.NOTA]]))</f>
        <v/>
      </c>
      <c r="AL1178" s="66" t="str">
        <f>LOWER(SUBSTITUTE(SUBSTITUTE(SUBSTITUTE(SUBSTITUTE(SUBSTITUTE(SUBSTITUTE(SUBSTITUTE(SUBSTITUTE(SUBSTITUTE(NOTA[NAMA BARANG]," ",),".",""),"-",""),"(",""),")",""),",",""),"/",""),"""",""),"+",""))</f>
        <v/>
      </c>
      <c r="AM11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8" s="66" t="str">
        <f>IF(NOTA[[#This Row],[CONCAT4]]="","",_xlfn.IFNA(MATCH(NOTA[[#This Row],[CONCAT4]],[2]!RAW[CONCAT_H],0),FALSE))</f>
        <v/>
      </c>
      <c r="AQ1178" s="66" t="str">
        <f>IF(NOTA[[#This Row],[CONCAT1]]="","",MATCH(NOTA[[#This Row],[CONCAT1]],[3]!db[NB NOTA_C],0)+1)</f>
        <v/>
      </c>
    </row>
    <row r="1179" spans="1:43" ht="20.100000000000001" customHeight="1" x14ac:dyDescent="0.25">
      <c r="A117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9" s="66" t="str">
        <f>IF(NOTA[[#This Row],[ID_P]]="","",MATCH(NOTA[[#This Row],[ID_P]],[1]!B_MSK[N_ID],0))</f>
        <v/>
      </c>
      <c r="D1179" s="66" t="str">
        <f ca="1">IF(NOTA[[#This Row],[NAMA BARANG]]="","",INDEX(NOTA[ID],MATCH(,INDIRECT(ADDRESS(ROW(NOTA[ID]),COLUMN(NOTA[ID]))&amp;":"&amp;ADDRESS(ROW(),COLUMN(NOTA[ID]))),-1)))</f>
        <v/>
      </c>
      <c r="E1179" s="113"/>
      <c r="H1179" s="54"/>
      <c r="N1179" s="66"/>
      <c r="Q1179" s="79"/>
      <c r="R1179" s="42"/>
      <c r="S1179" s="80"/>
      <c r="U1179" s="52"/>
      <c r="V1179" s="77"/>
      <c r="W1179" s="52" t="str">
        <f>IF(NOTA[[#This Row],[HARGA/ CTN]]="",NOTA[[#This Row],[JUMLAH_H]],NOTA[[#This Row],[HARGA/ CTN]]*IF(NOTA[[#This Row],[C]]="",0,NOTA[[#This Row],[C]]))</f>
        <v/>
      </c>
      <c r="X1179" s="52" t="str">
        <f>IF(NOTA[[#This Row],[JUMLAH]]="","",NOTA[[#This Row],[JUMLAH]]*NOTA[[#This Row],[DISC 1]])</f>
        <v/>
      </c>
      <c r="Y1179" s="52" t="str">
        <f>IF(NOTA[[#This Row],[JUMLAH]]="","",(NOTA[[#This Row],[JUMLAH]]-NOTA[[#This Row],[DISC 1-]])*NOTA[[#This Row],[DISC 2]])</f>
        <v/>
      </c>
      <c r="Z1179" s="52" t="str">
        <f>IF(NOTA[[#This Row],[JUMLAH]]="","",NOTA[[#This Row],[DISC 1-]]+NOTA[[#This Row],[DISC 2-]])</f>
        <v/>
      </c>
      <c r="AA1179" s="52" t="str">
        <f>IF(NOTA[[#This Row],[JUMLAH]]="","",NOTA[[#This Row],[JUMLAH]]-NOTA[[#This Row],[DISC]])</f>
        <v/>
      </c>
      <c r="AB1179" s="52"/>
      <c r="AC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9" s="203" t="str">
        <f>IF(OR(NOTA[[#This Row],[QTY]]="",NOTA[[#This Row],[HARGA SATUAN]]="",),"",NOTA[[#This Row],[QTY]]*NOTA[[#This Row],[HARGA SATUAN]])</f>
        <v/>
      </c>
      <c r="AG1179" s="53" t="str">
        <f ca="1">IF(NOTA[ID_H]="","",INDEX(NOTA[TANGGAL],MATCH(,INDIRECT(ADDRESS(ROW(NOTA[TANGGAL]),COLUMN(NOTA[TANGGAL]))&amp;":"&amp;ADDRESS(ROW(),COLUMN(NOTA[TANGGAL]))),-1)))</f>
        <v/>
      </c>
      <c r="AH1179" s="64" t="str">
        <f ca="1">IF(NOTA[[#This Row],[NAMA BARANG]]="","",INDEX(NOTA[SUPPLIER],MATCH(,INDIRECT(ADDRESS(ROW(NOTA[ID]),COLUMN(NOTA[ID]))&amp;":"&amp;ADDRESS(ROW(),COLUMN(NOTA[ID]))),-1)))</f>
        <v/>
      </c>
      <c r="AI1179" s="64" t="str">
        <f ca="1">IF(NOTA[[#This Row],[ID_H]]="","",IF(NOTA[[#This Row],[FAKTUR]]="",INDIRECT(ADDRESS(ROW()-1,COLUMN())),NOTA[[#This Row],[FAKTUR]]))</f>
        <v/>
      </c>
      <c r="AJ1179" s="66" t="str">
        <f ca="1">IF(NOTA[[#This Row],[ID]]="","",COUNTIF(NOTA[ID_H],NOTA[[#This Row],[ID_H]]))</f>
        <v/>
      </c>
      <c r="AK1179" s="66" t="str">
        <f ca="1">IF(NOTA[[#This Row],[TGL.NOTA]]="",IF(NOTA[[#This Row],[SUPPLIER_H]]="","",AK1178),MONTH(NOTA[[#This Row],[TGL.NOTA]]))</f>
        <v/>
      </c>
      <c r="AL1179" s="66" t="str">
        <f>LOWER(SUBSTITUTE(SUBSTITUTE(SUBSTITUTE(SUBSTITUTE(SUBSTITUTE(SUBSTITUTE(SUBSTITUTE(SUBSTITUTE(SUBSTITUTE(NOTA[NAMA BARANG]," ",),".",""),"-",""),"(",""),")",""),",",""),"/",""),"""",""),"+",""))</f>
        <v/>
      </c>
      <c r="AM11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9" s="66" t="str">
        <f>IF(NOTA[[#This Row],[CONCAT4]]="","",_xlfn.IFNA(MATCH(NOTA[[#This Row],[CONCAT4]],[2]!RAW[CONCAT_H],0),FALSE))</f>
        <v/>
      </c>
      <c r="AQ1179" s="66" t="str">
        <f>IF(NOTA[[#This Row],[CONCAT1]]="","",MATCH(NOTA[[#This Row],[CONCAT1]],[3]!db[NB NOTA_C],0)+1)</f>
        <v/>
      </c>
    </row>
    <row r="1180" spans="1:43" ht="20.100000000000001" customHeight="1" x14ac:dyDescent="0.25">
      <c r="A118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0" s="66" t="str">
        <f>IF(NOTA[[#This Row],[ID_P]]="","",MATCH(NOTA[[#This Row],[ID_P]],[1]!B_MSK[N_ID],0))</f>
        <v/>
      </c>
      <c r="D1180" s="66" t="str">
        <f ca="1">IF(NOTA[[#This Row],[NAMA BARANG]]="","",INDEX(NOTA[ID],MATCH(,INDIRECT(ADDRESS(ROW(NOTA[ID]),COLUMN(NOTA[ID]))&amp;":"&amp;ADDRESS(ROW(),COLUMN(NOTA[ID]))),-1)))</f>
        <v/>
      </c>
      <c r="E1180" s="113"/>
      <c r="H1180" s="54"/>
      <c r="N1180" s="66"/>
      <c r="Q1180" s="79"/>
      <c r="R1180" s="42"/>
      <c r="S1180" s="80"/>
      <c r="U1180" s="52"/>
      <c r="V1180" s="77"/>
      <c r="W1180" s="52" t="str">
        <f>IF(NOTA[[#This Row],[HARGA/ CTN]]="",NOTA[[#This Row],[JUMLAH_H]],NOTA[[#This Row],[HARGA/ CTN]]*IF(NOTA[[#This Row],[C]]="",0,NOTA[[#This Row],[C]]))</f>
        <v/>
      </c>
      <c r="X1180" s="52" t="str">
        <f>IF(NOTA[[#This Row],[JUMLAH]]="","",NOTA[[#This Row],[JUMLAH]]*NOTA[[#This Row],[DISC 1]])</f>
        <v/>
      </c>
      <c r="Y1180" s="52" t="str">
        <f>IF(NOTA[[#This Row],[JUMLAH]]="","",(NOTA[[#This Row],[JUMLAH]]-NOTA[[#This Row],[DISC 1-]])*NOTA[[#This Row],[DISC 2]])</f>
        <v/>
      </c>
      <c r="Z1180" s="52" t="str">
        <f>IF(NOTA[[#This Row],[JUMLAH]]="","",NOTA[[#This Row],[DISC 1-]]+NOTA[[#This Row],[DISC 2-]])</f>
        <v/>
      </c>
      <c r="AA1180" s="52" t="str">
        <f>IF(NOTA[[#This Row],[JUMLAH]]="","",NOTA[[#This Row],[JUMLAH]]-NOTA[[#This Row],[DISC]])</f>
        <v/>
      </c>
      <c r="AB1180" s="52"/>
      <c r="AC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0" s="203" t="str">
        <f>IF(OR(NOTA[[#This Row],[QTY]]="",NOTA[[#This Row],[HARGA SATUAN]]="",),"",NOTA[[#This Row],[QTY]]*NOTA[[#This Row],[HARGA SATUAN]])</f>
        <v/>
      </c>
      <c r="AG1180" s="53" t="str">
        <f ca="1">IF(NOTA[ID_H]="","",INDEX(NOTA[TANGGAL],MATCH(,INDIRECT(ADDRESS(ROW(NOTA[TANGGAL]),COLUMN(NOTA[TANGGAL]))&amp;":"&amp;ADDRESS(ROW(),COLUMN(NOTA[TANGGAL]))),-1)))</f>
        <v/>
      </c>
      <c r="AH1180" s="64" t="str">
        <f ca="1">IF(NOTA[[#This Row],[NAMA BARANG]]="","",INDEX(NOTA[SUPPLIER],MATCH(,INDIRECT(ADDRESS(ROW(NOTA[ID]),COLUMN(NOTA[ID]))&amp;":"&amp;ADDRESS(ROW(),COLUMN(NOTA[ID]))),-1)))</f>
        <v/>
      </c>
      <c r="AI1180" s="64" t="str">
        <f ca="1">IF(NOTA[[#This Row],[ID_H]]="","",IF(NOTA[[#This Row],[FAKTUR]]="",INDIRECT(ADDRESS(ROW()-1,COLUMN())),NOTA[[#This Row],[FAKTUR]]))</f>
        <v/>
      </c>
      <c r="AJ1180" s="66" t="str">
        <f ca="1">IF(NOTA[[#This Row],[ID]]="","",COUNTIF(NOTA[ID_H],NOTA[[#This Row],[ID_H]]))</f>
        <v/>
      </c>
      <c r="AK1180" s="66" t="str">
        <f ca="1">IF(NOTA[[#This Row],[TGL.NOTA]]="",IF(NOTA[[#This Row],[SUPPLIER_H]]="","",AK1179),MONTH(NOTA[[#This Row],[TGL.NOTA]]))</f>
        <v/>
      </c>
      <c r="AL1180" s="66" t="str">
        <f>LOWER(SUBSTITUTE(SUBSTITUTE(SUBSTITUTE(SUBSTITUTE(SUBSTITUTE(SUBSTITUTE(SUBSTITUTE(SUBSTITUTE(SUBSTITUTE(NOTA[NAMA BARANG]," ",),".",""),"-",""),"(",""),")",""),",",""),"/",""),"""",""),"+",""))</f>
        <v/>
      </c>
      <c r="AM11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0" s="66" t="str">
        <f>IF(NOTA[[#This Row],[CONCAT4]]="","",_xlfn.IFNA(MATCH(NOTA[[#This Row],[CONCAT4]],[2]!RAW[CONCAT_H],0),FALSE))</f>
        <v/>
      </c>
      <c r="AQ1180" s="66" t="str">
        <f>IF(NOTA[[#This Row],[CONCAT1]]="","",MATCH(NOTA[[#This Row],[CONCAT1]],[3]!db[NB NOTA_C],0)+1)</f>
        <v/>
      </c>
    </row>
    <row r="1181" spans="1:43" ht="20.100000000000001" customHeight="1" x14ac:dyDescent="0.25">
      <c r="A118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1" s="66" t="str">
        <f>IF(NOTA[[#This Row],[ID_P]]="","",MATCH(NOTA[[#This Row],[ID_P]],[1]!B_MSK[N_ID],0))</f>
        <v/>
      </c>
      <c r="D1181" s="66" t="str">
        <f ca="1">IF(NOTA[[#This Row],[NAMA BARANG]]="","",INDEX(NOTA[ID],MATCH(,INDIRECT(ADDRESS(ROW(NOTA[ID]),COLUMN(NOTA[ID]))&amp;":"&amp;ADDRESS(ROW(),COLUMN(NOTA[ID]))),-1)))</f>
        <v/>
      </c>
      <c r="E1181" s="113"/>
      <c r="H1181" s="54"/>
      <c r="N1181" s="66"/>
      <c r="Q1181" s="79"/>
      <c r="R1181" s="42"/>
      <c r="S1181" s="80"/>
      <c r="U1181" s="52"/>
      <c r="V1181" s="77"/>
      <c r="W1181" s="52" t="str">
        <f>IF(NOTA[[#This Row],[HARGA/ CTN]]="",NOTA[[#This Row],[JUMLAH_H]],NOTA[[#This Row],[HARGA/ CTN]]*IF(NOTA[[#This Row],[C]]="",0,NOTA[[#This Row],[C]]))</f>
        <v/>
      </c>
      <c r="X1181" s="52" t="str">
        <f>IF(NOTA[[#This Row],[JUMLAH]]="","",NOTA[[#This Row],[JUMLAH]]*NOTA[[#This Row],[DISC 1]])</f>
        <v/>
      </c>
      <c r="Y1181" s="52" t="str">
        <f>IF(NOTA[[#This Row],[JUMLAH]]="","",(NOTA[[#This Row],[JUMLAH]]-NOTA[[#This Row],[DISC 1-]])*NOTA[[#This Row],[DISC 2]])</f>
        <v/>
      </c>
      <c r="Z1181" s="52" t="str">
        <f>IF(NOTA[[#This Row],[JUMLAH]]="","",NOTA[[#This Row],[DISC 1-]]+NOTA[[#This Row],[DISC 2-]])</f>
        <v/>
      </c>
      <c r="AA1181" s="52" t="str">
        <f>IF(NOTA[[#This Row],[JUMLAH]]="","",NOTA[[#This Row],[JUMLAH]]-NOTA[[#This Row],[DISC]])</f>
        <v/>
      </c>
      <c r="AB1181" s="52"/>
      <c r="AC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1" s="203" t="str">
        <f>IF(OR(NOTA[[#This Row],[QTY]]="",NOTA[[#This Row],[HARGA SATUAN]]="",),"",NOTA[[#This Row],[QTY]]*NOTA[[#This Row],[HARGA SATUAN]])</f>
        <v/>
      </c>
      <c r="AG1181" s="53" t="str">
        <f ca="1">IF(NOTA[ID_H]="","",INDEX(NOTA[TANGGAL],MATCH(,INDIRECT(ADDRESS(ROW(NOTA[TANGGAL]),COLUMN(NOTA[TANGGAL]))&amp;":"&amp;ADDRESS(ROW(),COLUMN(NOTA[TANGGAL]))),-1)))</f>
        <v/>
      </c>
      <c r="AH1181" s="64" t="str">
        <f ca="1">IF(NOTA[[#This Row],[NAMA BARANG]]="","",INDEX(NOTA[SUPPLIER],MATCH(,INDIRECT(ADDRESS(ROW(NOTA[ID]),COLUMN(NOTA[ID]))&amp;":"&amp;ADDRESS(ROW(),COLUMN(NOTA[ID]))),-1)))</f>
        <v/>
      </c>
      <c r="AI1181" s="64" t="str">
        <f ca="1">IF(NOTA[[#This Row],[ID_H]]="","",IF(NOTA[[#This Row],[FAKTUR]]="",INDIRECT(ADDRESS(ROW()-1,COLUMN())),NOTA[[#This Row],[FAKTUR]]))</f>
        <v/>
      </c>
      <c r="AJ1181" s="66" t="str">
        <f ca="1">IF(NOTA[[#This Row],[ID]]="","",COUNTIF(NOTA[ID_H],NOTA[[#This Row],[ID_H]]))</f>
        <v/>
      </c>
      <c r="AK1181" s="66" t="str">
        <f ca="1">IF(NOTA[[#This Row],[TGL.NOTA]]="",IF(NOTA[[#This Row],[SUPPLIER_H]]="","",AK1180),MONTH(NOTA[[#This Row],[TGL.NOTA]]))</f>
        <v/>
      </c>
      <c r="AL1181" s="66" t="str">
        <f>LOWER(SUBSTITUTE(SUBSTITUTE(SUBSTITUTE(SUBSTITUTE(SUBSTITUTE(SUBSTITUTE(SUBSTITUTE(SUBSTITUTE(SUBSTITUTE(NOTA[NAMA BARANG]," ",),".",""),"-",""),"(",""),")",""),",",""),"/",""),"""",""),"+",""))</f>
        <v/>
      </c>
      <c r="AM11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1" s="66" t="str">
        <f>IF(NOTA[[#This Row],[CONCAT4]]="","",_xlfn.IFNA(MATCH(NOTA[[#This Row],[CONCAT4]],[2]!RAW[CONCAT_H],0),FALSE))</f>
        <v/>
      </c>
      <c r="AQ1181" s="66" t="str">
        <f>IF(NOTA[[#This Row],[CONCAT1]]="","",MATCH(NOTA[[#This Row],[CONCAT1]],[3]!db[NB NOTA_C],0)+1)</f>
        <v/>
      </c>
    </row>
    <row r="1182" spans="1:43" ht="20.100000000000001" customHeight="1" x14ac:dyDescent="0.25">
      <c r="A118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2" s="66" t="str">
        <f>IF(NOTA[[#This Row],[ID_P]]="","",MATCH(NOTA[[#This Row],[ID_P]],[1]!B_MSK[N_ID],0))</f>
        <v/>
      </c>
      <c r="D1182" s="66" t="str">
        <f ca="1">IF(NOTA[[#This Row],[NAMA BARANG]]="","",INDEX(NOTA[ID],MATCH(,INDIRECT(ADDRESS(ROW(NOTA[ID]),COLUMN(NOTA[ID]))&amp;":"&amp;ADDRESS(ROW(),COLUMN(NOTA[ID]))),-1)))</f>
        <v/>
      </c>
      <c r="E1182" s="113"/>
      <c r="H1182" s="54"/>
      <c r="N1182" s="66"/>
      <c r="Q1182" s="79"/>
      <c r="R1182" s="42"/>
      <c r="S1182" s="80"/>
      <c r="U1182" s="52"/>
      <c r="V1182" s="77"/>
      <c r="W1182" s="52" t="str">
        <f>IF(NOTA[[#This Row],[HARGA/ CTN]]="",NOTA[[#This Row],[JUMLAH_H]],NOTA[[#This Row],[HARGA/ CTN]]*IF(NOTA[[#This Row],[C]]="",0,NOTA[[#This Row],[C]]))</f>
        <v/>
      </c>
      <c r="X1182" s="52" t="str">
        <f>IF(NOTA[[#This Row],[JUMLAH]]="","",NOTA[[#This Row],[JUMLAH]]*NOTA[[#This Row],[DISC 1]])</f>
        <v/>
      </c>
      <c r="Y1182" s="52" t="str">
        <f>IF(NOTA[[#This Row],[JUMLAH]]="","",(NOTA[[#This Row],[JUMLAH]]-NOTA[[#This Row],[DISC 1-]])*NOTA[[#This Row],[DISC 2]])</f>
        <v/>
      </c>
      <c r="Z1182" s="52" t="str">
        <f>IF(NOTA[[#This Row],[JUMLAH]]="","",NOTA[[#This Row],[DISC 1-]]+NOTA[[#This Row],[DISC 2-]])</f>
        <v/>
      </c>
      <c r="AA1182" s="52" t="str">
        <f>IF(NOTA[[#This Row],[JUMLAH]]="","",NOTA[[#This Row],[JUMLAH]]-NOTA[[#This Row],[DISC]])</f>
        <v/>
      </c>
      <c r="AB1182" s="52"/>
      <c r="AC11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2" s="203" t="str">
        <f>IF(OR(NOTA[[#This Row],[QTY]]="",NOTA[[#This Row],[HARGA SATUAN]]="",),"",NOTA[[#This Row],[QTY]]*NOTA[[#This Row],[HARGA SATUAN]])</f>
        <v/>
      </c>
      <c r="AG1182" s="53" t="str">
        <f ca="1">IF(NOTA[ID_H]="","",INDEX(NOTA[TANGGAL],MATCH(,INDIRECT(ADDRESS(ROW(NOTA[TANGGAL]),COLUMN(NOTA[TANGGAL]))&amp;":"&amp;ADDRESS(ROW(),COLUMN(NOTA[TANGGAL]))),-1)))</f>
        <v/>
      </c>
      <c r="AH1182" s="64" t="str">
        <f ca="1">IF(NOTA[[#This Row],[NAMA BARANG]]="","",INDEX(NOTA[SUPPLIER],MATCH(,INDIRECT(ADDRESS(ROW(NOTA[ID]),COLUMN(NOTA[ID]))&amp;":"&amp;ADDRESS(ROW(),COLUMN(NOTA[ID]))),-1)))</f>
        <v/>
      </c>
      <c r="AI1182" s="64" t="str">
        <f ca="1">IF(NOTA[[#This Row],[ID_H]]="","",IF(NOTA[[#This Row],[FAKTUR]]="",INDIRECT(ADDRESS(ROW()-1,COLUMN())),NOTA[[#This Row],[FAKTUR]]))</f>
        <v/>
      </c>
      <c r="AJ1182" s="66" t="str">
        <f ca="1">IF(NOTA[[#This Row],[ID]]="","",COUNTIF(NOTA[ID_H],NOTA[[#This Row],[ID_H]]))</f>
        <v/>
      </c>
      <c r="AK1182" s="66" t="str">
        <f ca="1">IF(NOTA[[#This Row],[TGL.NOTA]]="",IF(NOTA[[#This Row],[SUPPLIER_H]]="","",AK1181),MONTH(NOTA[[#This Row],[TGL.NOTA]]))</f>
        <v/>
      </c>
      <c r="AL1182" s="66" t="str">
        <f>LOWER(SUBSTITUTE(SUBSTITUTE(SUBSTITUTE(SUBSTITUTE(SUBSTITUTE(SUBSTITUTE(SUBSTITUTE(SUBSTITUTE(SUBSTITUTE(NOTA[NAMA BARANG]," ",),".",""),"-",""),"(",""),")",""),",",""),"/",""),"""",""),"+",""))</f>
        <v/>
      </c>
      <c r="AM11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2" s="66" t="str">
        <f>IF(NOTA[[#This Row],[CONCAT4]]="","",_xlfn.IFNA(MATCH(NOTA[[#This Row],[CONCAT4]],[2]!RAW[CONCAT_H],0),FALSE))</f>
        <v/>
      </c>
      <c r="AQ1182" s="66" t="str">
        <f>IF(NOTA[[#This Row],[CONCAT1]]="","",MATCH(NOTA[[#This Row],[CONCAT1]],[3]!db[NB NOTA_C],0)+1)</f>
        <v/>
      </c>
    </row>
    <row r="1183" spans="1:43" ht="20.100000000000001" customHeight="1" x14ac:dyDescent="0.25">
      <c r="A118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3" s="66" t="str">
        <f>IF(NOTA[[#This Row],[ID_P]]="","",MATCH(NOTA[[#This Row],[ID_P]],[1]!B_MSK[N_ID],0))</f>
        <v/>
      </c>
      <c r="D1183" s="66" t="str">
        <f ca="1">IF(NOTA[[#This Row],[NAMA BARANG]]="","",INDEX(NOTA[ID],MATCH(,INDIRECT(ADDRESS(ROW(NOTA[ID]),COLUMN(NOTA[ID]))&amp;":"&amp;ADDRESS(ROW(),COLUMN(NOTA[ID]))),-1)))</f>
        <v/>
      </c>
      <c r="E1183" s="113"/>
      <c r="H1183" s="54"/>
      <c r="N1183" s="66"/>
      <c r="Q1183" s="79"/>
      <c r="R1183" s="42"/>
      <c r="S1183" s="80"/>
      <c r="U1183" s="52"/>
      <c r="V1183" s="77"/>
      <c r="W1183" s="52" t="str">
        <f>IF(NOTA[[#This Row],[HARGA/ CTN]]="",NOTA[[#This Row],[JUMLAH_H]],NOTA[[#This Row],[HARGA/ CTN]]*IF(NOTA[[#This Row],[C]]="",0,NOTA[[#This Row],[C]]))</f>
        <v/>
      </c>
      <c r="X1183" s="52" t="str">
        <f>IF(NOTA[[#This Row],[JUMLAH]]="","",NOTA[[#This Row],[JUMLAH]]*NOTA[[#This Row],[DISC 1]])</f>
        <v/>
      </c>
      <c r="Y1183" s="52" t="str">
        <f>IF(NOTA[[#This Row],[JUMLAH]]="","",(NOTA[[#This Row],[JUMLAH]]-NOTA[[#This Row],[DISC 1-]])*NOTA[[#This Row],[DISC 2]])</f>
        <v/>
      </c>
      <c r="Z1183" s="52" t="str">
        <f>IF(NOTA[[#This Row],[JUMLAH]]="","",NOTA[[#This Row],[DISC 1-]]+NOTA[[#This Row],[DISC 2-]])</f>
        <v/>
      </c>
      <c r="AA1183" s="52" t="str">
        <f>IF(NOTA[[#This Row],[JUMLAH]]="","",NOTA[[#This Row],[JUMLAH]]-NOTA[[#This Row],[DISC]])</f>
        <v/>
      </c>
      <c r="AB1183" s="52"/>
      <c r="AC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3" s="203" t="str">
        <f>IF(OR(NOTA[[#This Row],[QTY]]="",NOTA[[#This Row],[HARGA SATUAN]]="",),"",NOTA[[#This Row],[QTY]]*NOTA[[#This Row],[HARGA SATUAN]])</f>
        <v/>
      </c>
      <c r="AG1183" s="53" t="str">
        <f ca="1">IF(NOTA[ID_H]="","",INDEX(NOTA[TANGGAL],MATCH(,INDIRECT(ADDRESS(ROW(NOTA[TANGGAL]),COLUMN(NOTA[TANGGAL]))&amp;":"&amp;ADDRESS(ROW(),COLUMN(NOTA[TANGGAL]))),-1)))</f>
        <v/>
      </c>
      <c r="AH1183" s="64" t="str">
        <f ca="1">IF(NOTA[[#This Row],[NAMA BARANG]]="","",INDEX(NOTA[SUPPLIER],MATCH(,INDIRECT(ADDRESS(ROW(NOTA[ID]),COLUMN(NOTA[ID]))&amp;":"&amp;ADDRESS(ROW(),COLUMN(NOTA[ID]))),-1)))</f>
        <v/>
      </c>
      <c r="AI1183" s="64" t="str">
        <f ca="1">IF(NOTA[[#This Row],[ID_H]]="","",IF(NOTA[[#This Row],[FAKTUR]]="",INDIRECT(ADDRESS(ROW()-1,COLUMN())),NOTA[[#This Row],[FAKTUR]]))</f>
        <v/>
      </c>
      <c r="AJ1183" s="66" t="str">
        <f ca="1">IF(NOTA[[#This Row],[ID]]="","",COUNTIF(NOTA[ID_H],NOTA[[#This Row],[ID_H]]))</f>
        <v/>
      </c>
      <c r="AK1183" s="66" t="str">
        <f ca="1">IF(NOTA[[#This Row],[TGL.NOTA]]="",IF(NOTA[[#This Row],[SUPPLIER_H]]="","",AK1182),MONTH(NOTA[[#This Row],[TGL.NOTA]]))</f>
        <v/>
      </c>
      <c r="AL1183" s="66" t="str">
        <f>LOWER(SUBSTITUTE(SUBSTITUTE(SUBSTITUTE(SUBSTITUTE(SUBSTITUTE(SUBSTITUTE(SUBSTITUTE(SUBSTITUTE(SUBSTITUTE(NOTA[NAMA BARANG]," ",),".",""),"-",""),"(",""),")",""),",",""),"/",""),"""",""),"+",""))</f>
        <v/>
      </c>
      <c r="AM11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3" s="66" t="str">
        <f>IF(NOTA[[#This Row],[CONCAT4]]="","",_xlfn.IFNA(MATCH(NOTA[[#This Row],[CONCAT4]],[2]!RAW[CONCAT_H],0),FALSE))</f>
        <v/>
      </c>
      <c r="AQ1183" s="66" t="str">
        <f>IF(NOTA[[#This Row],[CONCAT1]]="","",MATCH(NOTA[[#This Row],[CONCAT1]],[3]!db[NB NOTA_C],0)+1)</f>
        <v/>
      </c>
    </row>
    <row r="1184" spans="1:43" ht="20.100000000000001" customHeight="1" x14ac:dyDescent="0.25">
      <c r="A1184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4" s="66" t="str">
        <f>IF(NOTA[[#This Row],[ID_P]]="","",MATCH(NOTA[[#This Row],[ID_P]],[1]!B_MSK[N_ID],0))</f>
        <v/>
      </c>
      <c r="D1184" s="66" t="str">
        <f ca="1">IF(NOTA[[#This Row],[NAMA BARANG]]="","",INDEX(NOTA[ID],MATCH(,INDIRECT(ADDRESS(ROW(NOTA[ID]),COLUMN(NOTA[ID]))&amp;":"&amp;ADDRESS(ROW(),COLUMN(NOTA[ID]))),-1)))</f>
        <v/>
      </c>
      <c r="E1184" s="113"/>
      <c r="H1184" s="54"/>
      <c r="N1184" s="66"/>
      <c r="Q1184" s="79"/>
      <c r="R1184" s="42"/>
      <c r="S1184" s="80"/>
      <c r="U1184" s="52"/>
      <c r="V1184" s="77"/>
      <c r="W1184" s="52" t="str">
        <f>IF(NOTA[[#This Row],[HARGA/ CTN]]="",NOTA[[#This Row],[JUMLAH_H]],NOTA[[#This Row],[HARGA/ CTN]]*IF(NOTA[[#This Row],[C]]="",0,NOTA[[#This Row],[C]]))</f>
        <v/>
      </c>
      <c r="X1184" s="52" t="str">
        <f>IF(NOTA[[#This Row],[JUMLAH]]="","",NOTA[[#This Row],[JUMLAH]]*NOTA[[#This Row],[DISC 1]])</f>
        <v/>
      </c>
      <c r="Y1184" s="52" t="str">
        <f>IF(NOTA[[#This Row],[JUMLAH]]="","",(NOTA[[#This Row],[JUMLAH]]-NOTA[[#This Row],[DISC 1-]])*NOTA[[#This Row],[DISC 2]])</f>
        <v/>
      </c>
      <c r="Z1184" s="52" t="str">
        <f>IF(NOTA[[#This Row],[JUMLAH]]="","",NOTA[[#This Row],[DISC 1-]]+NOTA[[#This Row],[DISC 2-]])</f>
        <v/>
      </c>
      <c r="AA1184" s="52" t="str">
        <f>IF(NOTA[[#This Row],[JUMLAH]]="","",NOTA[[#This Row],[JUMLAH]]-NOTA[[#This Row],[DISC]])</f>
        <v/>
      </c>
      <c r="AB1184" s="52"/>
      <c r="AC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4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4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4" s="203" t="str">
        <f>IF(OR(NOTA[[#This Row],[QTY]]="",NOTA[[#This Row],[HARGA SATUAN]]="",),"",NOTA[[#This Row],[QTY]]*NOTA[[#This Row],[HARGA SATUAN]])</f>
        <v/>
      </c>
      <c r="AG1184" s="53" t="str">
        <f ca="1">IF(NOTA[ID_H]="","",INDEX(NOTA[TANGGAL],MATCH(,INDIRECT(ADDRESS(ROW(NOTA[TANGGAL]),COLUMN(NOTA[TANGGAL]))&amp;":"&amp;ADDRESS(ROW(),COLUMN(NOTA[TANGGAL]))),-1)))</f>
        <v/>
      </c>
      <c r="AH1184" s="64" t="str">
        <f ca="1">IF(NOTA[[#This Row],[NAMA BARANG]]="","",INDEX(NOTA[SUPPLIER],MATCH(,INDIRECT(ADDRESS(ROW(NOTA[ID]),COLUMN(NOTA[ID]))&amp;":"&amp;ADDRESS(ROW(),COLUMN(NOTA[ID]))),-1)))</f>
        <v/>
      </c>
      <c r="AI1184" s="64" t="str">
        <f ca="1">IF(NOTA[[#This Row],[ID_H]]="","",IF(NOTA[[#This Row],[FAKTUR]]="",INDIRECT(ADDRESS(ROW()-1,COLUMN())),NOTA[[#This Row],[FAKTUR]]))</f>
        <v/>
      </c>
      <c r="AJ1184" s="66" t="str">
        <f ca="1">IF(NOTA[[#This Row],[ID]]="","",COUNTIF(NOTA[ID_H],NOTA[[#This Row],[ID_H]]))</f>
        <v/>
      </c>
      <c r="AK1184" s="66" t="str">
        <f ca="1">IF(NOTA[[#This Row],[TGL.NOTA]]="",IF(NOTA[[#This Row],[SUPPLIER_H]]="","",AK1183),MONTH(NOTA[[#This Row],[TGL.NOTA]]))</f>
        <v/>
      </c>
      <c r="AL1184" s="66" t="str">
        <f>LOWER(SUBSTITUTE(SUBSTITUTE(SUBSTITUTE(SUBSTITUTE(SUBSTITUTE(SUBSTITUTE(SUBSTITUTE(SUBSTITUTE(SUBSTITUTE(NOTA[NAMA BARANG]," ",),".",""),"-",""),"(",""),")",""),",",""),"/",""),"""",""),"+",""))</f>
        <v/>
      </c>
      <c r="AM11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4" s="66" t="str">
        <f>IF(NOTA[[#This Row],[CONCAT4]]="","",_xlfn.IFNA(MATCH(NOTA[[#This Row],[CONCAT4]],[2]!RAW[CONCAT_H],0),FALSE))</f>
        <v/>
      </c>
      <c r="AQ1184" s="66" t="str">
        <f>IF(NOTA[[#This Row],[CONCAT1]]="","",MATCH(NOTA[[#This Row],[CONCAT1]],[3]!db[NB NOTA_C],0)+1)</f>
        <v/>
      </c>
    </row>
    <row r="1185" spans="1:43" ht="20.100000000000001" customHeight="1" x14ac:dyDescent="0.25">
      <c r="A1185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5" s="66" t="str">
        <f>IF(NOTA[[#This Row],[ID_P]]="","",MATCH(NOTA[[#This Row],[ID_P]],[1]!B_MSK[N_ID],0))</f>
        <v/>
      </c>
      <c r="D1185" s="66" t="str">
        <f ca="1">IF(NOTA[[#This Row],[NAMA BARANG]]="","",INDEX(NOTA[ID],MATCH(,INDIRECT(ADDRESS(ROW(NOTA[ID]),COLUMN(NOTA[ID]))&amp;":"&amp;ADDRESS(ROW(),COLUMN(NOTA[ID]))),-1)))</f>
        <v/>
      </c>
      <c r="E1185" s="113"/>
      <c r="H1185" s="54"/>
      <c r="N1185" s="66"/>
      <c r="Q1185" s="79"/>
      <c r="R1185" s="42"/>
      <c r="S1185" s="80"/>
      <c r="U1185" s="52"/>
      <c r="V1185" s="77"/>
      <c r="W1185" s="52" t="str">
        <f>IF(NOTA[[#This Row],[HARGA/ CTN]]="",NOTA[[#This Row],[JUMLAH_H]],NOTA[[#This Row],[HARGA/ CTN]]*IF(NOTA[[#This Row],[C]]="",0,NOTA[[#This Row],[C]]))</f>
        <v/>
      </c>
      <c r="X1185" s="52" t="str">
        <f>IF(NOTA[[#This Row],[JUMLAH]]="","",NOTA[[#This Row],[JUMLAH]]*NOTA[[#This Row],[DISC 1]])</f>
        <v/>
      </c>
      <c r="Y1185" s="52" t="str">
        <f>IF(NOTA[[#This Row],[JUMLAH]]="","",(NOTA[[#This Row],[JUMLAH]]-NOTA[[#This Row],[DISC 1-]])*NOTA[[#This Row],[DISC 2]])</f>
        <v/>
      </c>
      <c r="Z1185" s="52" t="str">
        <f>IF(NOTA[[#This Row],[JUMLAH]]="","",NOTA[[#This Row],[DISC 1-]]+NOTA[[#This Row],[DISC 2-]])</f>
        <v/>
      </c>
      <c r="AA1185" s="52" t="str">
        <f>IF(NOTA[[#This Row],[JUMLAH]]="","",NOTA[[#This Row],[JUMLAH]]-NOTA[[#This Row],[DISC]])</f>
        <v/>
      </c>
      <c r="AB1185" s="52"/>
      <c r="AC11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5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5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5" s="203" t="str">
        <f>IF(OR(NOTA[[#This Row],[QTY]]="",NOTA[[#This Row],[HARGA SATUAN]]="",),"",NOTA[[#This Row],[QTY]]*NOTA[[#This Row],[HARGA SATUAN]])</f>
        <v/>
      </c>
      <c r="AG1185" s="53" t="str">
        <f ca="1">IF(NOTA[ID_H]="","",INDEX(NOTA[TANGGAL],MATCH(,INDIRECT(ADDRESS(ROW(NOTA[TANGGAL]),COLUMN(NOTA[TANGGAL]))&amp;":"&amp;ADDRESS(ROW(),COLUMN(NOTA[TANGGAL]))),-1)))</f>
        <v/>
      </c>
      <c r="AH1185" s="64" t="str">
        <f ca="1">IF(NOTA[[#This Row],[NAMA BARANG]]="","",INDEX(NOTA[SUPPLIER],MATCH(,INDIRECT(ADDRESS(ROW(NOTA[ID]),COLUMN(NOTA[ID]))&amp;":"&amp;ADDRESS(ROW(),COLUMN(NOTA[ID]))),-1)))</f>
        <v/>
      </c>
      <c r="AI1185" s="64" t="str">
        <f ca="1">IF(NOTA[[#This Row],[ID_H]]="","",IF(NOTA[[#This Row],[FAKTUR]]="",INDIRECT(ADDRESS(ROW()-1,COLUMN())),NOTA[[#This Row],[FAKTUR]]))</f>
        <v/>
      </c>
      <c r="AJ1185" s="66" t="str">
        <f ca="1">IF(NOTA[[#This Row],[ID]]="","",COUNTIF(NOTA[ID_H],NOTA[[#This Row],[ID_H]]))</f>
        <v/>
      </c>
      <c r="AK1185" s="66" t="str">
        <f ca="1">IF(NOTA[[#This Row],[TGL.NOTA]]="",IF(NOTA[[#This Row],[SUPPLIER_H]]="","",AK1184),MONTH(NOTA[[#This Row],[TGL.NOTA]]))</f>
        <v/>
      </c>
      <c r="AL1185" s="66" t="str">
        <f>LOWER(SUBSTITUTE(SUBSTITUTE(SUBSTITUTE(SUBSTITUTE(SUBSTITUTE(SUBSTITUTE(SUBSTITUTE(SUBSTITUTE(SUBSTITUTE(NOTA[NAMA BARANG]," ",),".",""),"-",""),"(",""),")",""),",",""),"/",""),"""",""),"+",""))</f>
        <v/>
      </c>
      <c r="AM11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5" s="66" t="str">
        <f>IF(NOTA[[#This Row],[CONCAT4]]="","",_xlfn.IFNA(MATCH(NOTA[[#This Row],[CONCAT4]],[2]!RAW[CONCAT_H],0),FALSE))</f>
        <v/>
      </c>
      <c r="AQ1185" s="66" t="str">
        <f>IF(NOTA[[#This Row],[CONCAT1]]="","",MATCH(NOTA[[#This Row],[CONCAT1]],[3]!db[NB NOTA_C],0)+1)</f>
        <v/>
      </c>
    </row>
    <row r="1186" spans="1:43" ht="20.100000000000001" customHeight="1" x14ac:dyDescent="0.25">
      <c r="A1186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6" s="66" t="str">
        <f>IF(NOTA[[#This Row],[ID_P]]="","",MATCH(NOTA[[#This Row],[ID_P]],[1]!B_MSK[N_ID],0))</f>
        <v/>
      </c>
      <c r="D1186" s="66" t="str">
        <f ca="1">IF(NOTA[[#This Row],[NAMA BARANG]]="","",INDEX(NOTA[ID],MATCH(,INDIRECT(ADDRESS(ROW(NOTA[ID]),COLUMN(NOTA[ID]))&amp;":"&amp;ADDRESS(ROW(),COLUMN(NOTA[ID]))),-1)))</f>
        <v/>
      </c>
      <c r="E1186" s="113"/>
      <c r="H1186" s="54"/>
      <c r="N1186" s="66"/>
      <c r="Q1186" s="79"/>
      <c r="R1186" s="42"/>
      <c r="S1186" s="80"/>
      <c r="U1186" s="52"/>
      <c r="V1186" s="77"/>
      <c r="W1186" s="52" t="str">
        <f>IF(NOTA[[#This Row],[HARGA/ CTN]]="",NOTA[[#This Row],[JUMLAH_H]],NOTA[[#This Row],[HARGA/ CTN]]*IF(NOTA[[#This Row],[C]]="",0,NOTA[[#This Row],[C]]))</f>
        <v/>
      </c>
      <c r="X1186" s="52" t="str">
        <f>IF(NOTA[[#This Row],[JUMLAH]]="","",NOTA[[#This Row],[JUMLAH]]*NOTA[[#This Row],[DISC 1]])</f>
        <v/>
      </c>
      <c r="Y1186" s="52" t="str">
        <f>IF(NOTA[[#This Row],[JUMLAH]]="","",(NOTA[[#This Row],[JUMLAH]]-NOTA[[#This Row],[DISC 1-]])*NOTA[[#This Row],[DISC 2]])</f>
        <v/>
      </c>
      <c r="Z1186" s="52" t="str">
        <f>IF(NOTA[[#This Row],[JUMLAH]]="","",NOTA[[#This Row],[DISC 1-]]+NOTA[[#This Row],[DISC 2-]])</f>
        <v/>
      </c>
      <c r="AA1186" s="52" t="str">
        <f>IF(NOTA[[#This Row],[JUMLAH]]="","",NOTA[[#This Row],[JUMLAH]]-NOTA[[#This Row],[DISC]])</f>
        <v/>
      </c>
      <c r="AB1186" s="52"/>
      <c r="AC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6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6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6" s="203" t="str">
        <f>IF(OR(NOTA[[#This Row],[QTY]]="",NOTA[[#This Row],[HARGA SATUAN]]="",),"",NOTA[[#This Row],[QTY]]*NOTA[[#This Row],[HARGA SATUAN]])</f>
        <v/>
      </c>
      <c r="AG1186" s="53" t="str">
        <f ca="1">IF(NOTA[ID_H]="","",INDEX(NOTA[TANGGAL],MATCH(,INDIRECT(ADDRESS(ROW(NOTA[TANGGAL]),COLUMN(NOTA[TANGGAL]))&amp;":"&amp;ADDRESS(ROW(),COLUMN(NOTA[TANGGAL]))),-1)))</f>
        <v/>
      </c>
      <c r="AH1186" s="64" t="str">
        <f ca="1">IF(NOTA[[#This Row],[NAMA BARANG]]="","",INDEX(NOTA[SUPPLIER],MATCH(,INDIRECT(ADDRESS(ROW(NOTA[ID]),COLUMN(NOTA[ID]))&amp;":"&amp;ADDRESS(ROW(),COLUMN(NOTA[ID]))),-1)))</f>
        <v/>
      </c>
      <c r="AI1186" s="64" t="str">
        <f ca="1">IF(NOTA[[#This Row],[ID_H]]="","",IF(NOTA[[#This Row],[FAKTUR]]="",INDIRECT(ADDRESS(ROW()-1,COLUMN())),NOTA[[#This Row],[FAKTUR]]))</f>
        <v/>
      </c>
      <c r="AJ1186" s="66" t="str">
        <f ca="1">IF(NOTA[[#This Row],[ID]]="","",COUNTIF(NOTA[ID_H],NOTA[[#This Row],[ID_H]]))</f>
        <v/>
      </c>
      <c r="AK1186" s="66" t="str">
        <f ca="1">IF(NOTA[[#This Row],[TGL.NOTA]]="",IF(NOTA[[#This Row],[SUPPLIER_H]]="","",AK1185),MONTH(NOTA[[#This Row],[TGL.NOTA]]))</f>
        <v/>
      </c>
      <c r="AL1186" s="66" t="str">
        <f>LOWER(SUBSTITUTE(SUBSTITUTE(SUBSTITUTE(SUBSTITUTE(SUBSTITUTE(SUBSTITUTE(SUBSTITUTE(SUBSTITUTE(SUBSTITUTE(NOTA[NAMA BARANG]," ",),".",""),"-",""),"(",""),")",""),",",""),"/",""),"""",""),"+",""))</f>
        <v/>
      </c>
      <c r="AM11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6" s="66" t="str">
        <f>IF(NOTA[[#This Row],[CONCAT4]]="","",_xlfn.IFNA(MATCH(NOTA[[#This Row],[CONCAT4]],[2]!RAW[CONCAT_H],0),FALSE))</f>
        <v/>
      </c>
      <c r="AQ1186" s="66" t="str">
        <f>IF(NOTA[[#This Row],[CONCAT1]]="","",MATCH(NOTA[[#This Row],[CONCAT1]],[3]!db[NB NOTA_C],0)+1)</f>
        <v/>
      </c>
    </row>
    <row r="1187" spans="1:43" ht="20.100000000000001" customHeight="1" x14ac:dyDescent="0.25">
      <c r="A1187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7" s="66" t="str">
        <f>IF(NOTA[[#This Row],[ID_P]]="","",MATCH(NOTA[[#This Row],[ID_P]],[1]!B_MSK[N_ID],0))</f>
        <v/>
      </c>
      <c r="D1187" s="66" t="str">
        <f ca="1">IF(NOTA[[#This Row],[NAMA BARANG]]="","",INDEX(NOTA[ID],MATCH(,INDIRECT(ADDRESS(ROW(NOTA[ID]),COLUMN(NOTA[ID]))&amp;":"&amp;ADDRESS(ROW(),COLUMN(NOTA[ID]))),-1)))</f>
        <v/>
      </c>
      <c r="E1187" s="113"/>
      <c r="H1187" s="54"/>
      <c r="N1187" s="66"/>
      <c r="Q1187" s="79"/>
      <c r="R1187" s="42"/>
      <c r="S1187" s="80"/>
      <c r="U1187" s="52"/>
      <c r="V1187" s="77"/>
      <c r="W1187" s="52" t="str">
        <f>IF(NOTA[[#This Row],[HARGA/ CTN]]="",NOTA[[#This Row],[JUMLAH_H]],NOTA[[#This Row],[HARGA/ CTN]]*IF(NOTA[[#This Row],[C]]="",0,NOTA[[#This Row],[C]]))</f>
        <v/>
      </c>
      <c r="X1187" s="52" t="str">
        <f>IF(NOTA[[#This Row],[JUMLAH]]="","",NOTA[[#This Row],[JUMLAH]]*NOTA[[#This Row],[DISC 1]])</f>
        <v/>
      </c>
      <c r="Y1187" s="52" t="str">
        <f>IF(NOTA[[#This Row],[JUMLAH]]="","",(NOTA[[#This Row],[JUMLAH]]-NOTA[[#This Row],[DISC 1-]])*NOTA[[#This Row],[DISC 2]])</f>
        <v/>
      </c>
      <c r="Z1187" s="52" t="str">
        <f>IF(NOTA[[#This Row],[JUMLAH]]="","",NOTA[[#This Row],[DISC 1-]]+NOTA[[#This Row],[DISC 2-]])</f>
        <v/>
      </c>
      <c r="AA1187" s="52" t="str">
        <f>IF(NOTA[[#This Row],[JUMLAH]]="","",NOTA[[#This Row],[JUMLAH]]-NOTA[[#This Row],[DISC]])</f>
        <v/>
      </c>
      <c r="AB1187" s="52"/>
      <c r="AC11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7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7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7" s="203" t="str">
        <f>IF(OR(NOTA[[#This Row],[QTY]]="",NOTA[[#This Row],[HARGA SATUAN]]="",),"",NOTA[[#This Row],[QTY]]*NOTA[[#This Row],[HARGA SATUAN]])</f>
        <v/>
      </c>
      <c r="AG1187" s="53" t="str">
        <f ca="1">IF(NOTA[ID_H]="","",INDEX(NOTA[TANGGAL],MATCH(,INDIRECT(ADDRESS(ROW(NOTA[TANGGAL]),COLUMN(NOTA[TANGGAL]))&amp;":"&amp;ADDRESS(ROW(),COLUMN(NOTA[TANGGAL]))),-1)))</f>
        <v/>
      </c>
      <c r="AH1187" s="64" t="str">
        <f ca="1">IF(NOTA[[#This Row],[NAMA BARANG]]="","",INDEX(NOTA[SUPPLIER],MATCH(,INDIRECT(ADDRESS(ROW(NOTA[ID]),COLUMN(NOTA[ID]))&amp;":"&amp;ADDRESS(ROW(),COLUMN(NOTA[ID]))),-1)))</f>
        <v/>
      </c>
      <c r="AI1187" s="64" t="str">
        <f ca="1">IF(NOTA[[#This Row],[ID_H]]="","",IF(NOTA[[#This Row],[FAKTUR]]="",INDIRECT(ADDRESS(ROW()-1,COLUMN())),NOTA[[#This Row],[FAKTUR]]))</f>
        <v/>
      </c>
      <c r="AJ1187" s="66" t="str">
        <f ca="1">IF(NOTA[[#This Row],[ID]]="","",COUNTIF(NOTA[ID_H],NOTA[[#This Row],[ID_H]]))</f>
        <v/>
      </c>
      <c r="AK1187" s="66" t="str">
        <f ca="1">IF(NOTA[[#This Row],[TGL.NOTA]]="",IF(NOTA[[#This Row],[SUPPLIER_H]]="","",AK1186),MONTH(NOTA[[#This Row],[TGL.NOTA]]))</f>
        <v/>
      </c>
      <c r="AL1187" s="66" t="str">
        <f>LOWER(SUBSTITUTE(SUBSTITUTE(SUBSTITUTE(SUBSTITUTE(SUBSTITUTE(SUBSTITUTE(SUBSTITUTE(SUBSTITUTE(SUBSTITUTE(NOTA[NAMA BARANG]," ",),".",""),"-",""),"(",""),")",""),",",""),"/",""),"""",""),"+",""))</f>
        <v/>
      </c>
      <c r="AM11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7" s="66" t="str">
        <f>IF(NOTA[[#This Row],[CONCAT4]]="","",_xlfn.IFNA(MATCH(NOTA[[#This Row],[CONCAT4]],[2]!RAW[CONCAT_H],0),FALSE))</f>
        <v/>
      </c>
      <c r="AQ1187" s="66" t="str">
        <f>IF(NOTA[[#This Row],[CONCAT1]]="","",MATCH(NOTA[[#This Row],[CONCAT1]],[3]!db[NB NOTA_C],0)+1)</f>
        <v/>
      </c>
    </row>
    <row r="1188" spans="1:43" ht="20.100000000000001" customHeight="1" x14ac:dyDescent="0.25">
      <c r="A1188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8" s="66" t="str">
        <f>IF(NOTA[[#This Row],[ID_P]]="","",MATCH(NOTA[[#This Row],[ID_P]],[1]!B_MSK[N_ID],0))</f>
        <v/>
      </c>
      <c r="D1188" s="66" t="str">
        <f ca="1">IF(NOTA[[#This Row],[NAMA BARANG]]="","",INDEX(NOTA[ID],MATCH(,INDIRECT(ADDRESS(ROW(NOTA[ID]),COLUMN(NOTA[ID]))&amp;":"&amp;ADDRESS(ROW(),COLUMN(NOTA[ID]))),-1)))</f>
        <v/>
      </c>
      <c r="E1188" s="113"/>
      <c r="H1188" s="54"/>
      <c r="N1188" s="66"/>
      <c r="Q1188" s="79"/>
      <c r="R1188" s="42"/>
      <c r="S1188" s="80"/>
      <c r="U1188" s="52"/>
      <c r="V1188" s="77"/>
      <c r="W1188" s="52" t="str">
        <f>IF(NOTA[[#This Row],[HARGA/ CTN]]="",NOTA[[#This Row],[JUMLAH_H]],NOTA[[#This Row],[HARGA/ CTN]]*IF(NOTA[[#This Row],[C]]="",0,NOTA[[#This Row],[C]]))</f>
        <v/>
      </c>
      <c r="X1188" s="52" t="str">
        <f>IF(NOTA[[#This Row],[JUMLAH]]="","",NOTA[[#This Row],[JUMLAH]]*NOTA[[#This Row],[DISC 1]])</f>
        <v/>
      </c>
      <c r="Y1188" s="52" t="str">
        <f>IF(NOTA[[#This Row],[JUMLAH]]="","",(NOTA[[#This Row],[JUMLAH]]-NOTA[[#This Row],[DISC 1-]])*NOTA[[#This Row],[DISC 2]])</f>
        <v/>
      </c>
      <c r="Z1188" s="52" t="str">
        <f>IF(NOTA[[#This Row],[JUMLAH]]="","",NOTA[[#This Row],[DISC 1-]]+NOTA[[#This Row],[DISC 2-]])</f>
        <v/>
      </c>
      <c r="AA1188" s="52" t="str">
        <f>IF(NOTA[[#This Row],[JUMLAH]]="","",NOTA[[#This Row],[JUMLAH]]-NOTA[[#This Row],[DISC]])</f>
        <v/>
      </c>
      <c r="AB1188" s="52"/>
      <c r="AC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8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8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8" s="203" t="str">
        <f>IF(OR(NOTA[[#This Row],[QTY]]="",NOTA[[#This Row],[HARGA SATUAN]]="",),"",NOTA[[#This Row],[QTY]]*NOTA[[#This Row],[HARGA SATUAN]])</f>
        <v/>
      </c>
      <c r="AG1188" s="53" t="str">
        <f ca="1">IF(NOTA[ID_H]="","",INDEX(NOTA[TANGGAL],MATCH(,INDIRECT(ADDRESS(ROW(NOTA[TANGGAL]),COLUMN(NOTA[TANGGAL]))&amp;":"&amp;ADDRESS(ROW(),COLUMN(NOTA[TANGGAL]))),-1)))</f>
        <v/>
      </c>
      <c r="AH1188" s="64" t="str">
        <f ca="1">IF(NOTA[[#This Row],[NAMA BARANG]]="","",INDEX(NOTA[SUPPLIER],MATCH(,INDIRECT(ADDRESS(ROW(NOTA[ID]),COLUMN(NOTA[ID]))&amp;":"&amp;ADDRESS(ROW(),COLUMN(NOTA[ID]))),-1)))</f>
        <v/>
      </c>
      <c r="AI1188" s="64" t="str">
        <f ca="1">IF(NOTA[[#This Row],[ID_H]]="","",IF(NOTA[[#This Row],[FAKTUR]]="",INDIRECT(ADDRESS(ROW()-1,COLUMN())),NOTA[[#This Row],[FAKTUR]]))</f>
        <v/>
      </c>
      <c r="AJ1188" s="66" t="str">
        <f ca="1">IF(NOTA[[#This Row],[ID]]="","",COUNTIF(NOTA[ID_H],NOTA[[#This Row],[ID_H]]))</f>
        <v/>
      </c>
      <c r="AK1188" s="66" t="str">
        <f ca="1">IF(NOTA[[#This Row],[TGL.NOTA]]="",IF(NOTA[[#This Row],[SUPPLIER_H]]="","",AK1187),MONTH(NOTA[[#This Row],[TGL.NOTA]]))</f>
        <v/>
      </c>
      <c r="AL1188" s="66" t="str">
        <f>LOWER(SUBSTITUTE(SUBSTITUTE(SUBSTITUTE(SUBSTITUTE(SUBSTITUTE(SUBSTITUTE(SUBSTITUTE(SUBSTITUTE(SUBSTITUTE(NOTA[NAMA BARANG]," ",),".",""),"-",""),"(",""),")",""),",",""),"/",""),"""",""),"+",""))</f>
        <v/>
      </c>
      <c r="AM11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8" s="66" t="str">
        <f>IF(NOTA[[#This Row],[CONCAT4]]="","",_xlfn.IFNA(MATCH(NOTA[[#This Row],[CONCAT4]],[2]!RAW[CONCAT_H],0),FALSE))</f>
        <v/>
      </c>
      <c r="AQ1188" s="66" t="str">
        <f>IF(NOTA[[#This Row],[CONCAT1]]="","",MATCH(NOTA[[#This Row],[CONCAT1]],[3]!db[NB NOTA_C],0)+1)</f>
        <v/>
      </c>
    </row>
    <row r="1189" spans="1:43" ht="20.100000000000001" customHeight="1" x14ac:dyDescent="0.25">
      <c r="A1189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9" s="66" t="str">
        <f>IF(NOTA[[#This Row],[ID_P]]="","",MATCH(NOTA[[#This Row],[ID_P]],[1]!B_MSK[N_ID],0))</f>
        <v/>
      </c>
      <c r="D1189" s="66" t="str">
        <f ca="1">IF(NOTA[[#This Row],[NAMA BARANG]]="","",INDEX(NOTA[ID],MATCH(,INDIRECT(ADDRESS(ROW(NOTA[ID]),COLUMN(NOTA[ID]))&amp;":"&amp;ADDRESS(ROW(),COLUMN(NOTA[ID]))),-1)))</f>
        <v/>
      </c>
      <c r="E1189" s="113"/>
      <c r="H1189" s="54"/>
      <c r="N1189" s="66"/>
      <c r="Q1189" s="79"/>
      <c r="R1189" s="42"/>
      <c r="S1189" s="80"/>
      <c r="U1189" s="52"/>
      <c r="V1189" s="77"/>
      <c r="W1189" s="52" t="str">
        <f>IF(NOTA[[#This Row],[HARGA/ CTN]]="",NOTA[[#This Row],[JUMLAH_H]],NOTA[[#This Row],[HARGA/ CTN]]*IF(NOTA[[#This Row],[C]]="",0,NOTA[[#This Row],[C]]))</f>
        <v/>
      </c>
      <c r="X1189" s="52" t="str">
        <f>IF(NOTA[[#This Row],[JUMLAH]]="","",NOTA[[#This Row],[JUMLAH]]*NOTA[[#This Row],[DISC 1]])</f>
        <v/>
      </c>
      <c r="Y1189" s="52" t="str">
        <f>IF(NOTA[[#This Row],[JUMLAH]]="","",(NOTA[[#This Row],[JUMLAH]]-NOTA[[#This Row],[DISC 1-]])*NOTA[[#This Row],[DISC 2]])</f>
        <v/>
      </c>
      <c r="Z1189" s="52" t="str">
        <f>IF(NOTA[[#This Row],[JUMLAH]]="","",NOTA[[#This Row],[DISC 1-]]+NOTA[[#This Row],[DISC 2-]])</f>
        <v/>
      </c>
      <c r="AA1189" s="52" t="str">
        <f>IF(NOTA[[#This Row],[JUMLAH]]="","",NOTA[[#This Row],[JUMLAH]]-NOTA[[#This Row],[DISC]])</f>
        <v/>
      </c>
      <c r="AB1189" s="52"/>
      <c r="AC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9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9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89" s="203" t="str">
        <f>IF(OR(NOTA[[#This Row],[QTY]]="",NOTA[[#This Row],[HARGA SATUAN]]="",),"",NOTA[[#This Row],[QTY]]*NOTA[[#This Row],[HARGA SATUAN]])</f>
        <v/>
      </c>
      <c r="AG1189" s="53" t="str">
        <f ca="1">IF(NOTA[ID_H]="","",INDEX(NOTA[TANGGAL],MATCH(,INDIRECT(ADDRESS(ROW(NOTA[TANGGAL]),COLUMN(NOTA[TANGGAL]))&amp;":"&amp;ADDRESS(ROW(),COLUMN(NOTA[TANGGAL]))),-1)))</f>
        <v/>
      </c>
      <c r="AH1189" s="64" t="str">
        <f ca="1">IF(NOTA[[#This Row],[NAMA BARANG]]="","",INDEX(NOTA[SUPPLIER],MATCH(,INDIRECT(ADDRESS(ROW(NOTA[ID]),COLUMN(NOTA[ID]))&amp;":"&amp;ADDRESS(ROW(),COLUMN(NOTA[ID]))),-1)))</f>
        <v/>
      </c>
      <c r="AI1189" s="64" t="str">
        <f ca="1">IF(NOTA[[#This Row],[ID_H]]="","",IF(NOTA[[#This Row],[FAKTUR]]="",INDIRECT(ADDRESS(ROW()-1,COLUMN())),NOTA[[#This Row],[FAKTUR]]))</f>
        <v/>
      </c>
      <c r="AJ1189" s="66" t="str">
        <f ca="1">IF(NOTA[[#This Row],[ID]]="","",COUNTIF(NOTA[ID_H],NOTA[[#This Row],[ID_H]]))</f>
        <v/>
      </c>
      <c r="AK1189" s="66" t="str">
        <f ca="1">IF(NOTA[[#This Row],[TGL.NOTA]]="",IF(NOTA[[#This Row],[SUPPLIER_H]]="","",AK1188),MONTH(NOTA[[#This Row],[TGL.NOTA]]))</f>
        <v/>
      </c>
      <c r="AL1189" s="66" t="str">
        <f>LOWER(SUBSTITUTE(SUBSTITUTE(SUBSTITUTE(SUBSTITUTE(SUBSTITUTE(SUBSTITUTE(SUBSTITUTE(SUBSTITUTE(SUBSTITUTE(NOTA[NAMA BARANG]," ",),".",""),"-",""),"(",""),")",""),",",""),"/",""),"""",""),"+",""))</f>
        <v/>
      </c>
      <c r="AM11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9" s="66" t="str">
        <f>IF(NOTA[[#This Row],[CONCAT4]]="","",_xlfn.IFNA(MATCH(NOTA[[#This Row],[CONCAT4]],[2]!RAW[CONCAT_H],0),FALSE))</f>
        <v/>
      </c>
      <c r="AQ1189" s="66" t="str">
        <f>IF(NOTA[[#This Row],[CONCAT1]]="","",MATCH(NOTA[[#This Row],[CONCAT1]],[3]!db[NB NOTA_C],0)+1)</f>
        <v/>
      </c>
    </row>
    <row r="1190" spans="1:43" ht="20.100000000000001" customHeight="1" x14ac:dyDescent="0.25">
      <c r="A1190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0" s="66" t="str">
        <f>IF(NOTA[[#This Row],[ID_P]]="","",MATCH(NOTA[[#This Row],[ID_P]],[1]!B_MSK[N_ID],0))</f>
        <v/>
      </c>
      <c r="D1190" s="66" t="str">
        <f ca="1">IF(NOTA[[#This Row],[NAMA BARANG]]="","",INDEX(NOTA[ID],MATCH(,INDIRECT(ADDRESS(ROW(NOTA[ID]),COLUMN(NOTA[ID]))&amp;":"&amp;ADDRESS(ROW(),COLUMN(NOTA[ID]))),-1)))</f>
        <v/>
      </c>
      <c r="E1190" s="113"/>
      <c r="H1190" s="54"/>
      <c r="N1190" s="66"/>
      <c r="Q1190" s="79"/>
      <c r="R1190" s="42"/>
      <c r="S1190" s="80"/>
      <c r="U1190" s="52"/>
      <c r="V1190" s="77"/>
      <c r="W1190" s="52" t="str">
        <f>IF(NOTA[[#This Row],[HARGA/ CTN]]="",NOTA[[#This Row],[JUMLAH_H]],NOTA[[#This Row],[HARGA/ CTN]]*IF(NOTA[[#This Row],[C]]="",0,NOTA[[#This Row],[C]]))</f>
        <v/>
      </c>
      <c r="X1190" s="52" t="str">
        <f>IF(NOTA[[#This Row],[JUMLAH]]="","",NOTA[[#This Row],[JUMLAH]]*NOTA[[#This Row],[DISC 1]])</f>
        <v/>
      </c>
      <c r="Y1190" s="52" t="str">
        <f>IF(NOTA[[#This Row],[JUMLAH]]="","",(NOTA[[#This Row],[JUMLAH]]-NOTA[[#This Row],[DISC 1-]])*NOTA[[#This Row],[DISC 2]])</f>
        <v/>
      </c>
      <c r="Z1190" s="52" t="str">
        <f>IF(NOTA[[#This Row],[JUMLAH]]="","",NOTA[[#This Row],[DISC 1-]]+NOTA[[#This Row],[DISC 2-]])</f>
        <v/>
      </c>
      <c r="AA1190" s="52" t="str">
        <f>IF(NOTA[[#This Row],[JUMLAH]]="","",NOTA[[#This Row],[JUMLAH]]-NOTA[[#This Row],[DISC]])</f>
        <v/>
      </c>
      <c r="AB1190" s="52"/>
      <c r="AC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0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0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0" s="203" t="str">
        <f>IF(OR(NOTA[[#This Row],[QTY]]="",NOTA[[#This Row],[HARGA SATUAN]]="",),"",NOTA[[#This Row],[QTY]]*NOTA[[#This Row],[HARGA SATUAN]])</f>
        <v/>
      </c>
      <c r="AG1190" s="53" t="str">
        <f ca="1">IF(NOTA[ID_H]="","",INDEX(NOTA[TANGGAL],MATCH(,INDIRECT(ADDRESS(ROW(NOTA[TANGGAL]),COLUMN(NOTA[TANGGAL]))&amp;":"&amp;ADDRESS(ROW(),COLUMN(NOTA[TANGGAL]))),-1)))</f>
        <v/>
      </c>
      <c r="AH1190" s="64" t="str">
        <f ca="1">IF(NOTA[[#This Row],[NAMA BARANG]]="","",INDEX(NOTA[SUPPLIER],MATCH(,INDIRECT(ADDRESS(ROW(NOTA[ID]),COLUMN(NOTA[ID]))&amp;":"&amp;ADDRESS(ROW(),COLUMN(NOTA[ID]))),-1)))</f>
        <v/>
      </c>
      <c r="AI1190" s="64" t="str">
        <f ca="1">IF(NOTA[[#This Row],[ID_H]]="","",IF(NOTA[[#This Row],[FAKTUR]]="",INDIRECT(ADDRESS(ROW()-1,COLUMN())),NOTA[[#This Row],[FAKTUR]]))</f>
        <v/>
      </c>
      <c r="AJ1190" s="66" t="str">
        <f ca="1">IF(NOTA[[#This Row],[ID]]="","",COUNTIF(NOTA[ID_H],NOTA[[#This Row],[ID_H]]))</f>
        <v/>
      </c>
      <c r="AK1190" s="66" t="str">
        <f ca="1">IF(NOTA[[#This Row],[TGL.NOTA]]="",IF(NOTA[[#This Row],[SUPPLIER_H]]="","",AK1189),MONTH(NOTA[[#This Row],[TGL.NOTA]]))</f>
        <v/>
      </c>
      <c r="AL1190" s="66" t="str">
        <f>LOWER(SUBSTITUTE(SUBSTITUTE(SUBSTITUTE(SUBSTITUTE(SUBSTITUTE(SUBSTITUTE(SUBSTITUTE(SUBSTITUTE(SUBSTITUTE(NOTA[NAMA BARANG]," ",),".",""),"-",""),"(",""),")",""),",",""),"/",""),"""",""),"+",""))</f>
        <v/>
      </c>
      <c r="AM11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0" s="66" t="str">
        <f>IF(NOTA[[#This Row],[CONCAT4]]="","",_xlfn.IFNA(MATCH(NOTA[[#This Row],[CONCAT4]],[2]!RAW[CONCAT_H],0),FALSE))</f>
        <v/>
      </c>
      <c r="AQ1190" s="66" t="str">
        <f>IF(NOTA[[#This Row],[CONCAT1]]="","",MATCH(NOTA[[#This Row],[CONCAT1]],[3]!db[NB NOTA_C],0)+1)</f>
        <v/>
      </c>
    </row>
    <row r="1191" spans="1:43" ht="20.100000000000001" customHeight="1" x14ac:dyDescent="0.25">
      <c r="A1191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1" s="66" t="str">
        <f>IF(NOTA[[#This Row],[ID_P]]="","",MATCH(NOTA[[#This Row],[ID_P]],[1]!B_MSK[N_ID],0))</f>
        <v/>
      </c>
      <c r="D1191" s="66" t="str">
        <f ca="1">IF(NOTA[[#This Row],[NAMA BARANG]]="","",INDEX(NOTA[ID],MATCH(,INDIRECT(ADDRESS(ROW(NOTA[ID]),COLUMN(NOTA[ID]))&amp;":"&amp;ADDRESS(ROW(),COLUMN(NOTA[ID]))),-1)))</f>
        <v/>
      </c>
      <c r="E1191" s="113"/>
      <c r="H1191" s="54"/>
      <c r="N1191" s="66"/>
      <c r="Q1191" s="79"/>
      <c r="R1191" s="42"/>
      <c r="S1191" s="80"/>
      <c r="U1191" s="52"/>
      <c r="V1191" s="77"/>
      <c r="W1191" s="52" t="str">
        <f>IF(NOTA[[#This Row],[HARGA/ CTN]]="",NOTA[[#This Row],[JUMLAH_H]],NOTA[[#This Row],[HARGA/ CTN]]*IF(NOTA[[#This Row],[C]]="",0,NOTA[[#This Row],[C]]))</f>
        <v/>
      </c>
      <c r="X1191" s="52" t="str">
        <f>IF(NOTA[[#This Row],[JUMLAH]]="","",NOTA[[#This Row],[JUMLAH]]*NOTA[[#This Row],[DISC 1]])</f>
        <v/>
      </c>
      <c r="Y1191" s="52" t="str">
        <f>IF(NOTA[[#This Row],[JUMLAH]]="","",(NOTA[[#This Row],[JUMLAH]]-NOTA[[#This Row],[DISC 1-]])*NOTA[[#This Row],[DISC 2]])</f>
        <v/>
      </c>
      <c r="Z1191" s="52" t="str">
        <f>IF(NOTA[[#This Row],[JUMLAH]]="","",NOTA[[#This Row],[DISC 1-]]+NOTA[[#This Row],[DISC 2-]])</f>
        <v/>
      </c>
      <c r="AA1191" s="52" t="str">
        <f>IF(NOTA[[#This Row],[JUMLAH]]="","",NOTA[[#This Row],[JUMLAH]]-NOTA[[#This Row],[DISC]])</f>
        <v/>
      </c>
      <c r="AB1191" s="52"/>
      <c r="AC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1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1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1" s="203" t="str">
        <f>IF(OR(NOTA[[#This Row],[QTY]]="",NOTA[[#This Row],[HARGA SATUAN]]="",),"",NOTA[[#This Row],[QTY]]*NOTA[[#This Row],[HARGA SATUAN]])</f>
        <v/>
      </c>
      <c r="AG1191" s="53" t="str">
        <f ca="1">IF(NOTA[ID_H]="","",INDEX(NOTA[TANGGAL],MATCH(,INDIRECT(ADDRESS(ROW(NOTA[TANGGAL]),COLUMN(NOTA[TANGGAL]))&amp;":"&amp;ADDRESS(ROW(),COLUMN(NOTA[TANGGAL]))),-1)))</f>
        <v/>
      </c>
      <c r="AH1191" s="64" t="str">
        <f ca="1">IF(NOTA[[#This Row],[NAMA BARANG]]="","",INDEX(NOTA[SUPPLIER],MATCH(,INDIRECT(ADDRESS(ROW(NOTA[ID]),COLUMN(NOTA[ID]))&amp;":"&amp;ADDRESS(ROW(),COLUMN(NOTA[ID]))),-1)))</f>
        <v/>
      </c>
      <c r="AI1191" s="64" t="str">
        <f ca="1">IF(NOTA[[#This Row],[ID_H]]="","",IF(NOTA[[#This Row],[FAKTUR]]="",INDIRECT(ADDRESS(ROW()-1,COLUMN())),NOTA[[#This Row],[FAKTUR]]))</f>
        <v/>
      </c>
      <c r="AJ1191" s="66" t="str">
        <f ca="1">IF(NOTA[[#This Row],[ID]]="","",COUNTIF(NOTA[ID_H],NOTA[[#This Row],[ID_H]]))</f>
        <v/>
      </c>
      <c r="AK1191" s="66" t="str">
        <f ca="1">IF(NOTA[[#This Row],[TGL.NOTA]]="",IF(NOTA[[#This Row],[SUPPLIER_H]]="","",AK1190),MONTH(NOTA[[#This Row],[TGL.NOTA]]))</f>
        <v/>
      </c>
      <c r="AL1191" s="66" t="str">
        <f>LOWER(SUBSTITUTE(SUBSTITUTE(SUBSTITUTE(SUBSTITUTE(SUBSTITUTE(SUBSTITUTE(SUBSTITUTE(SUBSTITUTE(SUBSTITUTE(NOTA[NAMA BARANG]," ",),".",""),"-",""),"(",""),")",""),",",""),"/",""),"""",""),"+",""))</f>
        <v/>
      </c>
      <c r="AM11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1" s="66" t="str">
        <f>IF(NOTA[[#This Row],[CONCAT4]]="","",_xlfn.IFNA(MATCH(NOTA[[#This Row],[CONCAT4]],[2]!RAW[CONCAT_H],0),FALSE))</f>
        <v/>
      </c>
      <c r="AQ1191" s="66" t="str">
        <f>IF(NOTA[[#This Row],[CONCAT1]]="","",MATCH(NOTA[[#This Row],[CONCAT1]],[3]!db[NB NOTA_C],0)+1)</f>
        <v/>
      </c>
    </row>
    <row r="1192" spans="1:43" ht="20.100000000000001" customHeight="1" x14ac:dyDescent="0.25">
      <c r="A1192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2" s="66" t="str">
        <f>IF(NOTA[[#This Row],[ID_P]]="","",MATCH(NOTA[[#This Row],[ID_P]],[1]!B_MSK[N_ID],0))</f>
        <v/>
      </c>
      <c r="D1192" s="66" t="str">
        <f ca="1">IF(NOTA[[#This Row],[NAMA BARANG]]="","",INDEX(NOTA[ID],MATCH(,INDIRECT(ADDRESS(ROW(NOTA[ID]),COLUMN(NOTA[ID]))&amp;":"&amp;ADDRESS(ROW(),COLUMN(NOTA[ID]))),-1)))</f>
        <v/>
      </c>
      <c r="E1192" s="113"/>
      <c r="H1192" s="54"/>
      <c r="N1192" s="66"/>
      <c r="Q1192" s="79"/>
      <c r="R1192" s="42"/>
      <c r="S1192" s="80"/>
      <c r="U1192" s="52"/>
      <c r="V1192" s="77"/>
      <c r="W1192" s="52" t="str">
        <f>IF(NOTA[[#This Row],[HARGA/ CTN]]="",NOTA[[#This Row],[JUMLAH_H]],NOTA[[#This Row],[HARGA/ CTN]]*IF(NOTA[[#This Row],[C]]="",0,NOTA[[#This Row],[C]]))</f>
        <v/>
      </c>
      <c r="X1192" s="52" t="str">
        <f>IF(NOTA[[#This Row],[JUMLAH]]="","",NOTA[[#This Row],[JUMLAH]]*NOTA[[#This Row],[DISC 1]])</f>
        <v/>
      </c>
      <c r="Y1192" s="52" t="str">
        <f>IF(NOTA[[#This Row],[JUMLAH]]="","",(NOTA[[#This Row],[JUMLAH]]-NOTA[[#This Row],[DISC 1-]])*NOTA[[#This Row],[DISC 2]])</f>
        <v/>
      </c>
      <c r="Z1192" s="52" t="str">
        <f>IF(NOTA[[#This Row],[JUMLAH]]="","",NOTA[[#This Row],[DISC 1-]]+NOTA[[#This Row],[DISC 2-]])</f>
        <v/>
      </c>
      <c r="AA1192" s="52" t="str">
        <f>IF(NOTA[[#This Row],[JUMLAH]]="","",NOTA[[#This Row],[JUMLAH]]-NOTA[[#This Row],[DISC]])</f>
        <v/>
      </c>
      <c r="AB1192" s="52"/>
      <c r="AC11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2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2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2" s="203" t="str">
        <f>IF(OR(NOTA[[#This Row],[QTY]]="",NOTA[[#This Row],[HARGA SATUAN]]="",),"",NOTA[[#This Row],[QTY]]*NOTA[[#This Row],[HARGA SATUAN]])</f>
        <v/>
      </c>
      <c r="AG1192" s="53" t="str">
        <f ca="1">IF(NOTA[ID_H]="","",INDEX(NOTA[TANGGAL],MATCH(,INDIRECT(ADDRESS(ROW(NOTA[TANGGAL]),COLUMN(NOTA[TANGGAL]))&amp;":"&amp;ADDRESS(ROW(),COLUMN(NOTA[TANGGAL]))),-1)))</f>
        <v/>
      </c>
      <c r="AH1192" s="64" t="str">
        <f ca="1">IF(NOTA[[#This Row],[NAMA BARANG]]="","",INDEX(NOTA[SUPPLIER],MATCH(,INDIRECT(ADDRESS(ROW(NOTA[ID]),COLUMN(NOTA[ID]))&amp;":"&amp;ADDRESS(ROW(),COLUMN(NOTA[ID]))),-1)))</f>
        <v/>
      </c>
      <c r="AI1192" s="64" t="str">
        <f ca="1">IF(NOTA[[#This Row],[ID_H]]="","",IF(NOTA[[#This Row],[FAKTUR]]="",INDIRECT(ADDRESS(ROW()-1,COLUMN())),NOTA[[#This Row],[FAKTUR]]))</f>
        <v/>
      </c>
      <c r="AJ1192" s="66" t="str">
        <f ca="1">IF(NOTA[[#This Row],[ID]]="","",COUNTIF(NOTA[ID_H],NOTA[[#This Row],[ID_H]]))</f>
        <v/>
      </c>
      <c r="AK1192" s="66" t="str">
        <f ca="1">IF(NOTA[[#This Row],[TGL.NOTA]]="",IF(NOTA[[#This Row],[SUPPLIER_H]]="","",AK1191),MONTH(NOTA[[#This Row],[TGL.NOTA]]))</f>
        <v/>
      </c>
      <c r="AL1192" s="66" t="str">
        <f>LOWER(SUBSTITUTE(SUBSTITUTE(SUBSTITUTE(SUBSTITUTE(SUBSTITUTE(SUBSTITUTE(SUBSTITUTE(SUBSTITUTE(SUBSTITUTE(NOTA[NAMA BARANG]," ",),".",""),"-",""),"(",""),")",""),",",""),"/",""),"""",""),"+",""))</f>
        <v/>
      </c>
      <c r="AM11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2" s="66" t="str">
        <f>IF(NOTA[[#This Row],[CONCAT4]]="","",_xlfn.IFNA(MATCH(NOTA[[#This Row],[CONCAT4]],[2]!RAW[CONCAT_H],0),FALSE))</f>
        <v/>
      </c>
      <c r="AQ1192" s="66" t="str">
        <f>IF(NOTA[[#This Row],[CONCAT1]]="","",MATCH(NOTA[[#This Row],[CONCAT1]],[3]!db[NB NOTA_C],0)+1)</f>
        <v/>
      </c>
    </row>
    <row r="1193" spans="1:43" ht="20.100000000000001" customHeight="1" x14ac:dyDescent="0.25">
      <c r="A1193" s="6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3" s="66" t="str">
        <f>IF(NOTA[[#This Row],[ID_P]]="","",MATCH(NOTA[[#This Row],[ID_P]],[1]!B_MSK[N_ID],0))</f>
        <v/>
      </c>
      <c r="D1193" s="66" t="str">
        <f ca="1">IF(NOTA[[#This Row],[NAMA BARANG]]="","",INDEX(NOTA[ID],MATCH(,INDIRECT(ADDRESS(ROW(NOTA[ID]),COLUMN(NOTA[ID]))&amp;":"&amp;ADDRESS(ROW(),COLUMN(NOTA[ID]))),-1)))</f>
        <v/>
      </c>
      <c r="E1193" s="113"/>
      <c r="H1193" s="54"/>
      <c r="N1193" s="66"/>
      <c r="Q1193" s="79"/>
      <c r="R1193" s="42"/>
      <c r="S1193" s="80"/>
      <c r="U1193" s="52"/>
      <c r="V1193" s="77"/>
      <c r="W1193" s="52" t="str">
        <f>IF(NOTA[[#This Row],[HARGA/ CTN]]="",NOTA[[#This Row],[JUMLAH_H]],NOTA[[#This Row],[HARGA/ CTN]]*IF(NOTA[[#This Row],[C]]="",0,NOTA[[#This Row],[C]]))</f>
        <v/>
      </c>
      <c r="X1193" s="52" t="str">
        <f>IF(NOTA[[#This Row],[JUMLAH]]="","",NOTA[[#This Row],[JUMLAH]]*NOTA[[#This Row],[DISC 1]])</f>
        <v/>
      </c>
      <c r="Y1193" s="52" t="str">
        <f>IF(NOTA[[#This Row],[JUMLAH]]="","",(NOTA[[#This Row],[JUMLAH]]-NOTA[[#This Row],[DISC 1-]])*NOTA[[#This Row],[DISC 2]])</f>
        <v/>
      </c>
      <c r="Z1193" s="52" t="str">
        <f>IF(NOTA[[#This Row],[JUMLAH]]="","",NOTA[[#This Row],[DISC 1-]]+NOTA[[#This Row],[DISC 2-]])</f>
        <v/>
      </c>
      <c r="AA1193" s="52" t="str">
        <f>IF(NOTA[[#This Row],[JUMLAH]]="","",NOTA[[#This Row],[JUMLAH]]-NOTA[[#This Row],[DISC]])</f>
        <v/>
      </c>
      <c r="AB1193" s="52"/>
      <c r="AC11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3" s="5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3" s="6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3" s="203" t="str">
        <f>IF(OR(NOTA[[#This Row],[QTY]]="",NOTA[[#This Row],[HARGA SATUAN]]="",),"",NOTA[[#This Row],[QTY]]*NOTA[[#This Row],[HARGA SATUAN]])</f>
        <v/>
      </c>
      <c r="AG1193" s="53" t="str">
        <f ca="1">IF(NOTA[ID_H]="","",INDEX(NOTA[TANGGAL],MATCH(,INDIRECT(ADDRESS(ROW(NOTA[TANGGAL]),COLUMN(NOTA[TANGGAL]))&amp;":"&amp;ADDRESS(ROW(),COLUMN(NOTA[TANGGAL]))),-1)))</f>
        <v/>
      </c>
      <c r="AH1193" s="64" t="str">
        <f ca="1">IF(NOTA[[#This Row],[NAMA BARANG]]="","",INDEX(NOTA[SUPPLIER],MATCH(,INDIRECT(ADDRESS(ROW(NOTA[ID]),COLUMN(NOTA[ID]))&amp;":"&amp;ADDRESS(ROW(),COLUMN(NOTA[ID]))),-1)))</f>
        <v/>
      </c>
      <c r="AI1193" s="64" t="str">
        <f ca="1">IF(NOTA[[#This Row],[ID_H]]="","",IF(NOTA[[#This Row],[FAKTUR]]="",INDIRECT(ADDRESS(ROW()-1,COLUMN())),NOTA[[#This Row],[FAKTUR]]))</f>
        <v/>
      </c>
      <c r="AJ1193" s="66" t="str">
        <f ca="1">IF(NOTA[[#This Row],[ID]]="","",COUNTIF(NOTA[ID_H],NOTA[[#This Row],[ID_H]]))</f>
        <v/>
      </c>
      <c r="AK1193" s="66" t="str">
        <f ca="1">IF(NOTA[[#This Row],[TGL.NOTA]]="",IF(NOTA[[#This Row],[SUPPLIER_H]]="","",AK1192),MONTH(NOTA[[#This Row],[TGL.NOTA]]))</f>
        <v/>
      </c>
      <c r="AL1193" s="66" t="str">
        <f>LOWER(SUBSTITUTE(SUBSTITUTE(SUBSTITUTE(SUBSTITUTE(SUBSTITUTE(SUBSTITUTE(SUBSTITUTE(SUBSTITUTE(SUBSTITUTE(NOTA[NAMA BARANG]," ",),".",""),"-",""),"(",""),")",""),",",""),"/",""),"""",""),"+",""))</f>
        <v/>
      </c>
      <c r="AM11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3" s="66" t="str">
        <f>IF(NOTA[[#This Row],[CONCAT4]]="","",_xlfn.IFNA(MATCH(NOTA[[#This Row],[CONCAT4]],[2]!RAW[CONCAT_H],0),FALSE))</f>
        <v/>
      </c>
      <c r="AQ1193" s="66" t="str">
        <f>IF(NOTA[[#This Row],[CONCAT1]]="","",MATCH(NOTA[[#This Row],[CONCAT1]],[3]!db[NB NOTA_C],0)+1)</f>
        <v/>
      </c>
    </row>
  </sheetData>
  <conditionalFormatting sqref="B1:C874 B877:C1048576">
    <cfRule type="duplicateValues" dxfId="21" priority="44"/>
    <cfRule type="duplicateValues" dxfId="20" priority="45"/>
  </conditionalFormatting>
  <conditionalFormatting sqref="B1:B874 B877:B1048576">
    <cfRule type="duplicateValues" dxfId="19" priority="42"/>
  </conditionalFormatting>
  <conditionalFormatting sqref="H309:H313 H85:H93 H25:H49 H315:H874 H95:H150 H152:H307 H1:H5 I6 H7:H23 H877:H1048576">
    <cfRule type="duplicateValues" dxfId="18" priority="978"/>
  </conditionalFormatting>
  <conditionalFormatting sqref="L281">
    <cfRule type="duplicateValues" dxfId="17" priority="21"/>
  </conditionalFormatting>
  <conditionalFormatting sqref="L107">
    <cfRule type="duplicateValues" dxfId="16" priority="18"/>
  </conditionalFormatting>
  <conditionalFormatting sqref="L110">
    <cfRule type="duplicateValues" dxfId="15" priority="17"/>
  </conditionalFormatting>
  <conditionalFormatting sqref="L111">
    <cfRule type="duplicateValues" dxfId="14" priority="16"/>
  </conditionalFormatting>
  <conditionalFormatting sqref="L114">
    <cfRule type="duplicateValues" dxfId="13" priority="15"/>
  </conditionalFormatting>
  <conditionalFormatting sqref="I14">
    <cfRule type="duplicateValues" dxfId="12" priority="7"/>
  </conditionalFormatting>
  <conditionalFormatting sqref="I14">
    <cfRule type="duplicateValues" dxfId="11" priority="8"/>
  </conditionalFormatting>
  <conditionalFormatting sqref="I6 H3:H5 H7:H627">
    <cfRule type="duplicateValues" dxfId="10" priority="1558"/>
  </conditionalFormatting>
  <conditionalFormatting sqref="B875:C876">
    <cfRule type="duplicateValues" dxfId="9" priority="2"/>
    <cfRule type="duplicateValues" dxfId="8" priority="3"/>
  </conditionalFormatting>
  <conditionalFormatting sqref="B875:B876">
    <cfRule type="duplicateValues" dxfId="7" priority="1"/>
  </conditionalFormatting>
  <conditionalFormatting sqref="H875:H876">
    <cfRule type="duplicateValues" dxfId="6" priority="4"/>
  </conditionalFormatting>
  <conditionalFormatting sqref="B875:B876">
    <cfRule type="duplicateValues" dxfId="5" priority="5"/>
  </conditionalFormatting>
  <conditionalFormatting sqref="AP875:AP876">
    <cfRule type="duplicateValues" dxfId="4" priority="6"/>
  </conditionalFormatting>
  <conditionalFormatting sqref="B3:B874 B877:B1135">
    <cfRule type="duplicateValues" dxfId="1" priority="1612"/>
  </conditionalFormatting>
  <conditionalFormatting sqref="AP3:AP874 AP877:AP1135">
    <cfRule type="duplicateValues" dxfId="0" priority="161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EXP\BARU\2023\05 MEI\[NOTA 05 MEI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2</v>
      </c>
      <c r="F1" t="str">
        <f ca="1">MID(G1,FIND("]",G1)+1,LEN(G1)-FIND("]",G1))</f>
        <v>LMA</v>
      </c>
      <c r="G1" s="4" t="str">
        <f ca="1">CELL("filename",G1)</f>
        <v>D:\kerja\BANK EXP\BARU\2023\05 MEI\[NOTA 05 MEI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835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51</v>
      </c>
      <c r="C3" s="12">
        <f ca="1">HYPERLINK("[NOTA_.xlsx]PAJAK!b"&amp;LMA[[#This Row],[//PAJAK]],IF(LMA[[#This Row],[//PAJAK]]="","",INDEX(INDIRECT("PAJAK["&amp;LMA[#Headers]&amp;"]"),LMA[[#This Row],[//PAJAK]]-1)))</f>
        <v>143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45073</v>
      </c>
      <c r="F3" s="2">
        <f ca="1">IF(LMA[[#This Row],[//PAJAK]]="","",INDEX(INDIRECT("PAJAK["&amp;LMA[#Headers]&amp;"]"),LMA[[#This Row],[//PAJAK]]-1))</f>
        <v>45070</v>
      </c>
      <c r="G3" s="7" t="str">
        <f ca="1">IF(LMA[[#This Row],[//PAJAK]]="","",INDEX(INDIRECT("PAJAK["&amp;LMA[#Headers]&amp;"]"),LMA[[#This Row],[//PAJAK]]-1))</f>
        <v>LMA 2023-05-130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70199999.996400014</v>
      </c>
      <c r="J3" s="1">
        <f ca="1">IF(LMA[[#This Row],[//PAJAK]]="","",INDEX(PAJAK[DISC DLL],LMA[[#This Row],[//PAJAK]]-1))</f>
        <v>356.76</v>
      </c>
      <c r="K3" s="1">
        <f ca="1">(LMA[[#This Row],[SUB TOTAL]]/1.11)</f>
        <v>63243243.24000001</v>
      </c>
      <c r="L3" s="1">
        <f ca="1">LMA[[#This Row],[DPP]]*11%</f>
        <v>6956756.7564000012</v>
      </c>
      <c r="M3" s="1">
        <f ca="1">LMA[[#This Row],[DPP]]+LMA[[#This Row],[PPN (11%)]]</f>
        <v>70199999.996400014</v>
      </c>
    </row>
    <row r="4" spans="1:13" x14ac:dyDescent="0.25">
      <c r="A4" s="13">
        <f ca="1">HYPERLINK("[NOTA_.xlsx]NOTA!A"&amp;MATCH(LMA[[#This Row],[ID]],NOTA[ID],0)+2,IF(LMA[[#This Row],[//PAJAK]]="","",MATCH(LMA[[#This Row],[ID]],NOTA[ID],0)+2))</f>
        <v>894</v>
      </c>
      <c r="B4" s="5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HYPERLINK("[NOTA_.xlsx]PAJAK!b"&amp;LMA[[#This Row],[//PAJAK]],IF(LMA[[#This Row],[//PAJAK]]="","",INDEX(INDIRECT("PAJAK["&amp;LMA[#Headers]&amp;"]"),LMA[[#This Row],[//PAJAK]]-1)))</f>
        <v>156</v>
      </c>
      <c r="D4" s="3" t="str">
        <f ca="1">IF(LMA[[#This Row],[//PAJAK]]="","",INDEX(INDIRECT("PAJAK["&amp;LMA[#Headers]&amp;"]"),LMA[[#This Row],[//PAJAK]]-1))</f>
        <v>PT LAUTAN MAS ASIA</v>
      </c>
      <c r="E4" s="2">
        <f ca="1">IF(LMA[[#This Row],[//PAJAK]]="","",INDEX(INDIRECT("PAJAK["&amp;LMA[#Headers]&amp;"]"),LMA[[#This Row],[//PAJAK]]-1))</f>
        <v>45073</v>
      </c>
      <c r="F4" s="2">
        <f ca="1">IF(LMA[[#This Row],[//PAJAK]]="","",INDEX(INDIRECT("PAJAK["&amp;LMA[#Headers]&amp;"]"),LMA[[#This Row],[//PAJAK]]-1))</f>
        <v>45071</v>
      </c>
      <c r="G4" s="7" t="str">
        <f ca="1">IF(LMA[[#This Row],[//PAJAK]]="","",INDEX(INDIRECT("PAJAK["&amp;LMA[#Headers]&amp;"]"),LMA[[#This Row],[//PAJAK]]-1))</f>
        <v>LMA 2023-05-138</v>
      </c>
      <c r="H4" s="3" t="str">
        <f ca="1">IF(LMA[[#This Row],[//PAJAK]]="","",INDEX(INDIRECT("PAJAK["&amp;LMA[#Headers]&amp;"]"),LMA[[#This Row],[//PAJAK]]-1))</f>
        <v/>
      </c>
      <c r="I4" s="1">
        <f ca="1">IF(LMA[[#This Row],[//PAJAK]]="","",INDEX(PAJAK[SUB T-DISC],LMA[[#This Row],[//PAJAK]]-1)-LMA[[#This Row],[DISKON]])*1.11</f>
        <v>7000004.1000000006</v>
      </c>
      <c r="J4" s="1">
        <f ca="1">IF(LMA[[#This Row],[//PAJAK]]="","",INDEX(PAJAK[DISC DLL],LMA[[#This Row],[//PAJAK]]-1))</f>
        <v>0</v>
      </c>
      <c r="K4" s="1">
        <f ca="1">(LMA[[#This Row],[SUB TOTAL]]/1.11)</f>
        <v>6306310</v>
      </c>
      <c r="L4" s="1">
        <f ca="1">LMA[[#This Row],[DPP]]*11%</f>
        <v>693694.1</v>
      </c>
      <c r="M4" s="1">
        <f ca="1">LMA[[#This Row],[DPP]]+LMA[[#This Row],[PPN (11%)]]</f>
        <v>7000004.0999999996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193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1161</v>
      </c>
      <c r="D2" t="s">
        <v>23</v>
      </c>
      <c r="E2" t="s">
        <v>60</v>
      </c>
      <c r="F2" t="s">
        <v>70</v>
      </c>
      <c r="G2">
        <f>COUNTIF(NOTA[SUPPLIER],CONV[[#This Row],[1]])</f>
        <v>31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41</v>
      </c>
    </row>
    <row r="4" spans="1:7" x14ac:dyDescent="0.25">
      <c r="A4" t="s">
        <v>35</v>
      </c>
      <c r="B4">
        <f>COUNTIF(NOTA[FAKTUR],NM_FAKTUR)</f>
        <v>80</v>
      </c>
      <c r="D4" t="s">
        <v>28</v>
      </c>
      <c r="E4" t="s">
        <v>62</v>
      </c>
      <c r="F4" t="s">
        <v>78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2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2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1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144" t="s">
        <v>88</v>
      </c>
      <c r="B14" t="s">
        <v>24</v>
      </c>
    </row>
    <row r="16" spans="1:7" x14ac:dyDescent="0.25">
      <c r="A16" s="144" t="s">
        <v>86</v>
      </c>
      <c r="B16" t="s">
        <v>89</v>
      </c>
    </row>
    <row r="17" spans="1:2" x14ac:dyDescent="0.25">
      <c r="A17" s="4" t="s">
        <v>328</v>
      </c>
      <c r="B17" s="3">
        <v>1</v>
      </c>
    </row>
    <row r="18" spans="1:2" x14ac:dyDescent="0.25">
      <c r="A18" s="4" t="s">
        <v>447</v>
      </c>
      <c r="B18" s="3">
        <v>4</v>
      </c>
    </row>
    <row r="19" spans="1:2" x14ac:dyDescent="0.25">
      <c r="A19" s="4" t="s">
        <v>274</v>
      </c>
      <c r="B19" s="3">
        <v>5</v>
      </c>
    </row>
    <row r="20" spans="1:2" x14ac:dyDescent="0.25">
      <c r="A20" s="4" t="s">
        <v>290</v>
      </c>
      <c r="B20" s="3">
        <v>4</v>
      </c>
    </row>
    <row r="21" spans="1:2" x14ac:dyDescent="0.25">
      <c r="A21" s="4" t="s">
        <v>303</v>
      </c>
      <c r="B21" s="3">
        <v>10</v>
      </c>
    </row>
    <row r="22" spans="1:2" x14ac:dyDescent="0.25">
      <c r="A22" s="4" t="s">
        <v>306</v>
      </c>
      <c r="B22" s="3">
        <v>10</v>
      </c>
    </row>
    <row r="23" spans="1:2" x14ac:dyDescent="0.25">
      <c r="A23" s="4" t="s">
        <v>301</v>
      </c>
      <c r="B23" s="3">
        <v>6</v>
      </c>
    </row>
    <row r="24" spans="1:2" x14ac:dyDescent="0.25">
      <c r="A24" s="4" t="s">
        <v>326</v>
      </c>
      <c r="B24" s="3">
        <v>3</v>
      </c>
    </row>
    <row r="25" spans="1:2" x14ac:dyDescent="0.25">
      <c r="A25" s="4" t="s">
        <v>324</v>
      </c>
      <c r="B25" s="3">
        <v>2</v>
      </c>
    </row>
    <row r="26" spans="1:2" x14ac:dyDescent="0.25">
      <c r="A26" s="4" t="s">
        <v>219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269</v>
      </c>
      <c r="B28" s="3">
        <v>19</v>
      </c>
    </row>
    <row r="29" spans="1:2" x14ac:dyDescent="0.25">
      <c r="A29" s="4" t="s">
        <v>272</v>
      </c>
      <c r="B29" s="3">
        <v>5</v>
      </c>
    </row>
    <row r="30" spans="1:2" x14ac:dyDescent="0.25">
      <c r="A30" s="4" t="s">
        <v>433</v>
      </c>
      <c r="B30" s="3">
        <v>1</v>
      </c>
    </row>
    <row r="31" spans="1:2" x14ac:dyDescent="0.25">
      <c r="A31" s="4" t="s">
        <v>439</v>
      </c>
      <c r="B31" s="3">
        <v>1</v>
      </c>
    </row>
    <row r="32" spans="1:2" x14ac:dyDescent="0.25">
      <c r="A32" s="4" t="s">
        <v>513</v>
      </c>
      <c r="B32" s="3">
        <v>5</v>
      </c>
    </row>
    <row r="33" spans="1:2" x14ac:dyDescent="0.25">
      <c r="A33" s="4" t="s">
        <v>310</v>
      </c>
      <c r="B33" s="3">
        <v>10</v>
      </c>
    </row>
    <row r="34" spans="1:2" x14ac:dyDescent="0.25">
      <c r="A34" s="4" t="s">
        <v>297</v>
      </c>
      <c r="B34" s="3">
        <v>6</v>
      </c>
    </row>
    <row r="35" spans="1:2" x14ac:dyDescent="0.25">
      <c r="A35" s="4" t="s">
        <v>276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107</v>
      </c>
      <c r="B39" s="3">
        <v>3</v>
      </c>
    </row>
    <row r="40" spans="1:2" x14ac:dyDescent="0.25">
      <c r="A40" s="4" t="s">
        <v>103</v>
      </c>
      <c r="B40" s="3">
        <v>2</v>
      </c>
    </row>
    <row r="41" spans="1:2" x14ac:dyDescent="0.25">
      <c r="A41" s="4" t="s">
        <v>106</v>
      </c>
      <c r="B41" s="3">
        <v>3</v>
      </c>
    </row>
    <row r="42" spans="1:2" x14ac:dyDescent="0.25">
      <c r="A42" s="4" t="s">
        <v>105</v>
      </c>
      <c r="B42" s="3">
        <v>1</v>
      </c>
    </row>
    <row r="43" spans="1:2" x14ac:dyDescent="0.25">
      <c r="A43" s="4" t="s">
        <v>104</v>
      </c>
      <c r="B43" s="3">
        <v>1</v>
      </c>
    </row>
    <row r="44" spans="1:2" x14ac:dyDescent="0.25">
      <c r="A44" s="4" t="s">
        <v>218</v>
      </c>
      <c r="B44" s="3">
        <v>4</v>
      </c>
    </row>
    <row r="45" spans="1:2" x14ac:dyDescent="0.25">
      <c r="A45" s="4" t="s">
        <v>224</v>
      </c>
      <c r="B45" s="3">
        <v>1</v>
      </c>
    </row>
    <row r="46" spans="1:2" x14ac:dyDescent="0.25">
      <c r="A46" s="4" t="s">
        <v>220</v>
      </c>
      <c r="B46" s="3">
        <v>1</v>
      </c>
    </row>
    <row r="47" spans="1:2" x14ac:dyDescent="0.25">
      <c r="A47" s="4" t="s">
        <v>221</v>
      </c>
      <c r="B47" s="3">
        <v>1</v>
      </c>
    </row>
    <row r="48" spans="1:2" x14ac:dyDescent="0.25">
      <c r="A48" s="4" t="s">
        <v>222</v>
      </c>
      <c r="B48" s="3">
        <v>1</v>
      </c>
    </row>
    <row r="49" spans="1:2" x14ac:dyDescent="0.25">
      <c r="A49" s="4" t="s">
        <v>223</v>
      </c>
      <c r="B49" s="3">
        <v>1</v>
      </c>
    </row>
    <row r="50" spans="1:2" x14ac:dyDescent="0.25">
      <c r="A50" s="4" t="s">
        <v>226</v>
      </c>
      <c r="B50" s="3">
        <v>8</v>
      </c>
    </row>
    <row r="51" spans="1:2" x14ac:dyDescent="0.25">
      <c r="A51" s="4" t="s">
        <v>227</v>
      </c>
      <c r="B51" s="3">
        <v>5</v>
      </c>
    </row>
    <row r="52" spans="1:2" x14ac:dyDescent="0.25">
      <c r="A52" s="4" t="s">
        <v>228</v>
      </c>
      <c r="B52" s="3">
        <v>3</v>
      </c>
    </row>
    <row r="53" spans="1:2" x14ac:dyDescent="0.25">
      <c r="A53" s="4" t="s">
        <v>282</v>
      </c>
      <c r="B53" s="3">
        <v>3</v>
      </c>
    </row>
    <row r="54" spans="1:2" x14ac:dyDescent="0.25">
      <c r="A54" s="4" t="s">
        <v>280</v>
      </c>
      <c r="B54" s="3">
        <v>3</v>
      </c>
    </row>
    <row r="55" spans="1:2" x14ac:dyDescent="0.25">
      <c r="A55" s="4" t="s">
        <v>278</v>
      </c>
      <c r="B55" s="3">
        <v>5</v>
      </c>
    </row>
    <row r="56" spans="1:2" x14ac:dyDescent="0.25">
      <c r="A56" s="4" t="s">
        <v>283</v>
      </c>
      <c r="B56" s="3">
        <v>2</v>
      </c>
    </row>
    <row r="57" spans="1:2" x14ac:dyDescent="0.25">
      <c r="A57" s="4" t="s">
        <v>285</v>
      </c>
      <c r="B57" s="3"/>
    </row>
    <row r="58" spans="1:2" x14ac:dyDescent="0.25">
      <c r="A58" s="4" t="s">
        <v>287</v>
      </c>
      <c r="B58" s="3">
        <v>2</v>
      </c>
    </row>
    <row r="59" spans="1:2" x14ac:dyDescent="0.25">
      <c r="A59" s="4" t="s">
        <v>299</v>
      </c>
      <c r="B59" s="3">
        <v>6</v>
      </c>
    </row>
    <row r="60" spans="1:2" x14ac:dyDescent="0.25">
      <c r="A60" s="4" t="s">
        <v>291</v>
      </c>
      <c r="B60" s="3">
        <v>2</v>
      </c>
    </row>
    <row r="61" spans="1:2" x14ac:dyDescent="0.25">
      <c r="A61" s="4" t="s">
        <v>390</v>
      </c>
      <c r="B61" s="3"/>
    </row>
    <row r="62" spans="1:2" x14ac:dyDescent="0.25">
      <c r="A62" s="4" t="s">
        <v>294</v>
      </c>
      <c r="B62" s="3">
        <v>4</v>
      </c>
    </row>
    <row r="63" spans="1:2" x14ac:dyDescent="0.25">
      <c r="A63" s="4" t="s">
        <v>296</v>
      </c>
      <c r="B63" s="3">
        <v>4</v>
      </c>
    </row>
    <row r="64" spans="1:2" x14ac:dyDescent="0.25">
      <c r="A64" s="4" t="s">
        <v>304</v>
      </c>
      <c r="B64" s="3">
        <v>3</v>
      </c>
    </row>
    <row r="65" spans="1:2" x14ac:dyDescent="0.25">
      <c r="A65" s="4" t="s">
        <v>305</v>
      </c>
      <c r="B65" s="3">
        <v>5</v>
      </c>
    </row>
    <row r="66" spans="1:2" x14ac:dyDescent="0.25">
      <c r="A66" s="4" t="s">
        <v>308</v>
      </c>
      <c r="B66" s="3">
        <v>5</v>
      </c>
    </row>
    <row r="67" spans="1:2" x14ac:dyDescent="0.25">
      <c r="A67" s="4" t="s">
        <v>311</v>
      </c>
      <c r="B67" s="3">
        <v>2</v>
      </c>
    </row>
    <row r="68" spans="1:2" x14ac:dyDescent="0.25">
      <c r="A68" s="4" t="s">
        <v>313</v>
      </c>
      <c r="B68" s="3">
        <v>1</v>
      </c>
    </row>
    <row r="69" spans="1:2" x14ac:dyDescent="0.25">
      <c r="A69" s="4" t="s">
        <v>315</v>
      </c>
      <c r="B69" s="3">
        <v>1</v>
      </c>
    </row>
    <row r="70" spans="1:2" x14ac:dyDescent="0.25">
      <c r="A70" s="4" t="s">
        <v>317</v>
      </c>
      <c r="B70" s="3">
        <v>1</v>
      </c>
    </row>
    <row r="71" spans="1:2" x14ac:dyDescent="0.25">
      <c r="A71" s="4" t="s">
        <v>319</v>
      </c>
      <c r="B71" s="3"/>
    </row>
    <row r="72" spans="1:2" x14ac:dyDescent="0.25">
      <c r="A72" s="4" t="s">
        <v>318</v>
      </c>
      <c r="B72" s="3"/>
    </row>
    <row r="73" spans="1:2" x14ac:dyDescent="0.25">
      <c r="A73" s="4" t="s">
        <v>320</v>
      </c>
      <c r="B73" s="3"/>
    </row>
    <row r="74" spans="1:2" x14ac:dyDescent="0.25">
      <c r="A74" s="4" t="s">
        <v>321</v>
      </c>
      <c r="B74" s="3"/>
    </row>
    <row r="75" spans="1:2" x14ac:dyDescent="0.25">
      <c r="A75" s="4" t="s">
        <v>325</v>
      </c>
      <c r="B75" s="3">
        <v>1</v>
      </c>
    </row>
    <row r="76" spans="1:2" x14ac:dyDescent="0.25">
      <c r="A76" s="4" t="s">
        <v>327</v>
      </c>
      <c r="B76" s="3">
        <v>1</v>
      </c>
    </row>
    <row r="77" spans="1:2" x14ac:dyDescent="0.25">
      <c r="A77" s="4" t="s">
        <v>431</v>
      </c>
      <c r="B77" s="3">
        <v>2</v>
      </c>
    </row>
    <row r="78" spans="1:2" x14ac:dyDescent="0.25">
      <c r="A78" s="4" t="s">
        <v>437</v>
      </c>
      <c r="B78" s="3">
        <v>1</v>
      </c>
    </row>
    <row r="79" spans="1:2" x14ac:dyDescent="0.25">
      <c r="A79" s="4" t="s">
        <v>443</v>
      </c>
      <c r="B79" s="3">
        <v>10</v>
      </c>
    </row>
    <row r="80" spans="1:2" x14ac:dyDescent="0.25">
      <c r="A80" s="4" t="s">
        <v>442</v>
      </c>
      <c r="B80" s="3">
        <v>3</v>
      </c>
    </row>
    <row r="81" spans="1:2" x14ac:dyDescent="0.25">
      <c r="A81" s="4" t="s">
        <v>446</v>
      </c>
      <c r="B81" s="3">
        <v>1</v>
      </c>
    </row>
    <row r="82" spans="1:2" x14ac:dyDescent="0.25">
      <c r="A82" s="4" t="s">
        <v>448</v>
      </c>
      <c r="B82" s="3">
        <v>2</v>
      </c>
    </row>
    <row r="83" spans="1:2" x14ac:dyDescent="0.25">
      <c r="A83" s="4" t="s">
        <v>449</v>
      </c>
      <c r="B83" s="3">
        <v>5</v>
      </c>
    </row>
    <row r="84" spans="1:2" x14ac:dyDescent="0.25">
      <c r="A84" s="4" t="s">
        <v>499</v>
      </c>
      <c r="B84" s="3">
        <v>2</v>
      </c>
    </row>
    <row r="85" spans="1:2" x14ac:dyDescent="0.25">
      <c r="A85" s="4" t="s">
        <v>501</v>
      </c>
      <c r="B85" s="3">
        <v>1</v>
      </c>
    </row>
    <row r="86" spans="1:2" x14ac:dyDescent="0.25">
      <c r="A86" s="4" t="s">
        <v>503</v>
      </c>
      <c r="B86" s="3">
        <v>6</v>
      </c>
    </row>
    <row r="87" spans="1:2" x14ac:dyDescent="0.25">
      <c r="A87" s="4" t="s">
        <v>514</v>
      </c>
      <c r="B87" s="3">
        <v>6</v>
      </c>
    </row>
    <row r="88" spans="1:2" x14ac:dyDescent="0.25">
      <c r="A88" s="4" t="s">
        <v>504</v>
      </c>
      <c r="B88" s="3">
        <v>6</v>
      </c>
    </row>
    <row r="89" spans="1:2" x14ac:dyDescent="0.25">
      <c r="A89" s="4" t="s">
        <v>505</v>
      </c>
      <c r="B89" s="3">
        <v>10</v>
      </c>
    </row>
    <row r="90" spans="1:2" x14ac:dyDescent="0.25">
      <c r="A90" s="4" t="s">
        <v>571</v>
      </c>
      <c r="B90" s="3">
        <v>2</v>
      </c>
    </row>
    <row r="91" spans="1:2" x14ac:dyDescent="0.25">
      <c r="A91" s="4" t="s">
        <v>510</v>
      </c>
      <c r="B91" s="3">
        <v>5</v>
      </c>
    </row>
    <row r="92" spans="1:2" x14ac:dyDescent="0.25">
      <c r="A92" s="4" t="s">
        <v>509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C76" sqref="C76"/>
    </sheetView>
  </sheetViews>
  <sheetFormatPr defaultRowHeight="15" x14ac:dyDescent="0.25"/>
  <cols>
    <col min="1" max="1" width="4.140625" style="33" customWidth="1"/>
    <col min="2" max="2" width="6" style="33" customWidth="1"/>
    <col min="3" max="3" width="16.42578125" style="33" customWidth="1"/>
    <col min="4" max="4" width="7" style="33" customWidth="1"/>
    <col min="5" max="5" width="3.140625" style="126" customWidth="1"/>
    <col min="6" max="6" width="26.5703125" style="29" customWidth="1"/>
    <col min="7" max="7" width="10.85546875" style="33" customWidth="1"/>
    <col min="8" max="8" width="10.85546875" style="31" customWidth="1"/>
    <col min="9" max="9" width="15.140625" style="126" customWidth="1"/>
    <col min="10" max="10" width="8.85546875" style="33" customWidth="1"/>
    <col min="11" max="11" width="15.28515625" style="146" bestFit="1" customWidth="1"/>
    <col min="12" max="12" width="14.28515625" style="146" bestFit="1" customWidth="1"/>
    <col min="13" max="13" width="15.28515625" style="146" bestFit="1" customWidth="1"/>
    <col min="14" max="14" width="13.28515625" style="146" customWidth="1"/>
    <col min="15" max="15" width="15.28515625" style="146" bestFit="1" customWidth="1"/>
    <col min="16" max="16" width="14.28515625" style="146" bestFit="1" customWidth="1"/>
    <col min="17" max="17" width="15.28515625" style="146" bestFit="1" customWidth="1"/>
    <col min="18" max="18" width="4.7109375" style="33" customWidth="1"/>
    <col min="19" max="22" width="9.140625" style="33"/>
    <col min="23" max="23" width="19.42578125" style="146" customWidth="1"/>
    <col min="24" max="16384" width="9.140625" style="33"/>
  </cols>
  <sheetData>
    <row r="1" spans="1:18" x14ac:dyDescent="0.25">
      <c r="A1" s="33" t="s">
        <v>31</v>
      </c>
      <c r="B1" s="33" t="s">
        <v>0</v>
      </c>
      <c r="C1" s="33" t="s">
        <v>37</v>
      </c>
      <c r="D1" s="33" t="s">
        <v>53</v>
      </c>
      <c r="E1" s="126" t="s">
        <v>49</v>
      </c>
      <c r="F1" s="29" t="s">
        <v>2</v>
      </c>
      <c r="G1" s="33" t="s">
        <v>46</v>
      </c>
      <c r="H1" s="31" t="s">
        <v>6</v>
      </c>
      <c r="I1" s="126" t="s">
        <v>4</v>
      </c>
      <c r="J1" s="33" t="s">
        <v>5</v>
      </c>
      <c r="K1" s="146" t="s">
        <v>39</v>
      </c>
      <c r="L1" s="146" t="s">
        <v>40</v>
      </c>
      <c r="M1" s="146" t="s">
        <v>41</v>
      </c>
      <c r="N1" s="146" t="s">
        <v>20</v>
      </c>
      <c r="O1" s="146" t="s">
        <v>42</v>
      </c>
      <c r="P1" s="146" t="s">
        <v>44</v>
      </c>
      <c r="Q1" s="146" t="s">
        <v>22</v>
      </c>
      <c r="R1" s="33" t="s">
        <v>43</v>
      </c>
    </row>
    <row r="2" spans="1:18" x14ac:dyDescent="0.25">
      <c r="A2" s="3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7">
        <f ca="1">HYPERLINK("[NOTA_.XLSX]NOTA!c"&amp;PAJAK[[#This Row],[//]],IF(PAJAK[[#This Row],[//]]="","",INDEX(INDIRECT("NOTA["&amp;PAJAK[#Headers]&amp;"]"),PAJAK[[#This Row],[//]]-2)))</f>
        <v>1</v>
      </c>
      <c r="C2" s="33" t="str">
        <f ca="1">IF(PAJAK[[#This Row],[//]]="","",INDEX(INDIRECT("NOTA["&amp;PAJAK[#Headers]&amp;"]"),PAJAK[[#This Row],[//]]-2))</f>
        <v>KEN_2904_037-10</v>
      </c>
      <c r="D2" s="33">
        <f ca="1">MATCH(PAJAK[[#This Row],[ID]],[4]!Table1[ID],0)</f>
        <v>2</v>
      </c>
      <c r="E2" s="126">
        <f ca="1">IF(PAJAK[[#This Row],[ID]]="","",COUNTIF(NOTA[ID_H],PAJAK[[#This Row],[ID]]))</f>
        <v>10</v>
      </c>
      <c r="F2" s="29" t="str">
        <f ca="1">IF(PAJAK[[#This Row],[//]]="","",INDEX(CONV[2],MATCH(INDEX(INDIRECT("NOTA["&amp;PAJAK[#Headers]&amp;"]"),PAJAK[[#This Row],[//]]-2),CONV[1],0),0))</f>
        <v>PT KENKO SINAR INDONESIA</v>
      </c>
      <c r="G2" s="31">
        <f ca="1">IF(PAJAK[[#This Row],[//]]="","",INDEX(NOTA[TGL_H],PAJAK[[#This Row],[//]]-2))</f>
        <v>45045</v>
      </c>
      <c r="H2" s="31">
        <f ca="1">IF(PAJAK[[#This Row],[//]]="","",INDEX(INDIRECT("NOTA["&amp;PAJAK[#Headers]&amp;"]"),PAJAK[[#This Row],[//]]-2))</f>
        <v>45048</v>
      </c>
      <c r="I2" s="30" t="str">
        <f ca="1">IF(PAJAK[[#This Row],[//]]="","",INDEX(INDIRECT("NOTA["&amp;PAJAK[#Headers]&amp;"]"),PAJAK[[#This Row],[//]]-2))</f>
        <v>23050037</v>
      </c>
      <c r="J2" s="29" t="str">
        <f ca="1">IF(OR(PAJAK[[#This Row],[//]]="",INDEX(INDIRECT("NOTA["&amp;PAJAK[#Headers]&amp;"]"),PAJAK[[#This Row],[//]]-2)=""),"",INDEX(INDIRECT("NOTA["&amp;PAJAK[#Headers]&amp;"]"),PAJAK[[#This Row],[//]]-2))</f>
        <v>SA 41186</v>
      </c>
      <c r="K2" s="146">
        <f ca="1">IF(PAJAK[[#This Row],[//]]="","",SUMIF(NOTA[ID_H],PAJAK[[#This Row],[ID]],NOTA[JUMLAH]))</f>
        <v>152560800</v>
      </c>
      <c r="L2" s="146">
        <f ca="1">IF(PAJAK[[#This Row],[//]]="","",SUMIF(NOTA[ID_H],PAJAK[[#This Row],[ID]],NOTA[DISC]))</f>
        <v>25935336</v>
      </c>
      <c r="M2" s="146">
        <f ca="1">PAJAK[[#This Row],[SUB TOTAL]]-PAJAK[[#This Row],[DISKON]]</f>
        <v>126625464</v>
      </c>
      <c r="N2" s="146">
        <f ca="1">IF(PAJAK[[#This Row],[//]]="","",INDEX(INDIRECT("NOTA["&amp;PAJAK[#Headers]&amp;"]"),PAJAK[[#This Row],[//]]-2+PAJAK[[#This Row],[QB]]-1))</f>
        <v>0</v>
      </c>
      <c r="O2" s="146">
        <f ca="1">(PAJAK[[#This Row],[SUB T-DISC]]-PAJAK[[#This Row],[DISC DLL]])/111%</f>
        <v>114076994.59459458</v>
      </c>
      <c r="P2" s="146">
        <f ca="1">PAJAK[[#This Row],[DPP]]*PAJAK[[#This Row],[PPN]]</f>
        <v>12548469.405405404</v>
      </c>
      <c r="Q2" s="146">
        <f ca="1">PAJAK[[#This Row],[DPP]]+PAJAK[[#This Row],[PPN 11%]]</f>
        <v>126625463.99999999</v>
      </c>
      <c r="R2" s="32" t="str">
        <f ca="1">IF(ISNUMBER(PAJAK[[#This Row],[//]]),PPN,"")</f>
        <v>11%</v>
      </c>
    </row>
    <row r="3" spans="1:18" x14ac:dyDescent="0.25">
      <c r="A3" s="2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89</v>
      </c>
      <c r="B3" s="128">
        <f ca="1">HYPERLINK("[NOTA_.XLSX]NOTA!c"&amp;PAJAK[[#This Row],[//]],IF(PAJAK[[#This Row],[//]]="","",INDEX(INDIRECT("NOTA["&amp;PAJAK[#Headers]&amp;"]"),PAJAK[[#This Row],[//]]-2)))</f>
        <v>14</v>
      </c>
      <c r="C3" s="29" t="str">
        <f ca="1">IF(PAJAK[[#This Row],[//]]="","",INDEX(INDIRECT("NOTA["&amp;PAJAK[#Headers]&amp;"]"),PAJAK[[#This Row],[//]]-2))</f>
        <v>KEN_0605_215-8</v>
      </c>
      <c r="D3" s="29">
        <f ca="1">MATCH(PAJAK[[#This Row],[ID]],[4]!Table1[ID],0)</f>
        <v>3</v>
      </c>
      <c r="E3" s="30">
        <f ca="1">IF(PAJAK[[#This Row],[ID]]="","",COUNTIF(NOTA[ID_H],PAJAK[[#This Row],[ID]]))</f>
        <v>8</v>
      </c>
      <c r="F3" s="29" t="str">
        <f ca="1">IF(PAJAK[[#This Row],[//]]="","",INDEX(CONV[2],MATCH(INDEX(INDIRECT("NOTA["&amp;PAJAK[#Headers]&amp;"]"),PAJAK[[#This Row],[//]]-2),CONV[1],0),0))</f>
        <v>PT KENKO SINAR INDONESIA</v>
      </c>
      <c r="G3" s="31">
        <f ca="1">IF(PAJAK[[#This Row],[//]]="","",INDEX(NOTA[TGL_H],PAJAK[[#This Row],[//]]-2))</f>
        <v>45052</v>
      </c>
      <c r="H3" s="31">
        <f ca="1">IF(PAJAK[[#This Row],[//]]="","",INDEX(INDIRECT("NOTA["&amp;PAJAK[#Headers]&amp;"]"),PAJAK[[#This Row],[//]]-2))</f>
        <v>45049</v>
      </c>
      <c r="I3" s="30" t="str">
        <f ca="1">IF(PAJAK[[#This Row],[//]]="","",INDEX(INDIRECT("NOTA["&amp;PAJAK[#Headers]&amp;"]"),PAJAK[[#This Row],[//]]-2))</f>
        <v>23050215</v>
      </c>
      <c r="J3" s="29" t="str">
        <f ca="1">IF(OR(PAJAK[[#This Row],[//]]="",INDEX(INDIRECT("NOTA["&amp;PAJAK[#Headers]&amp;"]"),PAJAK[[#This Row],[//]]-2)=""),"",INDEX(INDIRECT("NOTA["&amp;PAJAK[#Headers]&amp;"]"),PAJAK[[#This Row],[//]]-2))</f>
        <v>SA 41261</v>
      </c>
      <c r="K3" s="146">
        <f ca="1">IF(PAJAK[[#This Row],[//]]="","",SUMIF(NOTA[ID_H],PAJAK[[#This Row],[ID]],NOTA[JUMLAH]))</f>
        <v>12166800</v>
      </c>
      <c r="L3" s="146">
        <f ca="1">IF(PAJAK[[#This Row],[//]]="","",SUMIF(NOTA[ID_H],PAJAK[[#This Row],[ID]],NOTA[DISC]))</f>
        <v>2068356</v>
      </c>
      <c r="M3" s="146">
        <f ca="1">PAJAK[[#This Row],[SUB TOTAL]]-PAJAK[[#This Row],[DISKON]]</f>
        <v>10098444</v>
      </c>
      <c r="N3" s="146">
        <f ca="1">IF(PAJAK[[#This Row],[//]]="","",INDEX(INDIRECT("NOTA["&amp;PAJAK[#Headers]&amp;"]"),PAJAK[[#This Row],[//]]-2+PAJAK[[#This Row],[QB]]-1))</f>
        <v>0</v>
      </c>
      <c r="O3" s="146">
        <f ca="1">(PAJAK[[#This Row],[SUB T-DISC]]-PAJAK[[#This Row],[DISC DLL]])/111%</f>
        <v>9097697.297297297</v>
      </c>
      <c r="P3" s="146">
        <f ca="1">PAJAK[[#This Row],[DPP]]*PAJAK[[#This Row],[PPN]]</f>
        <v>1000746.7027027027</v>
      </c>
      <c r="Q3" s="146">
        <f ca="1">PAJAK[[#This Row],[DPP]]+PAJAK[[#This Row],[PPN 11%]]</f>
        <v>10098444</v>
      </c>
      <c r="R3" s="32" t="str">
        <f ca="1">IF(ISNUMBER(PAJAK[[#This Row],[//]]),PPN,"")</f>
        <v>11%</v>
      </c>
    </row>
    <row r="4" spans="1:18" x14ac:dyDescent="0.25">
      <c r="A4" s="2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98</v>
      </c>
      <c r="B4" s="128">
        <f ca="1">HYPERLINK("[NOTA_.XLSX]NOTA!c"&amp;PAJAK[[#This Row],[//]],IF(PAJAK[[#This Row],[//]]="","",INDEX(INDIRECT("NOTA["&amp;PAJAK[#Headers]&amp;"]"),PAJAK[[#This Row],[//]]-2)))</f>
        <v>15</v>
      </c>
      <c r="C4" s="29" t="str">
        <f ca="1">IF(PAJAK[[#This Row],[//]]="","",INDEX(INDIRECT("NOTA["&amp;PAJAK[#Headers]&amp;"]"),PAJAK[[#This Row],[//]]-2))</f>
        <v>KEN_0605_231-4</v>
      </c>
      <c r="D4" s="29">
        <f ca="1">MATCH(PAJAK[[#This Row],[ID]],[4]!Table1[ID],0)</f>
        <v>4</v>
      </c>
      <c r="E4" s="30">
        <f ca="1">IF(PAJAK[[#This Row],[ID]]="","",COUNTIF(NOTA[ID_H],PAJAK[[#This Row],[ID]]))</f>
        <v>4</v>
      </c>
      <c r="F4" s="29" t="str">
        <f ca="1">IF(PAJAK[[#This Row],[//]]="","",INDEX(CONV[2],MATCH(INDEX(INDIRECT("NOTA["&amp;PAJAK[#Headers]&amp;"]"),PAJAK[[#This Row],[//]]-2),CONV[1],0),0))</f>
        <v>PT KENKO SINAR INDONESIA</v>
      </c>
      <c r="G4" s="31">
        <f ca="1">IF(PAJAK[[#This Row],[//]]="","",INDEX(NOTA[TGL_H],PAJAK[[#This Row],[//]]-2))</f>
        <v>45052</v>
      </c>
      <c r="H4" s="31">
        <f ca="1">IF(PAJAK[[#This Row],[//]]="","",INDEX(INDIRECT("NOTA["&amp;PAJAK[#Headers]&amp;"]"),PAJAK[[#This Row],[//]]-2))</f>
        <v>45049</v>
      </c>
      <c r="I4" s="30" t="str">
        <f ca="1">IF(PAJAK[[#This Row],[//]]="","",INDEX(INDIRECT("NOTA["&amp;PAJAK[#Headers]&amp;"]"),PAJAK[[#This Row],[//]]-2))</f>
        <v>23050231</v>
      </c>
      <c r="J4" s="29" t="str">
        <f ca="1">IF(OR(PAJAK[[#This Row],[//]]="",INDEX(INDIRECT("NOTA["&amp;PAJAK[#Headers]&amp;"]"),PAJAK[[#This Row],[//]]-2)=""),"",INDEX(INDIRECT("NOTA["&amp;PAJAK[#Headers]&amp;"]"),PAJAK[[#This Row],[//]]-2))</f>
        <v>SA 41290</v>
      </c>
      <c r="K4" s="146">
        <f ca="1">IF(PAJAK[[#This Row],[//]]="","",SUMIF(NOTA[ID_H],PAJAK[[#This Row],[ID]],NOTA[JUMLAH]))</f>
        <v>46440000</v>
      </c>
      <c r="L4" s="146">
        <f ca="1">IF(PAJAK[[#This Row],[//]]="","",SUMIF(NOTA[ID_H],PAJAK[[#This Row],[ID]],NOTA[DISC]))</f>
        <v>7894800</v>
      </c>
      <c r="M4" s="146">
        <f ca="1">PAJAK[[#This Row],[SUB TOTAL]]-PAJAK[[#This Row],[DISKON]]</f>
        <v>38545200</v>
      </c>
      <c r="N4" s="146">
        <f ca="1">IF(PAJAK[[#This Row],[//]]="","",INDEX(INDIRECT("NOTA["&amp;PAJAK[#Headers]&amp;"]"),PAJAK[[#This Row],[//]]-2+PAJAK[[#This Row],[QB]]-1))</f>
        <v>0</v>
      </c>
      <c r="O4" s="146">
        <f ca="1">(PAJAK[[#This Row],[SUB T-DISC]]-PAJAK[[#This Row],[DISC DLL]])/111%</f>
        <v>34725405.405405402</v>
      </c>
      <c r="P4" s="146">
        <f ca="1">PAJAK[[#This Row],[DPP]]*PAJAK[[#This Row],[PPN]]</f>
        <v>3819794.5945945941</v>
      </c>
      <c r="Q4" s="146">
        <f ca="1">PAJAK[[#This Row],[DPP]]+PAJAK[[#This Row],[PPN 11%]]</f>
        <v>38545200</v>
      </c>
      <c r="R4" s="32" t="str">
        <f ca="1">IF(ISNUMBER(PAJAK[[#This Row],[//]]),PPN,"")</f>
        <v>11%</v>
      </c>
    </row>
    <row r="5" spans="1:18" x14ac:dyDescent="0.25">
      <c r="A5" s="3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128</v>
      </c>
      <c r="B5" s="127">
        <f ca="1">HYPERLINK("[NOTA_.XLSX]NOTA!c"&amp;PAJAK[[#This Row],[//]],IF(PAJAK[[#This Row],[//]]="","",INDEX(INDIRECT("NOTA["&amp;PAJAK[#Headers]&amp;"]"),PAJAK[[#This Row],[//]]-2)))</f>
        <v>22</v>
      </c>
      <c r="C5" s="33" t="str">
        <f ca="1">IF(PAJAK[[#This Row],[//]]="","",INDEX(INDIRECT("NOTA["&amp;PAJAK[#Headers]&amp;"]"),PAJAK[[#This Row],[//]]-2))</f>
        <v>ATA_0905_867-1</v>
      </c>
      <c r="D5" s="33">
        <f ca="1">MATCH(PAJAK[[#This Row],[ID]],[4]!Table1[ID],0)</f>
        <v>38</v>
      </c>
      <c r="E5" s="126">
        <f ca="1">IF(PAJAK[[#This Row],[ID]]="","",COUNTIF(NOTA[ID_H],PAJAK[[#This Row],[ID]]))</f>
        <v>1</v>
      </c>
      <c r="F5" s="29" t="str">
        <f ca="1">IF(PAJAK[[#This Row],[//]]="","",INDEX(CONV[2],MATCH(INDEX(INDIRECT("NOTA["&amp;PAJAK[#Headers]&amp;"]"),PAJAK[[#This Row],[//]]-2),CONV[1],0),0))</f>
        <v>PT ATALI MAKMUR</v>
      </c>
      <c r="G5" s="31">
        <f ca="1">IF(PAJAK[[#This Row],[//]]="","",INDEX(NOTA[TGL_H],PAJAK[[#This Row],[//]]-2))</f>
        <v>45055</v>
      </c>
      <c r="H5" s="31">
        <f ca="1">IF(PAJAK[[#This Row],[//]]="","",INDEX(INDIRECT("NOTA["&amp;PAJAK[#Headers]&amp;"]"),PAJAK[[#This Row],[//]]-2))</f>
        <v>45051</v>
      </c>
      <c r="I5" s="30" t="str">
        <f ca="1">IF(PAJAK[[#This Row],[//]]="","",INDEX(INDIRECT("NOTA["&amp;PAJAK[#Headers]&amp;"]"),PAJAK[[#This Row],[//]]-2))</f>
        <v>SA230506867</v>
      </c>
      <c r="J5" s="29" t="str">
        <f ca="1">IF(OR(PAJAK[[#This Row],[//]]="",INDEX(INDIRECT("NOTA["&amp;PAJAK[#Headers]&amp;"]"),PAJAK[[#This Row],[//]]-2)=""),"",INDEX(INDIRECT("NOTA["&amp;PAJAK[#Headers]&amp;"]"),PAJAK[[#This Row],[//]]-2))</f>
        <v/>
      </c>
      <c r="K5" s="146">
        <f ca="1">IF(PAJAK[[#This Row],[//]]="","",SUMIF(NOTA[ID_H],PAJAK[[#This Row],[ID]],NOTA[JUMLAH]))</f>
        <v>31320000</v>
      </c>
      <c r="L5" s="146">
        <f ca="1">IF(PAJAK[[#This Row],[//]]="","",SUMIF(NOTA[ID_H],PAJAK[[#This Row],[ID]],NOTA[DISC]))</f>
        <v>5285250</v>
      </c>
      <c r="M5" s="146">
        <f ca="1">PAJAK[[#This Row],[SUB TOTAL]]-PAJAK[[#This Row],[DISKON]]</f>
        <v>26034750</v>
      </c>
      <c r="N5" s="146">
        <f ca="1">IF(PAJAK[[#This Row],[//]]="","",INDEX(INDIRECT("NOTA["&amp;PAJAK[#Headers]&amp;"]"),PAJAK[[#This Row],[//]]-2+PAJAK[[#This Row],[QB]]-1))</f>
        <v>0</v>
      </c>
      <c r="O5" s="146">
        <f ca="1">(PAJAK[[#This Row],[SUB T-DISC]]-PAJAK[[#This Row],[DISC DLL]])/111%</f>
        <v>23454729.729729727</v>
      </c>
      <c r="P5" s="146">
        <f ca="1">PAJAK[[#This Row],[DPP]]*PAJAK[[#This Row],[PPN]]</f>
        <v>2580020.2702702698</v>
      </c>
      <c r="Q5" s="146">
        <f ca="1">PAJAK[[#This Row],[DPP]]+PAJAK[[#This Row],[PPN 11%]]</f>
        <v>26034749.999999996</v>
      </c>
      <c r="R5" s="32" t="str">
        <f ca="1">IF(ISNUMBER(PAJAK[[#This Row],[//]]),PPN,"")</f>
        <v>11%</v>
      </c>
    </row>
    <row r="6" spans="1:18" x14ac:dyDescent="0.25">
      <c r="A6" s="2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130</v>
      </c>
      <c r="B6" s="29">
        <f ca="1">HYPERLINK("[NOTA_.XLSX]NOTA!c"&amp;PAJAK[[#This Row],[//]],IF(PAJAK[[#This Row],[//]]="","",INDEX(INDIRECT("NOTA["&amp;PAJAK[#Headers]&amp;"]"),PAJAK[[#This Row],[//]]-2)))</f>
        <v>23</v>
      </c>
      <c r="C6" s="29" t="str">
        <f ca="1">IF(PAJAK[[#This Row],[//]]="","",INDEX(INDIRECT("NOTA["&amp;PAJAK[#Headers]&amp;"]"),PAJAK[[#This Row],[//]]-2))</f>
        <v>ATA_0905_812-2</v>
      </c>
      <c r="D6" s="29">
        <f ca="1">MATCH(PAJAK[[#This Row],[ID]],[4]!Table1[ID],0)</f>
        <v>37</v>
      </c>
      <c r="E6" s="30">
        <f ca="1">IF(PAJAK[[#This Row],[ID]]="","",COUNTIF(NOTA[ID_H],PAJAK[[#This Row],[ID]]))</f>
        <v>2</v>
      </c>
      <c r="F6" s="29" t="str">
        <f ca="1">IF(PAJAK[[#This Row],[//]]="","",INDEX(CONV[2],MATCH(INDEX(INDIRECT("NOTA["&amp;PAJAK[#Headers]&amp;"]"),PAJAK[[#This Row],[//]]-2),CONV[1],0),0))</f>
        <v>PT ATALI MAKMUR</v>
      </c>
      <c r="G6" s="31">
        <f ca="1">IF(PAJAK[[#This Row],[//]]="","",INDEX(NOTA[TGL_H],PAJAK[[#This Row],[//]]-2))</f>
        <v>45055</v>
      </c>
      <c r="H6" s="31">
        <f ca="1">IF(PAJAK[[#This Row],[//]]="","",INDEX(INDIRECT("NOTA["&amp;PAJAK[#Headers]&amp;"]"),PAJAK[[#This Row],[//]]-2))</f>
        <v>45050</v>
      </c>
      <c r="I6" s="30" t="str">
        <f ca="1">IF(PAJAK[[#This Row],[//]]="","",INDEX(INDIRECT("NOTA["&amp;PAJAK[#Headers]&amp;"]"),PAJAK[[#This Row],[//]]-2))</f>
        <v>SA230506812</v>
      </c>
      <c r="J6" s="29" t="str">
        <f ca="1">IF(OR(PAJAK[[#This Row],[//]]="",INDEX(INDIRECT("NOTA["&amp;PAJAK[#Headers]&amp;"]"),PAJAK[[#This Row],[//]]-2)=""),"",INDEX(INDIRECT("NOTA["&amp;PAJAK[#Headers]&amp;"]"),PAJAK[[#This Row],[//]]-2))</f>
        <v/>
      </c>
      <c r="K6" s="146">
        <f ca="1">IF(PAJAK[[#This Row],[//]]="","",SUMIF(NOTA[ID_H],PAJAK[[#This Row],[ID]],NOTA[JUMLAH]))</f>
        <v>30600000</v>
      </c>
      <c r="L6" s="146">
        <f ca="1">IF(PAJAK[[#This Row],[//]]="","",SUMIF(NOTA[ID_H],PAJAK[[#This Row],[ID]],NOTA[DISC]))</f>
        <v>5163750</v>
      </c>
      <c r="M6" s="146">
        <f ca="1">PAJAK[[#This Row],[SUB TOTAL]]-PAJAK[[#This Row],[DISKON]]</f>
        <v>25436250</v>
      </c>
      <c r="N6" s="146">
        <f ca="1">IF(PAJAK[[#This Row],[//]]="","",INDEX(INDIRECT("NOTA["&amp;PAJAK[#Headers]&amp;"]"),PAJAK[[#This Row],[//]]-2+PAJAK[[#This Row],[QB]]-1))</f>
        <v>1584080</v>
      </c>
      <c r="O6" s="146">
        <f ca="1">(PAJAK[[#This Row],[SUB T-DISC]]-PAJAK[[#This Row],[DISC DLL]])/111%</f>
        <v>21488441.441441439</v>
      </c>
      <c r="P6" s="146">
        <f ca="1">PAJAK[[#This Row],[DPP]]*PAJAK[[#This Row],[PPN]]</f>
        <v>2363728.5585585581</v>
      </c>
      <c r="Q6" s="146">
        <f ca="1">PAJAK[[#This Row],[DPP]]+PAJAK[[#This Row],[PPN 11%]]</f>
        <v>23852169.999999996</v>
      </c>
      <c r="R6" s="32" t="str">
        <f ca="1">IF(ISNUMBER(PAJAK[[#This Row],[//]]),PPN,"")</f>
        <v>11%</v>
      </c>
    </row>
    <row r="7" spans="1:18" x14ac:dyDescent="0.25">
      <c r="A7" s="2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133</v>
      </c>
      <c r="B7" s="29">
        <f ca="1">HYPERLINK("[NOTA_.XLSX]NOTA!c"&amp;PAJAK[[#This Row],[//]],IF(PAJAK[[#This Row],[//]]="","",INDEX(INDIRECT("NOTA["&amp;PAJAK[#Headers]&amp;"]"),PAJAK[[#This Row],[//]]-2)))</f>
        <v>24</v>
      </c>
      <c r="C7" s="29" t="str">
        <f ca="1">IF(PAJAK[[#This Row],[//]]="","",INDEX(INDIRECT("NOTA["&amp;PAJAK[#Headers]&amp;"]"),PAJAK[[#This Row],[//]]-2))</f>
        <v>ATA_0905_794-6</v>
      </c>
      <c r="D7" s="29">
        <f ca="1">MATCH(PAJAK[[#This Row],[ID]],[4]!Table1[ID],0)</f>
        <v>36</v>
      </c>
      <c r="E7" s="30">
        <f ca="1">IF(PAJAK[[#This Row],[ID]]="","",COUNTIF(NOTA[ID_H],PAJAK[[#This Row],[ID]]))</f>
        <v>6</v>
      </c>
      <c r="F7" s="29" t="str">
        <f ca="1">IF(PAJAK[[#This Row],[//]]="","",INDEX(CONV[2],MATCH(INDEX(INDIRECT("NOTA["&amp;PAJAK[#Headers]&amp;"]"),PAJAK[[#This Row],[//]]-2),CONV[1],0),0))</f>
        <v>PT ATALI MAKMUR</v>
      </c>
      <c r="G7" s="31">
        <f ca="1">IF(PAJAK[[#This Row],[//]]="","",INDEX(NOTA[TGL_H],PAJAK[[#This Row],[//]]-2))</f>
        <v>45055</v>
      </c>
      <c r="H7" s="31">
        <f ca="1">IF(PAJAK[[#This Row],[//]]="","",INDEX(INDIRECT("NOTA["&amp;PAJAK[#Headers]&amp;"]"),PAJAK[[#This Row],[//]]-2))</f>
        <v>45050</v>
      </c>
      <c r="I7" s="30" t="str">
        <f ca="1">IF(PAJAK[[#This Row],[//]]="","",INDEX(INDIRECT("NOTA["&amp;PAJAK[#Headers]&amp;"]"),PAJAK[[#This Row],[//]]-2))</f>
        <v>SA230506794</v>
      </c>
      <c r="J7" s="29" t="str">
        <f ca="1">IF(OR(PAJAK[[#This Row],[//]]="",INDEX(INDIRECT("NOTA["&amp;PAJAK[#Headers]&amp;"]"),PAJAK[[#This Row],[//]]-2)=""),"",INDEX(INDIRECT("NOTA["&amp;PAJAK[#Headers]&amp;"]"),PAJAK[[#This Row],[//]]-2))</f>
        <v/>
      </c>
      <c r="K7" s="146">
        <f ca="1">IF(PAJAK[[#This Row],[//]]="","",SUMIF(NOTA[ID_H],PAJAK[[#This Row],[ID]],NOTA[JUMLAH]))</f>
        <v>44092800</v>
      </c>
      <c r="L7" s="146">
        <f ca="1">IF(PAJAK[[#This Row],[//]]="","",SUMIF(NOTA[ID_H],PAJAK[[#This Row],[ID]],NOTA[DISC]))</f>
        <v>7339410</v>
      </c>
      <c r="M7" s="146">
        <f ca="1">PAJAK[[#This Row],[SUB TOTAL]]-PAJAK[[#This Row],[DISKON]]</f>
        <v>36753390</v>
      </c>
      <c r="N7" s="146">
        <f ca="1">IF(PAJAK[[#This Row],[//]]="","",INDEX(INDIRECT("NOTA["&amp;PAJAK[#Headers]&amp;"]"),PAJAK[[#This Row],[//]]-2+PAJAK[[#This Row],[QB]]-1))</f>
        <v>600000</v>
      </c>
      <c r="O7" s="146">
        <f ca="1">(PAJAK[[#This Row],[SUB T-DISC]]-PAJAK[[#This Row],[DISC DLL]])/111%</f>
        <v>32570621.62162162</v>
      </c>
      <c r="P7" s="146">
        <f ca="1">PAJAK[[#This Row],[DPP]]*PAJAK[[#This Row],[PPN]]</f>
        <v>3582768.3783783782</v>
      </c>
      <c r="Q7" s="146">
        <f ca="1">PAJAK[[#This Row],[DPP]]+PAJAK[[#This Row],[PPN 11%]]</f>
        <v>36153390</v>
      </c>
      <c r="R7" s="32" t="str">
        <f ca="1">IF(ISNUMBER(PAJAK[[#This Row],[//]]),PPN,"")</f>
        <v>11%</v>
      </c>
    </row>
    <row r="8" spans="1:18" x14ac:dyDescent="0.25">
      <c r="A8" s="2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140</v>
      </c>
      <c r="B8" s="29">
        <f ca="1">HYPERLINK("[NOTA_.XLSX]NOTA!c"&amp;PAJAK[[#This Row],[//]],IF(PAJAK[[#This Row],[//]]="","",INDEX(INDIRECT("NOTA["&amp;PAJAK[#Headers]&amp;"]"),PAJAK[[#This Row],[//]]-2)))</f>
        <v>25</v>
      </c>
      <c r="C8" s="29" t="str">
        <f ca="1">IF(PAJAK[[#This Row],[//]]="","",INDEX(INDIRECT("NOTA["&amp;PAJAK[#Headers]&amp;"]"),PAJAK[[#This Row],[//]]-2))</f>
        <v>ATA_0905_792-9</v>
      </c>
      <c r="D8" s="29">
        <f ca="1">MATCH(PAJAK[[#This Row],[ID]],[4]!Table1[ID],0)</f>
        <v>34</v>
      </c>
      <c r="E8" s="30">
        <f ca="1">IF(PAJAK[[#This Row],[ID]]="","",COUNTIF(NOTA[ID_H],PAJAK[[#This Row],[ID]]))</f>
        <v>9</v>
      </c>
      <c r="F8" s="29" t="str">
        <f ca="1">IF(PAJAK[[#This Row],[//]]="","",INDEX(CONV[2],MATCH(INDEX(INDIRECT("NOTA["&amp;PAJAK[#Headers]&amp;"]"),PAJAK[[#This Row],[//]]-2),CONV[1],0),0))</f>
        <v>PT ATALI MAKMUR</v>
      </c>
      <c r="G8" s="31">
        <f ca="1">IF(PAJAK[[#This Row],[//]]="","",INDEX(NOTA[TGL_H],PAJAK[[#This Row],[//]]-2))</f>
        <v>45055</v>
      </c>
      <c r="H8" s="31">
        <f ca="1">IF(PAJAK[[#This Row],[//]]="","",INDEX(INDIRECT("NOTA["&amp;PAJAK[#Headers]&amp;"]"),PAJAK[[#This Row],[//]]-2))</f>
        <v>45050</v>
      </c>
      <c r="I8" s="30" t="str">
        <f ca="1">IF(PAJAK[[#This Row],[//]]="","",INDEX(INDIRECT("NOTA["&amp;PAJAK[#Headers]&amp;"]"),PAJAK[[#This Row],[//]]-2))</f>
        <v>SA230506792</v>
      </c>
      <c r="J8" s="29" t="str">
        <f ca="1">IF(OR(PAJAK[[#This Row],[//]]="",INDEX(INDIRECT("NOTA["&amp;PAJAK[#Headers]&amp;"]"),PAJAK[[#This Row],[//]]-2)=""),"",INDEX(INDIRECT("NOTA["&amp;PAJAK[#Headers]&amp;"]"),PAJAK[[#This Row],[//]]-2))</f>
        <v/>
      </c>
      <c r="K8" s="146">
        <f ca="1">IF(PAJAK[[#This Row],[//]]="","",SUMIF(NOTA[ID_H],PAJAK[[#This Row],[ID]],NOTA[JUMLAH]))</f>
        <v>35962000</v>
      </c>
      <c r="L8" s="146">
        <f ca="1">IF(PAJAK[[#This Row],[//]]="","",SUMIF(NOTA[ID_H],PAJAK[[#This Row],[ID]],NOTA[DISC]))</f>
        <v>5970325.5</v>
      </c>
      <c r="M8" s="146">
        <f ca="1">PAJAK[[#This Row],[SUB TOTAL]]-PAJAK[[#This Row],[DISKON]]</f>
        <v>29991674.5</v>
      </c>
      <c r="N8" s="146">
        <f ca="1">IF(PAJAK[[#This Row],[//]]="","",INDEX(INDIRECT("NOTA["&amp;PAJAK[#Headers]&amp;"]"),PAJAK[[#This Row],[//]]-2+PAJAK[[#This Row],[QB]]-1))</f>
        <v>695432</v>
      </c>
      <c r="O8" s="146">
        <f ca="1">(PAJAK[[#This Row],[SUB T-DISC]]-PAJAK[[#This Row],[DISC DLL]])/111%</f>
        <v>26393011.261261258</v>
      </c>
      <c r="P8" s="146">
        <f ca="1">PAJAK[[#This Row],[DPP]]*PAJAK[[#This Row],[PPN]]</f>
        <v>2903231.2387387385</v>
      </c>
      <c r="Q8" s="146">
        <f ca="1">PAJAK[[#This Row],[DPP]]+PAJAK[[#This Row],[PPN 11%]]</f>
        <v>29296242.499999996</v>
      </c>
      <c r="R8" s="32" t="str">
        <f ca="1">IF(ISNUMBER(PAJAK[[#This Row],[//]]),PPN,"")</f>
        <v>11%</v>
      </c>
    </row>
    <row r="9" spans="1:18" x14ac:dyDescent="0.25">
      <c r="A9" s="2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150</v>
      </c>
      <c r="B9" s="29">
        <f ca="1">HYPERLINK("[NOTA_.XLSX]NOTA!c"&amp;PAJAK[[#This Row],[//]],IF(PAJAK[[#This Row],[//]]="","",INDEX(INDIRECT("NOTA["&amp;PAJAK[#Headers]&amp;"]"),PAJAK[[#This Row],[//]]-2)))</f>
        <v>26</v>
      </c>
      <c r="C9" s="29" t="str">
        <f ca="1">IF(PAJAK[[#This Row],[//]]="","",INDEX(INDIRECT("NOTA["&amp;PAJAK[#Headers]&amp;"]"),PAJAK[[#This Row],[//]]-2))</f>
        <v>ATA_0905_793-9</v>
      </c>
      <c r="D9" s="29">
        <f ca="1">MATCH(PAJAK[[#This Row],[ID]],[4]!Table1[ID],0)</f>
        <v>35</v>
      </c>
      <c r="E9" s="30">
        <f ca="1">IF(PAJAK[[#This Row],[ID]]="","",COUNTIF(NOTA[ID_H],PAJAK[[#This Row],[ID]]))</f>
        <v>9</v>
      </c>
      <c r="F9" s="29" t="str">
        <f ca="1">IF(PAJAK[[#This Row],[//]]="","",INDEX(CONV[2],MATCH(INDEX(INDIRECT("NOTA["&amp;PAJAK[#Headers]&amp;"]"),PAJAK[[#This Row],[//]]-2),CONV[1],0),0))</f>
        <v>PT ATALI MAKMUR</v>
      </c>
      <c r="G9" s="31">
        <f ca="1">IF(PAJAK[[#This Row],[//]]="","",INDEX(NOTA[TGL_H],PAJAK[[#This Row],[//]]-2))</f>
        <v>45055</v>
      </c>
      <c r="H9" s="31">
        <f ca="1">IF(PAJAK[[#This Row],[//]]="","",INDEX(INDIRECT("NOTA["&amp;PAJAK[#Headers]&amp;"]"),PAJAK[[#This Row],[//]]-2))</f>
        <v>45050</v>
      </c>
      <c r="I9" s="30" t="str">
        <f ca="1">IF(PAJAK[[#This Row],[//]]="","",INDEX(INDIRECT("NOTA["&amp;PAJAK[#Headers]&amp;"]"),PAJAK[[#This Row],[//]]-2))</f>
        <v>SA230506793</v>
      </c>
      <c r="J9" s="29" t="str">
        <f ca="1">IF(OR(PAJAK[[#This Row],[//]]="",INDEX(INDIRECT("NOTA["&amp;PAJAK[#Headers]&amp;"]"),PAJAK[[#This Row],[//]]-2)=""),"",INDEX(INDIRECT("NOTA["&amp;PAJAK[#Headers]&amp;"]"),PAJAK[[#This Row],[//]]-2))</f>
        <v/>
      </c>
      <c r="K9" s="146">
        <f ca="1">IF(PAJAK[[#This Row],[//]]="","",SUMIF(NOTA[ID_H],PAJAK[[#This Row],[ID]],NOTA[JUMLAH]))</f>
        <v>81775000</v>
      </c>
      <c r="L9" s="146">
        <f ca="1">IF(PAJAK[[#This Row],[//]]="","",SUMIF(NOTA[ID_H],PAJAK[[#This Row],[ID]],NOTA[DISC]))</f>
        <v>13455281.25</v>
      </c>
      <c r="M9" s="146">
        <f ca="1">PAJAK[[#This Row],[SUB TOTAL]]-PAJAK[[#This Row],[DISKON]]</f>
        <v>68319718.75</v>
      </c>
      <c r="N9" s="146">
        <f ca="1">IF(PAJAK[[#This Row],[//]]="","",INDEX(INDIRECT("NOTA["&amp;PAJAK[#Headers]&amp;"]"),PAJAK[[#This Row],[//]]-2+PAJAK[[#This Row],[QB]]-1))</f>
        <v>2040000</v>
      </c>
      <c r="O9" s="146">
        <f ca="1">(PAJAK[[#This Row],[SUB T-DISC]]-PAJAK[[#This Row],[DISC DLL]])/111%</f>
        <v>59711458.333333328</v>
      </c>
      <c r="P9" s="146">
        <f ca="1">PAJAK[[#This Row],[DPP]]*PAJAK[[#This Row],[PPN]]</f>
        <v>6568260.416666666</v>
      </c>
      <c r="Q9" s="146">
        <f ca="1">PAJAK[[#This Row],[DPP]]+PAJAK[[#This Row],[PPN 11%]]</f>
        <v>66279718.749999993</v>
      </c>
      <c r="R9" s="32" t="str">
        <f ca="1">IF(ISNUMBER(PAJAK[[#This Row],[//]]),PPN,"")</f>
        <v>11%</v>
      </c>
    </row>
    <row r="10" spans="1:18" x14ac:dyDescent="0.25">
      <c r="A10" s="2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160</v>
      </c>
      <c r="B10" s="29">
        <f ca="1">HYPERLINK("[NOTA_.XLSX]NOTA!c"&amp;PAJAK[[#This Row],[//]],IF(PAJAK[[#This Row],[//]]="","",INDEX(INDIRECT("NOTA["&amp;PAJAK[#Headers]&amp;"]"),PAJAK[[#This Row],[//]]-2)))</f>
        <v>27</v>
      </c>
      <c r="C10" s="29" t="str">
        <f ca="1">IF(PAJAK[[#This Row],[//]]="","",INDEX(INDIRECT("NOTA["&amp;PAJAK[#Headers]&amp;"]"),PAJAK[[#This Row],[//]]-2))</f>
        <v>KAL_0905_960-7</v>
      </c>
      <c r="D10" s="29">
        <f ca="1">MATCH(PAJAK[[#This Row],[ID]],[4]!Table1[ID],0)</f>
        <v>76</v>
      </c>
      <c r="E10" s="30">
        <f ca="1">IF(PAJAK[[#This Row],[ID]]="","",COUNTIF(NOTA[ID_H],PAJAK[[#This Row],[ID]]))</f>
        <v>7</v>
      </c>
      <c r="F10" s="29" t="str">
        <f ca="1">IF(PAJAK[[#This Row],[//]]="","",INDEX(CONV[2],MATCH(INDEX(INDIRECT("NOTA["&amp;PAJAK[#Headers]&amp;"]"),PAJAK[[#This Row],[//]]-2),CONV[1],0),0))</f>
        <v>PT KALINDO SUKSES</v>
      </c>
      <c r="G10" s="31">
        <f ca="1">IF(PAJAK[[#This Row],[//]]="","",INDEX(NOTA[TGL_H],PAJAK[[#This Row],[//]]-2))</f>
        <v>45055</v>
      </c>
      <c r="H10" s="31">
        <f ca="1">IF(PAJAK[[#This Row],[//]]="","",INDEX(INDIRECT("NOTA["&amp;PAJAK[#Headers]&amp;"]"),PAJAK[[#This Row],[//]]-2))</f>
        <v>45050</v>
      </c>
      <c r="I10" s="30" t="str">
        <f ca="1">IF(PAJAK[[#This Row],[//]]="","",INDEX(INDIRECT("NOTA["&amp;PAJAK[#Headers]&amp;"]"),PAJAK[[#This Row],[//]]-2))</f>
        <v>SN23050960</v>
      </c>
      <c r="J10" s="29" t="str">
        <f ca="1">IF(OR(PAJAK[[#This Row],[//]]="",INDEX(INDIRECT("NOTA["&amp;PAJAK[#Headers]&amp;"]"),PAJAK[[#This Row],[//]]-2)=""),"",INDEX(INDIRECT("NOTA["&amp;PAJAK[#Headers]&amp;"]"),PAJAK[[#This Row],[//]]-2))</f>
        <v/>
      </c>
      <c r="K10" s="146">
        <f ca="1">IF(PAJAK[[#This Row],[//]]="","",SUMIF(NOTA[ID_H],PAJAK[[#This Row],[ID]],NOTA[JUMLAH]))</f>
        <v>16771600</v>
      </c>
      <c r="L10" s="146">
        <f ca="1">IF(PAJAK[[#This Row],[//]]="","",SUMIF(NOTA[ID_H],PAJAK[[#This Row],[ID]],NOTA[DISC]))</f>
        <v>2826132</v>
      </c>
      <c r="M10" s="146">
        <f ca="1">PAJAK[[#This Row],[SUB TOTAL]]-PAJAK[[#This Row],[DISKON]]</f>
        <v>13945468</v>
      </c>
      <c r="N10" s="146">
        <f ca="1">IF(PAJAK[[#This Row],[//]]="","",INDEX(INDIRECT("NOTA["&amp;PAJAK[#Headers]&amp;"]"),PAJAK[[#This Row],[//]]-2+PAJAK[[#This Row],[QB]]-1))</f>
        <v>1382000</v>
      </c>
      <c r="O10" s="146">
        <f ca="1">(PAJAK[[#This Row],[SUB T-DISC]]-PAJAK[[#This Row],[DISC DLL]])/111%</f>
        <v>11318439.639639638</v>
      </c>
      <c r="P10" s="146">
        <f ca="1">PAJAK[[#This Row],[DPP]]*PAJAK[[#This Row],[PPN]]</f>
        <v>1245028.3603603602</v>
      </c>
      <c r="Q10" s="146">
        <f ca="1">PAJAK[[#This Row],[DPP]]+PAJAK[[#This Row],[PPN 11%]]</f>
        <v>12563467.999999998</v>
      </c>
      <c r="R10" s="32" t="str">
        <f ca="1">IF(ISNUMBER(PAJAK[[#This Row],[//]]),PPN,"")</f>
        <v>11%</v>
      </c>
    </row>
    <row r="11" spans="1:18" x14ac:dyDescent="0.25">
      <c r="A11" s="2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168</v>
      </c>
      <c r="B11" s="29">
        <f ca="1">HYPERLINK("[NOTA_.XLSX]NOTA!c"&amp;PAJAK[[#This Row],[//]],IF(PAJAK[[#This Row],[//]]="","",INDEX(INDIRECT("NOTA["&amp;PAJAK[#Headers]&amp;"]"),PAJAK[[#This Row],[//]]-2)))</f>
        <v>28</v>
      </c>
      <c r="C11" s="29" t="str">
        <f ca="1">IF(PAJAK[[#This Row],[//]]="","",INDEX(INDIRECT("NOTA["&amp;PAJAK[#Headers]&amp;"]"),PAJAK[[#This Row],[//]]-2))</f>
        <v>KEN_0905_448-3</v>
      </c>
      <c r="D11" s="29">
        <f ca="1">MATCH(PAJAK[[#This Row],[ID]],[4]!Table1[ID],0)</f>
        <v>6</v>
      </c>
      <c r="E11" s="30">
        <f ca="1">IF(PAJAK[[#This Row],[ID]]="","",COUNTIF(NOTA[ID_H],PAJAK[[#This Row],[ID]]))</f>
        <v>3</v>
      </c>
      <c r="F11" s="29" t="str">
        <f ca="1">IF(PAJAK[[#This Row],[//]]="","",INDEX(CONV[2],MATCH(INDEX(INDIRECT("NOTA["&amp;PAJAK[#Headers]&amp;"]"),PAJAK[[#This Row],[//]]-2),CONV[1],0),0))</f>
        <v>PT KENKO SINAR INDONESIA</v>
      </c>
      <c r="G11" s="31">
        <f ca="1">IF(PAJAK[[#This Row],[//]]="","",INDEX(NOTA[TGL_H],PAJAK[[#This Row],[//]]-2))</f>
        <v>45055</v>
      </c>
      <c r="H11" s="31">
        <f ca="1">IF(PAJAK[[#This Row],[//]]="","",INDEX(INDIRECT("NOTA["&amp;PAJAK[#Headers]&amp;"]"),PAJAK[[#This Row],[//]]-2))</f>
        <v>45051</v>
      </c>
      <c r="I11" s="30" t="str">
        <f ca="1">IF(PAJAK[[#This Row],[//]]="","",INDEX(INDIRECT("NOTA["&amp;PAJAK[#Headers]&amp;"]"),PAJAK[[#This Row],[//]]-2))</f>
        <v>23050448</v>
      </c>
      <c r="J11" s="29" t="str">
        <f ca="1">IF(OR(PAJAK[[#This Row],[//]]="",INDEX(INDIRECT("NOTA["&amp;PAJAK[#Headers]&amp;"]"),PAJAK[[#This Row],[//]]-2)=""),"",INDEX(INDIRECT("NOTA["&amp;PAJAK[#Headers]&amp;"]"),PAJAK[[#This Row],[//]]-2))</f>
        <v>SA 41338</v>
      </c>
      <c r="K11" s="146">
        <f ca="1">IF(PAJAK[[#This Row],[//]]="","",SUMIF(NOTA[ID_H],PAJAK[[#This Row],[ID]],NOTA[JUMLAH]))</f>
        <v>12968400</v>
      </c>
      <c r="L11" s="146">
        <f ca="1">IF(PAJAK[[#This Row],[//]]="","",SUMIF(NOTA[ID_H],PAJAK[[#This Row],[ID]],NOTA[DISC]))</f>
        <v>2204628</v>
      </c>
      <c r="M11" s="146">
        <f ca="1">PAJAK[[#This Row],[SUB TOTAL]]-PAJAK[[#This Row],[DISKON]]</f>
        <v>10763772</v>
      </c>
      <c r="N11" s="146">
        <f ca="1">IF(PAJAK[[#This Row],[//]]="","",INDEX(INDIRECT("NOTA["&amp;PAJAK[#Headers]&amp;"]"),PAJAK[[#This Row],[//]]-2+PAJAK[[#This Row],[QB]]-1))</f>
        <v>0</v>
      </c>
      <c r="O11" s="146">
        <f ca="1">(PAJAK[[#This Row],[SUB T-DISC]]-PAJAK[[#This Row],[DISC DLL]])/111%</f>
        <v>9697091.8918918911</v>
      </c>
      <c r="P11" s="146">
        <f ca="1">PAJAK[[#This Row],[DPP]]*PAJAK[[#This Row],[PPN]]</f>
        <v>1066680.1081081079</v>
      </c>
      <c r="Q11" s="146">
        <f ca="1">PAJAK[[#This Row],[DPP]]+PAJAK[[#This Row],[PPN 11%]]</f>
        <v>10763772</v>
      </c>
      <c r="R11" s="32" t="str">
        <f ca="1">IF(ISNUMBER(PAJAK[[#This Row],[//]]),PPN,"")</f>
        <v>11%</v>
      </c>
    </row>
    <row r="12" spans="1:18" x14ac:dyDescent="0.25">
      <c r="A12" s="3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172</v>
      </c>
      <c r="B12" s="127">
        <f ca="1">HYPERLINK("[NOTA_.XLSX]NOTA!c"&amp;PAJAK[[#This Row],[//]],IF(PAJAK[[#This Row],[//]]="","",INDEX(INDIRECT("NOTA["&amp;PAJAK[#Headers]&amp;"]"),PAJAK[[#This Row],[//]]-2)))</f>
        <v>29</v>
      </c>
      <c r="C12" s="33" t="str">
        <f ca="1">IF(PAJAK[[#This Row],[//]]="","",INDEX(INDIRECT("NOTA["&amp;PAJAK[#Headers]&amp;"]"),PAJAK[[#This Row],[//]]-2))</f>
        <v>KEN_0905_306-2</v>
      </c>
      <c r="D12" s="33">
        <f ca="1">MATCH(PAJAK[[#This Row],[ID]],[4]!Table1[ID],0)</f>
        <v>5</v>
      </c>
      <c r="E12" s="126">
        <f ca="1">IF(PAJAK[[#This Row],[ID]]="","",COUNTIF(NOTA[ID_H],PAJAK[[#This Row],[ID]]))</f>
        <v>2</v>
      </c>
      <c r="F12" s="29" t="str">
        <f ca="1">IF(PAJAK[[#This Row],[//]]="","",INDEX(CONV[2],MATCH(INDEX(INDIRECT("NOTA["&amp;PAJAK[#Headers]&amp;"]"),PAJAK[[#This Row],[//]]-2),CONV[1],0),0))</f>
        <v>PT KENKO SINAR INDONESIA</v>
      </c>
      <c r="G12" s="31">
        <f ca="1">IF(PAJAK[[#This Row],[//]]="","",INDEX(NOTA[TGL_H],PAJAK[[#This Row],[//]]-2))</f>
        <v>45055</v>
      </c>
      <c r="H12" s="31">
        <f ca="1">IF(PAJAK[[#This Row],[//]]="","",INDEX(INDIRECT("NOTA["&amp;PAJAK[#Headers]&amp;"]"),PAJAK[[#This Row],[//]]-2))</f>
        <v>45050</v>
      </c>
      <c r="I12" s="30" t="str">
        <f ca="1">IF(PAJAK[[#This Row],[//]]="","",INDEX(INDIRECT("NOTA["&amp;PAJAK[#Headers]&amp;"]"),PAJAK[[#This Row],[//]]-2))</f>
        <v>23050306</v>
      </c>
      <c r="J12" s="29" t="str">
        <f ca="1">IF(OR(PAJAK[[#This Row],[//]]="",INDEX(INDIRECT("NOTA["&amp;PAJAK[#Headers]&amp;"]"),PAJAK[[#This Row],[//]]-2)=""),"",INDEX(INDIRECT("NOTA["&amp;PAJAK[#Headers]&amp;"]"),PAJAK[[#This Row],[//]]-2))</f>
        <v>SA 41315</v>
      </c>
      <c r="K12" s="146">
        <f ca="1">IF(PAJAK[[#This Row],[//]]="","",SUMIF(NOTA[ID_H],PAJAK[[#This Row],[ID]],NOTA[JUMLAH]))</f>
        <v>6177600</v>
      </c>
      <c r="L12" s="146">
        <f ca="1">IF(PAJAK[[#This Row],[//]]="","",SUMIF(NOTA[ID_H],PAJAK[[#This Row],[ID]],NOTA[DISC]))</f>
        <v>1050192</v>
      </c>
      <c r="M12" s="146">
        <f ca="1">PAJAK[[#This Row],[SUB TOTAL]]-PAJAK[[#This Row],[DISKON]]</f>
        <v>5127408</v>
      </c>
      <c r="N12" s="146">
        <f ca="1">IF(PAJAK[[#This Row],[//]]="","",INDEX(INDIRECT("NOTA["&amp;PAJAK[#Headers]&amp;"]"),PAJAK[[#This Row],[//]]-2+PAJAK[[#This Row],[QB]]-1))</f>
        <v>0</v>
      </c>
      <c r="O12" s="146">
        <f ca="1">(PAJAK[[#This Row],[SUB T-DISC]]-PAJAK[[#This Row],[DISC DLL]])/111%</f>
        <v>4619286.4864864862</v>
      </c>
      <c r="P12" s="146">
        <f ca="1">PAJAK[[#This Row],[DPP]]*PAJAK[[#This Row],[PPN]]</f>
        <v>508121.51351351349</v>
      </c>
      <c r="Q12" s="146">
        <f ca="1">PAJAK[[#This Row],[DPP]]+PAJAK[[#This Row],[PPN 11%]]</f>
        <v>5127408</v>
      </c>
      <c r="R12" s="32" t="str">
        <f ca="1">IF(ISNUMBER(PAJAK[[#This Row],[//]]),PPN,"")</f>
        <v>11%</v>
      </c>
    </row>
    <row r="13" spans="1:18" x14ac:dyDescent="0.25">
      <c r="A13" s="3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252</v>
      </c>
      <c r="B13" s="127">
        <f ca="1">HYPERLINK("[NOTA_.XLSX]NOTA!c"&amp;PAJAK[[#This Row],[//]],IF(PAJAK[[#This Row],[//]]="","",INDEX(INDIRECT("NOTA["&amp;PAJAK[#Headers]&amp;"]"),PAJAK[[#This Row],[//]]-2)))</f>
        <v>44</v>
      </c>
      <c r="C13" s="33" t="str">
        <f ca="1">IF(PAJAK[[#This Row],[//]]="","",INDEX(INDIRECT("NOTA["&amp;PAJAK[#Headers]&amp;"]"),PAJAK[[#This Row],[//]]-2))</f>
        <v>ATA_1205_030-1</v>
      </c>
      <c r="D13" s="33">
        <f ca="1">MATCH(PAJAK[[#This Row],[ID]],[4]!Table1[ID],0)</f>
        <v>39</v>
      </c>
      <c r="E13" s="126">
        <f ca="1">IF(PAJAK[[#This Row],[ID]]="","",COUNTIF(NOTA[ID_H],PAJAK[[#This Row],[ID]]))</f>
        <v>1</v>
      </c>
      <c r="F13" s="29" t="str">
        <f ca="1">IF(PAJAK[[#This Row],[//]]="","",INDEX(CONV[2],MATCH(INDEX(INDIRECT("NOTA["&amp;PAJAK[#Headers]&amp;"]"),PAJAK[[#This Row],[//]]-2),CONV[1],0),0))</f>
        <v>PT ATALI MAKMUR</v>
      </c>
      <c r="G13" s="31">
        <f ca="1">IF(PAJAK[[#This Row],[//]]="","",INDEX(NOTA[TGL_H],PAJAK[[#This Row],[//]]-2))</f>
        <v>45058</v>
      </c>
      <c r="H13" s="31">
        <f ca="1">IF(PAJAK[[#This Row],[//]]="","",INDEX(INDIRECT("NOTA["&amp;PAJAK[#Headers]&amp;"]"),PAJAK[[#This Row],[//]]-2))</f>
        <v>45052</v>
      </c>
      <c r="I13" s="30" t="str">
        <f ca="1">IF(PAJAK[[#This Row],[//]]="","",INDEX(INDIRECT("NOTA["&amp;PAJAK[#Headers]&amp;"]"),PAJAK[[#This Row],[//]]-2))</f>
        <v>SA230507030</v>
      </c>
      <c r="J13" s="29" t="str">
        <f ca="1">IF(OR(PAJAK[[#This Row],[//]]="",INDEX(INDIRECT("NOTA["&amp;PAJAK[#Headers]&amp;"]"),PAJAK[[#This Row],[//]]-2)=""),"",INDEX(INDIRECT("NOTA["&amp;PAJAK[#Headers]&amp;"]"),PAJAK[[#This Row],[//]]-2))</f>
        <v/>
      </c>
      <c r="K13" s="146">
        <f ca="1">IF(PAJAK[[#This Row],[//]]="","",SUMIF(NOTA[ID_H],PAJAK[[#This Row],[ID]],NOTA[JUMLAH]))</f>
        <v>12441600</v>
      </c>
      <c r="L13" s="146">
        <f ca="1">IF(PAJAK[[#This Row],[//]]="","",SUMIF(NOTA[ID_H],PAJAK[[#This Row],[ID]],NOTA[DISC]))</f>
        <v>2099520</v>
      </c>
      <c r="M13" s="146">
        <f ca="1">PAJAK[[#This Row],[SUB TOTAL]]-PAJAK[[#This Row],[DISKON]]</f>
        <v>10342080</v>
      </c>
      <c r="N13" s="146">
        <f ca="1">IF(PAJAK[[#This Row],[//]]="","",INDEX(INDIRECT("NOTA["&amp;PAJAK[#Headers]&amp;"]"),PAJAK[[#This Row],[//]]-2+PAJAK[[#This Row],[QB]]-1))</f>
        <v>0</v>
      </c>
      <c r="O13" s="146">
        <f ca="1">(PAJAK[[#This Row],[SUB T-DISC]]-PAJAK[[#This Row],[DISC DLL]])/111%</f>
        <v>9317189.1891891882</v>
      </c>
      <c r="P13" s="146">
        <f ca="1">PAJAK[[#This Row],[DPP]]*PAJAK[[#This Row],[PPN]]</f>
        <v>1024890.8108108107</v>
      </c>
      <c r="Q13" s="146">
        <f ca="1">PAJAK[[#This Row],[DPP]]+PAJAK[[#This Row],[PPN 11%]]</f>
        <v>10342079.999999998</v>
      </c>
      <c r="R13" s="32" t="str">
        <f ca="1">IF(ISNUMBER(PAJAK[[#This Row],[//]]),PPN,"")</f>
        <v>11%</v>
      </c>
    </row>
    <row r="14" spans="1:18" x14ac:dyDescent="0.25">
      <c r="A14" s="3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254</v>
      </c>
      <c r="B14" s="127">
        <f ca="1">HYPERLINK("[NOTA_.XLSX]NOTA!c"&amp;PAJAK[[#This Row],[//]],IF(PAJAK[[#This Row],[//]]="","",INDEX(INDIRECT("NOTA["&amp;PAJAK[#Headers]&amp;"]"),PAJAK[[#This Row],[//]]-2)))</f>
        <v>45</v>
      </c>
      <c r="C14" s="33" t="str">
        <f ca="1">IF(PAJAK[[#This Row],[//]]="","",INDEX(INDIRECT("NOTA["&amp;PAJAK[#Headers]&amp;"]"),PAJAK[[#This Row],[//]]-2))</f>
        <v>KAL_1205_002-4</v>
      </c>
      <c r="D14" s="33">
        <f ca="1">MATCH(PAJAK[[#This Row],[ID]],[4]!Table1[ID],0)</f>
        <v>77</v>
      </c>
      <c r="E14" s="126">
        <f ca="1">IF(PAJAK[[#This Row],[ID]]="","",COUNTIF(NOTA[ID_H],PAJAK[[#This Row],[ID]]))</f>
        <v>4</v>
      </c>
      <c r="F14" s="29" t="str">
        <f ca="1">IF(PAJAK[[#This Row],[//]]="","",INDEX(CONV[2],MATCH(INDEX(INDIRECT("NOTA["&amp;PAJAK[#Headers]&amp;"]"),PAJAK[[#This Row],[//]]-2),CONV[1],0),0))</f>
        <v>PT KALINDO SUKSES</v>
      </c>
      <c r="G14" s="31">
        <f ca="1">IF(PAJAK[[#This Row],[//]]="","",INDEX(NOTA[TGL_H],PAJAK[[#This Row],[//]]-2))</f>
        <v>45058</v>
      </c>
      <c r="H14" s="31">
        <f ca="1">IF(PAJAK[[#This Row],[//]]="","",INDEX(INDIRECT("NOTA["&amp;PAJAK[#Headers]&amp;"]"),PAJAK[[#This Row],[//]]-2))</f>
        <v>45054</v>
      </c>
      <c r="I14" s="30" t="str">
        <f ca="1">IF(PAJAK[[#This Row],[//]]="","",INDEX(INDIRECT("NOTA["&amp;PAJAK[#Headers]&amp;"]"),PAJAK[[#This Row],[//]]-2))</f>
        <v>SN23051002</v>
      </c>
      <c r="J14" s="29" t="str">
        <f ca="1">IF(OR(PAJAK[[#This Row],[//]]="",INDEX(INDIRECT("NOTA["&amp;PAJAK[#Headers]&amp;"]"),PAJAK[[#This Row],[//]]-2)=""),"",INDEX(INDIRECT("NOTA["&amp;PAJAK[#Headers]&amp;"]"),PAJAK[[#This Row],[//]]-2))</f>
        <v/>
      </c>
      <c r="K14" s="146">
        <f ca="1">IF(PAJAK[[#This Row],[//]]="","",SUMIF(NOTA[ID_H],PAJAK[[#This Row],[ID]],NOTA[JUMLAH]))</f>
        <v>13682900</v>
      </c>
      <c r="L14" s="146">
        <f ca="1">IF(PAJAK[[#This Row],[//]]="","",SUMIF(NOTA[ID_H],PAJAK[[#This Row],[ID]],NOTA[DISC]))</f>
        <v>2307970.5</v>
      </c>
      <c r="M14" s="146">
        <f ca="1">PAJAK[[#This Row],[SUB TOTAL]]-PAJAK[[#This Row],[DISKON]]</f>
        <v>11374929.5</v>
      </c>
      <c r="N14" s="146">
        <f ca="1">IF(PAJAK[[#This Row],[//]]="","",INDEX(INDIRECT("NOTA["&amp;PAJAK[#Headers]&amp;"]"),PAJAK[[#This Row],[//]]-2+PAJAK[[#This Row],[QB]]-1))</f>
        <v>36679.5</v>
      </c>
      <c r="O14" s="146">
        <f ca="1">(PAJAK[[#This Row],[SUB T-DISC]]-PAJAK[[#This Row],[DISC DLL]])/111%</f>
        <v>10214639.639639638</v>
      </c>
      <c r="P14" s="146">
        <f ca="1">PAJAK[[#This Row],[DPP]]*PAJAK[[#This Row],[PPN]]</f>
        <v>1123610.3603603602</v>
      </c>
      <c r="Q14" s="146">
        <f ca="1">PAJAK[[#This Row],[DPP]]+PAJAK[[#This Row],[PPN 11%]]</f>
        <v>11338249.999999998</v>
      </c>
      <c r="R14" s="32" t="str">
        <f ca="1">IF(ISNUMBER(PAJAK[[#This Row],[//]]),PPN,"")</f>
        <v>11%</v>
      </c>
    </row>
    <row r="15" spans="1:18" x14ac:dyDescent="0.25">
      <c r="A15" s="3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259</v>
      </c>
      <c r="B15" s="127">
        <f ca="1">HYPERLINK("[NOTA_.XLSX]NOTA!c"&amp;PAJAK[[#This Row],[//]],IF(PAJAK[[#This Row],[//]]="","",INDEX(INDIRECT("NOTA["&amp;PAJAK[#Headers]&amp;"]"),PAJAK[[#This Row],[//]]-2)))</f>
        <v>46</v>
      </c>
      <c r="C15" s="33" t="str">
        <f ca="1">IF(PAJAK[[#This Row],[//]]="","",INDEX(INDIRECT("NOTA["&amp;PAJAK[#Headers]&amp;"]"),PAJAK[[#This Row],[//]]-2))</f>
        <v>KEN_1105_594-2</v>
      </c>
      <c r="D15" s="33">
        <f ca="1">MATCH(PAJAK[[#This Row],[ID]],[4]!Table1[ID],0)</f>
        <v>8</v>
      </c>
      <c r="E15" s="126">
        <f ca="1">IF(PAJAK[[#This Row],[ID]]="","",COUNTIF(NOTA[ID_H],PAJAK[[#This Row],[ID]]))</f>
        <v>2</v>
      </c>
      <c r="F15" s="29" t="str">
        <f ca="1">IF(PAJAK[[#This Row],[//]]="","",INDEX(CONV[2],MATCH(INDEX(INDIRECT("NOTA["&amp;PAJAK[#Headers]&amp;"]"),PAJAK[[#This Row],[//]]-2),CONV[1],0),0))</f>
        <v>PT KENKO SINAR INDONESIA</v>
      </c>
      <c r="G15" s="31">
        <f ca="1">IF(PAJAK[[#This Row],[//]]="","",INDEX(NOTA[TGL_H],PAJAK[[#This Row],[//]]-2))</f>
        <v>45057</v>
      </c>
      <c r="H15" s="31">
        <f ca="1">IF(PAJAK[[#This Row],[//]]="","",INDEX(INDIRECT("NOTA["&amp;PAJAK[#Headers]&amp;"]"),PAJAK[[#This Row],[//]]-2))</f>
        <v>45052</v>
      </c>
      <c r="I15" s="30" t="str">
        <f ca="1">IF(PAJAK[[#This Row],[//]]="","",INDEX(INDIRECT("NOTA["&amp;PAJAK[#Headers]&amp;"]"),PAJAK[[#This Row],[//]]-2))</f>
        <v>23050594</v>
      </c>
      <c r="J15" s="29" t="str">
        <f ca="1">IF(OR(PAJAK[[#This Row],[//]]="",INDEX(INDIRECT("NOTA["&amp;PAJAK[#Headers]&amp;"]"),PAJAK[[#This Row],[//]]-2)=""),"",INDEX(INDIRECT("NOTA["&amp;PAJAK[#Headers]&amp;"]"),PAJAK[[#This Row],[//]]-2))</f>
        <v>SA 41369</v>
      </c>
      <c r="K15" s="146">
        <f ca="1">IF(PAJAK[[#This Row],[//]]="","",SUMIF(NOTA[ID_H],PAJAK[[#This Row],[ID]],NOTA[JUMLAH]))</f>
        <v>46584000</v>
      </c>
      <c r="L15" s="146">
        <f ca="1">IF(PAJAK[[#This Row],[//]]="","",SUMIF(NOTA[ID_H],PAJAK[[#This Row],[ID]],NOTA[DISC]))</f>
        <v>9852516</v>
      </c>
      <c r="M15" s="146">
        <f ca="1">PAJAK[[#This Row],[SUB TOTAL]]-PAJAK[[#This Row],[DISKON]]</f>
        <v>36731484</v>
      </c>
      <c r="N15" s="146">
        <f ca="1">IF(PAJAK[[#This Row],[//]]="","",INDEX(INDIRECT("NOTA["&amp;PAJAK[#Headers]&amp;"]"),PAJAK[[#This Row],[//]]-2+PAJAK[[#This Row],[QB]]-1))</f>
        <v>0</v>
      </c>
      <c r="O15" s="146">
        <f ca="1">(PAJAK[[#This Row],[SUB T-DISC]]-PAJAK[[#This Row],[DISC DLL]])/111%</f>
        <v>33091427.027027026</v>
      </c>
      <c r="P15" s="146">
        <f ca="1">PAJAK[[#This Row],[DPP]]*PAJAK[[#This Row],[PPN]]</f>
        <v>3640056.9729729728</v>
      </c>
      <c r="Q15" s="146">
        <f ca="1">PAJAK[[#This Row],[DPP]]+PAJAK[[#This Row],[PPN 11%]]</f>
        <v>36731484</v>
      </c>
      <c r="R15" s="32" t="str">
        <f ca="1">IF(ISNUMBER(PAJAK[[#This Row],[//]]),PPN,"")</f>
        <v>11%</v>
      </c>
    </row>
    <row r="16" spans="1:18" x14ac:dyDescent="0.25">
      <c r="A16" s="3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262</v>
      </c>
      <c r="B16" s="127">
        <f ca="1">HYPERLINK("[NOTA_.XLSX]NOTA!c"&amp;PAJAK[[#This Row],[//]],IF(PAJAK[[#This Row],[//]]="","",INDEX(INDIRECT("NOTA["&amp;PAJAK[#Headers]&amp;"]"),PAJAK[[#This Row],[//]]-2)))</f>
        <v>47</v>
      </c>
      <c r="C16" s="33" t="str">
        <f ca="1">IF(PAJAK[[#This Row],[//]]="","",INDEX(INDIRECT("NOTA["&amp;PAJAK[#Headers]&amp;"]"),PAJAK[[#This Row],[//]]-2))</f>
        <v>KEN_1105_588-4</v>
      </c>
      <c r="D16" s="33">
        <f ca="1">MATCH(PAJAK[[#This Row],[ID]],[4]!Table1[ID],0)</f>
        <v>7</v>
      </c>
      <c r="E16" s="126">
        <f ca="1">IF(PAJAK[[#This Row],[ID]]="","",COUNTIF(NOTA[ID_H],PAJAK[[#This Row],[ID]]))</f>
        <v>4</v>
      </c>
      <c r="F16" s="29" t="str">
        <f ca="1">IF(PAJAK[[#This Row],[//]]="","",INDEX(CONV[2],MATCH(INDEX(INDIRECT("NOTA["&amp;PAJAK[#Headers]&amp;"]"),PAJAK[[#This Row],[//]]-2),CONV[1],0),0))</f>
        <v>PT KENKO SINAR INDONESIA</v>
      </c>
      <c r="G16" s="31">
        <f ca="1">IF(PAJAK[[#This Row],[//]]="","",INDEX(NOTA[TGL_H],PAJAK[[#This Row],[//]]-2))</f>
        <v>45057</v>
      </c>
      <c r="H16" s="31">
        <f ca="1">IF(PAJAK[[#This Row],[//]]="","",INDEX(INDIRECT("NOTA["&amp;PAJAK[#Headers]&amp;"]"),PAJAK[[#This Row],[//]]-2))</f>
        <v>45052</v>
      </c>
      <c r="I16" s="30" t="str">
        <f ca="1">IF(PAJAK[[#This Row],[//]]="","",INDEX(INDIRECT("NOTA["&amp;PAJAK[#Headers]&amp;"]"),PAJAK[[#This Row],[//]]-2))</f>
        <v>23050588</v>
      </c>
      <c r="J16" s="29" t="str">
        <f ca="1">IF(OR(PAJAK[[#This Row],[//]]="",INDEX(INDIRECT("NOTA["&amp;PAJAK[#Headers]&amp;"]"),PAJAK[[#This Row],[//]]-2)=""),"",INDEX(INDIRECT("NOTA["&amp;PAJAK[#Headers]&amp;"]"),PAJAK[[#This Row],[//]]-2))</f>
        <v>SA 41360</v>
      </c>
      <c r="K16" s="146">
        <f ca="1">IF(PAJAK[[#This Row],[//]]="","",SUMIF(NOTA[ID_H],PAJAK[[#This Row],[ID]],NOTA[JUMLAH]))</f>
        <v>27554400</v>
      </c>
      <c r="L16" s="146">
        <f ca="1">IF(PAJAK[[#This Row],[//]]="","",SUMIF(NOTA[ID_H],PAJAK[[#This Row],[ID]],NOTA[DISC]))</f>
        <v>4684248</v>
      </c>
      <c r="M16" s="146">
        <f ca="1">PAJAK[[#This Row],[SUB TOTAL]]-PAJAK[[#This Row],[DISKON]]</f>
        <v>22870152</v>
      </c>
      <c r="N16" s="146">
        <f ca="1">IF(PAJAK[[#This Row],[//]]="","",INDEX(INDIRECT("NOTA["&amp;PAJAK[#Headers]&amp;"]"),PAJAK[[#This Row],[//]]-2+PAJAK[[#This Row],[QB]]-1))</f>
        <v>0</v>
      </c>
      <c r="O16" s="146">
        <f ca="1">(PAJAK[[#This Row],[SUB T-DISC]]-PAJAK[[#This Row],[DISC DLL]])/111%</f>
        <v>20603740.540540539</v>
      </c>
      <c r="P16" s="146">
        <f ca="1">PAJAK[[#This Row],[DPP]]*PAJAK[[#This Row],[PPN]]</f>
        <v>2266411.4594594594</v>
      </c>
      <c r="Q16" s="146">
        <f ca="1">PAJAK[[#This Row],[DPP]]+PAJAK[[#This Row],[PPN 11%]]</f>
        <v>22870152</v>
      </c>
      <c r="R16" s="32" t="str">
        <f ca="1">IF(ISNUMBER(PAJAK[[#This Row],[//]]),PPN,"")</f>
        <v>11%</v>
      </c>
    </row>
    <row r="17" spans="1:18" x14ac:dyDescent="0.25">
      <c r="A17" s="2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307</v>
      </c>
      <c r="B17" s="29">
        <f ca="1">HYPERLINK("[NOTA_.XLSX]NOTA!c"&amp;PAJAK[[#This Row],[//]],IF(PAJAK[[#This Row],[//]]="","",INDEX(INDIRECT("NOTA["&amp;PAJAK[#Headers]&amp;"]"),PAJAK[[#This Row],[//]]-2)))</f>
        <v>57</v>
      </c>
      <c r="C17" s="29" t="str">
        <f ca="1">IF(PAJAK[[#This Row],[//]]="","",INDEX(INDIRECT("NOTA["&amp;PAJAK[#Headers]&amp;"]"),PAJAK[[#This Row],[//]]-2))</f>
        <v>ATA_1305_076-9</v>
      </c>
      <c r="D17" s="29">
        <f ca="1">MATCH(PAJAK[[#This Row],[ID]],[4]!Table1[ID],0)</f>
        <v>40</v>
      </c>
      <c r="E17" s="30">
        <f ca="1">IF(PAJAK[[#This Row],[ID]]="","",COUNTIF(NOTA[ID_H],PAJAK[[#This Row],[ID]]))</f>
        <v>9</v>
      </c>
      <c r="F17" s="29" t="str">
        <f ca="1">IF(PAJAK[[#This Row],[//]]="","",INDEX(CONV[2],MATCH(INDEX(INDIRECT("NOTA["&amp;PAJAK[#Headers]&amp;"]"),PAJAK[[#This Row],[//]]-2),CONV[1],0),0))</f>
        <v>PT ATALI MAKMUR</v>
      </c>
      <c r="G17" s="31">
        <f ca="1">IF(PAJAK[[#This Row],[//]]="","",INDEX(NOTA[TGL_H],PAJAK[[#This Row],[//]]-2))</f>
        <v>45059</v>
      </c>
      <c r="H17" s="31">
        <f ca="1">IF(PAJAK[[#This Row],[//]]="","",INDEX(INDIRECT("NOTA["&amp;PAJAK[#Headers]&amp;"]"),PAJAK[[#This Row],[//]]-2))</f>
        <v>45054</v>
      </c>
      <c r="I17" s="30" t="str">
        <f ca="1">IF(PAJAK[[#This Row],[//]]="","",INDEX(INDIRECT("NOTA["&amp;PAJAK[#Headers]&amp;"]"),PAJAK[[#This Row],[//]]-2))</f>
        <v>SA230507076</v>
      </c>
      <c r="J17" s="29" t="str">
        <f ca="1">IF(OR(PAJAK[[#This Row],[//]]="",INDEX(INDIRECT("NOTA["&amp;PAJAK[#Headers]&amp;"]"),PAJAK[[#This Row],[//]]-2)=""),"",INDEX(INDIRECT("NOTA["&amp;PAJAK[#Headers]&amp;"]"),PAJAK[[#This Row],[//]]-2))</f>
        <v/>
      </c>
      <c r="K17" s="146">
        <f ca="1">IF(PAJAK[[#This Row],[//]]="","",SUMIF(NOTA[ID_H],PAJAK[[#This Row],[ID]],NOTA[JUMLAH]))</f>
        <v>94025200</v>
      </c>
      <c r="L17" s="146">
        <f ca="1">IF(PAJAK[[#This Row],[//]]="","",SUMIF(NOTA[ID_H],PAJAK[[#This Row],[ID]],NOTA[DISC]))</f>
        <v>15866752.5</v>
      </c>
      <c r="M17" s="146">
        <f ca="1">PAJAK[[#This Row],[SUB TOTAL]]-PAJAK[[#This Row],[DISKON]]</f>
        <v>78158447.5</v>
      </c>
      <c r="N17" s="146">
        <f ca="1">IF(PAJAK[[#This Row],[//]]="","",INDEX(INDIRECT("NOTA["&amp;PAJAK[#Headers]&amp;"]"),PAJAK[[#This Row],[//]]-2+PAJAK[[#This Row],[QB]]-1))</f>
        <v>0</v>
      </c>
      <c r="O17" s="146">
        <f ca="1">(PAJAK[[#This Row],[SUB T-DISC]]-PAJAK[[#This Row],[DISC DLL]])/111%</f>
        <v>70413015.765765756</v>
      </c>
      <c r="P17" s="146">
        <f ca="1">PAJAK[[#This Row],[DPP]]*PAJAK[[#This Row],[PPN]]</f>
        <v>7745431.7342342334</v>
      </c>
      <c r="Q17" s="146">
        <f ca="1">PAJAK[[#This Row],[DPP]]+PAJAK[[#This Row],[PPN 11%]]</f>
        <v>78158447.499999985</v>
      </c>
      <c r="R17" s="32" t="str">
        <f ca="1">IF(ISNUMBER(PAJAK[[#This Row],[//]]),PPN,"")</f>
        <v>11%</v>
      </c>
    </row>
    <row r="18" spans="1:18" x14ac:dyDescent="0.25">
      <c r="A18" s="3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317</v>
      </c>
      <c r="B18" s="127">
        <f ca="1">HYPERLINK("[NOTA_.XLSX]NOTA!c"&amp;PAJAK[[#This Row],[//]],IF(PAJAK[[#This Row],[//]]="","",INDEX(INDIRECT("NOTA["&amp;PAJAK[#Headers]&amp;"]"),PAJAK[[#This Row],[//]]-2)))</f>
        <v>58</v>
      </c>
      <c r="C18" s="33" t="str">
        <f ca="1">IF(PAJAK[[#This Row],[//]]="","",INDEX(INDIRECT("NOTA["&amp;PAJAK[#Headers]&amp;"]"),PAJAK[[#This Row],[//]]-2))</f>
        <v>ATA_1305_201-2</v>
      </c>
      <c r="D18" s="33">
        <f ca="1">MATCH(PAJAK[[#This Row],[ID]],[4]!Table1[ID],0)</f>
        <v>42</v>
      </c>
      <c r="E18" s="126">
        <f ca="1">IF(PAJAK[[#This Row],[ID]]="","",COUNTIF(NOTA[ID_H],PAJAK[[#This Row],[ID]]))</f>
        <v>2</v>
      </c>
      <c r="F18" s="29" t="str">
        <f ca="1">IF(PAJAK[[#This Row],[//]]="","",INDEX(CONV[2],MATCH(INDEX(INDIRECT("NOTA["&amp;PAJAK[#Headers]&amp;"]"),PAJAK[[#This Row],[//]]-2),CONV[1],0),0))</f>
        <v>PT ATALI MAKMUR</v>
      </c>
      <c r="G18" s="31">
        <f ca="1">IF(PAJAK[[#This Row],[//]]="","",INDEX(NOTA[TGL_H],PAJAK[[#This Row],[//]]-2))</f>
        <v>45059</v>
      </c>
      <c r="H18" s="31">
        <f ca="1">IF(PAJAK[[#This Row],[//]]="","",INDEX(INDIRECT("NOTA["&amp;PAJAK[#Headers]&amp;"]"),PAJAK[[#This Row],[//]]-2))</f>
        <v>45055</v>
      </c>
      <c r="I18" s="30" t="str">
        <f ca="1">IF(PAJAK[[#This Row],[//]]="","",INDEX(INDIRECT("NOTA["&amp;PAJAK[#Headers]&amp;"]"),PAJAK[[#This Row],[//]]-2))</f>
        <v>SA230507201</v>
      </c>
      <c r="J18" s="29" t="str">
        <f ca="1">IF(OR(PAJAK[[#This Row],[//]]="",INDEX(INDIRECT("NOTA["&amp;PAJAK[#Headers]&amp;"]"),PAJAK[[#This Row],[//]]-2)=""),"",INDEX(INDIRECT("NOTA["&amp;PAJAK[#Headers]&amp;"]"),PAJAK[[#This Row],[//]]-2))</f>
        <v/>
      </c>
      <c r="K18" s="146">
        <f ca="1">IF(PAJAK[[#This Row],[//]]="","",SUMIF(NOTA[ID_H],PAJAK[[#This Row],[ID]],NOTA[JUMLAH]))</f>
        <v>17850000</v>
      </c>
      <c r="L18" s="146">
        <f ca="1">IF(PAJAK[[#This Row],[//]]="","",SUMIF(NOTA[ID_H],PAJAK[[#This Row],[ID]],NOTA[DISC]))</f>
        <v>3793125</v>
      </c>
      <c r="M18" s="146">
        <f ca="1">PAJAK[[#This Row],[SUB TOTAL]]-PAJAK[[#This Row],[DISKON]]</f>
        <v>14056875</v>
      </c>
      <c r="N18" s="146">
        <f ca="1">IF(PAJAK[[#This Row],[//]]="","",INDEX(INDIRECT("NOTA["&amp;PAJAK[#Headers]&amp;"]"),PAJAK[[#This Row],[//]]-2+PAJAK[[#This Row],[QB]]-1))</f>
        <v>0</v>
      </c>
      <c r="O18" s="146">
        <f ca="1">(PAJAK[[#This Row],[SUB T-DISC]]-PAJAK[[#This Row],[DISC DLL]])/111%</f>
        <v>12663851.351351351</v>
      </c>
      <c r="P18" s="146">
        <f ca="1">PAJAK[[#This Row],[DPP]]*PAJAK[[#This Row],[PPN]]</f>
        <v>1393023.6486486485</v>
      </c>
      <c r="Q18" s="146">
        <f ca="1">PAJAK[[#This Row],[DPP]]+PAJAK[[#This Row],[PPN 11%]]</f>
        <v>14056875</v>
      </c>
      <c r="R18" s="32" t="str">
        <f ca="1">IF(ISNUMBER(PAJAK[[#This Row],[//]]),PPN,"")</f>
        <v>11%</v>
      </c>
    </row>
    <row r="19" spans="1:18" x14ac:dyDescent="0.25">
      <c r="A19" s="3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320</v>
      </c>
      <c r="B19" s="127">
        <f ca="1">HYPERLINK("[NOTA_.XLSX]NOTA!c"&amp;PAJAK[[#This Row],[//]],IF(PAJAK[[#This Row],[//]]="","",INDEX(INDIRECT("NOTA["&amp;PAJAK[#Headers]&amp;"]"),PAJAK[[#This Row],[//]]-2)))</f>
        <v>59</v>
      </c>
      <c r="C19" s="33" t="str">
        <f ca="1">IF(PAJAK[[#This Row],[//]]="","",INDEX(INDIRECT("NOTA["&amp;PAJAK[#Headers]&amp;"]"),PAJAK[[#This Row],[//]]-2))</f>
        <v>ATA_1305_105-2</v>
      </c>
      <c r="D19" s="33">
        <f ca="1">MATCH(PAJAK[[#This Row],[ID]],[4]!Table1[ID],0)</f>
        <v>41</v>
      </c>
      <c r="E19" s="126">
        <f ca="1">IF(PAJAK[[#This Row],[ID]]="","",COUNTIF(NOTA[ID_H],PAJAK[[#This Row],[ID]]))</f>
        <v>2</v>
      </c>
      <c r="F19" s="29" t="str">
        <f ca="1">IF(PAJAK[[#This Row],[//]]="","",INDEX(CONV[2],MATCH(INDEX(INDIRECT("NOTA["&amp;PAJAK[#Headers]&amp;"]"),PAJAK[[#This Row],[//]]-2),CONV[1],0),0))</f>
        <v>PT ATALI MAKMUR</v>
      </c>
      <c r="G19" s="31">
        <f ca="1">IF(PAJAK[[#This Row],[//]]="","",INDEX(NOTA[TGL_H],PAJAK[[#This Row],[//]]-2))</f>
        <v>45059</v>
      </c>
      <c r="H19" s="31">
        <f ca="1">IF(PAJAK[[#This Row],[//]]="","",INDEX(INDIRECT("NOTA["&amp;PAJAK[#Headers]&amp;"]"),PAJAK[[#This Row],[//]]-2))</f>
        <v>45054</v>
      </c>
      <c r="I19" s="30" t="str">
        <f ca="1">IF(PAJAK[[#This Row],[//]]="","",INDEX(INDIRECT("NOTA["&amp;PAJAK[#Headers]&amp;"]"),PAJAK[[#This Row],[//]]-2))</f>
        <v>SA230507105</v>
      </c>
      <c r="J19" s="29" t="str">
        <f ca="1">IF(OR(PAJAK[[#This Row],[//]]="",INDEX(INDIRECT("NOTA["&amp;PAJAK[#Headers]&amp;"]"),PAJAK[[#This Row],[//]]-2)=""),"",INDEX(INDIRECT("NOTA["&amp;PAJAK[#Headers]&amp;"]"),PAJAK[[#This Row],[//]]-2))</f>
        <v/>
      </c>
      <c r="K19" s="146">
        <f ca="1">IF(PAJAK[[#This Row],[//]]="","",SUMIF(NOTA[ID_H],PAJAK[[#This Row],[ID]],NOTA[JUMLAH]))</f>
        <v>24912000</v>
      </c>
      <c r="L19" s="146">
        <f ca="1">IF(PAJAK[[#This Row],[//]]="","",SUMIF(NOTA[ID_H],PAJAK[[#This Row],[ID]],NOTA[DISC]))</f>
        <v>4203900</v>
      </c>
      <c r="M19" s="146">
        <f ca="1">PAJAK[[#This Row],[SUB TOTAL]]-PAJAK[[#This Row],[DISKON]]</f>
        <v>20708100</v>
      </c>
      <c r="N19" s="146">
        <f ca="1">IF(PAJAK[[#This Row],[//]]="","",INDEX(INDIRECT("NOTA["&amp;PAJAK[#Headers]&amp;"]"),PAJAK[[#This Row],[//]]-2+PAJAK[[#This Row],[QB]]-1))</f>
        <v>0</v>
      </c>
      <c r="O19" s="146">
        <f ca="1">(PAJAK[[#This Row],[SUB T-DISC]]-PAJAK[[#This Row],[DISC DLL]])/111%</f>
        <v>18655945.945945945</v>
      </c>
      <c r="P19" s="146">
        <f ca="1">PAJAK[[#This Row],[DPP]]*PAJAK[[#This Row],[PPN]]</f>
        <v>2052154.054054054</v>
      </c>
      <c r="Q19" s="146">
        <f ca="1">PAJAK[[#This Row],[DPP]]+PAJAK[[#This Row],[PPN 11%]]</f>
        <v>20708100</v>
      </c>
      <c r="R19" s="32" t="str">
        <f ca="1">IF(ISNUMBER(PAJAK[[#This Row],[//]]),PPN,"")</f>
        <v>11%</v>
      </c>
    </row>
    <row r="20" spans="1:18" x14ac:dyDescent="0.25">
      <c r="A20" s="2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382</v>
      </c>
      <c r="B20" s="29">
        <f ca="1">HYPERLINK("[NOTA_.XLSX]NOTA!c"&amp;PAJAK[[#This Row],[//]],IF(PAJAK[[#This Row],[//]]="","",INDEX(INDIRECT("NOTA["&amp;PAJAK[#Headers]&amp;"]"),PAJAK[[#This Row],[//]]-2)))</f>
        <v>74</v>
      </c>
      <c r="C20" s="29" t="str">
        <f ca="1">IF(PAJAK[[#This Row],[//]]="","",INDEX(INDIRECT("NOTA["&amp;PAJAK[#Headers]&amp;"]"),PAJAK[[#This Row],[//]]-2))</f>
        <v>ATA_1505_405-7</v>
      </c>
      <c r="D20" s="29">
        <f ca="1">MATCH(PAJAK[[#This Row],[ID]],[4]!Table1[ID],0)</f>
        <v>44</v>
      </c>
      <c r="E20" s="30">
        <f ca="1">IF(PAJAK[[#This Row],[ID]]="","",COUNTIF(NOTA[ID_H],PAJAK[[#This Row],[ID]]))</f>
        <v>7</v>
      </c>
      <c r="F20" s="29" t="str">
        <f ca="1">IF(PAJAK[[#This Row],[//]]="","",INDEX(CONV[2],MATCH(INDEX(INDIRECT("NOTA["&amp;PAJAK[#Headers]&amp;"]"),PAJAK[[#This Row],[//]]-2),CONV[1],0),0))</f>
        <v>PT ATALI MAKMUR</v>
      </c>
      <c r="G20" s="31">
        <f ca="1">IF(PAJAK[[#This Row],[//]]="","",INDEX(NOTA[TGL_H],PAJAK[[#This Row],[//]]-2))</f>
        <v>45061</v>
      </c>
      <c r="H20" s="31">
        <f ca="1">IF(PAJAK[[#This Row],[//]]="","",INDEX(INDIRECT("NOTA["&amp;PAJAK[#Headers]&amp;"]"),PAJAK[[#This Row],[//]]-2))</f>
        <v>45057</v>
      </c>
      <c r="I20" s="30" t="str">
        <f ca="1">IF(PAJAK[[#This Row],[//]]="","",INDEX(INDIRECT("NOTA["&amp;PAJAK[#Headers]&amp;"]"),PAJAK[[#This Row],[//]]-2))</f>
        <v>SA230507405</v>
      </c>
      <c r="J20" s="29" t="str">
        <f ca="1">IF(OR(PAJAK[[#This Row],[//]]="",INDEX(INDIRECT("NOTA["&amp;PAJAK[#Headers]&amp;"]"),PAJAK[[#This Row],[//]]-2)=""),"",INDEX(INDIRECT("NOTA["&amp;PAJAK[#Headers]&amp;"]"),PAJAK[[#This Row],[//]]-2))</f>
        <v/>
      </c>
      <c r="K20" s="146">
        <f ca="1">IF(PAJAK[[#This Row],[//]]="","",SUMIF(NOTA[ID_H],PAJAK[[#This Row],[ID]],NOTA[JUMLAH]))</f>
        <v>10443600</v>
      </c>
      <c r="L20" s="146">
        <f ca="1">IF(PAJAK[[#This Row],[//]]="","",SUMIF(NOTA[ID_H],PAJAK[[#This Row],[ID]],NOTA[DISC]))</f>
        <v>1762357.5</v>
      </c>
      <c r="M20" s="146">
        <f ca="1">PAJAK[[#This Row],[SUB TOTAL]]-PAJAK[[#This Row],[DISKON]]</f>
        <v>8681242.5</v>
      </c>
      <c r="N20" s="146">
        <f ca="1">IF(PAJAK[[#This Row],[//]]="","",INDEX(INDIRECT("NOTA["&amp;PAJAK[#Headers]&amp;"]"),PAJAK[[#This Row],[//]]-2+PAJAK[[#This Row],[QB]]-1))</f>
        <v>0</v>
      </c>
      <c r="O20" s="146">
        <f ca="1">(PAJAK[[#This Row],[SUB T-DISC]]-PAJAK[[#This Row],[DISC DLL]])/111%</f>
        <v>7820939.1891891882</v>
      </c>
      <c r="P20" s="146">
        <f ca="1">PAJAK[[#This Row],[DPP]]*PAJAK[[#This Row],[PPN]]</f>
        <v>860303.31081081065</v>
      </c>
      <c r="Q20" s="146">
        <f ca="1">PAJAK[[#This Row],[DPP]]+PAJAK[[#This Row],[PPN 11%]]</f>
        <v>8681242.4999999981</v>
      </c>
      <c r="R20" s="32" t="str">
        <f ca="1">IF(ISNUMBER(PAJAK[[#This Row],[//]]),PPN,"")</f>
        <v>11%</v>
      </c>
    </row>
    <row r="21" spans="1:18" x14ac:dyDescent="0.25">
      <c r="A21" s="3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390</v>
      </c>
      <c r="B21" s="127">
        <f ca="1">HYPERLINK("[NOTA_.XLSX]NOTA!c"&amp;PAJAK[[#This Row],[//]],IF(PAJAK[[#This Row],[//]]="","",INDEX(INDIRECT("NOTA["&amp;PAJAK[#Headers]&amp;"]"),PAJAK[[#This Row],[//]]-2)))</f>
        <v>75</v>
      </c>
      <c r="C21" s="33" t="str">
        <f ca="1">IF(PAJAK[[#This Row],[//]]="","",INDEX(INDIRECT("NOTA["&amp;PAJAK[#Headers]&amp;"]"),PAJAK[[#This Row],[//]]-2))</f>
        <v>ATA_1505_301-3</v>
      </c>
      <c r="D21" s="33">
        <f ca="1">MATCH(PAJAK[[#This Row],[ID]],[4]!Table1[ID],0)</f>
        <v>43</v>
      </c>
      <c r="E21" s="126">
        <f ca="1">IF(PAJAK[[#This Row],[ID]]="","",COUNTIF(NOTA[ID_H],PAJAK[[#This Row],[ID]]))</f>
        <v>3</v>
      </c>
      <c r="F21" s="29" t="str">
        <f ca="1">IF(PAJAK[[#This Row],[//]]="","",INDEX(CONV[2],MATCH(INDEX(INDIRECT("NOTA["&amp;PAJAK[#Headers]&amp;"]"),PAJAK[[#This Row],[//]]-2),CONV[1],0),0))</f>
        <v>PT ATALI MAKMUR</v>
      </c>
      <c r="G21" s="31">
        <f ca="1">IF(PAJAK[[#This Row],[//]]="","",INDEX(NOTA[TGL_H],PAJAK[[#This Row],[//]]-2))</f>
        <v>45061</v>
      </c>
      <c r="H21" s="31">
        <f ca="1">IF(PAJAK[[#This Row],[//]]="","",INDEX(INDIRECT("NOTA["&amp;PAJAK[#Headers]&amp;"]"),PAJAK[[#This Row],[//]]-2))</f>
        <v>45056</v>
      </c>
      <c r="I21" s="30" t="str">
        <f ca="1">IF(PAJAK[[#This Row],[//]]="","",INDEX(INDIRECT("NOTA["&amp;PAJAK[#Headers]&amp;"]"),PAJAK[[#This Row],[//]]-2))</f>
        <v>SA230507301</v>
      </c>
      <c r="J21" s="29" t="str">
        <f ca="1">IF(OR(PAJAK[[#This Row],[//]]="",INDEX(INDIRECT("NOTA["&amp;PAJAK[#Headers]&amp;"]"),PAJAK[[#This Row],[//]]-2)=""),"",INDEX(INDIRECT("NOTA["&amp;PAJAK[#Headers]&amp;"]"),PAJAK[[#This Row],[//]]-2))</f>
        <v/>
      </c>
      <c r="K21" s="146">
        <f ca="1">IF(PAJAK[[#This Row],[//]]="","",SUMIF(NOTA[ID_H],PAJAK[[#This Row],[ID]],NOTA[JUMLAH]))</f>
        <v>6637200</v>
      </c>
      <c r="L21" s="146">
        <f ca="1">IF(PAJAK[[#This Row],[//]]="","",SUMIF(NOTA[ID_H],PAJAK[[#This Row],[ID]],NOTA[DISC]))</f>
        <v>1120027.5</v>
      </c>
      <c r="M21" s="146">
        <f ca="1">PAJAK[[#This Row],[SUB TOTAL]]-PAJAK[[#This Row],[DISKON]]</f>
        <v>5517172.5</v>
      </c>
      <c r="N21" s="146">
        <f ca="1">IF(PAJAK[[#This Row],[//]]="","",INDEX(INDIRECT("NOTA["&amp;PAJAK[#Headers]&amp;"]"),PAJAK[[#This Row],[//]]-2+PAJAK[[#This Row],[QB]]-1))</f>
        <v>0</v>
      </c>
      <c r="O21" s="146">
        <f ca="1">(PAJAK[[#This Row],[SUB T-DISC]]-PAJAK[[#This Row],[DISC DLL]])/111%</f>
        <v>4970425.6756756753</v>
      </c>
      <c r="P21" s="146">
        <f ca="1">PAJAK[[#This Row],[DPP]]*PAJAK[[#This Row],[PPN]]</f>
        <v>546746.82432432426</v>
      </c>
      <c r="Q21" s="146">
        <f ca="1">PAJAK[[#This Row],[DPP]]+PAJAK[[#This Row],[PPN 11%]]</f>
        <v>5517172.5</v>
      </c>
      <c r="R21" s="32" t="str">
        <f ca="1">IF(ISNUMBER(PAJAK[[#This Row],[//]]),PPN,"")</f>
        <v>11%</v>
      </c>
    </row>
    <row r="22" spans="1:18" x14ac:dyDescent="0.25">
      <c r="A22" s="3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394</v>
      </c>
      <c r="B22" s="127">
        <f ca="1">HYPERLINK("[NOTA_.XLSX]NOTA!c"&amp;PAJAK[[#This Row],[//]],IF(PAJAK[[#This Row],[//]]="","",INDEX(INDIRECT("NOTA["&amp;PAJAK[#Headers]&amp;"]"),PAJAK[[#This Row],[//]]-2)))</f>
        <v>76</v>
      </c>
      <c r="C22" s="33" t="str">
        <f ca="1">IF(PAJAK[[#This Row],[//]]="","",INDEX(INDIRECT("NOTA["&amp;PAJAK[#Headers]&amp;"]"),PAJAK[[#This Row],[//]]-2))</f>
        <v>ATA_1505_451-11</v>
      </c>
      <c r="D22" s="33">
        <f ca="1">MATCH(PAJAK[[#This Row],[ID]],[4]!Table1[ID],0)</f>
        <v>45</v>
      </c>
      <c r="E22" s="126">
        <f ca="1">IF(PAJAK[[#This Row],[ID]]="","",COUNTIF(NOTA[ID_H],PAJAK[[#This Row],[ID]]))</f>
        <v>11</v>
      </c>
      <c r="F22" s="29" t="str">
        <f ca="1">IF(PAJAK[[#This Row],[//]]="","",INDEX(CONV[2],MATCH(INDEX(INDIRECT("NOTA["&amp;PAJAK[#Headers]&amp;"]"),PAJAK[[#This Row],[//]]-2),CONV[1],0),0))</f>
        <v>PT ATALI MAKMUR</v>
      </c>
      <c r="G22" s="31">
        <f ca="1">IF(PAJAK[[#This Row],[//]]="","",INDEX(NOTA[TGL_H],PAJAK[[#This Row],[//]]-2))</f>
        <v>45061</v>
      </c>
      <c r="H22" s="31">
        <f ca="1">IF(PAJAK[[#This Row],[//]]="","",INDEX(INDIRECT("NOTA["&amp;PAJAK[#Headers]&amp;"]"),PAJAK[[#This Row],[//]]-2))</f>
        <v>45057</v>
      </c>
      <c r="I22" s="30" t="str">
        <f ca="1">IF(PAJAK[[#This Row],[//]]="","",INDEX(INDIRECT("NOTA["&amp;PAJAK[#Headers]&amp;"]"),PAJAK[[#This Row],[//]]-2))</f>
        <v>SA230507451</v>
      </c>
      <c r="J22" s="29" t="str">
        <f ca="1">IF(OR(PAJAK[[#This Row],[//]]="",INDEX(INDIRECT("NOTA["&amp;PAJAK[#Headers]&amp;"]"),PAJAK[[#This Row],[//]]-2)=""),"",INDEX(INDIRECT("NOTA["&amp;PAJAK[#Headers]&amp;"]"),PAJAK[[#This Row],[//]]-2))</f>
        <v/>
      </c>
      <c r="K22" s="146">
        <f ca="1">IF(PAJAK[[#This Row],[//]]="","",SUMIF(NOTA[ID_H],PAJAK[[#This Row],[ID]],NOTA[JUMLAH]))</f>
        <v>27459000</v>
      </c>
      <c r="L22" s="146">
        <f ca="1">IF(PAJAK[[#This Row],[//]]="","",SUMIF(NOTA[ID_H],PAJAK[[#This Row],[ID]],NOTA[DISC]))</f>
        <v>4633706.25</v>
      </c>
      <c r="M22" s="146">
        <f ca="1">PAJAK[[#This Row],[SUB TOTAL]]-PAJAK[[#This Row],[DISKON]]</f>
        <v>22825293.75</v>
      </c>
      <c r="N22" s="146">
        <f ca="1">IF(PAJAK[[#This Row],[//]]="","",INDEX(INDIRECT("NOTA["&amp;PAJAK[#Headers]&amp;"]"),PAJAK[[#This Row],[//]]-2+PAJAK[[#This Row],[QB]]-1))</f>
        <v>0</v>
      </c>
      <c r="O22" s="146">
        <f ca="1">(PAJAK[[#This Row],[SUB T-DISC]]-PAJAK[[#This Row],[DISC DLL]])/111%</f>
        <v>20563327.702702701</v>
      </c>
      <c r="P22" s="146">
        <f ca="1">PAJAK[[#This Row],[DPP]]*PAJAK[[#This Row],[PPN]]</f>
        <v>2261966.047297297</v>
      </c>
      <c r="Q22" s="146">
        <f ca="1">PAJAK[[#This Row],[DPP]]+PAJAK[[#This Row],[PPN 11%]]</f>
        <v>22825293.75</v>
      </c>
      <c r="R22" s="32" t="str">
        <f ca="1">IF(ISNUMBER(PAJAK[[#This Row],[//]]),PPN,"")</f>
        <v>11%</v>
      </c>
    </row>
    <row r="23" spans="1:18" x14ac:dyDescent="0.25">
      <c r="A23" s="2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406</v>
      </c>
      <c r="B23" s="128">
        <f ca="1">HYPERLINK("[NOTA_.XLSX]NOTA!c"&amp;PAJAK[[#This Row],[//]],IF(PAJAK[[#This Row],[//]]="","",INDEX(INDIRECT("NOTA["&amp;PAJAK[#Headers]&amp;"]"),PAJAK[[#This Row],[//]]-2)))</f>
        <v>77</v>
      </c>
      <c r="C23" s="29" t="str">
        <f ca="1">IF(PAJAK[[#This Row],[//]]="","",INDEX(INDIRECT("NOTA["&amp;PAJAK[#Headers]&amp;"]"),PAJAK[[#This Row],[//]]-2))</f>
        <v>ATA_1505_475-8</v>
      </c>
      <c r="D23" s="29">
        <f ca="1">MATCH(PAJAK[[#This Row],[ID]],[4]!Table1[ID],0)</f>
        <v>46</v>
      </c>
      <c r="E23" s="30">
        <f ca="1">IF(PAJAK[[#This Row],[ID]]="","",COUNTIF(NOTA[ID_H],PAJAK[[#This Row],[ID]]))</f>
        <v>8</v>
      </c>
      <c r="F23" s="29" t="str">
        <f ca="1">IF(PAJAK[[#This Row],[//]]="","",INDEX(CONV[2],MATCH(INDEX(INDIRECT("NOTA["&amp;PAJAK[#Headers]&amp;"]"),PAJAK[[#This Row],[//]]-2),CONV[1],0),0))</f>
        <v>PT ATALI MAKMUR</v>
      </c>
      <c r="G23" s="31">
        <f ca="1">IF(PAJAK[[#This Row],[//]]="","",INDEX(NOTA[TGL_H],PAJAK[[#This Row],[//]]-2))</f>
        <v>45061</v>
      </c>
      <c r="H23" s="31">
        <f ca="1">IF(PAJAK[[#This Row],[//]]="","",INDEX(INDIRECT("NOTA["&amp;PAJAK[#Headers]&amp;"]"),PAJAK[[#This Row],[//]]-2))</f>
        <v>45057</v>
      </c>
      <c r="I23" s="30" t="str">
        <f ca="1">IF(PAJAK[[#This Row],[//]]="","",INDEX(INDIRECT("NOTA["&amp;PAJAK[#Headers]&amp;"]"),PAJAK[[#This Row],[//]]-2))</f>
        <v>SA230507475</v>
      </c>
      <c r="J23" s="29" t="str">
        <f ca="1">IF(OR(PAJAK[[#This Row],[//]]="",INDEX(INDIRECT("NOTA["&amp;PAJAK[#Headers]&amp;"]"),PAJAK[[#This Row],[//]]-2)=""),"",INDEX(INDIRECT("NOTA["&amp;PAJAK[#Headers]&amp;"]"),PAJAK[[#This Row],[//]]-2))</f>
        <v/>
      </c>
      <c r="K23" s="146">
        <f ca="1">IF(PAJAK[[#This Row],[//]]="","",SUMIF(NOTA[ID_H],PAJAK[[#This Row],[ID]],NOTA[JUMLAH]))</f>
        <v>11203200</v>
      </c>
      <c r="L23" s="146">
        <f ca="1">IF(PAJAK[[#This Row],[//]]="","",SUMIF(NOTA[ID_H],PAJAK[[#This Row],[ID]],NOTA[DISC]))</f>
        <v>1890540</v>
      </c>
      <c r="M23" s="146">
        <f ca="1">PAJAK[[#This Row],[SUB TOTAL]]-PAJAK[[#This Row],[DISKON]]</f>
        <v>9312660</v>
      </c>
      <c r="N23" s="146">
        <f ca="1">IF(PAJAK[[#This Row],[//]]="","",INDEX(INDIRECT("NOTA["&amp;PAJAK[#Headers]&amp;"]"),PAJAK[[#This Row],[//]]-2+PAJAK[[#This Row],[QB]]-1))</f>
        <v>0</v>
      </c>
      <c r="O23" s="146">
        <f ca="1">(PAJAK[[#This Row],[SUB T-DISC]]-PAJAK[[#This Row],[DISC DLL]])/111%</f>
        <v>8389783.7837837823</v>
      </c>
      <c r="P23" s="146">
        <f ca="1">PAJAK[[#This Row],[DPP]]*PAJAK[[#This Row],[PPN]]</f>
        <v>922876.2162162161</v>
      </c>
      <c r="Q23" s="146">
        <f ca="1">PAJAK[[#This Row],[DPP]]+PAJAK[[#This Row],[PPN 11%]]</f>
        <v>9312659.9999999981</v>
      </c>
      <c r="R23" s="32" t="str">
        <f ca="1">IF(ISNUMBER(PAJAK[[#This Row],[//]]),PPN,"")</f>
        <v>11%</v>
      </c>
    </row>
    <row r="24" spans="1:18" x14ac:dyDescent="0.25">
      <c r="A24" s="33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420</v>
      </c>
      <c r="B24" s="127">
        <f ca="1">HYPERLINK("[NOTA_.XLSX]NOTA!c"&amp;PAJAK[[#This Row],[//]],IF(PAJAK[[#This Row],[//]]="","",INDEX(INDIRECT("NOTA["&amp;PAJAK[#Headers]&amp;"]"),PAJAK[[#This Row],[//]]-2)))</f>
        <v>80</v>
      </c>
      <c r="C24" s="33" t="str">
        <f ca="1">IF(PAJAK[[#This Row],[//]]="","",INDEX(INDIRECT("NOTA["&amp;PAJAK[#Headers]&amp;"]"),PAJAK[[#This Row],[//]]-2))</f>
        <v>ATA_1905_504-10</v>
      </c>
      <c r="D24" s="33">
        <f ca="1">MATCH(PAJAK[[#This Row],[ID]],[4]!Table1[ID],0)</f>
        <v>47</v>
      </c>
      <c r="E24" s="126">
        <f ca="1">IF(PAJAK[[#This Row],[ID]]="","",COUNTIF(NOTA[ID_H],PAJAK[[#This Row],[ID]]))</f>
        <v>10</v>
      </c>
      <c r="F24" s="29" t="str">
        <f ca="1">IF(PAJAK[[#This Row],[//]]="","",INDEX(CONV[2],MATCH(INDEX(INDIRECT("NOTA["&amp;PAJAK[#Headers]&amp;"]"),PAJAK[[#This Row],[//]]-2),CONV[1],0),0))</f>
        <v>PT ATALI MAKMUR</v>
      </c>
      <c r="G24" s="31">
        <f ca="1">IF(PAJAK[[#This Row],[//]]="","",INDEX(NOTA[TGL_H],PAJAK[[#This Row],[//]]-2))</f>
        <v>45065</v>
      </c>
      <c r="H24" s="31">
        <f ca="1">IF(PAJAK[[#This Row],[//]]="","",INDEX(INDIRECT("NOTA["&amp;PAJAK[#Headers]&amp;"]"),PAJAK[[#This Row],[//]]-2))</f>
        <v>45058</v>
      </c>
      <c r="I24" s="30" t="str">
        <f ca="1">IF(PAJAK[[#This Row],[//]]="","",INDEX(INDIRECT("NOTA["&amp;PAJAK[#Headers]&amp;"]"),PAJAK[[#This Row],[//]]-2))</f>
        <v>SA230507504</v>
      </c>
      <c r="J24" s="29" t="str">
        <f ca="1">IF(OR(PAJAK[[#This Row],[//]]="",INDEX(INDIRECT("NOTA["&amp;PAJAK[#Headers]&amp;"]"),PAJAK[[#This Row],[//]]-2)=""),"",INDEX(INDIRECT("NOTA["&amp;PAJAK[#Headers]&amp;"]"),PAJAK[[#This Row],[//]]-2))</f>
        <v/>
      </c>
      <c r="K24" s="146">
        <f ca="1">IF(PAJAK[[#This Row],[//]]="","",SUMIF(NOTA[ID_H],PAJAK[[#This Row],[ID]],NOTA[JUMLAH]))</f>
        <v>24896600</v>
      </c>
      <c r="L24" s="146">
        <f ca="1">IF(PAJAK[[#This Row],[//]]="","",SUMIF(NOTA[ID_H],PAJAK[[#This Row],[ID]],NOTA[DISC]))</f>
        <v>4201301.25</v>
      </c>
      <c r="M24" s="146">
        <f ca="1">PAJAK[[#This Row],[SUB TOTAL]]-PAJAK[[#This Row],[DISKON]]</f>
        <v>20695298.75</v>
      </c>
      <c r="N24" s="146">
        <f ca="1">IF(PAJAK[[#This Row],[//]]="","",INDEX(INDIRECT("NOTA["&amp;PAJAK[#Headers]&amp;"]"),PAJAK[[#This Row],[//]]-2+PAJAK[[#This Row],[QB]]-1))</f>
        <v>0</v>
      </c>
      <c r="O24" s="146">
        <f ca="1">(PAJAK[[#This Row],[SUB T-DISC]]-PAJAK[[#This Row],[DISC DLL]])/111%</f>
        <v>18644413.288288288</v>
      </c>
      <c r="P24" s="146">
        <f ca="1">PAJAK[[#This Row],[DPP]]*PAJAK[[#This Row],[PPN]]</f>
        <v>2050885.4617117117</v>
      </c>
      <c r="Q24" s="146">
        <f ca="1">PAJAK[[#This Row],[DPP]]+PAJAK[[#This Row],[PPN 11%]]</f>
        <v>20695298.75</v>
      </c>
      <c r="R24" s="32" t="str">
        <f ca="1">IF(ISNUMBER(PAJAK[[#This Row],[//]]),PPN,"")</f>
        <v>11%</v>
      </c>
    </row>
    <row r="25" spans="1:18" x14ac:dyDescent="0.25">
      <c r="A25" s="33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431</v>
      </c>
      <c r="B25" s="127">
        <f ca="1">HYPERLINK("[NOTA_.XLSX]NOTA!c"&amp;PAJAK[[#This Row],[//]],IF(PAJAK[[#This Row],[//]]="","",INDEX(INDIRECT("NOTA["&amp;PAJAK[#Headers]&amp;"]"),PAJAK[[#This Row],[//]]-2)))</f>
        <v>81</v>
      </c>
      <c r="C25" s="33" t="str">
        <f ca="1">IF(PAJAK[[#This Row],[//]]="","",INDEX(INDIRECT("NOTA["&amp;PAJAK[#Headers]&amp;"]"),PAJAK[[#This Row],[//]]-2))</f>
        <v>ATA_1905_505-7</v>
      </c>
      <c r="D25" s="33">
        <f ca="1">MATCH(PAJAK[[#This Row],[ID]],[4]!Table1[ID],0)</f>
        <v>48</v>
      </c>
      <c r="E25" s="126">
        <f ca="1">IF(PAJAK[[#This Row],[ID]]="","",COUNTIF(NOTA[ID_H],PAJAK[[#This Row],[ID]]))</f>
        <v>7</v>
      </c>
      <c r="F25" s="29" t="str">
        <f ca="1">IF(PAJAK[[#This Row],[//]]="","",INDEX(CONV[2],MATCH(INDEX(INDIRECT("NOTA["&amp;PAJAK[#Headers]&amp;"]"),PAJAK[[#This Row],[//]]-2),CONV[1],0),0))</f>
        <v>PT ATALI MAKMUR</v>
      </c>
      <c r="G25" s="31">
        <f ca="1">IF(PAJAK[[#This Row],[//]]="","",INDEX(NOTA[TGL_H],PAJAK[[#This Row],[//]]-2))</f>
        <v>45065</v>
      </c>
      <c r="H25" s="31">
        <f ca="1">IF(PAJAK[[#This Row],[//]]="","",INDEX(INDIRECT("NOTA["&amp;PAJAK[#Headers]&amp;"]"),PAJAK[[#This Row],[//]]-2))</f>
        <v>45058</v>
      </c>
      <c r="I25" s="30" t="str">
        <f ca="1">IF(PAJAK[[#This Row],[//]]="","",INDEX(INDIRECT("NOTA["&amp;PAJAK[#Headers]&amp;"]"),PAJAK[[#This Row],[//]]-2))</f>
        <v>SA230507505</v>
      </c>
      <c r="J25" s="29" t="str">
        <f ca="1">IF(OR(PAJAK[[#This Row],[//]]="",INDEX(INDIRECT("NOTA["&amp;PAJAK[#Headers]&amp;"]"),PAJAK[[#This Row],[//]]-2)=""),"",INDEX(INDIRECT("NOTA["&amp;PAJAK[#Headers]&amp;"]"),PAJAK[[#This Row],[//]]-2))</f>
        <v/>
      </c>
      <c r="K25" s="146">
        <f ca="1">IF(PAJAK[[#This Row],[//]]="","",SUMIF(NOTA[ID_H],PAJAK[[#This Row],[ID]],NOTA[JUMLAH]))</f>
        <v>9676800</v>
      </c>
      <c r="L25" s="146">
        <f ca="1">IF(PAJAK[[#This Row],[//]]="","",SUMIF(NOTA[ID_H],PAJAK[[#This Row],[ID]],NOTA[DISC]))</f>
        <v>1632960</v>
      </c>
      <c r="M25" s="146">
        <f ca="1">PAJAK[[#This Row],[SUB TOTAL]]-PAJAK[[#This Row],[DISKON]]</f>
        <v>8043840</v>
      </c>
      <c r="N25" s="146">
        <f ca="1">IF(PAJAK[[#This Row],[//]]="","",INDEX(INDIRECT("NOTA["&amp;PAJAK[#Headers]&amp;"]"),PAJAK[[#This Row],[//]]-2+PAJAK[[#This Row],[QB]]-1))</f>
        <v>0</v>
      </c>
      <c r="O25" s="146">
        <f ca="1">(PAJAK[[#This Row],[SUB T-DISC]]-PAJAK[[#This Row],[DISC DLL]])/111%</f>
        <v>7246702.702702702</v>
      </c>
      <c r="P25" s="146">
        <f ca="1">PAJAK[[#This Row],[DPP]]*PAJAK[[#This Row],[PPN]]</f>
        <v>797137.29729729728</v>
      </c>
      <c r="Q25" s="146">
        <f ca="1">PAJAK[[#This Row],[DPP]]+PAJAK[[#This Row],[PPN 11%]]</f>
        <v>8043839.9999999991</v>
      </c>
      <c r="R25" s="32" t="str">
        <f ca="1">IF(ISNUMBER(PAJAK[[#This Row],[//]]),PPN,"")</f>
        <v>11%</v>
      </c>
    </row>
    <row r="26" spans="1:18" x14ac:dyDescent="0.25">
      <c r="A26" s="33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439</v>
      </c>
      <c r="B26" s="127">
        <f ca="1">HYPERLINK("[NOTA_.XLSX]NOTA!c"&amp;PAJAK[[#This Row],[//]],IF(PAJAK[[#This Row],[//]]="","",INDEX(INDIRECT("NOTA["&amp;PAJAK[#Headers]&amp;"]"),PAJAK[[#This Row],[//]]-2)))</f>
        <v>82</v>
      </c>
      <c r="C26" s="33" t="str">
        <f ca="1">IF(PAJAK[[#This Row],[//]]="","",INDEX(INDIRECT("NOTA["&amp;PAJAK[#Headers]&amp;"]"),PAJAK[[#This Row],[//]]-2))</f>
        <v>ATA_1905_564-6</v>
      </c>
      <c r="D26" s="33">
        <f ca="1">MATCH(PAJAK[[#This Row],[ID]],[4]!Table1[ID],0)</f>
        <v>50</v>
      </c>
      <c r="E26" s="126">
        <f ca="1">IF(PAJAK[[#This Row],[ID]]="","",COUNTIF(NOTA[ID_H],PAJAK[[#This Row],[ID]]))</f>
        <v>6</v>
      </c>
      <c r="F26" s="29" t="str">
        <f ca="1">IF(PAJAK[[#This Row],[//]]="","",INDEX(CONV[2],MATCH(INDEX(INDIRECT("NOTA["&amp;PAJAK[#Headers]&amp;"]"),PAJAK[[#This Row],[//]]-2),CONV[1],0),0))</f>
        <v>PT ATALI MAKMUR</v>
      </c>
      <c r="G26" s="31">
        <f ca="1">IF(PAJAK[[#This Row],[//]]="","",INDEX(NOTA[TGL_H],PAJAK[[#This Row],[//]]-2))</f>
        <v>45065</v>
      </c>
      <c r="H26" s="31">
        <f ca="1">IF(PAJAK[[#This Row],[//]]="","",INDEX(INDIRECT("NOTA["&amp;PAJAK[#Headers]&amp;"]"),PAJAK[[#This Row],[//]]-2))</f>
        <v>45058</v>
      </c>
      <c r="I26" s="30" t="str">
        <f ca="1">IF(PAJAK[[#This Row],[//]]="","",INDEX(INDIRECT("NOTA["&amp;PAJAK[#Headers]&amp;"]"),PAJAK[[#This Row],[//]]-2))</f>
        <v>SA230507564</v>
      </c>
      <c r="J26" s="29" t="str">
        <f ca="1">IF(OR(PAJAK[[#This Row],[//]]="",INDEX(INDIRECT("NOTA["&amp;PAJAK[#Headers]&amp;"]"),PAJAK[[#This Row],[//]]-2)=""),"",INDEX(INDIRECT("NOTA["&amp;PAJAK[#Headers]&amp;"]"),PAJAK[[#This Row],[//]]-2))</f>
        <v/>
      </c>
      <c r="K26" s="146">
        <f ca="1">IF(PAJAK[[#This Row],[//]]="","",SUMIF(NOTA[ID_H],PAJAK[[#This Row],[ID]],NOTA[JUMLAH]))</f>
        <v>8294400</v>
      </c>
      <c r="L26" s="146">
        <f ca="1">IF(PAJAK[[#This Row],[//]]="","",SUMIF(NOTA[ID_H],PAJAK[[#This Row],[ID]],NOTA[DISC]))</f>
        <v>1399680</v>
      </c>
      <c r="M26" s="146">
        <f ca="1">PAJAK[[#This Row],[SUB TOTAL]]-PAJAK[[#This Row],[DISKON]]</f>
        <v>6894720</v>
      </c>
      <c r="N26" s="146">
        <f ca="1">IF(PAJAK[[#This Row],[//]]="","",INDEX(INDIRECT("NOTA["&amp;PAJAK[#Headers]&amp;"]"),PAJAK[[#This Row],[//]]-2+PAJAK[[#This Row],[QB]]-1))</f>
        <v>0</v>
      </c>
      <c r="O26" s="146">
        <f ca="1">(PAJAK[[#This Row],[SUB T-DISC]]-PAJAK[[#This Row],[DISC DLL]])/111%</f>
        <v>6211459.4594594585</v>
      </c>
      <c r="P26" s="146">
        <f ca="1">PAJAK[[#This Row],[DPP]]*PAJAK[[#This Row],[PPN]]</f>
        <v>683260.54054054047</v>
      </c>
      <c r="Q26" s="146">
        <f ca="1">PAJAK[[#This Row],[DPP]]+PAJAK[[#This Row],[PPN 11%]]</f>
        <v>6894719.9999999991</v>
      </c>
      <c r="R26" s="32" t="str">
        <f ca="1">IF(ISNUMBER(PAJAK[[#This Row],[//]]),PPN,"")</f>
        <v>11%</v>
      </c>
    </row>
    <row r="27" spans="1:18" x14ac:dyDescent="0.25">
      <c r="A27" s="33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446</v>
      </c>
      <c r="B27" s="127">
        <f ca="1">HYPERLINK("[NOTA_.XLSX]NOTA!c"&amp;PAJAK[[#This Row],[//]],IF(PAJAK[[#This Row],[//]]="","",INDEX(INDIRECT("NOTA["&amp;PAJAK[#Headers]&amp;"]"),PAJAK[[#This Row],[//]]-2)))</f>
        <v>83</v>
      </c>
      <c r="C27" s="33" t="str">
        <f ca="1">IF(PAJAK[[#This Row],[//]]="","",INDEX(INDIRECT("NOTA["&amp;PAJAK[#Headers]&amp;"]"),PAJAK[[#This Row],[//]]-2))</f>
        <v>ATA_1905_563-10</v>
      </c>
      <c r="D27" s="33">
        <f ca="1">MATCH(PAJAK[[#This Row],[ID]],[4]!Table1[ID],0)</f>
        <v>49</v>
      </c>
      <c r="E27" s="126">
        <f ca="1">IF(PAJAK[[#This Row],[ID]]="","",COUNTIF(NOTA[ID_H],PAJAK[[#This Row],[ID]]))</f>
        <v>10</v>
      </c>
      <c r="F27" s="29" t="str">
        <f ca="1">IF(PAJAK[[#This Row],[//]]="","",INDEX(CONV[2],MATCH(INDEX(INDIRECT("NOTA["&amp;PAJAK[#Headers]&amp;"]"),PAJAK[[#This Row],[//]]-2),CONV[1],0),0))</f>
        <v>PT ATALI MAKMUR</v>
      </c>
      <c r="G27" s="31">
        <f ca="1">IF(PAJAK[[#This Row],[//]]="","",INDEX(NOTA[TGL_H],PAJAK[[#This Row],[//]]-2))</f>
        <v>45065</v>
      </c>
      <c r="H27" s="31">
        <f ca="1">IF(PAJAK[[#This Row],[//]]="","",INDEX(INDIRECT("NOTA["&amp;PAJAK[#Headers]&amp;"]"),PAJAK[[#This Row],[//]]-2))</f>
        <v>45058</v>
      </c>
      <c r="I27" s="30" t="str">
        <f ca="1">IF(PAJAK[[#This Row],[//]]="","",INDEX(INDIRECT("NOTA["&amp;PAJAK[#Headers]&amp;"]"),PAJAK[[#This Row],[//]]-2))</f>
        <v>SA230507563</v>
      </c>
      <c r="J27" s="29" t="str">
        <f ca="1">IF(OR(PAJAK[[#This Row],[//]]="",INDEX(INDIRECT("NOTA["&amp;PAJAK[#Headers]&amp;"]"),PAJAK[[#This Row],[//]]-2)=""),"",INDEX(INDIRECT("NOTA["&amp;PAJAK[#Headers]&amp;"]"),PAJAK[[#This Row],[//]]-2))</f>
        <v/>
      </c>
      <c r="K27" s="146">
        <f ca="1">IF(PAJAK[[#This Row],[//]]="","",SUMIF(NOTA[ID_H],PAJAK[[#This Row],[ID]],NOTA[JUMLAH]))</f>
        <v>3412800</v>
      </c>
      <c r="L27" s="146">
        <f ca="1">IF(PAJAK[[#This Row],[//]]="","",SUMIF(NOTA[ID_H],PAJAK[[#This Row],[ID]],NOTA[DISC]))</f>
        <v>575910</v>
      </c>
      <c r="M27" s="146">
        <f ca="1">PAJAK[[#This Row],[SUB TOTAL]]-PAJAK[[#This Row],[DISKON]]</f>
        <v>2836890</v>
      </c>
      <c r="N27" s="146">
        <f ca="1">IF(PAJAK[[#This Row],[//]]="","",INDEX(INDIRECT("NOTA["&amp;PAJAK[#Headers]&amp;"]"),PAJAK[[#This Row],[//]]-2+PAJAK[[#This Row],[QB]]-1))</f>
        <v>0</v>
      </c>
      <c r="O27" s="146">
        <f ca="1">(PAJAK[[#This Row],[SUB T-DISC]]-PAJAK[[#This Row],[DISC DLL]])/111%</f>
        <v>2555756.7567567565</v>
      </c>
      <c r="P27" s="146">
        <f ca="1">PAJAK[[#This Row],[DPP]]*PAJAK[[#This Row],[PPN]]</f>
        <v>281133.2432432432</v>
      </c>
      <c r="Q27" s="146">
        <f ca="1">PAJAK[[#This Row],[DPP]]+PAJAK[[#This Row],[PPN 11%]]</f>
        <v>2836889.9999999995</v>
      </c>
      <c r="R27" s="32" t="str">
        <f ca="1">IF(ISNUMBER(PAJAK[[#This Row],[//]]),PPN,"")</f>
        <v>11%</v>
      </c>
    </row>
    <row r="28" spans="1:18" x14ac:dyDescent="0.25">
      <c r="A28" s="33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457</v>
      </c>
      <c r="B28" s="127">
        <f ca="1">HYPERLINK("[NOTA_.XLSX]NOTA!c"&amp;PAJAK[[#This Row],[//]],IF(PAJAK[[#This Row],[//]]="","",INDEX(INDIRECT("NOTA["&amp;PAJAK[#Headers]&amp;"]"),PAJAK[[#This Row],[//]]-2)))</f>
        <v>84</v>
      </c>
      <c r="C28" s="33" t="str">
        <f ca="1">IF(PAJAK[[#This Row],[//]]="","",INDEX(INDIRECT("NOTA["&amp;PAJAK[#Headers]&amp;"]"),PAJAK[[#This Row],[//]]-2))</f>
        <v>KEN_1705_117-10</v>
      </c>
      <c r="D28" s="33">
        <f ca="1">MATCH(PAJAK[[#This Row],[ID]],[4]!Table1[ID],0)</f>
        <v>16</v>
      </c>
      <c r="E28" s="126">
        <f ca="1">IF(PAJAK[[#This Row],[ID]]="","",COUNTIF(NOTA[ID_H],PAJAK[[#This Row],[ID]]))</f>
        <v>10</v>
      </c>
      <c r="F28" s="29" t="str">
        <f ca="1">IF(PAJAK[[#This Row],[//]]="","",INDEX(CONV[2],MATCH(INDEX(INDIRECT("NOTA["&amp;PAJAK[#Headers]&amp;"]"),PAJAK[[#This Row],[//]]-2),CONV[1],0),0))</f>
        <v>PT KENKO SINAR INDONESIA</v>
      </c>
      <c r="G28" s="31">
        <f ca="1">IF(PAJAK[[#This Row],[//]]="","",INDEX(NOTA[TGL_H],PAJAK[[#This Row],[//]]-2))</f>
        <v>45063</v>
      </c>
      <c r="H28" s="31">
        <f ca="1">IF(PAJAK[[#This Row],[//]]="","",INDEX(INDIRECT("NOTA["&amp;PAJAK[#Headers]&amp;"]"),PAJAK[[#This Row],[//]]-2))</f>
        <v>45057</v>
      </c>
      <c r="I28" s="30" t="str">
        <f ca="1">IF(PAJAK[[#This Row],[//]]="","",INDEX(INDIRECT("NOTA["&amp;PAJAK[#Headers]&amp;"]"),PAJAK[[#This Row],[//]]-2))</f>
        <v>23051117</v>
      </c>
      <c r="J28" s="29" t="str">
        <f ca="1">IF(OR(PAJAK[[#This Row],[//]]="",INDEX(INDIRECT("NOTA["&amp;PAJAK[#Headers]&amp;"]"),PAJAK[[#This Row],[//]]-2)=""),"",INDEX(INDIRECT("NOTA["&amp;PAJAK[#Headers]&amp;"]"),PAJAK[[#This Row],[//]]-2))</f>
        <v>SA 41494</v>
      </c>
      <c r="K28" s="146">
        <f ca="1">IF(PAJAK[[#This Row],[//]]="","",SUMIF(NOTA[ID_H],PAJAK[[#This Row],[ID]],NOTA[JUMLAH]))</f>
        <v>24004600</v>
      </c>
      <c r="L28" s="146">
        <f ca="1">IF(PAJAK[[#This Row],[//]]="","",SUMIF(NOTA[ID_H],PAJAK[[#This Row],[ID]],NOTA[DISC]))</f>
        <v>4080782</v>
      </c>
      <c r="M28" s="146">
        <f ca="1">PAJAK[[#This Row],[SUB TOTAL]]-PAJAK[[#This Row],[DISKON]]</f>
        <v>19923818</v>
      </c>
      <c r="N28" s="146">
        <f ca="1">IF(PAJAK[[#This Row],[//]]="","",INDEX(INDIRECT("NOTA["&amp;PAJAK[#Headers]&amp;"]"),PAJAK[[#This Row],[//]]-2+PAJAK[[#This Row],[QB]]-1))</f>
        <v>0</v>
      </c>
      <c r="O28" s="146">
        <f ca="1">(PAJAK[[#This Row],[SUB T-DISC]]-PAJAK[[#This Row],[DISC DLL]])/111%</f>
        <v>17949385.585585583</v>
      </c>
      <c r="P28" s="146">
        <f ca="1">PAJAK[[#This Row],[DPP]]*PAJAK[[#This Row],[PPN]]</f>
        <v>1974432.4144144142</v>
      </c>
      <c r="Q28" s="146">
        <f ca="1">PAJAK[[#This Row],[DPP]]+PAJAK[[#This Row],[PPN 11%]]</f>
        <v>19923817.999999996</v>
      </c>
      <c r="R28" s="32" t="str">
        <f ca="1">IF(ISNUMBER(PAJAK[[#This Row],[//]]),PPN,"")</f>
        <v>11%</v>
      </c>
    </row>
    <row r="29" spans="1:18" x14ac:dyDescent="0.25">
      <c r="A29" s="3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468</v>
      </c>
      <c r="B29" s="127">
        <f ca="1">HYPERLINK("[NOTA_.XLSX]NOTA!c"&amp;PAJAK[[#This Row],[//]],IF(PAJAK[[#This Row],[//]]="","",INDEX(INDIRECT("NOTA["&amp;PAJAK[#Headers]&amp;"]"),PAJAK[[#This Row],[//]]-2)))</f>
        <v>85</v>
      </c>
      <c r="C29" s="33" t="str">
        <f ca="1">IF(PAJAK[[#This Row],[//]]="","",INDEX(INDIRECT("NOTA["&amp;PAJAK[#Headers]&amp;"]"),PAJAK[[#This Row],[//]]-2))</f>
        <v>KEN_1705_113-10</v>
      </c>
      <c r="D29" s="33">
        <f ca="1">MATCH(PAJAK[[#This Row],[ID]],[4]!Table1[ID],0)</f>
        <v>15</v>
      </c>
      <c r="E29" s="126">
        <f ca="1">IF(PAJAK[[#This Row],[ID]]="","",COUNTIF(NOTA[ID_H],PAJAK[[#This Row],[ID]]))</f>
        <v>10</v>
      </c>
      <c r="F29" s="29" t="str">
        <f ca="1">IF(PAJAK[[#This Row],[//]]="","",INDEX(CONV[2],MATCH(INDEX(INDIRECT("NOTA["&amp;PAJAK[#Headers]&amp;"]"),PAJAK[[#This Row],[//]]-2),CONV[1],0),0))</f>
        <v>PT KENKO SINAR INDONESIA</v>
      </c>
      <c r="G29" s="31">
        <f ca="1">IF(PAJAK[[#This Row],[//]]="","",INDEX(NOTA[TGL_H],PAJAK[[#This Row],[//]]-2))</f>
        <v>45063</v>
      </c>
      <c r="H29" s="31">
        <f ca="1">IF(PAJAK[[#This Row],[//]]="","",INDEX(INDIRECT("NOTA["&amp;PAJAK[#Headers]&amp;"]"),PAJAK[[#This Row],[//]]-2))</f>
        <v>45057</v>
      </c>
      <c r="I29" s="30" t="str">
        <f ca="1">IF(PAJAK[[#This Row],[//]]="","",INDEX(INDIRECT("NOTA["&amp;PAJAK[#Headers]&amp;"]"),PAJAK[[#This Row],[//]]-2))</f>
        <v>23051113</v>
      </c>
      <c r="J29" s="29" t="str">
        <f ca="1">IF(OR(PAJAK[[#This Row],[//]]="",INDEX(INDIRECT("NOTA["&amp;PAJAK[#Headers]&amp;"]"),PAJAK[[#This Row],[//]]-2)=""),"",INDEX(INDIRECT("NOTA["&amp;PAJAK[#Headers]&amp;"]"),PAJAK[[#This Row],[//]]-2))</f>
        <v>SA 41490</v>
      </c>
      <c r="K29" s="146">
        <f ca="1">IF(PAJAK[[#This Row],[//]]="","",SUMIF(NOTA[ID_H],PAJAK[[#This Row],[ID]],NOTA[JUMLAH]))</f>
        <v>29714000</v>
      </c>
      <c r="L29" s="146">
        <f ca="1">IF(PAJAK[[#This Row],[//]]="","",SUMIF(NOTA[ID_H],PAJAK[[#This Row],[ID]],NOTA[DISC]))</f>
        <v>5051380</v>
      </c>
      <c r="M29" s="146">
        <f ca="1">PAJAK[[#This Row],[SUB TOTAL]]-PAJAK[[#This Row],[DISKON]]</f>
        <v>24662620</v>
      </c>
      <c r="N29" s="146">
        <f ca="1">IF(PAJAK[[#This Row],[//]]="","",INDEX(INDIRECT("NOTA["&amp;PAJAK[#Headers]&amp;"]"),PAJAK[[#This Row],[//]]-2+PAJAK[[#This Row],[QB]]-1))</f>
        <v>0</v>
      </c>
      <c r="O29" s="146">
        <f ca="1">(PAJAK[[#This Row],[SUB T-DISC]]-PAJAK[[#This Row],[DISC DLL]])/111%</f>
        <v>22218576.576576576</v>
      </c>
      <c r="P29" s="146">
        <f ca="1">PAJAK[[#This Row],[DPP]]*PAJAK[[#This Row],[PPN]]</f>
        <v>2444043.4234234234</v>
      </c>
      <c r="Q29" s="146">
        <f ca="1">PAJAK[[#This Row],[DPP]]+PAJAK[[#This Row],[PPN 11%]]</f>
        <v>24662620</v>
      </c>
      <c r="R29" s="32" t="str">
        <f ca="1">IF(ISNUMBER(PAJAK[[#This Row],[//]]),PPN,"")</f>
        <v>11%</v>
      </c>
    </row>
    <row r="30" spans="1:18" x14ac:dyDescent="0.25">
      <c r="A30" s="33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479</v>
      </c>
      <c r="B30" s="127">
        <f ca="1">HYPERLINK("[NOTA_.XLSX]NOTA!c"&amp;PAJAK[[#This Row],[//]],IF(PAJAK[[#This Row],[//]]="","",INDEX(INDIRECT("NOTA["&amp;PAJAK[#Headers]&amp;"]"),PAJAK[[#This Row],[//]]-2)))</f>
        <v>86</v>
      </c>
      <c r="C30" s="33" t="str">
        <f ca="1">IF(PAJAK[[#This Row],[//]]="","",INDEX(INDIRECT("NOTA["&amp;PAJAK[#Headers]&amp;"]"),PAJAK[[#This Row],[//]]-2))</f>
        <v>KEN_1705_111-4</v>
      </c>
      <c r="D30" s="33">
        <f ca="1">MATCH(PAJAK[[#This Row],[ID]],[4]!Table1[ID],0)</f>
        <v>14</v>
      </c>
      <c r="E30" s="126">
        <f ca="1">IF(PAJAK[[#This Row],[ID]]="","",COUNTIF(NOTA[ID_H],PAJAK[[#This Row],[ID]]))</f>
        <v>4</v>
      </c>
      <c r="F30" s="29" t="str">
        <f ca="1">IF(PAJAK[[#This Row],[//]]="","",INDEX(CONV[2],MATCH(INDEX(INDIRECT("NOTA["&amp;PAJAK[#Headers]&amp;"]"),PAJAK[[#This Row],[//]]-2),CONV[1],0),0))</f>
        <v>PT KENKO SINAR INDONESIA</v>
      </c>
      <c r="G30" s="31">
        <f ca="1">IF(PAJAK[[#This Row],[//]]="","",INDEX(NOTA[TGL_H],PAJAK[[#This Row],[//]]-2))</f>
        <v>45063</v>
      </c>
      <c r="H30" s="31">
        <f ca="1">IF(PAJAK[[#This Row],[//]]="","",INDEX(INDIRECT("NOTA["&amp;PAJAK[#Headers]&amp;"]"),PAJAK[[#This Row],[//]]-2))</f>
        <v>45057</v>
      </c>
      <c r="I30" s="30" t="str">
        <f ca="1">IF(PAJAK[[#This Row],[//]]="","",INDEX(INDIRECT("NOTA["&amp;PAJAK[#Headers]&amp;"]"),PAJAK[[#This Row],[//]]-2))</f>
        <v>23051111</v>
      </c>
      <c r="J30" s="29" t="str">
        <f ca="1">IF(OR(PAJAK[[#This Row],[//]]="",INDEX(INDIRECT("NOTA["&amp;PAJAK[#Headers]&amp;"]"),PAJAK[[#This Row],[//]]-2)=""),"",INDEX(INDIRECT("NOTA["&amp;PAJAK[#Headers]&amp;"]"),PAJAK[[#This Row],[//]]-2))</f>
        <v>SA 41488</v>
      </c>
      <c r="K30" s="146">
        <f ca="1">IF(PAJAK[[#This Row],[//]]="","",SUMIF(NOTA[ID_H],PAJAK[[#This Row],[ID]],NOTA[JUMLAH]))</f>
        <v>57340800</v>
      </c>
      <c r="L30" s="146">
        <f ca="1">IF(PAJAK[[#This Row],[//]]="","",SUMIF(NOTA[ID_H],PAJAK[[#This Row],[ID]],NOTA[DISC]))</f>
        <v>9747936</v>
      </c>
      <c r="M30" s="146">
        <f ca="1">PAJAK[[#This Row],[SUB TOTAL]]-PAJAK[[#This Row],[DISKON]]</f>
        <v>47592864</v>
      </c>
      <c r="N30" s="146">
        <f ca="1">IF(PAJAK[[#This Row],[//]]="","",INDEX(INDIRECT("NOTA["&amp;PAJAK[#Headers]&amp;"]"),PAJAK[[#This Row],[//]]-2+PAJAK[[#This Row],[QB]]-1))</f>
        <v>0</v>
      </c>
      <c r="O30" s="146">
        <f ca="1">(PAJAK[[#This Row],[SUB T-DISC]]-PAJAK[[#This Row],[DISC DLL]])/111%</f>
        <v>42876454.054054052</v>
      </c>
      <c r="P30" s="146">
        <f ca="1">PAJAK[[#This Row],[DPP]]*PAJAK[[#This Row],[PPN]]</f>
        <v>4716409.9459459456</v>
      </c>
      <c r="Q30" s="146">
        <f ca="1">PAJAK[[#This Row],[DPP]]+PAJAK[[#This Row],[PPN 11%]]</f>
        <v>47592864</v>
      </c>
      <c r="R30" s="32" t="str">
        <f ca="1">IF(ISNUMBER(PAJAK[[#This Row],[//]]),PPN,"")</f>
        <v>11%</v>
      </c>
    </row>
    <row r="31" spans="1:18" x14ac:dyDescent="0.25">
      <c r="A31" s="33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484</v>
      </c>
      <c r="B31" s="127">
        <f ca="1">HYPERLINK("[NOTA_.XLSX]NOTA!c"&amp;PAJAK[[#This Row],[//]],IF(PAJAK[[#This Row],[//]]="","",INDEX(INDIRECT("NOTA["&amp;PAJAK[#Headers]&amp;"]"),PAJAK[[#This Row],[//]]-2)))</f>
        <v>87</v>
      </c>
      <c r="C31" s="33" t="str">
        <f ca="1">IF(PAJAK[[#This Row],[//]]="","",INDEX(INDIRECT("NOTA["&amp;PAJAK[#Headers]&amp;"]"),PAJAK[[#This Row],[//]]-2))</f>
        <v>KEN_1705_240-10</v>
      </c>
      <c r="D31" s="33">
        <f ca="1">MATCH(PAJAK[[#This Row],[ID]],[4]!Table1[ID],0)</f>
        <v>17</v>
      </c>
      <c r="E31" s="126">
        <f ca="1">IF(PAJAK[[#This Row],[ID]]="","",COUNTIF(NOTA[ID_H],PAJAK[[#This Row],[ID]]))</f>
        <v>10</v>
      </c>
      <c r="F31" s="29" t="str">
        <f ca="1">IF(PAJAK[[#This Row],[//]]="","",INDEX(CONV[2],MATCH(INDEX(INDIRECT("NOTA["&amp;PAJAK[#Headers]&amp;"]"),PAJAK[[#This Row],[//]]-2),CONV[1],0),0))</f>
        <v>PT KENKO SINAR INDONESIA</v>
      </c>
      <c r="G31" s="31">
        <f ca="1">IF(PAJAK[[#This Row],[//]]="","",INDEX(NOTA[TGL_H],PAJAK[[#This Row],[//]]-2))</f>
        <v>45063</v>
      </c>
      <c r="H31" s="31">
        <f ca="1">IF(PAJAK[[#This Row],[//]]="","",INDEX(INDIRECT("NOTA["&amp;PAJAK[#Headers]&amp;"]"),PAJAK[[#This Row],[//]]-2))</f>
        <v>45058</v>
      </c>
      <c r="I31" s="30" t="str">
        <f ca="1">IF(PAJAK[[#This Row],[//]]="","",INDEX(INDIRECT("NOTA["&amp;PAJAK[#Headers]&amp;"]"),PAJAK[[#This Row],[//]]-2))</f>
        <v>23051240</v>
      </c>
      <c r="J31" s="29" t="str">
        <f ca="1">IF(OR(PAJAK[[#This Row],[//]]="",INDEX(INDIRECT("NOTA["&amp;PAJAK[#Headers]&amp;"]"),PAJAK[[#This Row],[//]]-2)=""),"",INDEX(INDIRECT("NOTA["&amp;PAJAK[#Headers]&amp;"]"),PAJAK[[#This Row],[//]]-2))</f>
        <v>SA 41536</v>
      </c>
      <c r="K31" s="146">
        <f ca="1">IF(PAJAK[[#This Row],[//]]="","",SUMIF(NOTA[ID_H],PAJAK[[#This Row],[ID]],NOTA[JUMLAH]))</f>
        <v>35891600</v>
      </c>
      <c r="L31" s="146">
        <f ca="1">IF(PAJAK[[#This Row],[//]]="","",SUMIF(NOTA[ID_H],PAJAK[[#This Row],[ID]],NOTA[DISC]))</f>
        <v>6101572</v>
      </c>
      <c r="M31" s="146">
        <f ca="1">PAJAK[[#This Row],[SUB TOTAL]]-PAJAK[[#This Row],[DISKON]]</f>
        <v>29790028</v>
      </c>
      <c r="N31" s="146">
        <f ca="1">IF(PAJAK[[#This Row],[//]]="","",INDEX(INDIRECT("NOTA["&amp;PAJAK[#Headers]&amp;"]"),PAJAK[[#This Row],[//]]-2+PAJAK[[#This Row],[QB]]-1))</f>
        <v>0</v>
      </c>
      <c r="O31" s="146">
        <f ca="1">(PAJAK[[#This Row],[SUB T-DISC]]-PAJAK[[#This Row],[DISC DLL]])/111%</f>
        <v>26837863.063063059</v>
      </c>
      <c r="P31" s="146">
        <f ca="1">PAJAK[[#This Row],[DPP]]*PAJAK[[#This Row],[PPN]]</f>
        <v>2952164.9369369363</v>
      </c>
      <c r="Q31" s="146">
        <f ca="1">PAJAK[[#This Row],[DPP]]+PAJAK[[#This Row],[PPN 11%]]</f>
        <v>29790027.999999996</v>
      </c>
      <c r="R31" s="32" t="str">
        <f ca="1">IF(ISNUMBER(PAJAK[[#This Row],[//]]),PPN,"")</f>
        <v>11%</v>
      </c>
    </row>
    <row r="32" spans="1:18" x14ac:dyDescent="0.25">
      <c r="A32" s="2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495</v>
      </c>
      <c r="B32" s="29">
        <f ca="1">HYPERLINK("[NOTA_.XLSX]NOTA!c"&amp;PAJAK[[#This Row],[//]],IF(PAJAK[[#This Row],[//]]="","",INDEX(INDIRECT("NOTA["&amp;PAJAK[#Headers]&amp;"]"),PAJAK[[#This Row],[//]]-2)))</f>
        <v>88</v>
      </c>
      <c r="C32" s="29" t="str">
        <f ca="1">IF(PAJAK[[#This Row],[//]]="","",INDEX(INDIRECT("NOTA["&amp;PAJAK[#Headers]&amp;"]"),PAJAK[[#This Row],[//]]-2))</f>
        <v>KEN_1705_247-7</v>
      </c>
      <c r="D32" s="29">
        <f ca="1">MATCH(PAJAK[[#This Row],[ID]],[4]!Table1[ID],0)</f>
        <v>18</v>
      </c>
      <c r="E32" s="30">
        <f ca="1">IF(PAJAK[[#This Row],[ID]]="","",COUNTIF(NOTA[ID_H],PAJAK[[#This Row],[ID]]))</f>
        <v>7</v>
      </c>
      <c r="F32" s="29" t="str">
        <f ca="1">IF(PAJAK[[#This Row],[//]]="","",INDEX(CONV[2],MATCH(INDEX(INDIRECT("NOTA["&amp;PAJAK[#Headers]&amp;"]"),PAJAK[[#This Row],[//]]-2),CONV[1],0),0))</f>
        <v>PT KENKO SINAR INDONESIA</v>
      </c>
      <c r="G32" s="31">
        <f ca="1">IF(PAJAK[[#This Row],[//]]="","",INDEX(NOTA[TGL_H],PAJAK[[#This Row],[//]]-2))</f>
        <v>45063</v>
      </c>
      <c r="H32" s="31">
        <f ca="1">IF(PAJAK[[#This Row],[//]]="","",INDEX(INDIRECT("NOTA["&amp;PAJAK[#Headers]&amp;"]"),PAJAK[[#This Row],[//]]-2))</f>
        <v>45058</v>
      </c>
      <c r="I32" s="30" t="str">
        <f ca="1">IF(PAJAK[[#This Row],[//]]="","",INDEX(INDIRECT("NOTA["&amp;PAJAK[#Headers]&amp;"]"),PAJAK[[#This Row],[//]]-2))</f>
        <v>23051247</v>
      </c>
      <c r="J32" s="29" t="str">
        <f ca="1">IF(OR(PAJAK[[#This Row],[//]]="",INDEX(INDIRECT("NOTA["&amp;PAJAK[#Headers]&amp;"]"),PAJAK[[#This Row],[//]]-2)=""),"",INDEX(INDIRECT("NOTA["&amp;PAJAK[#Headers]&amp;"]"),PAJAK[[#This Row],[//]]-2))</f>
        <v>SA 41547</v>
      </c>
      <c r="K32" s="146">
        <f ca="1">IF(PAJAK[[#This Row],[//]]="","",SUMIF(NOTA[ID_H],PAJAK[[#This Row],[ID]],NOTA[JUMLAH]))</f>
        <v>74492400</v>
      </c>
      <c r="L32" s="146">
        <f ca="1">IF(PAJAK[[#This Row],[//]]="","",SUMIF(NOTA[ID_H],PAJAK[[#This Row],[ID]],NOTA[DISC]))</f>
        <v>12663708</v>
      </c>
      <c r="M32" s="146">
        <f ca="1">PAJAK[[#This Row],[SUB TOTAL]]-PAJAK[[#This Row],[DISKON]]</f>
        <v>61828692</v>
      </c>
      <c r="N32" s="146">
        <f ca="1">IF(PAJAK[[#This Row],[//]]="","",INDEX(INDIRECT("NOTA["&amp;PAJAK[#Headers]&amp;"]"),PAJAK[[#This Row],[//]]-2+PAJAK[[#This Row],[QB]]-1))</f>
        <v>0</v>
      </c>
      <c r="O32" s="146">
        <f ca="1">(PAJAK[[#This Row],[SUB T-DISC]]-PAJAK[[#This Row],[DISC DLL]])/111%</f>
        <v>55701524.324324317</v>
      </c>
      <c r="P32" s="146">
        <f ca="1">PAJAK[[#This Row],[DPP]]*PAJAK[[#This Row],[PPN]]</f>
        <v>6127167.6756756753</v>
      </c>
      <c r="Q32" s="146">
        <f ca="1">PAJAK[[#This Row],[DPP]]+PAJAK[[#This Row],[PPN 11%]]</f>
        <v>61828691.999999993</v>
      </c>
      <c r="R32" s="32" t="str">
        <f ca="1">IF(ISNUMBER(PAJAK[[#This Row],[//]]),PPN,"")</f>
        <v>11%</v>
      </c>
    </row>
    <row r="33" spans="1:18" x14ac:dyDescent="0.25">
      <c r="A33" s="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503</v>
      </c>
      <c r="B33" s="127">
        <f ca="1">HYPERLINK("[NOTA_.XLSX]NOTA!c"&amp;PAJAK[[#This Row],[//]],IF(PAJAK[[#This Row],[//]]="","",INDEX(INDIRECT("NOTA["&amp;PAJAK[#Headers]&amp;"]"),PAJAK[[#This Row],[//]]-2)))</f>
        <v>89</v>
      </c>
      <c r="C33" s="33" t="str">
        <f ca="1">IF(PAJAK[[#This Row],[//]]="","",INDEX(INDIRECT("NOTA["&amp;PAJAK[#Headers]&amp;"]"),PAJAK[[#This Row],[//]]-2))</f>
        <v>KEN_1705_371-10</v>
      </c>
      <c r="D33" s="33">
        <f ca="1">MATCH(PAJAK[[#This Row],[ID]],[4]!Table1[ID],0)</f>
        <v>20</v>
      </c>
      <c r="E33" s="126">
        <f ca="1">IF(PAJAK[[#This Row],[ID]]="","",COUNTIF(NOTA[ID_H],PAJAK[[#This Row],[ID]]))</f>
        <v>10</v>
      </c>
      <c r="F33" s="29" t="str">
        <f ca="1">IF(PAJAK[[#This Row],[//]]="","",INDEX(CONV[2],MATCH(INDEX(INDIRECT("NOTA["&amp;PAJAK[#Headers]&amp;"]"),PAJAK[[#This Row],[//]]-2),CONV[1],0),0))</f>
        <v>PT KENKO SINAR INDONESIA</v>
      </c>
      <c r="G33" s="31">
        <f ca="1">IF(PAJAK[[#This Row],[//]]="","",INDEX(NOTA[TGL_H],PAJAK[[#This Row],[//]]-2))</f>
        <v>45063</v>
      </c>
      <c r="H33" s="31">
        <f ca="1">IF(PAJAK[[#This Row],[//]]="","",INDEX(INDIRECT("NOTA["&amp;PAJAK[#Headers]&amp;"]"),PAJAK[[#This Row],[//]]-2))</f>
        <v>45059</v>
      </c>
      <c r="I33" s="30" t="str">
        <f ca="1">IF(PAJAK[[#This Row],[//]]="","",INDEX(INDIRECT("NOTA["&amp;PAJAK[#Headers]&amp;"]"),PAJAK[[#This Row],[//]]-2))</f>
        <v>23051371</v>
      </c>
      <c r="J33" s="29" t="str">
        <f ca="1">IF(OR(PAJAK[[#This Row],[//]]="",INDEX(INDIRECT("NOTA["&amp;PAJAK[#Headers]&amp;"]"),PAJAK[[#This Row],[//]]-2)=""),"",INDEX(INDIRECT("NOTA["&amp;PAJAK[#Headers]&amp;"]"),PAJAK[[#This Row],[//]]-2))</f>
        <v>SA 41559</v>
      </c>
      <c r="K33" s="146">
        <f ca="1">IF(PAJAK[[#This Row],[//]]="","",SUMIF(NOTA[ID_H],PAJAK[[#This Row],[ID]],NOTA[JUMLAH]))</f>
        <v>65132000</v>
      </c>
      <c r="L33" s="146">
        <f ca="1">IF(PAJAK[[#This Row],[//]]="","",SUMIF(NOTA[ID_H],PAJAK[[#This Row],[ID]],NOTA[DISC]))</f>
        <v>11072440.000000002</v>
      </c>
      <c r="M33" s="146">
        <f ca="1">PAJAK[[#This Row],[SUB TOTAL]]-PAJAK[[#This Row],[DISKON]]</f>
        <v>54059560</v>
      </c>
      <c r="N33" s="146">
        <f ca="1">IF(PAJAK[[#This Row],[//]]="","",INDEX(INDIRECT("NOTA["&amp;PAJAK[#Headers]&amp;"]"),PAJAK[[#This Row],[//]]-2+PAJAK[[#This Row],[QB]]-1))</f>
        <v>0</v>
      </c>
      <c r="O33" s="146">
        <f ca="1">(PAJAK[[#This Row],[SUB T-DISC]]-PAJAK[[#This Row],[DISC DLL]])/111%</f>
        <v>48702306.306306303</v>
      </c>
      <c r="P33" s="146">
        <f ca="1">PAJAK[[#This Row],[DPP]]*PAJAK[[#This Row],[PPN]]</f>
        <v>5357253.6936936937</v>
      </c>
      <c r="Q33" s="146">
        <f ca="1">PAJAK[[#This Row],[DPP]]+PAJAK[[#This Row],[PPN 11%]]</f>
        <v>54059560</v>
      </c>
      <c r="R33" s="32" t="str">
        <f ca="1">IF(ISNUMBER(PAJAK[[#This Row],[//]]),PPN,"")</f>
        <v>11%</v>
      </c>
    </row>
    <row r="34" spans="1:18" x14ac:dyDescent="0.25">
      <c r="A34" s="33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514</v>
      </c>
      <c r="B34" s="127">
        <f ca="1">HYPERLINK("[NOTA_.XLSX]NOTA!c"&amp;PAJAK[[#This Row],[//]],IF(PAJAK[[#This Row],[//]]="","",INDEX(INDIRECT("NOTA["&amp;PAJAK[#Headers]&amp;"]"),PAJAK[[#This Row],[//]]-2)))</f>
        <v>90</v>
      </c>
      <c r="C34" s="33" t="str">
        <f ca="1">IF(PAJAK[[#This Row],[//]]="","",INDEX(INDIRECT("NOTA["&amp;PAJAK[#Headers]&amp;"]"),PAJAK[[#This Row],[//]]-2))</f>
        <v>KEN_1705_370-10</v>
      </c>
      <c r="D34" s="33">
        <f ca="1">MATCH(PAJAK[[#This Row],[ID]],[4]!Table1[ID],0)</f>
        <v>19</v>
      </c>
      <c r="E34" s="126">
        <f ca="1">IF(PAJAK[[#This Row],[ID]]="","",COUNTIF(NOTA[ID_H],PAJAK[[#This Row],[ID]]))</f>
        <v>10</v>
      </c>
      <c r="F34" s="29" t="str">
        <f ca="1">IF(PAJAK[[#This Row],[//]]="","",INDEX(CONV[2],MATCH(INDEX(INDIRECT("NOTA["&amp;PAJAK[#Headers]&amp;"]"),PAJAK[[#This Row],[//]]-2),CONV[1],0),0))</f>
        <v>PT KENKO SINAR INDONESIA</v>
      </c>
      <c r="G34" s="31">
        <f ca="1">IF(PAJAK[[#This Row],[//]]="","",INDEX(NOTA[TGL_H],PAJAK[[#This Row],[//]]-2))</f>
        <v>45063</v>
      </c>
      <c r="H34" s="31">
        <f ca="1">IF(PAJAK[[#This Row],[//]]="","",INDEX(INDIRECT("NOTA["&amp;PAJAK[#Headers]&amp;"]"),PAJAK[[#This Row],[//]]-2))</f>
        <v>45059</v>
      </c>
      <c r="I34" s="30" t="str">
        <f ca="1">IF(PAJAK[[#This Row],[//]]="","",INDEX(INDIRECT("NOTA["&amp;PAJAK[#Headers]&amp;"]"),PAJAK[[#This Row],[//]]-2))</f>
        <v>23051370</v>
      </c>
      <c r="J34" s="29" t="str">
        <f ca="1">IF(OR(PAJAK[[#This Row],[//]]="",INDEX(INDIRECT("NOTA["&amp;PAJAK[#Headers]&amp;"]"),PAJAK[[#This Row],[//]]-2)=""),"",INDEX(INDIRECT("NOTA["&amp;PAJAK[#Headers]&amp;"]"),PAJAK[[#This Row],[//]]-2))</f>
        <v>SA 41558</v>
      </c>
      <c r="K34" s="146">
        <f ca="1">IF(PAJAK[[#This Row],[//]]="","",SUMIF(NOTA[ID_H],PAJAK[[#This Row],[ID]],NOTA[JUMLAH]))</f>
        <v>38135600</v>
      </c>
      <c r="L34" s="146">
        <f ca="1">IF(PAJAK[[#This Row],[//]]="","",SUMIF(NOTA[ID_H],PAJAK[[#This Row],[ID]],NOTA[DISC]))</f>
        <v>6483052</v>
      </c>
      <c r="M34" s="146">
        <f ca="1">PAJAK[[#This Row],[SUB TOTAL]]-PAJAK[[#This Row],[DISKON]]</f>
        <v>31652548</v>
      </c>
      <c r="N34" s="146">
        <f ca="1">IF(PAJAK[[#This Row],[//]]="","",INDEX(INDIRECT("NOTA["&amp;PAJAK[#Headers]&amp;"]"),PAJAK[[#This Row],[//]]-2+PAJAK[[#This Row],[QB]]-1))</f>
        <v>0</v>
      </c>
      <c r="O34" s="146">
        <f ca="1">(PAJAK[[#This Row],[SUB T-DISC]]-PAJAK[[#This Row],[DISC DLL]])/111%</f>
        <v>28515809.009009007</v>
      </c>
      <c r="P34" s="146">
        <f ca="1">PAJAK[[#This Row],[DPP]]*PAJAK[[#This Row],[PPN]]</f>
        <v>3136738.9909909908</v>
      </c>
      <c r="Q34" s="146">
        <f ca="1">PAJAK[[#This Row],[DPP]]+PAJAK[[#This Row],[PPN 11%]]</f>
        <v>31652548</v>
      </c>
      <c r="R34" s="32" t="str">
        <f ca="1">IF(ISNUMBER(PAJAK[[#This Row],[//]]),PPN,"")</f>
        <v>11%</v>
      </c>
    </row>
    <row r="35" spans="1:18" x14ac:dyDescent="0.25">
      <c r="A35" s="2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557</v>
      </c>
      <c r="B35" s="29">
        <f ca="1">HYPERLINK("[NOTA_.XLSX]NOTA!c"&amp;PAJAK[[#This Row],[//]],IF(PAJAK[[#This Row],[//]]="","",INDEX(INDIRECT("NOTA["&amp;PAJAK[#Headers]&amp;"]"),PAJAK[[#This Row],[//]]-2)))</f>
        <v>100</v>
      </c>
      <c r="C35" s="29" t="str">
        <f ca="1">IF(PAJAK[[#This Row],[//]]="","",INDEX(INDIRECT("NOTA["&amp;PAJAK[#Headers]&amp;"]"),PAJAK[[#This Row],[//]]-2))</f>
        <v>LAY_2005_045-1</v>
      </c>
      <c r="D35" s="29">
        <f ca="1">MATCH(PAJAK[[#This Row],[ID]],[4]!Table1[ID],0)</f>
        <v>79</v>
      </c>
      <c r="E35" s="30">
        <f ca="1">IF(PAJAK[[#This Row],[ID]]="","",COUNTIF(NOTA[ID_H],PAJAK[[#This Row],[ID]]))</f>
        <v>1</v>
      </c>
      <c r="F35" s="29" t="str">
        <f ca="1">IF(PAJAK[[#This Row],[//]]="","",INDEX(CONV[2],MATCH(INDEX(INDIRECT("NOTA["&amp;PAJAK[#Headers]&amp;"]"),PAJAK[[#This Row],[//]]-2),CONV[1],0),0))</f>
        <v>PT MITRA GLOBAL NIAGA</v>
      </c>
      <c r="G35" s="31">
        <f ca="1">IF(PAJAK[[#This Row],[//]]="","",INDEX(NOTA[TGL_H],PAJAK[[#This Row],[//]]-2))</f>
        <v>45066</v>
      </c>
      <c r="H35" s="31">
        <f ca="1">IF(PAJAK[[#This Row],[//]]="","",INDEX(INDIRECT("NOTA["&amp;PAJAK[#Headers]&amp;"]"),PAJAK[[#This Row],[//]]-2))</f>
        <v>45062</v>
      </c>
      <c r="I35" s="30" t="str">
        <f ca="1">IF(PAJAK[[#This Row],[//]]="","",INDEX(INDIRECT("NOTA["&amp;PAJAK[#Headers]&amp;"]"),PAJAK[[#This Row],[//]]-2))</f>
        <v>L205045</v>
      </c>
      <c r="J35" s="29" t="str">
        <f ca="1">IF(OR(PAJAK[[#This Row],[//]]="",INDEX(INDIRECT("NOTA["&amp;PAJAK[#Headers]&amp;"]"),PAJAK[[#This Row],[//]]-2)=""),"",INDEX(INDIRECT("NOTA["&amp;PAJAK[#Headers]&amp;"]"),PAJAK[[#This Row],[//]]-2))</f>
        <v/>
      </c>
      <c r="K35" s="146">
        <f ca="1">IF(PAJAK[[#This Row],[//]]="","",SUMIF(NOTA[ID_H],PAJAK[[#This Row],[ID]],NOTA[JUMLAH]))</f>
        <v>42000000</v>
      </c>
      <c r="L35" s="146">
        <f ca="1">IF(PAJAK[[#This Row],[//]]="","",SUMIF(NOTA[ID_H],PAJAK[[#This Row],[ID]],NOTA[DISC]))</f>
        <v>4200000</v>
      </c>
      <c r="M35" s="146">
        <f ca="1">PAJAK[[#This Row],[SUB TOTAL]]-PAJAK[[#This Row],[DISKON]]</f>
        <v>37800000</v>
      </c>
      <c r="N35" s="146">
        <f ca="1">IF(PAJAK[[#This Row],[//]]="","",INDEX(INDIRECT("NOTA["&amp;PAJAK[#Headers]&amp;"]"),PAJAK[[#This Row],[//]]-2+PAJAK[[#This Row],[QB]]-1))</f>
        <v>0</v>
      </c>
      <c r="O35" s="146">
        <f ca="1">(PAJAK[[#This Row],[SUB T-DISC]]-PAJAK[[#This Row],[DISC DLL]])/111%</f>
        <v>34054054.054054052</v>
      </c>
      <c r="P35" s="146">
        <f ca="1">PAJAK[[#This Row],[DPP]]*PAJAK[[#This Row],[PPN]]</f>
        <v>3745945.9459459456</v>
      </c>
      <c r="Q35" s="146">
        <f ca="1">PAJAK[[#This Row],[DPP]]+PAJAK[[#This Row],[PPN 11%]]</f>
        <v>37800000</v>
      </c>
      <c r="R35" s="32" t="str">
        <f ca="1">IF(ISNUMBER(PAJAK[[#This Row],[//]]),PPN,"")</f>
        <v>11%</v>
      </c>
    </row>
    <row r="36" spans="1:18" x14ac:dyDescent="0.25">
      <c r="A36" s="2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559</v>
      </c>
      <c r="B36" s="29">
        <f ca="1">HYPERLINK("[NOTA_.XLSX]NOTA!c"&amp;PAJAK[[#This Row],[//]],IF(PAJAK[[#This Row],[//]]="","",INDEX(INDIRECT("NOTA["&amp;PAJAK[#Headers]&amp;"]"),PAJAK[[#This Row],[//]]-2)))</f>
        <v>101</v>
      </c>
      <c r="C36" s="29" t="str">
        <f ca="1">IF(PAJAK[[#This Row],[//]]="","",INDEX(INDIRECT("NOTA["&amp;PAJAK[#Headers]&amp;"]"),PAJAK[[#This Row],[//]]-2))</f>
        <v>KEN_2005_565-5</v>
      </c>
      <c r="D36" s="29">
        <f ca="1">MATCH(PAJAK[[#This Row],[ID]],[4]!Table1[ID],0)</f>
        <v>21</v>
      </c>
      <c r="E36" s="30">
        <f ca="1">IF(PAJAK[[#This Row],[ID]]="","",COUNTIF(NOTA[ID_H],PAJAK[[#This Row],[ID]]))</f>
        <v>5</v>
      </c>
      <c r="F36" s="29" t="str">
        <f ca="1">IF(PAJAK[[#This Row],[//]]="","",INDEX(CONV[2],MATCH(INDEX(INDIRECT("NOTA["&amp;PAJAK[#Headers]&amp;"]"),PAJAK[[#This Row],[//]]-2),CONV[1],0),0))</f>
        <v>PT KENKO SINAR INDONESIA</v>
      </c>
      <c r="G36" s="31">
        <f ca="1">IF(PAJAK[[#This Row],[//]]="","",INDEX(NOTA[TGL_H],PAJAK[[#This Row],[//]]-2))</f>
        <v>45066</v>
      </c>
      <c r="H36" s="31">
        <f ca="1">IF(PAJAK[[#This Row],[//]]="","",INDEX(INDIRECT("NOTA["&amp;PAJAK[#Headers]&amp;"]"),PAJAK[[#This Row],[//]]-2))</f>
        <v>45062</v>
      </c>
      <c r="I36" s="30" t="str">
        <f ca="1">IF(PAJAK[[#This Row],[//]]="","",INDEX(INDIRECT("NOTA["&amp;PAJAK[#Headers]&amp;"]"),PAJAK[[#This Row],[//]]-2))</f>
        <v>23051565</v>
      </c>
      <c r="J36" s="29" t="str">
        <f ca="1">IF(OR(PAJAK[[#This Row],[//]]="",INDEX(INDIRECT("NOTA["&amp;PAJAK[#Headers]&amp;"]"),PAJAK[[#This Row],[//]]-2)=""),"",INDEX(INDIRECT("NOTA["&amp;PAJAK[#Headers]&amp;"]"),PAJAK[[#This Row],[//]]-2))</f>
        <v>SA 41614</v>
      </c>
      <c r="K36" s="146">
        <f ca="1">IF(PAJAK[[#This Row],[//]]="","",SUMIF(NOTA[ID_H],PAJAK[[#This Row],[ID]],NOTA[JUMLAH]))</f>
        <v>20096400</v>
      </c>
      <c r="L36" s="146">
        <f ca="1">IF(PAJAK[[#This Row],[//]]="","",SUMIF(NOTA[ID_H],PAJAK[[#This Row],[ID]],NOTA[DISC]))</f>
        <v>3416388</v>
      </c>
      <c r="M36" s="146">
        <f ca="1">PAJAK[[#This Row],[SUB TOTAL]]-PAJAK[[#This Row],[DISKON]]</f>
        <v>16680012</v>
      </c>
      <c r="N36" s="146">
        <f ca="1">IF(PAJAK[[#This Row],[//]]="","",INDEX(INDIRECT("NOTA["&amp;PAJAK[#Headers]&amp;"]"),PAJAK[[#This Row],[//]]-2+PAJAK[[#This Row],[QB]]-1))</f>
        <v>0</v>
      </c>
      <c r="O36" s="146">
        <f ca="1">(PAJAK[[#This Row],[SUB T-DISC]]-PAJAK[[#This Row],[DISC DLL]])/111%</f>
        <v>15027037.837837836</v>
      </c>
      <c r="P36" s="146">
        <f ca="1">PAJAK[[#This Row],[DPP]]*PAJAK[[#This Row],[PPN]]</f>
        <v>1652974.1621621619</v>
      </c>
      <c r="Q36" s="146">
        <f ca="1">PAJAK[[#This Row],[DPP]]+PAJAK[[#This Row],[PPN 11%]]</f>
        <v>16680011.999999998</v>
      </c>
      <c r="R36" s="32" t="str">
        <f ca="1">IF(ISNUMBER(PAJAK[[#This Row],[//]]),PPN,"")</f>
        <v>11%</v>
      </c>
    </row>
    <row r="37" spans="1:18" x14ac:dyDescent="0.25">
      <c r="A37" s="2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565</v>
      </c>
      <c r="B37" s="29">
        <f ca="1">HYPERLINK("[NOTA_.XLSX]NOTA!c"&amp;PAJAK[[#This Row],[//]],IF(PAJAK[[#This Row],[//]]="","",INDEX(INDIRECT("NOTA["&amp;PAJAK[#Headers]&amp;"]"),PAJAK[[#This Row],[//]]-2)))</f>
        <v>102</v>
      </c>
      <c r="C37" s="29" t="str">
        <f ca="1">IF(PAJAK[[#This Row],[//]]="","",INDEX(INDIRECT("NOTA["&amp;PAJAK[#Headers]&amp;"]"),PAJAK[[#This Row],[//]]-2))</f>
        <v>ATA_2005_749-12</v>
      </c>
      <c r="D37" s="29">
        <f ca="1">MATCH(PAJAK[[#This Row],[ID]],[4]!Table1[ID],0)</f>
        <v>52</v>
      </c>
      <c r="E37" s="30">
        <f ca="1">IF(PAJAK[[#This Row],[ID]]="","",COUNTIF(NOTA[ID_H],PAJAK[[#This Row],[ID]]))</f>
        <v>12</v>
      </c>
      <c r="F37" s="29" t="str">
        <f ca="1">IF(PAJAK[[#This Row],[//]]="","",INDEX(CONV[2],MATCH(INDEX(INDIRECT("NOTA["&amp;PAJAK[#Headers]&amp;"]"),PAJAK[[#This Row],[//]]-2),CONV[1],0),0))</f>
        <v>PT ATALI MAKMUR</v>
      </c>
      <c r="G37" s="31">
        <f ca="1">IF(PAJAK[[#This Row],[//]]="","",INDEX(NOTA[TGL_H],PAJAK[[#This Row],[//]]-2))</f>
        <v>45066</v>
      </c>
      <c r="H37" s="31">
        <f ca="1">IF(PAJAK[[#This Row],[//]]="","",INDEX(INDIRECT("NOTA["&amp;PAJAK[#Headers]&amp;"]"),PAJAK[[#This Row],[//]]-2))</f>
        <v>45062</v>
      </c>
      <c r="I37" s="30" t="str">
        <f ca="1">IF(PAJAK[[#This Row],[//]]="","",INDEX(INDIRECT("NOTA["&amp;PAJAK[#Headers]&amp;"]"),PAJAK[[#This Row],[//]]-2))</f>
        <v>SA230507749</v>
      </c>
      <c r="J37" s="29" t="str">
        <f ca="1">IF(OR(PAJAK[[#This Row],[//]]="",INDEX(INDIRECT("NOTA["&amp;PAJAK[#Headers]&amp;"]"),PAJAK[[#This Row],[//]]-2)=""),"",INDEX(INDIRECT("NOTA["&amp;PAJAK[#Headers]&amp;"]"),PAJAK[[#This Row],[//]]-2))</f>
        <v/>
      </c>
      <c r="K37" s="146">
        <f ca="1">IF(PAJAK[[#This Row],[//]]="","",SUMIF(NOTA[ID_H],PAJAK[[#This Row],[ID]],NOTA[JUMLAH]))</f>
        <v>50530400</v>
      </c>
      <c r="L37" s="146">
        <f ca="1">IF(PAJAK[[#This Row],[//]]="","",SUMIF(NOTA[ID_H],PAJAK[[#This Row],[ID]],NOTA[DISC]))</f>
        <v>8527005</v>
      </c>
      <c r="M37" s="146">
        <f ca="1">PAJAK[[#This Row],[SUB TOTAL]]-PAJAK[[#This Row],[DISKON]]</f>
        <v>42003395</v>
      </c>
      <c r="N37" s="146">
        <f ca="1">IF(PAJAK[[#This Row],[//]]="","",INDEX(INDIRECT("NOTA["&amp;PAJAK[#Headers]&amp;"]"),PAJAK[[#This Row],[//]]-2+PAJAK[[#This Row],[QB]]-1))</f>
        <v>0</v>
      </c>
      <c r="O37" s="146">
        <f ca="1">(PAJAK[[#This Row],[SUB T-DISC]]-PAJAK[[#This Row],[DISC DLL]])/111%</f>
        <v>37840896.396396391</v>
      </c>
      <c r="P37" s="146">
        <f ca="1">PAJAK[[#This Row],[DPP]]*PAJAK[[#This Row],[PPN]]</f>
        <v>4162498.6036036029</v>
      </c>
      <c r="Q37" s="146">
        <f ca="1">PAJAK[[#This Row],[DPP]]+PAJAK[[#This Row],[PPN 11%]]</f>
        <v>42003394.999999993</v>
      </c>
      <c r="R37" s="32" t="str">
        <f ca="1">IF(ISNUMBER(PAJAK[[#This Row],[//]]),PPN,"")</f>
        <v>11%</v>
      </c>
    </row>
    <row r="38" spans="1:18" x14ac:dyDescent="0.25">
      <c r="A38" s="33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578</v>
      </c>
      <c r="B38" s="127">
        <f ca="1">HYPERLINK("[NOTA_.XLSX]NOTA!c"&amp;PAJAK[[#This Row],[//]],IF(PAJAK[[#This Row],[//]]="","",INDEX(INDIRECT("NOTA["&amp;PAJAK[#Headers]&amp;"]"),PAJAK[[#This Row],[//]]-2)))</f>
        <v>103</v>
      </c>
      <c r="C38" s="33" t="str">
        <f ca="1">IF(PAJAK[[#This Row],[//]]="","",INDEX(INDIRECT("NOTA["&amp;PAJAK[#Headers]&amp;"]"),PAJAK[[#This Row],[//]]-2))</f>
        <v>ATA_2005_689-1</v>
      </c>
      <c r="D38" s="33">
        <f ca="1">MATCH(PAJAK[[#This Row],[ID]],[4]!Table1[ID],0)</f>
        <v>51</v>
      </c>
      <c r="E38" s="126">
        <f ca="1">IF(PAJAK[[#This Row],[ID]]="","",COUNTIF(NOTA[ID_H],PAJAK[[#This Row],[ID]]))</f>
        <v>1</v>
      </c>
      <c r="F38" s="29" t="str">
        <f ca="1">IF(PAJAK[[#This Row],[//]]="","",INDEX(CONV[2],MATCH(INDEX(INDIRECT("NOTA["&amp;PAJAK[#Headers]&amp;"]"),PAJAK[[#This Row],[//]]-2),CONV[1],0),0))</f>
        <v>PT ATALI MAKMUR</v>
      </c>
      <c r="G38" s="31">
        <f ca="1">IF(PAJAK[[#This Row],[//]]="","",INDEX(NOTA[TGL_H],PAJAK[[#This Row],[//]]-2))</f>
        <v>45066</v>
      </c>
      <c r="H38" s="31">
        <f ca="1">IF(PAJAK[[#This Row],[//]]="","",INDEX(INDIRECT("NOTA["&amp;PAJAK[#Headers]&amp;"]"),PAJAK[[#This Row],[//]]-2))</f>
        <v>45062</v>
      </c>
      <c r="I38" s="30" t="str">
        <f ca="1">IF(PAJAK[[#This Row],[//]]="","",INDEX(INDIRECT("NOTA["&amp;PAJAK[#Headers]&amp;"]"),PAJAK[[#This Row],[//]]-2))</f>
        <v>SA230507689</v>
      </c>
      <c r="J38" s="29" t="str">
        <f ca="1">IF(OR(PAJAK[[#This Row],[//]]="",INDEX(INDIRECT("NOTA["&amp;PAJAK[#Headers]&amp;"]"),PAJAK[[#This Row],[//]]-2)=""),"",INDEX(INDIRECT("NOTA["&amp;PAJAK[#Headers]&amp;"]"),PAJAK[[#This Row],[//]]-2))</f>
        <v/>
      </c>
      <c r="K38" s="146">
        <f ca="1">IF(PAJAK[[#This Row],[//]]="","",SUMIF(NOTA[ID_H],PAJAK[[#This Row],[ID]],NOTA[JUMLAH]))</f>
        <v>86400000</v>
      </c>
      <c r="L38" s="146">
        <f ca="1">IF(PAJAK[[#This Row],[//]]="","",SUMIF(NOTA[ID_H],PAJAK[[#This Row],[ID]],NOTA[DISC]))</f>
        <v>14580000</v>
      </c>
      <c r="M38" s="146">
        <f ca="1">PAJAK[[#This Row],[SUB TOTAL]]-PAJAK[[#This Row],[DISKON]]</f>
        <v>71820000</v>
      </c>
      <c r="N38" s="146">
        <f ca="1">IF(PAJAK[[#This Row],[//]]="","",INDEX(INDIRECT("NOTA["&amp;PAJAK[#Headers]&amp;"]"),PAJAK[[#This Row],[//]]-2+PAJAK[[#This Row],[QB]]-1))</f>
        <v>0</v>
      </c>
      <c r="O38" s="146">
        <f ca="1">(PAJAK[[#This Row],[SUB T-DISC]]-PAJAK[[#This Row],[DISC DLL]])/111%</f>
        <v>64702702.702702694</v>
      </c>
      <c r="P38" s="146">
        <f ca="1">PAJAK[[#This Row],[DPP]]*PAJAK[[#This Row],[PPN]]</f>
        <v>7117297.2972972961</v>
      </c>
      <c r="Q38" s="146">
        <f ca="1">PAJAK[[#This Row],[DPP]]+PAJAK[[#This Row],[PPN 11%]]</f>
        <v>71819999.999999985</v>
      </c>
      <c r="R38" s="32" t="str">
        <f ca="1">IF(ISNUMBER(PAJAK[[#This Row],[//]]),PPN,"")</f>
        <v>11%</v>
      </c>
    </row>
    <row r="39" spans="1:18" x14ac:dyDescent="0.25">
      <c r="A39" s="3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586</v>
      </c>
      <c r="B39" s="127">
        <f ca="1">HYPERLINK("[NOTA_.XLSX]NOTA!c"&amp;PAJAK[[#This Row],[//]],IF(PAJAK[[#This Row],[//]]="","",INDEX(INDIRECT("NOTA["&amp;PAJAK[#Headers]&amp;"]"),PAJAK[[#This Row],[//]]-2)))</f>
        <v>106</v>
      </c>
      <c r="C39" s="33" t="str">
        <f ca="1">IF(PAJAK[[#This Row],[//]]="","",INDEX(INDIRECT("NOTA["&amp;PAJAK[#Headers]&amp;"]"),PAJAK[[#This Row],[//]]-2))</f>
        <v>ATA_2205_813-11</v>
      </c>
      <c r="D39" s="33">
        <f ca="1">MATCH(PAJAK[[#This Row],[ID]],[4]!Table1[ID],0)</f>
        <v>54</v>
      </c>
      <c r="E39" s="126">
        <f ca="1">IF(PAJAK[[#This Row],[ID]]="","",COUNTIF(NOTA[ID_H],PAJAK[[#This Row],[ID]]))</f>
        <v>11</v>
      </c>
      <c r="F39" s="29" t="str">
        <f ca="1">IF(PAJAK[[#This Row],[//]]="","",INDEX(CONV[2],MATCH(INDEX(INDIRECT("NOTA["&amp;PAJAK[#Headers]&amp;"]"),PAJAK[[#This Row],[//]]-2),CONV[1],0),0))</f>
        <v>PT ATALI MAKMUR</v>
      </c>
      <c r="G39" s="31">
        <f ca="1">IF(PAJAK[[#This Row],[//]]="","",INDEX(NOTA[TGL_H],PAJAK[[#This Row],[//]]-2))</f>
        <v>45068</v>
      </c>
      <c r="H39" s="31">
        <f ca="1">IF(PAJAK[[#This Row],[//]]="","",INDEX(INDIRECT("NOTA["&amp;PAJAK[#Headers]&amp;"]"),PAJAK[[#This Row],[//]]-2))</f>
        <v>45063</v>
      </c>
      <c r="I39" s="30" t="str">
        <f ca="1">IF(PAJAK[[#This Row],[//]]="","",INDEX(INDIRECT("NOTA["&amp;PAJAK[#Headers]&amp;"]"),PAJAK[[#This Row],[//]]-2))</f>
        <v>SA230507813</v>
      </c>
      <c r="J39" s="29" t="str">
        <f ca="1">IF(OR(PAJAK[[#This Row],[//]]="",INDEX(INDIRECT("NOTA["&amp;PAJAK[#Headers]&amp;"]"),PAJAK[[#This Row],[//]]-2)=""),"",INDEX(INDIRECT("NOTA["&amp;PAJAK[#Headers]&amp;"]"),PAJAK[[#This Row],[//]]-2))</f>
        <v/>
      </c>
      <c r="K39" s="146">
        <f ca="1">IF(PAJAK[[#This Row],[//]]="","",SUMIF(NOTA[ID_H],PAJAK[[#This Row],[ID]],NOTA[JUMLAH]))</f>
        <v>22525000</v>
      </c>
      <c r="L39" s="146">
        <f ca="1">IF(PAJAK[[#This Row],[//]]="","",SUMIF(NOTA[ID_H],PAJAK[[#This Row],[ID]],NOTA[DISC]))</f>
        <v>3801093.75</v>
      </c>
      <c r="M39" s="146">
        <f ca="1">PAJAK[[#This Row],[SUB TOTAL]]-PAJAK[[#This Row],[DISKON]]</f>
        <v>18723906.25</v>
      </c>
      <c r="N39" s="146">
        <f ca="1">IF(PAJAK[[#This Row],[//]]="","",INDEX(INDIRECT("NOTA["&amp;PAJAK[#Headers]&amp;"]"),PAJAK[[#This Row],[//]]-2+PAJAK[[#This Row],[QB]]-1))</f>
        <v>0</v>
      </c>
      <c r="O39" s="146">
        <f ca="1">(PAJAK[[#This Row],[SUB T-DISC]]-PAJAK[[#This Row],[DISC DLL]])/111%</f>
        <v>16868384.009009007</v>
      </c>
      <c r="P39" s="146">
        <f ca="1">PAJAK[[#This Row],[DPP]]*PAJAK[[#This Row],[PPN]]</f>
        <v>1855522.2409909908</v>
      </c>
      <c r="Q39" s="146">
        <f ca="1">PAJAK[[#This Row],[DPP]]+PAJAK[[#This Row],[PPN 11%]]</f>
        <v>18723906.25</v>
      </c>
      <c r="R39" s="32" t="str">
        <f ca="1">IF(ISNUMBER(PAJAK[[#This Row],[//]]),PPN,"")</f>
        <v>11%</v>
      </c>
    </row>
    <row r="40" spans="1:18" x14ac:dyDescent="0.25">
      <c r="A40" s="3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598</v>
      </c>
      <c r="B40" s="127">
        <f ca="1">HYPERLINK("[NOTA_.XLSX]NOTA!c"&amp;PAJAK[[#This Row],[//]],IF(PAJAK[[#This Row],[//]]="","",INDEX(INDIRECT("NOTA["&amp;PAJAK[#Headers]&amp;"]"),PAJAK[[#This Row],[//]]-2)))</f>
        <v>107</v>
      </c>
      <c r="C40" s="33" t="str">
        <f ca="1">IF(PAJAK[[#This Row],[//]]="","",INDEX(INDIRECT("NOTA["&amp;PAJAK[#Headers]&amp;"]"),PAJAK[[#This Row],[//]]-2))</f>
        <v>ATA_2205_814-11</v>
      </c>
      <c r="D40" s="33">
        <f ca="1">MATCH(PAJAK[[#This Row],[ID]],[4]!Table1[ID],0)</f>
        <v>55</v>
      </c>
      <c r="E40" s="126">
        <f ca="1">IF(PAJAK[[#This Row],[ID]]="","",COUNTIF(NOTA[ID_H],PAJAK[[#This Row],[ID]]))</f>
        <v>11</v>
      </c>
      <c r="F40" s="29" t="str">
        <f ca="1">IF(PAJAK[[#This Row],[//]]="","",INDEX(CONV[2],MATCH(INDEX(INDIRECT("NOTA["&amp;PAJAK[#Headers]&amp;"]"),PAJAK[[#This Row],[//]]-2),CONV[1],0),0))</f>
        <v>PT ATALI MAKMUR</v>
      </c>
      <c r="G40" s="31">
        <f ca="1">IF(PAJAK[[#This Row],[//]]="","",INDEX(NOTA[TGL_H],PAJAK[[#This Row],[//]]-2))</f>
        <v>45068</v>
      </c>
      <c r="H40" s="31">
        <f ca="1">IF(PAJAK[[#This Row],[//]]="","",INDEX(INDIRECT("NOTA["&amp;PAJAK[#Headers]&amp;"]"),PAJAK[[#This Row],[//]]-2))</f>
        <v>45063</v>
      </c>
      <c r="I40" s="30" t="str">
        <f ca="1">IF(PAJAK[[#This Row],[//]]="","",INDEX(INDIRECT("NOTA["&amp;PAJAK[#Headers]&amp;"]"),PAJAK[[#This Row],[//]]-2))</f>
        <v>SA230507814</v>
      </c>
      <c r="J40" s="29" t="str">
        <f ca="1">IF(OR(PAJAK[[#This Row],[//]]="",INDEX(INDIRECT("NOTA["&amp;PAJAK[#Headers]&amp;"]"),PAJAK[[#This Row],[//]]-2)=""),"",INDEX(INDIRECT("NOTA["&amp;PAJAK[#Headers]&amp;"]"),PAJAK[[#This Row],[//]]-2))</f>
        <v/>
      </c>
      <c r="K40" s="146">
        <f ca="1">IF(PAJAK[[#This Row],[//]]="","",SUMIF(NOTA[ID_H],PAJAK[[#This Row],[ID]],NOTA[JUMLAH]))</f>
        <v>14724000</v>
      </c>
      <c r="L40" s="146">
        <f ca="1">IF(PAJAK[[#This Row],[//]]="","",SUMIF(NOTA[ID_H],PAJAK[[#This Row],[ID]],NOTA[DISC]))</f>
        <v>2484675</v>
      </c>
      <c r="M40" s="146">
        <f ca="1">PAJAK[[#This Row],[SUB TOTAL]]-PAJAK[[#This Row],[DISKON]]</f>
        <v>12239325</v>
      </c>
      <c r="N40" s="146">
        <f ca="1">IF(PAJAK[[#This Row],[//]]="","",INDEX(INDIRECT("NOTA["&amp;PAJAK[#Headers]&amp;"]"),PAJAK[[#This Row],[//]]-2+PAJAK[[#This Row],[QB]]-1))</f>
        <v>0</v>
      </c>
      <c r="O40" s="146">
        <f ca="1">(PAJAK[[#This Row],[SUB T-DISC]]-PAJAK[[#This Row],[DISC DLL]])/111%</f>
        <v>11026418.918918919</v>
      </c>
      <c r="P40" s="146">
        <f ca="1">PAJAK[[#This Row],[DPP]]*PAJAK[[#This Row],[PPN]]</f>
        <v>1212906.0810810812</v>
      </c>
      <c r="Q40" s="146">
        <f ca="1">PAJAK[[#This Row],[DPP]]+PAJAK[[#This Row],[PPN 11%]]</f>
        <v>12239325</v>
      </c>
      <c r="R40" s="32" t="str">
        <f ca="1">IF(ISNUMBER(PAJAK[[#This Row],[//]]),PPN,"")</f>
        <v>11%</v>
      </c>
    </row>
    <row r="41" spans="1:18" x14ac:dyDescent="0.25">
      <c r="A41" s="3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610</v>
      </c>
      <c r="B41" s="127">
        <f ca="1">HYPERLINK("[NOTA_.XLSX]NOTA!c"&amp;PAJAK[[#This Row],[//]],IF(PAJAK[[#This Row],[//]]="","",INDEX(INDIRECT("NOTA["&amp;PAJAK[#Headers]&amp;"]"),PAJAK[[#This Row],[//]]-2)))</f>
        <v>108</v>
      </c>
      <c r="C41" s="33" t="str">
        <f ca="1">IF(PAJAK[[#This Row],[//]]="","",INDEX(INDIRECT("NOTA["&amp;PAJAK[#Headers]&amp;"]"),PAJAK[[#This Row],[//]]-2))</f>
        <v>ATA_2205_812-11</v>
      </c>
      <c r="D41" s="33">
        <f ca="1">MATCH(PAJAK[[#This Row],[ID]],[4]!Table1[ID],0)</f>
        <v>53</v>
      </c>
      <c r="E41" s="126">
        <f ca="1">IF(PAJAK[[#This Row],[ID]]="","",COUNTIF(NOTA[ID_H],PAJAK[[#This Row],[ID]]))</f>
        <v>11</v>
      </c>
      <c r="F41" s="29" t="str">
        <f ca="1">IF(PAJAK[[#This Row],[//]]="","",INDEX(CONV[2],MATCH(INDEX(INDIRECT("NOTA["&amp;PAJAK[#Headers]&amp;"]"),PAJAK[[#This Row],[//]]-2),CONV[1],0),0))</f>
        <v>PT ATALI MAKMUR</v>
      </c>
      <c r="G41" s="31">
        <f ca="1">IF(PAJAK[[#This Row],[//]]="","",INDEX(NOTA[TGL_H],PAJAK[[#This Row],[//]]-2))</f>
        <v>45068</v>
      </c>
      <c r="H41" s="31">
        <f ca="1">IF(PAJAK[[#This Row],[//]]="","",INDEX(INDIRECT("NOTA["&amp;PAJAK[#Headers]&amp;"]"),PAJAK[[#This Row],[//]]-2))</f>
        <v>45063</v>
      </c>
      <c r="I41" s="30" t="str">
        <f ca="1">IF(PAJAK[[#This Row],[//]]="","",INDEX(INDIRECT("NOTA["&amp;PAJAK[#Headers]&amp;"]"),PAJAK[[#This Row],[//]]-2))</f>
        <v>SA230507812</v>
      </c>
      <c r="J41" s="29" t="str">
        <f ca="1">IF(OR(PAJAK[[#This Row],[//]]="",INDEX(INDIRECT("NOTA["&amp;PAJAK[#Headers]&amp;"]"),PAJAK[[#This Row],[//]]-2)=""),"",INDEX(INDIRECT("NOTA["&amp;PAJAK[#Headers]&amp;"]"),PAJAK[[#This Row],[//]]-2))</f>
        <v/>
      </c>
      <c r="K41" s="146">
        <f ca="1">IF(PAJAK[[#This Row],[//]]="","",SUMIF(NOTA[ID_H],PAJAK[[#This Row],[ID]],NOTA[JUMLAH]))</f>
        <v>42413600</v>
      </c>
      <c r="L41" s="146">
        <f ca="1">IF(PAJAK[[#This Row],[//]]="","",SUMIF(NOTA[ID_H],PAJAK[[#This Row],[ID]],NOTA[DISC]))</f>
        <v>7157295</v>
      </c>
      <c r="M41" s="146">
        <f ca="1">PAJAK[[#This Row],[SUB TOTAL]]-PAJAK[[#This Row],[DISKON]]</f>
        <v>35256305</v>
      </c>
      <c r="N41" s="146">
        <f ca="1">IF(PAJAK[[#This Row],[//]]="","",INDEX(INDIRECT("NOTA["&amp;PAJAK[#Headers]&amp;"]"),PAJAK[[#This Row],[//]]-2+PAJAK[[#This Row],[QB]]-1))</f>
        <v>0</v>
      </c>
      <c r="O41" s="146">
        <f ca="1">(PAJAK[[#This Row],[SUB T-DISC]]-PAJAK[[#This Row],[DISC DLL]])/111%</f>
        <v>31762436.936936934</v>
      </c>
      <c r="P41" s="146">
        <f ca="1">PAJAK[[#This Row],[DPP]]*PAJAK[[#This Row],[PPN]]</f>
        <v>3493868.0630630627</v>
      </c>
      <c r="Q41" s="146">
        <f ca="1">PAJAK[[#This Row],[DPP]]+PAJAK[[#This Row],[PPN 11%]]</f>
        <v>35256305</v>
      </c>
      <c r="R41" s="32" t="str">
        <f ca="1">IF(ISNUMBER(PAJAK[[#This Row],[//]]),PPN,"")</f>
        <v>11%</v>
      </c>
    </row>
    <row r="42" spans="1:18" x14ac:dyDescent="0.25">
      <c r="A42" s="3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640</v>
      </c>
      <c r="B42" s="127">
        <f ca="1">HYPERLINK("[NOTA_.XLSX]NOTA!c"&amp;PAJAK[[#This Row],[//]],IF(PAJAK[[#This Row],[//]]="","",INDEX(INDIRECT("NOTA["&amp;PAJAK[#Headers]&amp;"]"),PAJAK[[#This Row],[//]]-2)))</f>
        <v>115</v>
      </c>
      <c r="C42" s="33" t="str">
        <f ca="1">IF(PAJAK[[#This Row],[//]]="","",INDEX(INDIRECT("NOTA["&amp;PAJAK[#Headers]&amp;"]"),PAJAK[[#This Row],[//]]-2))</f>
        <v>KEN_2305_973-4</v>
      </c>
      <c r="D42" s="33">
        <f ca="1">MATCH(PAJAK[[#This Row],[ID]],[4]!Table1[ID],0)</f>
        <v>25</v>
      </c>
      <c r="E42" s="126">
        <f ca="1">IF(PAJAK[[#This Row],[ID]]="","",COUNTIF(NOTA[ID_H],PAJAK[[#This Row],[ID]]))</f>
        <v>4</v>
      </c>
      <c r="F42" s="29" t="str">
        <f ca="1">IF(PAJAK[[#This Row],[//]]="","",INDEX(CONV[2],MATCH(INDEX(INDIRECT("NOTA["&amp;PAJAK[#Headers]&amp;"]"),PAJAK[[#This Row],[//]]-2),CONV[1],0),0))</f>
        <v>PT KENKO SINAR INDONESIA</v>
      </c>
      <c r="G42" s="31">
        <f ca="1">IF(PAJAK[[#This Row],[//]]="","",INDEX(NOTA[TGL_H],PAJAK[[#This Row],[//]]-2))</f>
        <v>45069</v>
      </c>
      <c r="H42" s="31">
        <f ca="1">IF(PAJAK[[#This Row],[//]]="","",INDEX(INDIRECT("NOTA["&amp;PAJAK[#Headers]&amp;"]"),PAJAK[[#This Row],[//]]-2))</f>
        <v>45066</v>
      </c>
      <c r="I42" s="30" t="str">
        <f ca="1">IF(PAJAK[[#This Row],[//]]="","",INDEX(INDIRECT("NOTA["&amp;PAJAK[#Headers]&amp;"]"),PAJAK[[#This Row],[//]]-2))</f>
        <v>23051973</v>
      </c>
      <c r="J42" s="29" t="str">
        <f ca="1">IF(OR(PAJAK[[#This Row],[//]]="",INDEX(INDIRECT("NOTA["&amp;PAJAK[#Headers]&amp;"]"),PAJAK[[#This Row],[//]]-2)=""),"",INDEX(INDIRECT("NOTA["&amp;PAJAK[#Headers]&amp;"]"),PAJAK[[#This Row],[//]]-2))</f>
        <v>SA 41698</v>
      </c>
      <c r="K42" s="146">
        <f ca="1">IF(PAJAK[[#This Row],[//]]="","",SUMIF(NOTA[ID_H],PAJAK[[#This Row],[ID]],NOTA[JUMLAH]))</f>
        <v>19652400</v>
      </c>
      <c r="L42" s="146">
        <f ca="1">IF(PAJAK[[#This Row],[//]]="","",SUMIF(NOTA[ID_H],PAJAK[[#This Row],[ID]],NOTA[DISC]))</f>
        <v>3340908</v>
      </c>
      <c r="M42" s="146">
        <f ca="1">PAJAK[[#This Row],[SUB TOTAL]]-PAJAK[[#This Row],[DISKON]]</f>
        <v>16311492</v>
      </c>
      <c r="N42" s="146">
        <f ca="1">IF(PAJAK[[#This Row],[//]]="","",INDEX(INDIRECT("NOTA["&amp;PAJAK[#Headers]&amp;"]"),PAJAK[[#This Row],[//]]-2+PAJAK[[#This Row],[QB]]-1))</f>
        <v>0</v>
      </c>
      <c r="O42" s="146">
        <f ca="1">(PAJAK[[#This Row],[SUB T-DISC]]-PAJAK[[#This Row],[DISC DLL]])/111%</f>
        <v>14695037.837837836</v>
      </c>
      <c r="P42" s="146">
        <f ca="1">PAJAK[[#This Row],[DPP]]*PAJAK[[#This Row],[PPN]]</f>
        <v>1616454.1621621619</v>
      </c>
      <c r="Q42" s="146">
        <f ca="1">PAJAK[[#This Row],[DPP]]+PAJAK[[#This Row],[PPN 11%]]</f>
        <v>16311491.999999998</v>
      </c>
      <c r="R42" s="32" t="str">
        <f ca="1">IF(ISNUMBER(PAJAK[[#This Row],[//]]),PPN,"")</f>
        <v>11%</v>
      </c>
    </row>
    <row r="43" spans="1:18" x14ac:dyDescent="0.25">
      <c r="A43" s="3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645</v>
      </c>
      <c r="B43" s="127">
        <f ca="1">HYPERLINK("[NOTA_.XLSX]NOTA!c"&amp;PAJAK[[#This Row],[//]],IF(PAJAK[[#This Row],[//]]="","",INDEX(INDIRECT("NOTA["&amp;PAJAK[#Headers]&amp;"]"),PAJAK[[#This Row],[//]]-2)))</f>
        <v>116</v>
      </c>
      <c r="C43" s="33" t="str">
        <f ca="1">IF(PAJAK[[#This Row],[//]]="","",INDEX(INDIRECT("NOTA["&amp;PAJAK[#Headers]&amp;"]"),PAJAK[[#This Row],[//]]-2))</f>
        <v>KEN_2305_861-6</v>
      </c>
      <c r="D43" s="33">
        <f ca="1">MATCH(PAJAK[[#This Row],[ID]],[4]!Table1[ID],0)</f>
        <v>23</v>
      </c>
      <c r="E43" s="126">
        <f ca="1">IF(PAJAK[[#This Row],[ID]]="","",COUNTIF(NOTA[ID_H],PAJAK[[#This Row],[ID]]))</f>
        <v>6</v>
      </c>
      <c r="F43" s="29" t="str">
        <f ca="1">IF(PAJAK[[#This Row],[//]]="","",INDEX(CONV[2],MATCH(INDEX(INDIRECT("NOTA["&amp;PAJAK[#Headers]&amp;"]"),PAJAK[[#This Row],[//]]-2),CONV[1],0),0))</f>
        <v>PT KENKO SINAR INDONESIA</v>
      </c>
      <c r="G43" s="31">
        <f ca="1">IF(PAJAK[[#This Row],[//]]="","",INDEX(NOTA[TGL_H],PAJAK[[#This Row],[//]]-2))</f>
        <v>45069</v>
      </c>
      <c r="H43" s="31">
        <f ca="1">IF(PAJAK[[#This Row],[//]]="","",INDEX(INDIRECT("NOTA["&amp;PAJAK[#Headers]&amp;"]"),PAJAK[[#This Row],[//]]-2))</f>
        <v>45065</v>
      </c>
      <c r="I43" s="30" t="str">
        <f ca="1">IF(PAJAK[[#This Row],[//]]="","",INDEX(INDIRECT("NOTA["&amp;PAJAK[#Headers]&amp;"]"),PAJAK[[#This Row],[//]]-2))</f>
        <v>23051861</v>
      </c>
      <c r="J43" s="29" t="str">
        <f ca="1">IF(OR(PAJAK[[#This Row],[//]]="",INDEX(INDIRECT("NOTA["&amp;PAJAK[#Headers]&amp;"]"),PAJAK[[#This Row],[//]]-2)=""),"",INDEX(INDIRECT("NOTA["&amp;PAJAK[#Headers]&amp;"]"),PAJAK[[#This Row],[//]]-2))</f>
        <v>SA 41687</v>
      </c>
      <c r="K43" s="146">
        <f ca="1">IF(PAJAK[[#This Row],[//]]="","",SUMIF(NOTA[ID_H],PAJAK[[#This Row],[ID]],NOTA[JUMLAH]))</f>
        <v>12500000</v>
      </c>
      <c r="L43" s="146">
        <f ca="1">IF(PAJAK[[#This Row],[//]]="","",SUMIF(NOTA[ID_H],PAJAK[[#This Row],[ID]],NOTA[DISC]))</f>
        <v>2125000</v>
      </c>
      <c r="M43" s="146">
        <f ca="1">PAJAK[[#This Row],[SUB TOTAL]]-PAJAK[[#This Row],[DISKON]]</f>
        <v>10375000</v>
      </c>
      <c r="N43" s="146">
        <f ca="1">IF(PAJAK[[#This Row],[//]]="","",INDEX(INDIRECT("NOTA["&amp;PAJAK[#Headers]&amp;"]"),PAJAK[[#This Row],[//]]-2+PAJAK[[#This Row],[QB]]-1))</f>
        <v>0</v>
      </c>
      <c r="O43" s="146">
        <f ca="1">(PAJAK[[#This Row],[SUB T-DISC]]-PAJAK[[#This Row],[DISC DLL]])/111%</f>
        <v>9346846.8468468469</v>
      </c>
      <c r="P43" s="146">
        <f ca="1">PAJAK[[#This Row],[DPP]]*PAJAK[[#This Row],[PPN]]</f>
        <v>1028153.1531531531</v>
      </c>
      <c r="Q43" s="146">
        <f ca="1">PAJAK[[#This Row],[DPP]]+PAJAK[[#This Row],[PPN 11%]]</f>
        <v>10375000</v>
      </c>
      <c r="R43" s="32" t="str">
        <f ca="1">IF(ISNUMBER(PAJAK[[#This Row],[//]]),PPN,"")</f>
        <v>11%</v>
      </c>
    </row>
    <row r="44" spans="1:18" x14ac:dyDescent="0.25">
      <c r="A44" s="3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652</v>
      </c>
      <c r="B44" s="127">
        <f ca="1">HYPERLINK("[NOTA_.XLSX]NOTA!c"&amp;PAJAK[[#This Row],[//]],IF(PAJAK[[#This Row],[//]]="","",INDEX(INDIRECT("NOTA["&amp;PAJAK[#Headers]&amp;"]"),PAJAK[[#This Row],[//]]-2)))</f>
        <v>117</v>
      </c>
      <c r="C44" s="33" t="str">
        <f ca="1">IF(PAJAK[[#This Row],[//]]="","",INDEX(INDIRECT("NOTA["&amp;PAJAK[#Headers]&amp;"]"),PAJAK[[#This Row],[//]]-2))</f>
        <v>KEN_2305_895-1</v>
      </c>
      <c r="D44" s="33">
        <f ca="1">MATCH(PAJAK[[#This Row],[ID]],[4]!Table1[ID],0)</f>
        <v>24</v>
      </c>
      <c r="E44" s="126">
        <f ca="1">IF(PAJAK[[#This Row],[ID]]="","",COUNTIF(NOTA[ID_H],PAJAK[[#This Row],[ID]]))</f>
        <v>1</v>
      </c>
      <c r="F44" s="29" t="str">
        <f ca="1">IF(PAJAK[[#This Row],[//]]="","",INDEX(CONV[2],MATCH(INDEX(INDIRECT("NOTA["&amp;PAJAK[#Headers]&amp;"]"),PAJAK[[#This Row],[//]]-2),CONV[1],0),0))</f>
        <v>PT KENKO SINAR INDONESIA</v>
      </c>
      <c r="G44" s="31">
        <f ca="1">IF(PAJAK[[#This Row],[//]]="","",INDEX(NOTA[TGL_H],PAJAK[[#This Row],[//]]-2))</f>
        <v>45069</v>
      </c>
      <c r="H44" s="31">
        <f ca="1">IF(PAJAK[[#This Row],[//]]="","",INDEX(INDIRECT("NOTA["&amp;PAJAK[#Headers]&amp;"]"),PAJAK[[#This Row],[//]]-2))</f>
        <v>45065</v>
      </c>
      <c r="I44" s="30" t="str">
        <f ca="1">IF(PAJAK[[#This Row],[//]]="","",INDEX(INDIRECT("NOTA["&amp;PAJAK[#Headers]&amp;"]"),PAJAK[[#This Row],[//]]-2))</f>
        <v>23051895</v>
      </c>
      <c r="J44" s="29" t="str">
        <f ca="1">IF(OR(PAJAK[[#This Row],[//]]="",INDEX(INDIRECT("NOTA["&amp;PAJAK[#Headers]&amp;"]"),PAJAK[[#This Row],[//]]-2)=""),"",INDEX(INDIRECT("NOTA["&amp;PAJAK[#Headers]&amp;"]"),PAJAK[[#This Row],[//]]-2))</f>
        <v>SA 41695</v>
      </c>
      <c r="K44" s="146">
        <f ca="1">IF(PAJAK[[#This Row],[//]]="","",SUMIF(NOTA[ID_H],PAJAK[[#This Row],[ID]],NOTA[JUMLAH]))</f>
        <v>6739200</v>
      </c>
      <c r="L44" s="146">
        <f ca="1">IF(PAJAK[[#This Row],[//]]="","",SUMIF(NOTA[ID_H],PAJAK[[#This Row],[ID]],NOTA[DISC]))</f>
        <v>1145664</v>
      </c>
      <c r="M44" s="146">
        <f ca="1">PAJAK[[#This Row],[SUB TOTAL]]-PAJAK[[#This Row],[DISKON]]</f>
        <v>5593536</v>
      </c>
      <c r="N44" s="146">
        <f ca="1">IF(PAJAK[[#This Row],[//]]="","",INDEX(INDIRECT("NOTA["&amp;PAJAK[#Headers]&amp;"]"),PAJAK[[#This Row],[//]]-2+PAJAK[[#This Row],[QB]]-1))</f>
        <v>0</v>
      </c>
      <c r="O44" s="146">
        <f ca="1">(PAJAK[[#This Row],[SUB T-DISC]]-PAJAK[[#This Row],[DISC DLL]])/111%</f>
        <v>5039221.6216216208</v>
      </c>
      <c r="P44" s="146">
        <f ca="1">PAJAK[[#This Row],[DPP]]*PAJAK[[#This Row],[PPN]]</f>
        <v>554314.37837837834</v>
      </c>
      <c r="Q44" s="146">
        <f ca="1">PAJAK[[#This Row],[DPP]]+PAJAK[[#This Row],[PPN 11%]]</f>
        <v>5593535.9999999991</v>
      </c>
      <c r="R44" s="32" t="str">
        <f ca="1">IF(ISNUMBER(PAJAK[[#This Row],[//]]),PPN,"")</f>
        <v>11%</v>
      </c>
    </row>
    <row r="45" spans="1:18" x14ac:dyDescent="0.25">
      <c r="A45" s="2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654</v>
      </c>
      <c r="B45" s="29">
        <f ca="1">HYPERLINK("[NOTA_.XLSX]NOTA!c"&amp;PAJAK[[#This Row],[//]],IF(PAJAK[[#This Row],[//]]="","",INDEX(INDIRECT("NOTA["&amp;PAJAK[#Headers]&amp;"]"),PAJAK[[#This Row],[//]]-2)))</f>
        <v>118</v>
      </c>
      <c r="C45" s="29" t="str">
        <f ca="1">IF(PAJAK[[#This Row],[//]]="","",INDEX(INDIRECT("NOTA["&amp;PAJAK[#Headers]&amp;"]"),PAJAK[[#This Row],[//]]-2))</f>
        <v>KEN_2305_749-9</v>
      </c>
      <c r="D45" s="29">
        <f ca="1">MATCH(PAJAK[[#This Row],[ID]],[4]!Table1[ID],0)</f>
        <v>22</v>
      </c>
      <c r="E45" s="30">
        <f ca="1">IF(PAJAK[[#This Row],[ID]]="","",COUNTIF(NOTA[ID_H],PAJAK[[#This Row],[ID]]))</f>
        <v>9</v>
      </c>
      <c r="F45" s="29" t="str">
        <f ca="1">IF(PAJAK[[#This Row],[//]]="","",INDEX(CONV[2],MATCH(INDEX(INDIRECT("NOTA["&amp;PAJAK[#Headers]&amp;"]"),PAJAK[[#This Row],[//]]-2),CONV[1],0),0))</f>
        <v>PT KENKO SINAR INDONESIA</v>
      </c>
      <c r="G45" s="31">
        <f ca="1">IF(PAJAK[[#This Row],[//]]="","",INDEX(NOTA[TGL_H],PAJAK[[#This Row],[//]]-2))</f>
        <v>45069</v>
      </c>
      <c r="H45" s="31">
        <f ca="1">IF(PAJAK[[#This Row],[//]]="","",INDEX(INDIRECT("NOTA["&amp;PAJAK[#Headers]&amp;"]"),PAJAK[[#This Row],[//]]-2))</f>
        <v>45063</v>
      </c>
      <c r="I45" s="30" t="str">
        <f ca="1">IF(PAJAK[[#This Row],[//]]="","",INDEX(INDIRECT("NOTA["&amp;PAJAK[#Headers]&amp;"]"),PAJAK[[#This Row],[//]]-2))</f>
        <v>23051749</v>
      </c>
      <c r="J45" s="29" t="str">
        <f ca="1">IF(OR(PAJAK[[#This Row],[//]]="",INDEX(INDIRECT("NOTA["&amp;PAJAK[#Headers]&amp;"]"),PAJAK[[#This Row],[//]]-2)=""),"",INDEX(INDIRECT("NOTA["&amp;PAJAK[#Headers]&amp;"]"),PAJAK[[#This Row],[//]]-2))</f>
        <v/>
      </c>
      <c r="K45" s="146">
        <f ca="1">IF(PAJAK[[#This Row],[//]]="","",SUMIF(NOTA[ID_H],PAJAK[[#This Row],[ID]],NOTA[JUMLAH]))</f>
        <v>34633200</v>
      </c>
      <c r="L45" s="146">
        <f ca="1">IF(PAJAK[[#This Row],[//]]="","",SUMIF(NOTA[ID_H],PAJAK[[#This Row],[ID]],NOTA[DISC]))</f>
        <v>5887644</v>
      </c>
      <c r="M45" s="146">
        <f ca="1">PAJAK[[#This Row],[SUB TOTAL]]-PAJAK[[#This Row],[DISKON]]</f>
        <v>28745556</v>
      </c>
      <c r="N45" s="146">
        <f ca="1">IF(PAJAK[[#This Row],[//]]="","",INDEX(INDIRECT("NOTA["&amp;PAJAK[#Headers]&amp;"]"),PAJAK[[#This Row],[//]]-2+PAJAK[[#This Row],[QB]]-1))</f>
        <v>0</v>
      </c>
      <c r="O45" s="146">
        <f ca="1">(PAJAK[[#This Row],[SUB T-DISC]]-PAJAK[[#This Row],[DISC DLL]])/111%</f>
        <v>25896897.297297295</v>
      </c>
      <c r="P45" s="146">
        <f ca="1">PAJAK[[#This Row],[DPP]]*PAJAK[[#This Row],[PPN]]</f>
        <v>2848658.7027027025</v>
      </c>
      <c r="Q45" s="146">
        <f ca="1">PAJAK[[#This Row],[DPP]]+PAJAK[[#This Row],[PPN 11%]]</f>
        <v>28745555.999999996</v>
      </c>
      <c r="R45" s="32" t="str">
        <f ca="1">IF(ISNUMBER(PAJAK[[#This Row],[//]]),PPN,"")</f>
        <v>11%</v>
      </c>
    </row>
    <row r="46" spans="1:18" x14ac:dyDescent="0.25">
      <c r="A46" s="2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668</v>
      </c>
      <c r="B46" s="29">
        <f ca="1">HYPERLINK("[NOTA_.XLSX]NOTA!c"&amp;PAJAK[[#This Row],[//]],IF(PAJAK[[#This Row],[//]]="","",INDEX(INDIRECT("NOTA["&amp;PAJAK[#Headers]&amp;"]"),PAJAK[[#This Row],[//]]-2)))</f>
        <v>121</v>
      </c>
      <c r="C46" s="29" t="str">
        <f ca="1">IF(PAJAK[[#This Row],[//]]="","",INDEX(INDIRECT("NOTA["&amp;PAJAK[#Headers]&amp;"]"),PAJAK[[#This Row],[//]]-2))</f>
        <v>ATA_2405_030-10</v>
      </c>
      <c r="D46" s="29">
        <f ca="1">MATCH(PAJAK[[#This Row],[ID]],[4]!Table1[ID],0)</f>
        <v>57</v>
      </c>
      <c r="E46" s="30">
        <f ca="1">IF(PAJAK[[#This Row],[ID]]="","",COUNTIF(NOTA[ID_H],PAJAK[[#This Row],[ID]]))</f>
        <v>10</v>
      </c>
      <c r="F46" s="29" t="str">
        <f ca="1">IF(PAJAK[[#This Row],[//]]="","",INDEX(CONV[2],MATCH(INDEX(INDIRECT("NOTA["&amp;PAJAK[#Headers]&amp;"]"),PAJAK[[#This Row],[//]]-2),CONV[1],0),0))</f>
        <v>PT ATALI MAKMUR</v>
      </c>
      <c r="G46" s="31">
        <f ca="1">IF(PAJAK[[#This Row],[//]]="","",INDEX(NOTA[TGL_H],PAJAK[[#This Row],[//]]-2))</f>
        <v>45070</v>
      </c>
      <c r="H46" s="31">
        <f ca="1">IF(PAJAK[[#This Row],[//]]="","",INDEX(INDIRECT("NOTA["&amp;PAJAK[#Headers]&amp;"]"),PAJAK[[#This Row],[//]]-2))</f>
        <v>45066</v>
      </c>
      <c r="I46" s="30" t="str">
        <f ca="1">IF(PAJAK[[#This Row],[//]]="","",INDEX(INDIRECT("NOTA["&amp;PAJAK[#Headers]&amp;"]"),PAJAK[[#This Row],[//]]-2))</f>
        <v>SA230508030</v>
      </c>
      <c r="J46" s="29" t="str">
        <f ca="1">IF(OR(PAJAK[[#This Row],[//]]="",INDEX(INDIRECT("NOTA["&amp;PAJAK[#Headers]&amp;"]"),PAJAK[[#This Row],[//]]-2)=""),"",INDEX(INDIRECT("NOTA["&amp;PAJAK[#Headers]&amp;"]"),PAJAK[[#This Row],[//]]-2))</f>
        <v/>
      </c>
      <c r="K46" s="146">
        <f ca="1">IF(PAJAK[[#This Row],[//]]="","",SUMIF(NOTA[ID_H],PAJAK[[#This Row],[ID]],NOTA[JUMLAH]))</f>
        <v>33160000</v>
      </c>
      <c r="L46" s="146">
        <f ca="1">IF(PAJAK[[#This Row],[//]]="","",SUMIF(NOTA[ID_H],PAJAK[[#This Row],[ID]],NOTA[DISC]))</f>
        <v>5592306.25</v>
      </c>
      <c r="M46" s="146">
        <f ca="1">PAJAK[[#This Row],[SUB TOTAL]]-PAJAK[[#This Row],[DISKON]]</f>
        <v>27567693.75</v>
      </c>
      <c r="N46" s="146">
        <f ca="1">IF(PAJAK[[#This Row],[//]]="","",INDEX(INDIRECT("NOTA["&amp;PAJAK[#Headers]&amp;"]"),PAJAK[[#This Row],[//]]-2+PAJAK[[#This Row],[QB]]-1))</f>
        <v>123975</v>
      </c>
      <c r="O46" s="146">
        <f ca="1">(PAJAK[[#This Row],[SUB T-DISC]]-PAJAK[[#This Row],[DISC DLL]])/111%</f>
        <v>24724070.945945945</v>
      </c>
      <c r="P46" s="146">
        <f ca="1">PAJAK[[#This Row],[DPP]]*PAJAK[[#This Row],[PPN]]</f>
        <v>2719647.804054054</v>
      </c>
      <c r="Q46" s="146">
        <f ca="1">PAJAK[[#This Row],[DPP]]+PAJAK[[#This Row],[PPN 11%]]</f>
        <v>27443718.75</v>
      </c>
      <c r="R46" s="32" t="str">
        <f ca="1">IF(ISNUMBER(PAJAK[[#This Row],[//]]),PPN,"")</f>
        <v>11%</v>
      </c>
    </row>
    <row r="47" spans="1:18" x14ac:dyDescent="0.25">
      <c r="A47" s="3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679</v>
      </c>
      <c r="B47" s="127">
        <f ca="1">HYPERLINK("[NOTA_.XLSX]NOTA!c"&amp;PAJAK[[#This Row],[//]],IF(PAJAK[[#This Row],[//]]="","",INDEX(INDIRECT("NOTA["&amp;PAJAK[#Headers]&amp;"]"),PAJAK[[#This Row],[//]]-2)))</f>
        <v>122</v>
      </c>
      <c r="C47" s="33" t="str">
        <f ca="1">IF(PAJAK[[#This Row],[//]]="","",INDEX(INDIRECT("NOTA["&amp;PAJAK[#Headers]&amp;"]"),PAJAK[[#This Row],[//]]-2))</f>
        <v>ATA_2405_029-11</v>
      </c>
      <c r="D47" s="33">
        <f ca="1">MATCH(PAJAK[[#This Row],[ID]],[4]!Table1[ID],0)</f>
        <v>56</v>
      </c>
      <c r="E47" s="126">
        <f ca="1">IF(PAJAK[[#This Row],[ID]]="","",COUNTIF(NOTA[ID_H],PAJAK[[#This Row],[ID]]))</f>
        <v>11</v>
      </c>
      <c r="F47" s="29" t="str">
        <f ca="1">IF(PAJAK[[#This Row],[//]]="","",INDEX(CONV[2],MATCH(INDEX(INDIRECT("NOTA["&amp;PAJAK[#Headers]&amp;"]"),PAJAK[[#This Row],[//]]-2),CONV[1],0),0))</f>
        <v>PT ATALI MAKMUR</v>
      </c>
      <c r="G47" s="31">
        <f ca="1">IF(PAJAK[[#This Row],[//]]="","",INDEX(NOTA[TGL_H],PAJAK[[#This Row],[//]]-2))</f>
        <v>45070</v>
      </c>
      <c r="H47" s="31">
        <f ca="1">IF(PAJAK[[#This Row],[//]]="","",INDEX(INDIRECT("NOTA["&amp;PAJAK[#Headers]&amp;"]"),PAJAK[[#This Row],[//]]-2))</f>
        <v>45066</v>
      </c>
      <c r="I47" s="30" t="str">
        <f ca="1">IF(PAJAK[[#This Row],[//]]="","",INDEX(INDIRECT("NOTA["&amp;PAJAK[#Headers]&amp;"]"),PAJAK[[#This Row],[//]]-2))</f>
        <v>SA230508029</v>
      </c>
      <c r="J47" s="29" t="str">
        <f ca="1">IF(OR(PAJAK[[#This Row],[//]]="",INDEX(INDIRECT("NOTA["&amp;PAJAK[#Headers]&amp;"]"),PAJAK[[#This Row],[//]]-2)=""),"",INDEX(INDIRECT("NOTA["&amp;PAJAK[#Headers]&amp;"]"),PAJAK[[#This Row],[//]]-2))</f>
        <v/>
      </c>
      <c r="K47" s="146">
        <f ca="1">IF(PAJAK[[#This Row],[//]]="","",SUMIF(NOTA[ID_H],PAJAK[[#This Row],[ID]],NOTA[JUMLAH]))</f>
        <v>33697200</v>
      </c>
      <c r="L47" s="146">
        <f ca="1">IF(PAJAK[[#This Row],[//]]="","",SUMIF(NOTA[ID_H],PAJAK[[#This Row],[ID]],NOTA[DISC]))</f>
        <v>5686402.5</v>
      </c>
      <c r="M47" s="146">
        <f ca="1">PAJAK[[#This Row],[SUB TOTAL]]-PAJAK[[#This Row],[DISKON]]</f>
        <v>28010797.5</v>
      </c>
      <c r="N47" s="146">
        <f ca="1">IF(PAJAK[[#This Row],[//]]="","",INDEX(INDIRECT("NOTA["&amp;PAJAK[#Headers]&amp;"]"),PAJAK[[#This Row],[//]]-2+PAJAK[[#This Row],[QB]]-1))</f>
        <v>0</v>
      </c>
      <c r="O47" s="146">
        <f ca="1">(PAJAK[[#This Row],[SUB T-DISC]]-PAJAK[[#This Row],[DISC DLL]])/111%</f>
        <v>25234952.702702701</v>
      </c>
      <c r="P47" s="146">
        <f ca="1">PAJAK[[#This Row],[DPP]]*PAJAK[[#This Row],[PPN]]</f>
        <v>2775844.797297297</v>
      </c>
      <c r="Q47" s="146">
        <f ca="1">PAJAK[[#This Row],[DPP]]+PAJAK[[#This Row],[PPN 11%]]</f>
        <v>28010797.5</v>
      </c>
      <c r="R47" s="32" t="str">
        <f ca="1">IF(ISNUMBER(PAJAK[[#This Row],[//]]),PPN,"")</f>
        <v>11%</v>
      </c>
    </row>
    <row r="48" spans="1:18" x14ac:dyDescent="0.25">
      <c r="A48" s="29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693</v>
      </c>
      <c r="B48" s="29">
        <f ca="1">HYPERLINK("[NOTA_.XLSX]NOTA!c"&amp;PAJAK[[#This Row],[//]],IF(PAJAK[[#This Row],[//]]="","",INDEX(INDIRECT("NOTA["&amp;PAJAK[#Headers]&amp;"]"),PAJAK[[#This Row],[//]]-2)))</f>
        <v>124</v>
      </c>
      <c r="C48" s="29" t="str">
        <f ca="1">IF(PAJAK[[#This Row],[//]]="","",INDEX(INDIRECT("NOTA["&amp;PAJAK[#Headers]&amp;"]"),PAJAK[[#This Row],[//]]-2))</f>
        <v>KEN_2405_092-2</v>
      </c>
      <c r="D48" s="29">
        <f ca="1">MATCH(PAJAK[[#This Row],[ID]],[4]!Table1[ID],0)</f>
        <v>26</v>
      </c>
      <c r="E48" s="30">
        <f ca="1">IF(PAJAK[[#This Row],[ID]]="","",COUNTIF(NOTA[ID_H],PAJAK[[#This Row],[ID]]))</f>
        <v>2</v>
      </c>
      <c r="F48" s="29" t="str">
        <f ca="1">IF(PAJAK[[#This Row],[//]]="","",INDEX(CONV[2],MATCH(INDEX(INDIRECT("NOTA["&amp;PAJAK[#Headers]&amp;"]"),PAJAK[[#This Row],[//]]-2),CONV[1],0),0))</f>
        <v>PT KENKO SINAR INDONESIA</v>
      </c>
      <c r="G48" s="31">
        <f ca="1">IF(PAJAK[[#This Row],[//]]="","",INDEX(NOTA[TGL_H],PAJAK[[#This Row],[//]]-2))</f>
        <v>45070</v>
      </c>
      <c r="H48" s="31">
        <f ca="1">IF(PAJAK[[#This Row],[//]]="","",INDEX(INDIRECT("NOTA["&amp;PAJAK[#Headers]&amp;"]"),PAJAK[[#This Row],[//]]-2))</f>
        <v>45068</v>
      </c>
      <c r="I48" s="30" t="str">
        <f ca="1">IF(PAJAK[[#This Row],[//]]="","",INDEX(INDIRECT("NOTA["&amp;PAJAK[#Headers]&amp;"]"),PAJAK[[#This Row],[//]]-2))</f>
        <v>23052092</v>
      </c>
      <c r="J48" s="29" t="str">
        <f ca="1">IF(OR(PAJAK[[#This Row],[//]]="",INDEX(INDIRECT("NOTA["&amp;PAJAK[#Headers]&amp;"]"),PAJAK[[#This Row],[//]]-2)=""),"",INDEX(INDIRECT("NOTA["&amp;PAJAK[#Headers]&amp;"]"),PAJAK[[#This Row],[//]]-2))</f>
        <v>SA 41737</v>
      </c>
      <c r="K48" s="146">
        <f ca="1">IF(PAJAK[[#This Row],[//]]="","",SUMIF(NOTA[ID_H],PAJAK[[#This Row],[ID]],NOTA[JUMLAH]))</f>
        <v>8870400</v>
      </c>
      <c r="L48" s="146">
        <f ca="1">IF(PAJAK[[#This Row],[//]]="","",SUMIF(NOTA[ID_H],PAJAK[[#This Row],[ID]],NOTA[DISC]))</f>
        <v>1507968.0000000002</v>
      </c>
      <c r="M48" s="146">
        <f ca="1">PAJAK[[#This Row],[SUB TOTAL]]-PAJAK[[#This Row],[DISKON]]</f>
        <v>7362432</v>
      </c>
      <c r="N48" s="146">
        <f ca="1">IF(PAJAK[[#This Row],[//]]="","",INDEX(INDIRECT("NOTA["&amp;PAJAK[#Headers]&amp;"]"),PAJAK[[#This Row],[//]]-2+PAJAK[[#This Row],[QB]]-1))</f>
        <v>0</v>
      </c>
      <c r="O48" s="146">
        <f ca="1">(PAJAK[[#This Row],[SUB T-DISC]]-PAJAK[[#This Row],[DISC DLL]])/111%</f>
        <v>6632821.6216216208</v>
      </c>
      <c r="P48" s="146">
        <f ca="1">PAJAK[[#This Row],[DPP]]*PAJAK[[#This Row],[PPN]]</f>
        <v>729610.37837837834</v>
      </c>
      <c r="Q48" s="146">
        <f ca="1">PAJAK[[#This Row],[DPP]]+PAJAK[[#This Row],[PPN 11%]]</f>
        <v>7362431.9999999991</v>
      </c>
      <c r="R48" s="32" t="str">
        <f ca="1">IF(ISNUMBER(PAJAK[[#This Row],[//]]),PPN,"")</f>
        <v>11%</v>
      </c>
    </row>
    <row r="49" spans="1:18" x14ac:dyDescent="0.25">
      <c r="A49" s="3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717</v>
      </c>
      <c r="B49" s="127">
        <f ca="1">HYPERLINK("[NOTA_.XLSX]NOTA!c"&amp;PAJAK[[#This Row],[//]],IF(PAJAK[[#This Row],[//]]="","",INDEX(INDIRECT("NOTA["&amp;PAJAK[#Headers]&amp;"]"),PAJAK[[#This Row],[//]]-2)))</f>
        <v>129</v>
      </c>
      <c r="C49" s="33" t="str">
        <f ca="1">IF(PAJAK[[#This Row],[//]]="","",INDEX(INDIRECT("NOTA["&amp;PAJAK[#Headers]&amp;"]"),PAJAK[[#This Row],[//]]-2))</f>
        <v>KEN_2605_274-3</v>
      </c>
      <c r="D49" s="33">
        <f ca="1">MATCH(PAJAK[[#This Row],[ID]],[4]!Table1[ID],0)</f>
        <v>28</v>
      </c>
      <c r="E49" s="126">
        <f ca="1">IF(PAJAK[[#This Row],[ID]]="","",COUNTIF(NOTA[ID_H],PAJAK[[#This Row],[ID]]))</f>
        <v>3</v>
      </c>
      <c r="F49" s="29" t="str">
        <f ca="1">IF(PAJAK[[#This Row],[//]]="","",INDEX(CONV[2],MATCH(INDEX(INDIRECT("NOTA["&amp;PAJAK[#Headers]&amp;"]"),PAJAK[[#This Row],[//]]-2),CONV[1],0),0))</f>
        <v>PT KENKO SINAR INDONESIA</v>
      </c>
      <c r="G49" s="31">
        <f ca="1">IF(PAJAK[[#This Row],[//]]="","",INDEX(NOTA[TGL_H],PAJAK[[#This Row],[//]]-2))</f>
        <v>45072</v>
      </c>
      <c r="H49" s="31">
        <f ca="1">IF(PAJAK[[#This Row],[//]]="","",INDEX(INDIRECT("NOTA["&amp;PAJAK[#Headers]&amp;"]"),PAJAK[[#This Row],[//]]-2))</f>
        <v>45070</v>
      </c>
      <c r="I49" s="30" t="str">
        <f ca="1">IF(PAJAK[[#This Row],[//]]="","",INDEX(INDIRECT("NOTA["&amp;PAJAK[#Headers]&amp;"]"),PAJAK[[#This Row],[//]]-2))</f>
        <v>23052274</v>
      </c>
      <c r="J49" s="29" t="str">
        <f ca="1">IF(OR(PAJAK[[#This Row],[//]]="",INDEX(INDIRECT("NOTA["&amp;PAJAK[#Headers]&amp;"]"),PAJAK[[#This Row],[//]]-2)=""),"",INDEX(INDIRECT("NOTA["&amp;PAJAK[#Headers]&amp;"]"),PAJAK[[#This Row],[//]]-2))</f>
        <v>SA 41781</v>
      </c>
      <c r="K49" s="146">
        <f ca="1">IF(PAJAK[[#This Row],[//]]="","",SUMIF(NOTA[ID_H],PAJAK[[#This Row],[ID]],NOTA[JUMLAH]))</f>
        <v>9066000</v>
      </c>
      <c r="L49" s="146">
        <f ca="1">IF(PAJAK[[#This Row],[//]]="","",SUMIF(NOTA[ID_H],PAJAK[[#This Row],[ID]],NOTA[DISC]))</f>
        <v>1541220</v>
      </c>
      <c r="M49" s="146">
        <f ca="1">PAJAK[[#This Row],[SUB TOTAL]]-PAJAK[[#This Row],[DISKON]]</f>
        <v>7524780</v>
      </c>
      <c r="N49" s="146">
        <f ca="1">IF(PAJAK[[#This Row],[//]]="","",INDEX(INDIRECT("NOTA["&amp;PAJAK[#Headers]&amp;"]"),PAJAK[[#This Row],[//]]-2+PAJAK[[#This Row],[QB]]-1))</f>
        <v>0</v>
      </c>
      <c r="O49" s="146">
        <f ca="1">(PAJAK[[#This Row],[SUB T-DISC]]-PAJAK[[#This Row],[DISC DLL]])/111%</f>
        <v>6779081.0810810803</v>
      </c>
      <c r="P49" s="146">
        <f ca="1">PAJAK[[#This Row],[DPP]]*PAJAK[[#This Row],[PPN]]</f>
        <v>745698.91891891882</v>
      </c>
      <c r="Q49" s="146">
        <f ca="1">PAJAK[[#This Row],[DPP]]+PAJAK[[#This Row],[PPN 11%]]</f>
        <v>7524779.9999999991</v>
      </c>
      <c r="R49" s="32" t="str">
        <f ca="1">IF(ISNUMBER(PAJAK[[#This Row],[//]]),PPN,"")</f>
        <v>11%</v>
      </c>
    </row>
    <row r="50" spans="1:18" x14ac:dyDescent="0.25">
      <c r="A50" s="2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721</v>
      </c>
      <c r="B50" s="128">
        <f ca="1">HYPERLINK("[NOTA_.XLSX]NOTA!c"&amp;PAJAK[[#This Row],[//]],IF(PAJAK[[#This Row],[//]]="","",INDEX(INDIRECT("NOTA["&amp;PAJAK[#Headers]&amp;"]"),PAJAK[[#This Row],[//]]-2)))</f>
        <v>130</v>
      </c>
      <c r="C50" s="29" t="str">
        <f ca="1">IF(PAJAK[[#This Row],[//]]="","",INDEX(INDIRECT("NOTA["&amp;PAJAK[#Headers]&amp;"]"),PAJAK[[#This Row],[//]]-2))</f>
        <v>KEN_2605_135-3</v>
      </c>
      <c r="D50" s="29">
        <f ca="1">MATCH(PAJAK[[#This Row],[ID]],[4]!Table1[ID],0)</f>
        <v>27</v>
      </c>
      <c r="E50" s="30">
        <f ca="1">IF(PAJAK[[#This Row],[ID]]="","",COUNTIF(NOTA[ID_H],PAJAK[[#This Row],[ID]]))</f>
        <v>3</v>
      </c>
      <c r="F50" s="29" t="str">
        <f ca="1">IF(PAJAK[[#This Row],[//]]="","",INDEX(CONV[2],MATCH(INDEX(INDIRECT("NOTA["&amp;PAJAK[#Headers]&amp;"]"),PAJAK[[#This Row],[//]]-2),CONV[1],0),0))</f>
        <v>PT KENKO SINAR INDONESIA</v>
      </c>
      <c r="G50" s="31">
        <f ca="1">IF(PAJAK[[#This Row],[//]]="","",INDEX(NOTA[TGL_H],PAJAK[[#This Row],[//]]-2))</f>
        <v>45072</v>
      </c>
      <c r="H50" s="31">
        <f ca="1">IF(PAJAK[[#This Row],[//]]="","",INDEX(INDIRECT("NOTA["&amp;PAJAK[#Headers]&amp;"]"),PAJAK[[#This Row],[//]]-2))</f>
        <v>45069</v>
      </c>
      <c r="I50" s="30" t="str">
        <f ca="1">IF(PAJAK[[#This Row],[//]]="","",INDEX(INDIRECT("NOTA["&amp;PAJAK[#Headers]&amp;"]"),PAJAK[[#This Row],[//]]-2))</f>
        <v>23052135</v>
      </c>
      <c r="J50" s="29" t="str">
        <f ca="1">IF(OR(PAJAK[[#This Row],[//]]="",INDEX(INDIRECT("NOTA["&amp;PAJAK[#Headers]&amp;"]"),PAJAK[[#This Row],[//]]-2)=""),"",INDEX(INDIRECT("NOTA["&amp;PAJAK[#Headers]&amp;"]"),PAJAK[[#This Row],[//]]-2))</f>
        <v>SA 41761</v>
      </c>
      <c r="K50" s="146">
        <f ca="1">IF(PAJAK[[#This Row],[//]]="","",SUMIF(NOTA[ID_H],PAJAK[[#This Row],[ID]],NOTA[JUMLAH]))</f>
        <v>30230400</v>
      </c>
      <c r="L50" s="146">
        <f ca="1">IF(PAJAK[[#This Row],[//]]="","",SUMIF(NOTA[ID_H],PAJAK[[#This Row],[ID]],NOTA[DISC]))</f>
        <v>5139168</v>
      </c>
      <c r="M50" s="146">
        <f ca="1">PAJAK[[#This Row],[SUB TOTAL]]-PAJAK[[#This Row],[DISKON]]</f>
        <v>25091232</v>
      </c>
      <c r="N50" s="146">
        <f ca="1">IF(PAJAK[[#This Row],[//]]="","",INDEX(INDIRECT("NOTA["&amp;PAJAK[#Headers]&amp;"]"),PAJAK[[#This Row],[//]]-2+PAJAK[[#This Row],[QB]]-1))</f>
        <v>0</v>
      </c>
      <c r="O50" s="146">
        <f ca="1">(PAJAK[[#This Row],[SUB T-DISC]]-PAJAK[[#This Row],[DISC DLL]])/111%</f>
        <v>22604713.513513513</v>
      </c>
      <c r="P50" s="146">
        <f ca="1">PAJAK[[#This Row],[DPP]]*PAJAK[[#This Row],[PPN]]</f>
        <v>2486518.4864864866</v>
      </c>
      <c r="Q50" s="146">
        <f ca="1">PAJAK[[#This Row],[DPP]]+PAJAK[[#This Row],[PPN 11%]]</f>
        <v>25091232</v>
      </c>
      <c r="R50" s="32" t="str">
        <f ca="1">IF(ISNUMBER(PAJAK[[#This Row],[//]]),PPN,"")</f>
        <v>11%</v>
      </c>
    </row>
    <row r="51" spans="1:18" x14ac:dyDescent="0.25">
      <c r="A51" s="3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835</v>
      </c>
      <c r="B51" s="127">
        <f ca="1">HYPERLINK("[NOTA_.XLSX]NOTA!c"&amp;PAJAK[[#This Row],[//]],IF(PAJAK[[#This Row],[//]]="","",INDEX(INDIRECT("NOTA["&amp;PAJAK[#Headers]&amp;"]"),PAJAK[[#This Row],[//]]-2)))</f>
        <v>143</v>
      </c>
      <c r="C51" s="33" t="str">
        <f ca="1">IF(PAJAK[[#This Row],[//]]="","",INDEX(INDIRECT("NOTA["&amp;PAJAK[#Headers]&amp;"]"),PAJAK[[#This Row],[//]]-2))</f>
        <v>LAU_2705_130-1</v>
      </c>
      <c r="D51" s="33">
        <f ca="1">MATCH(PAJAK[[#This Row],[ID]],[4]!Table1[ID],0)</f>
        <v>81</v>
      </c>
      <c r="E51" s="126">
        <f ca="1">IF(PAJAK[[#This Row],[ID]]="","",COUNTIF(NOTA[ID_H],PAJAK[[#This Row],[ID]]))</f>
        <v>1</v>
      </c>
      <c r="F51" s="29" t="str">
        <f ca="1">IF(PAJAK[[#This Row],[//]]="","",INDEX(CONV[2],MATCH(INDEX(INDIRECT("NOTA["&amp;PAJAK[#Headers]&amp;"]"),PAJAK[[#This Row],[//]]-2),CONV[1],0),0))</f>
        <v>PT LAUTAN MAS ASIA</v>
      </c>
      <c r="G51" s="31">
        <f ca="1">IF(PAJAK[[#This Row],[//]]="","",INDEX(NOTA[TGL_H],PAJAK[[#This Row],[//]]-2))</f>
        <v>45073</v>
      </c>
      <c r="H51" s="31">
        <f ca="1">IF(PAJAK[[#This Row],[//]]="","",INDEX(INDIRECT("NOTA["&amp;PAJAK[#Headers]&amp;"]"),PAJAK[[#This Row],[//]]-2))</f>
        <v>45070</v>
      </c>
      <c r="I51" s="30" t="str">
        <f ca="1">IF(PAJAK[[#This Row],[//]]="","",INDEX(INDIRECT("NOTA["&amp;PAJAK[#Headers]&amp;"]"),PAJAK[[#This Row],[//]]-2))</f>
        <v>LMA 2023-05-130</v>
      </c>
      <c r="J51" s="29" t="str">
        <f ca="1">IF(OR(PAJAK[[#This Row],[//]]="",INDEX(INDIRECT("NOTA["&amp;PAJAK[#Headers]&amp;"]"),PAJAK[[#This Row],[//]]-2)=""),"",INDEX(INDIRECT("NOTA["&amp;PAJAK[#Headers]&amp;"]"),PAJAK[[#This Row],[//]]-2))</f>
        <v/>
      </c>
      <c r="K51" s="146">
        <f ca="1">IF(PAJAK[[#This Row],[//]]="","",SUMIF(NOTA[ID_H],PAJAK[[#This Row],[ID]],NOTA[JUMLAH]))</f>
        <v>63243600</v>
      </c>
      <c r="L51" s="146">
        <f ca="1">IF(PAJAK[[#This Row],[//]]="","",SUMIF(NOTA[ID_H],PAJAK[[#This Row],[ID]],NOTA[DISC]))</f>
        <v>0</v>
      </c>
      <c r="M51" s="146">
        <f ca="1">PAJAK[[#This Row],[SUB TOTAL]]-PAJAK[[#This Row],[DISKON]]</f>
        <v>63243600</v>
      </c>
      <c r="N51" s="146">
        <f ca="1">IF(PAJAK[[#This Row],[//]]="","",INDEX(INDIRECT("NOTA["&amp;PAJAK[#Headers]&amp;"]"),PAJAK[[#This Row],[//]]-2+PAJAK[[#This Row],[QB]]-1))</f>
        <v>356.76</v>
      </c>
      <c r="O51" s="146">
        <f ca="1">(PAJAK[[#This Row],[SUB T-DISC]]-PAJAK[[#This Row],[DISC DLL]])/111%</f>
        <v>56975894.810810804</v>
      </c>
      <c r="P51" s="146">
        <f ca="1">PAJAK[[#This Row],[DPP]]*PAJAK[[#This Row],[PPN]]</f>
        <v>6267348.4291891884</v>
      </c>
      <c r="Q51" s="146">
        <f ca="1">PAJAK[[#This Row],[DPP]]+PAJAK[[#This Row],[PPN 11%]]</f>
        <v>63243243.239999995</v>
      </c>
      <c r="R51" s="32" t="str">
        <f ca="1">IF(ISNUMBER(PAJAK[[#This Row],[//]]),PPN,"")</f>
        <v>11%</v>
      </c>
    </row>
    <row r="52" spans="1:18" x14ac:dyDescent="0.25">
      <c r="A52" s="2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894</v>
      </c>
      <c r="B52" s="29">
        <f ca="1">HYPERLINK("[NOTA_.XLSX]NOTA!c"&amp;PAJAK[[#This Row],[//]],IF(PAJAK[[#This Row],[//]]="","",INDEX(INDIRECT("NOTA["&amp;PAJAK[#Headers]&amp;"]"),PAJAK[[#This Row],[//]]-2)))</f>
        <v>156</v>
      </c>
      <c r="C52" s="29" t="str">
        <f ca="1">IF(PAJAK[[#This Row],[//]]="","",INDEX(INDIRECT("NOTA["&amp;PAJAK[#Headers]&amp;"]"),PAJAK[[#This Row],[//]]-2))</f>
        <v>LAU_2705_138-1</v>
      </c>
      <c r="D52" s="29">
        <f ca="1">MATCH(PAJAK[[#This Row],[ID]],[4]!Table1[ID],0)</f>
        <v>82</v>
      </c>
      <c r="E52" s="30">
        <f ca="1">IF(PAJAK[[#This Row],[ID]]="","",COUNTIF(NOTA[ID_H],PAJAK[[#This Row],[ID]]))</f>
        <v>1</v>
      </c>
      <c r="F52" s="29" t="str">
        <f ca="1">IF(PAJAK[[#This Row],[//]]="","",INDEX(CONV[2],MATCH(INDEX(INDIRECT("NOTA["&amp;PAJAK[#Headers]&amp;"]"),PAJAK[[#This Row],[//]]-2),CONV[1],0),0))</f>
        <v>PT LAUTAN MAS ASIA</v>
      </c>
      <c r="G52" s="31">
        <f ca="1">IF(PAJAK[[#This Row],[//]]="","",INDEX(NOTA[TGL_H],PAJAK[[#This Row],[//]]-2))</f>
        <v>45073</v>
      </c>
      <c r="H52" s="31">
        <f ca="1">IF(PAJAK[[#This Row],[//]]="","",INDEX(INDIRECT("NOTA["&amp;PAJAK[#Headers]&amp;"]"),PAJAK[[#This Row],[//]]-2))</f>
        <v>45071</v>
      </c>
      <c r="I52" s="30" t="str">
        <f ca="1">IF(PAJAK[[#This Row],[//]]="","",INDEX(INDIRECT("NOTA["&amp;PAJAK[#Headers]&amp;"]"),PAJAK[[#This Row],[//]]-2))</f>
        <v>LMA 2023-05-138</v>
      </c>
      <c r="J52" s="29" t="str">
        <f ca="1">IF(OR(PAJAK[[#This Row],[//]]="",INDEX(INDIRECT("NOTA["&amp;PAJAK[#Headers]&amp;"]"),PAJAK[[#This Row],[//]]-2)=""),"",INDEX(INDIRECT("NOTA["&amp;PAJAK[#Headers]&amp;"]"),PAJAK[[#This Row],[//]]-2))</f>
        <v/>
      </c>
      <c r="K52" s="146">
        <f ca="1">IF(PAJAK[[#This Row],[//]]="","",SUMIF(NOTA[ID_H],PAJAK[[#This Row],[ID]],NOTA[JUMLAH]))</f>
        <v>6306310</v>
      </c>
      <c r="L52" s="146">
        <f ca="1">IF(PAJAK[[#This Row],[//]]="","",SUMIF(NOTA[ID_H],PAJAK[[#This Row],[ID]],NOTA[DISC]))</f>
        <v>0</v>
      </c>
      <c r="M52" s="146">
        <f ca="1">PAJAK[[#This Row],[SUB TOTAL]]-PAJAK[[#This Row],[DISKON]]</f>
        <v>6306310</v>
      </c>
      <c r="N52" s="146">
        <f ca="1">IF(PAJAK[[#This Row],[//]]="","",INDEX(INDIRECT("NOTA["&amp;PAJAK[#Headers]&amp;"]"),PAJAK[[#This Row],[//]]-2+PAJAK[[#This Row],[QB]]-1))</f>
        <v>0</v>
      </c>
      <c r="O52" s="146">
        <f ca="1">(PAJAK[[#This Row],[SUB T-DISC]]-PAJAK[[#This Row],[DISC DLL]])/111%</f>
        <v>5681360.3603603598</v>
      </c>
      <c r="P52" s="146">
        <f ca="1">PAJAK[[#This Row],[DPP]]*PAJAK[[#This Row],[PPN]]</f>
        <v>624949.63963963953</v>
      </c>
      <c r="Q52" s="146">
        <f ca="1">PAJAK[[#This Row],[DPP]]+PAJAK[[#This Row],[PPN 11%]]</f>
        <v>6306309.9999999991</v>
      </c>
      <c r="R52" s="32" t="str">
        <f ca="1">IF(ISNUMBER(PAJAK[[#This Row],[//]]),PPN,"")</f>
        <v>11%</v>
      </c>
    </row>
    <row r="53" spans="1:18" x14ac:dyDescent="0.25">
      <c r="A53" s="2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896</v>
      </c>
      <c r="B53" s="29">
        <f ca="1">HYPERLINK("[NOTA_.XLSX]NOTA!c"&amp;PAJAK[[#This Row],[//]],IF(PAJAK[[#This Row],[//]]="","",INDEX(INDIRECT("NOTA["&amp;PAJAK[#Headers]&amp;"]"),PAJAK[[#This Row],[//]]-2)))</f>
        <v>157</v>
      </c>
      <c r="C53" s="29" t="str">
        <f ca="1">IF(PAJAK[[#This Row],[//]]="","",INDEX(INDIRECT("NOTA["&amp;PAJAK[#Headers]&amp;"]"),PAJAK[[#This Row],[//]]-2))</f>
        <v>ATA_2705_112-10</v>
      </c>
      <c r="D53" s="29">
        <f ca="1">MATCH(PAJAK[[#This Row],[ID]],[4]!Table1[ID],0)</f>
        <v>61</v>
      </c>
      <c r="E53" s="30">
        <f ca="1">IF(PAJAK[[#This Row],[ID]]="","",COUNTIF(NOTA[ID_H],PAJAK[[#This Row],[ID]]))</f>
        <v>10</v>
      </c>
      <c r="F53" s="29" t="str">
        <f ca="1">IF(PAJAK[[#This Row],[//]]="","",INDEX(CONV[2],MATCH(INDEX(INDIRECT("NOTA["&amp;PAJAK[#Headers]&amp;"]"),PAJAK[[#This Row],[//]]-2),CONV[1],0),0))</f>
        <v>PT ATALI MAKMUR</v>
      </c>
      <c r="G53" s="31">
        <f ca="1">IF(PAJAK[[#This Row],[//]]="","",INDEX(NOTA[TGL_H],PAJAK[[#This Row],[//]]-2))</f>
        <v>45073</v>
      </c>
      <c r="H53" s="31">
        <f ca="1">IF(PAJAK[[#This Row],[//]]="","",INDEX(INDIRECT("NOTA["&amp;PAJAK[#Headers]&amp;"]"),PAJAK[[#This Row],[//]]-2))</f>
        <v>45068</v>
      </c>
      <c r="I53" s="30" t="str">
        <f ca="1">IF(PAJAK[[#This Row],[//]]="","",INDEX(INDIRECT("NOTA["&amp;PAJAK[#Headers]&amp;"]"),PAJAK[[#This Row],[//]]-2))</f>
        <v>SA230508112</v>
      </c>
      <c r="J53" s="29" t="str">
        <f ca="1">IF(OR(PAJAK[[#This Row],[//]]="",INDEX(INDIRECT("NOTA["&amp;PAJAK[#Headers]&amp;"]"),PAJAK[[#This Row],[//]]-2)=""),"",INDEX(INDIRECT("NOTA["&amp;PAJAK[#Headers]&amp;"]"),PAJAK[[#This Row],[//]]-2))</f>
        <v/>
      </c>
      <c r="K53" s="146">
        <f ca="1">IF(PAJAK[[#This Row],[//]]="","",SUMIF(NOTA[ID_H],PAJAK[[#This Row],[ID]],NOTA[JUMLAH]))</f>
        <v>47055200</v>
      </c>
      <c r="L53" s="146">
        <f ca="1">IF(PAJAK[[#This Row],[//]]="","",SUMIF(NOTA[ID_H],PAJAK[[#This Row],[ID]],NOTA[DISC]))</f>
        <v>7933041</v>
      </c>
      <c r="M53" s="146">
        <f ca="1">PAJAK[[#This Row],[SUB TOTAL]]-PAJAK[[#This Row],[DISKON]]</f>
        <v>39122159</v>
      </c>
      <c r="N53" s="146">
        <f ca="1">IF(PAJAK[[#This Row],[//]]="","",INDEX(INDIRECT("NOTA["&amp;PAJAK[#Headers]&amp;"]"),PAJAK[[#This Row],[//]]-2+PAJAK[[#This Row],[QB]]-1))</f>
        <v>270864</v>
      </c>
      <c r="O53" s="146">
        <f ca="1">(PAJAK[[#This Row],[SUB T-DISC]]-PAJAK[[#This Row],[DISC DLL]])/111%</f>
        <v>35001166.666666664</v>
      </c>
      <c r="P53" s="146">
        <f ca="1">PAJAK[[#This Row],[DPP]]*PAJAK[[#This Row],[PPN]]</f>
        <v>3850128.333333333</v>
      </c>
      <c r="Q53" s="146">
        <f ca="1">PAJAK[[#This Row],[DPP]]+PAJAK[[#This Row],[PPN 11%]]</f>
        <v>38851295</v>
      </c>
      <c r="R53" s="32" t="str">
        <f ca="1">IF(ISNUMBER(PAJAK[[#This Row],[//]]),PPN,"")</f>
        <v>11%</v>
      </c>
    </row>
    <row r="54" spans="1:18" x14ac:dyDescent="0.25">
      <c r="A54" s="3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907</v>
      </c>
      <c r="B54" s="127">
        <f ca="1">HYPERLINK("[NOTA_.XLSX]NOTA!c"&amp;PAJAK[[#This Row],[//]],IF(PAJAK[[#This Row],[//]]="","",INDEX(INDIRECT("NOTA["&amp;PAJAK[#Headers]&amp;"]"),PAJAK[[#This Row],[//]]-2)))</f>
        <v>158</v>
      </c>
      <c r="C54" s="33" t="str">
        <f ca="1">IF(PAJAK[[#This Row],[//]]="","",INDEX(INDIRECT("NOTA["&amp;PAJAK[#Headers]&amp;"]"),PAJAK[[#This Row],[//]]-2))</f>
        <v>ATA_2705_113-8</v>
      </c>
      <c r="D54" s="33">
        <f ca="1">MATCH(PAJAK[[#This Row],[ID]],[4]!Table1[ID],0)</f>
        <v>62</v>
      </c>
      <c r="E54" s="126">
        <f ca="1">IF(PAJAK[[#This Row],[ID]]="","",COUNTIF(NOTA[ID_H],PAJAK[[#This Row],[ID]]))</f>
        <v>8</v>
      </c>
      <c r="F54" s="29" t="str">
        <f ca="1">IF(PAJAK[[#This Row],[//]]="","",INDEX(CONV[2],MATCH(INDEX(INDIRECT("NOTA["&amp;PAJAK[#Headers]&amp;"]"),PAJAK[[#This Row],[//]]-2),CONV[1],0),0))</f>
        <v>PT ATALI MAKMUR</v>
      </c>
      <c r="G54" s="31">
        <f ca="1">IF(PAJAK[[#This Row],[//]]="","",INDEX(NOTA[TGL_H],PAJAK[[#This Row],[//]]-2))</f>
        <v>45073</v>
      </c>
      <c r="H54" s="31">
        <f ca="1">IF(PAJAK[[#This Row],[//]]="","",INDEX(INDIRECT("NOTA["&amp;PAJAK[#Headers]&amp;"]"),PAJAK[[#This Row],[//]]-2))</f>
        <v>45068</v>
      </c>
      <c r="I54" s="30" t="str">
        <f ca="1">IF(PAJAK[[#This Row],[//]]="","",INDEX(INDIRECT("NOTA["&amp;PAJAK[#Headers]&amp;"]"),PAJAK[[#This Row],[//]]-2))</f>
        <v>SA230508113</v>
      </c>
      <c r="J54" s="29" t="str">
        <f ca="1">IF(OR(PAJAK[[#This Row],[//]]="",INDEX(INDIRECT("NOTA["&amp;PAJAK[#Headers]&amp;"]"),PAJAK[[#This Row],[//]]-2)=""),"",INDEX(INDIRECT("NOTA["&amp;PAJAK[#Headers]&amp;"]"),PAJAK[[#This Row],[//]]-2))</f>
        <v/>
      </c>
      <c r="K54" s="146">
        <f ca="1">IF(PAJAK[[#This Row],[//]]="","",SUMIF(NOTA[ID_H],PAJAK[[#This Row],[ID]],NOTA[JUMLAH]))</f>
        <v>59085600</v>
      </c>
      <c r="L54" s="146">
        <f ca="1">IF(PAJAK[[#This Row],[//]]="","",SUMIF(NOTA[ID_H],PAJAK[[#This Row],[ID]],NOTA[DISC]))</f>
        <v>9970695</v>
      </c>
      <c r="M54" s="146">
        <f ca="1">PAJAK[[#This Row],[SUB TOTAL]]-PAJAK[[#This Row],[DISKON]]</f>
        <v>49114905</v>
      </c>
      <c r="N54" s="146">
        <f ca="1">IF(PAJAK[[#This Row],[//]]="","",INDEX(INDIRECT("NOTA["&amp;PAJAK[#Headers]&amp;"]"),PAJAK[[#This Row],[//]]-2+PAJAK[[#This Row],[QB]]-1))</f>
        <v>2169562.5</v>
      </c>
      <c r="O54" s="146">
        <f ca="1">(PAJAK[[#This Row],[SUB T-DISC]]-PAJAK[[#This Row],[DISC DLL]])/111%</f>
        <v>42293101.351351351</v>
      </c>
      <c r="P54" s="146">
        <f ca="1">PAJAK[[#This Row],[DPP]]*PAJAK[[#This Row],[PPN]]</f>
        <v>4652241.1486486485</v>
      </c>
      <c r="Q54" s="146">
        <f ca="1">PAJAK[[#This Row],[DPP]]+PAJAK[[#This Row],[PPN 11%]]</f>
        <v>46945342.5</v>
      </c>
      <c r="R54" s="32" t="str">
        <f ca="1">IF(ISNUMBER(PAJAK[[#This Row],[//]]),PPN,"")</f>
        <v>11%</v>
      </c>
    </row>
    <row r="55" spans="1:18" x14ac:dyDescent="0.25">
      <c r="A55" s="2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916</v>
      </c>
      <c r="B55" s="29">
        <f ca="1">HYPERLINK("[NOTA_.XLSX]NOTA!c"&amp;PAJAK[[#This Row],[//]],IF(PAJAK[[#This Row],[//]]="","",INDEX(INDIRECT("NOTA["&amp;PAJAK[#Headers]&amp;"]"),PAJAK[[#This Row],[//]]-2)))</f>
        <v>159</v>
      </c>
      <c r="C55" s="29" t="str">
        <f ca="1">IF(PAJAK[[#This Row],[//]]="","",INDEX(INDIRECT("NOTA["&amp;PAJAK[#Headers]&amp;"]"),PAJAK[[#This Row],[//]]-2))</f>
        <v>ATA_2705_109-11</v>
      </c>
      <c r="D55" s="29">
        <f ca="1">MATCH(PAJAK[[#This Row],[ID]],[4]!Table1[ID],0)</f>
        <v>58</v>
      </c>
      <c r="E55" s="30">
        <f ca="1">IF(PAJAK[[#This Row],[ID]]="","",COUNTIF(NOTA[ID_H],PAJAK[[#This Row],[ID]]))</f>
        <v>11</v>
      </c>
      <c r="F55" s="29" t="str">
        <f ca="1">IF(PAJAK[[#This Row],[//]]="","",INDEX(CONV[2],MATCH(INDEX(INDIRECT("NOTA["&amp;PAJAK[#Headers]&amp;"]"),PAJAK[[#This Row],[//]]-2),CONV[1],0),0))</f>
        <v>PT ATALI MAKMUR</v>
      </c>
      <c r="G55" s="31">
        <f ca="1">IF(PAJAK[[#This Row],[//]]="","",INDEX(NOTA[TGL_H],PAJAK[[#This Row],[//]]-2))</f>
        <v>45073</v>
      </c>
      <c r="H55" s="31">
        <f ca="1">IF(PAJAK[[#This Row],[//]]="","",INDEX(INDIRECT("NOTA["&amp;PAJAK[#Headers]&amp;"]"),PAJAK[[#This Row],[//]]-2))</f>
        <v>45068</v>
      </c>
      <c r="I55" s="30" t="str">
        <f ca="1">IF(PAJAK[[#This Row],[//]]="","",INDEX(INDIRECT("NOTA["&amp;PAJAK[#Headers]&amp;"]"),PAJAK[[#This Row],[//]]-2))</f>
        <v>SA230508109</v>
      </c>
      <c r="J55" s="29" t="str">
        <f ca="1">IF(OR(PAJAK[[#This Row],[//]]="",INDEX(INDIRECT("NOTA["&amp;PAJAK[#Headers]&amp;"]"),PAJAK[[#This Row],[//]]-2)=""),"",INDEX(INDIRECT("NOTA["&amp;PAJAK[#Headers]&amp;"]"),PAJAK[[#This Row],[//]]-2))</f>
        <v/>
      </c>
      <c r="K55" s="146">
        <f ca="1">IF(PAJAK[[#This Row],[//]]="","",SUMIF(NOTA[ID_H],PAJAK[[#This Row],[ID]],NOTA[JUMLAH]))</f>
        <v>50897000</v>
      </c>
      <c r="L55" s="146">
        <f ca="1">IF(PAJAK[[#This Row],[//]]="","",SUMIF(NOTA[ID_H],PAJAK[[#This Row],[ID]],NOTA[DISC]))</f>
        <v>8588868.75</v>
      </c>
      <c r="M55" s="146">
        <f ca="1">PAJAK[[#This Row],[SUB TOTAL]]-PAJAK[[#This Row],[DISKON]]</f>
        <v>42308131.25</v>
      </c>
      <c r="N55" s="146">
        <f ca="1">IF(PAJAK[[#This Row],[//]]="","",INDEX(INDIRECT("NOTA["&amp;PAJAK[#Headers]&amp;"]"),PAJAK[[#This Row],[//]]-2+PAJAK[[#This Row],[QB]]-1))</f>
        <v>0</v>
      </c>
      <c r="O55" s="146">
        <f ca="1">(PAJAK[[#This Row],[SUB T-DISC]]-PAJAK[[#This Row],[DISC DLL]])/111%</f>
        <v>38115433.558558553</v>
      </c>
      <c r="P55" s="146">
        <f ca="1">PAJAK[[#This Row],[DPP]]*PAJAK[[#This Row],[PPN]]</f>
        <v>4192697.691441441</v>
      </c>
      <c r="Q55" s="146">
        <f ca="1">PAJAK[[#This Row],[DPP]]+PAJAK[[#This Row],[PPN 11%]]</f>
        <v>42308131.249999993</v>
      </c>
      <c r="R55" s="32" t="str">
        <f ca="1">IF(ISNUMBER(PAJAK[[#This Row],[//]]),PPN,"")</f>
        <v>11%</v>
      </c>
    </row>
    <row r="56" spans="1:18" x14ac:dyDescent="0.25">
      <c r="A56" s="33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928</v>
      </c>
      <c r="B56" s="127">
        <f ca="1">HYPERLINK("[NOTA_.XLSX]NOTA!c"&amp;PAJAK[[#This Row],[//]],IF(PAJAK[[#This Row],[//]]="","",INDEX(INDIRECT("NOTA["&amp;PAJAK[#Headers]&amp;"]"),PAJAK[[#This Row],[//]]-2)))</f>
        <v>160</v>
      </c>
      <c r="C56" s="33" t="str">
        <f ca="1">IF(PAJAK[[#This Row],[//]]="","",INDEX(INDIRECT("NOTA["&amp;PAJAK[#Headers]&amp;"]"),PAJAK[[#This Row],[//]]-2))</f>
        <v>ATA_2705_158-9</v>
      </c>
      <c r="D56" s="33">
        <f ca="1">MATCH(PAJAK[[#This Row],[ID]],[4]!Table1[ID],0)</f>
        <v>64</v>
      </c>
      <c r="E56" s="126">
        <f ca="1">IF(PAJAK[[#This Row],[ID]]="","",COUNTIF(NOTA[ID_H],PAJAK[[#This Row],[ID]]))</f>
        <v>9</v>
      </c>
      <c r="F56" s="29" t="str">
        <f ca="1">IF(PAJAK[[#This Row],[//]]="","",INDEX(CONV[2],MATCH(INDEX(INDIRECT("NOTA["&amp;PAJAK[#Headers]&amp;"]"),PAJAK[[#This Row],[//]]-2),CONV[1],0),0))</f>
        <v>PT ATALI MAKMUR</v>
      </c>
      <c r="G56" s="31">
        <f ca="1">IF(PAJAK[[#This Row],[//]]="","",INDEX(NOTA[TGL_H],PAJAK[[#This Row],[//]]-2))</f>
        <v>45073</v>
      </c>
      <c r="H56" s="31">
        <f ca="1">IF(PAJAK[[#This Row],[//]]="","",INDEX(INDIRECT("NOTA["&amp;PAJAK[#Headers]&amp;"]"),PAJAK[[#This Row],[//]]-2))</f>
        <v>45068</v>
      </c>
      <c r="I56" s="30" t="str">
        <f ca="1">IF(PAJAK[[#This Row],[//]]="","",INDEX(INDIRECT("NOTA["&amp;PAJAK[#Headers]&amp;"]"),PAJAK[[#This Row],[//]]-2))</f>
        <v>SA230508158</v>
      </c>
      <c r="J56" s="29" t="str">
        <f ca="1">IF(OR(PAJAK[[#This Row],[//]]="",INDEX(INDIRECT("NOTA["&amp;PAJAK[#Headers]&amp;"]"),PAJAK[[#This Row],[//]]-2)=""),"",INDEX(INDIRECT("NOTA["&amp;PAJAK[#Headers]&amp;"]"),PAJAK[[#This Row],[//]]-2))</f>
        <v/>
      </c>
      <c r="K56" s="146">
        <f ca="1">IF(PAJAK[[#This Row],[//]]="","",SUMIF(NOTA[ID_H],PAJAK[[#This Row],[ID]],NOTA[JUMLAH]))</f>
        <v>34559000</v>
      </c>
      <c r="L56" s="146">
        <f ca="1">IF(PAJAK[[#This Row],[//]]="","",SUMIF(NOTA[ID_H],PAJAK[[#This Row],[ID]],NOTA[DISC]))</f>
        <v>5831831.25</v>
      </c>
      <c r="M56" s="146">
        <f ca="1">PAJAK[[#This Row],[SUB TOTAL]]-PAJAK[[#This Row],[DISKON]]</f>
        <v>28727168.75</v>
      </c>
      <c r="N56" s="146">
        <f ca="1">IF(PAJAK[[#This Row],[//]]="","",INDEX(INDIRECT("NOTA["&amp;PAJAK[#Headers]&amp;"]"),PAJAK[[#This Row],[//]]-2+PAJAK[[#This Row],[QB]]-1))</f>
        <v>0</v>
      </c>
      <c r="O56" s="146">
        <f ca="1">(PAJAK[[#This Row],[SUB T-DISC]]-PAJAK[[#This Row],[DISC DLL]])/111%</f>
        <v>25880332.207207207</v>
      </c>
      <c r="P56" s="146">
        <f ca="1">PAJAK[[#This Row],[DPP]]*PAJAK[[#This Row],[PPN]]</f>
        <v>2846836.5427927929</v>
      </c>
      <c r="Q56" s="146">
        <f ca="1">PAJAK[[#This Row],[DPP]]+PAJAK[[#This Row],[PPN 11%]]</f>
        <v>28727168.75</v>
      </c>
      <c r="R56" s="32" t="str">
        <f ca="1">IF(ISNUMBER(PAJAK[[#This Row],[//]]),PPN,"")</f>
        <v>11%</v>
      </c>
    </row>
    <row r="57" spans="1:18" x14ac:dyDescent="0.25">
      <c r="A57" s="3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938</v>
      </c>
      <c r="B57" s="127">
        <f ca="1">HYPERLINK("[NOTA_.XLSX]NOTA!c"&amp;PAJAK[[#This Row],[//]],IF(PAJAK[[#This Row],[//]]="","",INDEX(INDIRECT("NOTA["&amp;PAJAK[#Headers]&amp;"]"),PAJAK[[#This Row],[//]]-2)))</f>
        <v>161</v>
      </c>
      <c r="C57" s="33" t="str">
        <f ca="1">IF(PAJAK[[#This Row],[//]]="","",INDEX(INDIRECT("NOTA["&amp;PAJAK[#Headers]&amp;"]"),PAJAK[[#This Row],[//]]-2))</f>
        <v>ATA_2705_110-11</v>
      </c>
      <c r="D57" s="33">
        <f ca="1">MATCH(PAJAK[[#This Row],[ID]],[4]!Table1[ID],0)</f>
        <v>59</v>
      </c>
      <c r="E57" s="126">
        <f ca="1">IF(PAJAK[[#This Row],[ID]]="","",COUNTIF(NOTA[ID_H],PAJAK[[#This Row],[ID]]))</f>
        <v>11</v>
      </c>
      <c r="F57" s="29" t="str">
        <f ca="1">IF(PAJAK[[#This Row],[//]]="","",INDEX(CONV[2],MATCH(INDEX(INDIRECT("NOTA["&amp;PAJAK[#Headers]&amp;"]"),PAJAK[[#This Row],[//]]-2),CONV[1],0),0))</f>
        <v>PT ATALI MAKMUR</v>
      </c>
      <c r="G57" s="31">
        <f ca="1">IF(PAJAK[[#This Row],[//]]="","",INDEX(NOTA[TGL_H],PAJAK[[#This Row],[//]]-2))</f>
        <v>45073</v>
      </c>
      <c r="H57" s="31">
        <f ca="1">IF(PAJAK[[#This Row],[//]]="","",INDEX(INDIRECT("NOTA["&amp;PAJAK[#Headers]&amp;"]"),PAJAK[[#This Row],[//]]-2))</f>
        <v>45068</v>
      </c>
      <c r="I57" s="30" t="str">
        <f ca="1">IF(PAJAK[[#This Row],[//]]="","",INDEX(INDIRECT("NOTA["&amp;PAJAK[#Headers]&amp;"]"),PAJAK[[#This Row],[//]]-2))</f>
        <v>SA230508110</v>
      </c>
      <c r="J57" s="29" t="str">
        <f ca="1">IF(OR(PAJAK[[#This Row],[//]]="",INDEX(INDIRECT("NOTA["&amp;PAJAK[#Headers]&amp;"]"),PAJAK[[#This Row],[//]]-2)=""),"",INDEX(INDIRECT("NOTA["&amp;PAJAK[#Headers]&amp;"]"),PAJAK[[#This Row],[//]]-2))</f>
        <v/>
      </c>
      <c r="K57" s="146">
        <f ca="1">IF(PAJAK[[#This Row],[//]]="","",SUMIF(NOTA[ID_H],PAJAK[[#This Row],[ID]],NOTA[JUMLAH]))</f>
        <v>36331200</v>
      </c>
      <c r="L57" s="146">
        <f ca="1">IF(PAJAK[[#This Row],[//]]="","",SUMIF(NOTA[ID_H],PAJAK[[#This Row],[ID]],NOTA[DISC]))</f>
        <v>6130890</v>
      </c>
      <c r="M57" s="146">
        <f ca="1">PAJAK[[#This Row],[SUB TOTAL]]-PAJAK[[#This Row],[DISKON]]</f>
        <v>30200310</v>
      </c>
      <c r="N57" s="146">
        <f ca="1">IF(PAJAK[[#This Row],[//]]="","",INDEX(INDIRECT("NOTA["&amp;PAJAK[#Headers]&amp;"]"),PAJAK[[#This Row],[//]]-2+PAJAK[[#This Row],[QB]]-1))</f>
        <v>0</v>
      </c>
      <c r="O57" s="146">
        <f ca="1">(PAJAK[[#This Row],[SUB T-DISC]]-PAJAK[[#This Row],[DISC DLL]])/111%</f>
        <v>27207486.486486483</v>
      </c>
      <c r="P57" s="146">
        <f ca="1">PAJAK[[#This Row],[DPP]]*PAJAK[[#This Row],[PPN]]</f>
        <v>2992823.5135135134</v>
      </c>
      <c r="Q57" s="146">
        <f ca="1">PAJAK[[#This Row],[DPP]]+PAJAK[[#This Row],[PPN 11%]]</f>
        <v>30200309.999999996</v>
      </c>
      <c r="R57" s="32" t="str">
        <f ca="1">IF(ISNUMBER(PAJAK[[#This Row],[//]]),PPN,"")</f>
        <v>11%</v>
      </c>
    </row>
    <row r="58" spans="1:18" x14ac:dyDescent="0.25">
      <c r="A58" s="33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950</v>
      </c>
      <c r="B58" s="127">
        <f ca="1">HYPERLINK("[NOTA_.XLSX]NOTA!c"&amp;PAJAK[[#This Row],[//]],IF(PAJAK[[#This Row],[//]]="","",INDEX(INDIRECT("NOTA["&amp;PAJAK[#Headers]&amp;"]"),PAJAK[[#This Row],[//]]-2)))</f>
        <v>162</v>
      </c>
      <c r="C58" s="33" t="str">
        <f ca="1">IF(PAJAK[[#This Row],[//]]="","",INDEX(INDIRECT("NOTA["&amp;PAJAK[#Headers]&amp;"]"),PAJAK[[#This Row],[//]]-2))</f>
        <v>ATA_2705_111-12</v>
      </c>
      <c r="D58" s="33">
        <f ca="1">MATCH(PAJAK[[#This Row],[ID]],[4]!Table1[ID],0)</f>
        <v>60</v>
      </c>
      <c r="E58" s="126">
        <f ca="1">IF(PAJAK[[#This Row],[ID]]="","",COUNTIF(NOTA[ID_H],PAJAK[[#This Row],[ID]]))</f>
        <v>12</v>
      </c>
      <c r="F58" s="29" t="str">
        <f ca="1">IF(PAJAK[[#This Row],[//]]="","",INDEX(CONV[2],MATCH(INDEX(INDIRECT("NOTA["&amp;PAJAK[#Headers]&amp;"]"),PAJAK[[#This Row],[//]]-2),CONV[1],0),0))</f>
        <v>PT ATALI MAKMUR</v>
      </c>
      <c r="G58" s="31">
        <f ca="1">IF(PAJAK[[#This Row],[//]]="","",INDEX(NOTA[TGL_H],PAJAK[[#This Row],[//]]-2))</f>
        <v>45073</v>
      </c>
      <c r="H58" s="31">
        <f ca="1">IF(PAJAK[[#This Row],[//]]="","",INDEX(INDIRECT("NOTA["&amp;PAJAK[#Headers]&amp;"]"),PAJAK[[#This Row],[//]]-2))</f>
        <v>45068</v>
      </c>
      <c r="I58" s="30" t="str">
        <f ca="1">IF(PAJAK[[#This Row],[//]]="","",INDEX(INDIRECT("NOTA["&amp;PAJAK[#Headers]&amp;"]"),PAJAK[[#This Row],[//]]-2))</f>
        <v>SA230508111</v>
      </c>
      <c r="J58" s="29" t="str">
        <f ca="1">IF(OR(PAJAK[[#This Row],[//]]="",INDEX(INDIRECT("NOTA["&amp;PAJAK[#Headers]&amp;"]"),PAJAK[[#This Row],[//]]-2)=""),"",INDEX(INDIRECT("NOTA["&amp;PAJAK[#Headers]&amp;"]"),PAJAK[[#This Row],[//]]-2))</f>
        <v/>
      </c>
      <c r="K58" s="146">
        <f ca="1">IF(PAJAK[[#This Row],[//]]="","",SUMIF(NOTA[ID_H],PAJAK[[#This Row],[ID]],NOTA[JUMLAH]))</f>
        <v>20731200</v>
      </c>
      <c r="L58" s="146">
        <f ca="1">IF(PAJAK[[#This Row],[//]]="","",SUMIF(NOTA[ID_H],PAJAK[[#This Row],[ID]],NOTA[DISC]))</f>
        <v>3498390</v>
      </c>
      <c r="M58" s="146">
        <f ca="1">PAJAK[[#This Row],[SUB TOTAL]]-PAJAK[[#This Row],[DISKON]]</f>
        <v>17232810</v>
      </c>
      <c r="N58" s="146">
        <f ca="1">IF(PAJAK[[#This Row],[//]]="","",INDEX(INDIRECT("NOTA["&amp;PAJAK[#Headers]&amp;"]"),PAJAK[[#This Row],[//]]-2+PAJAK[[#This Row],[QB]]-1))</f>
        <v>0</v>
      </c>
      <c r="O58" s="146">
        <f ca="1">(PAJAK[[#This Row],[SUB T-DISC]]-PAJAK[[#This Row],[DISC DLL]])/111%</f>
        <v>15525054.054054054</v>
      </c>
      <c r="P58" s="146">
        <f ca="1">PAJAK[[#This Row],[DPP]]*PAJAK[[#This Row],[PPN]]</f>
        <v>1707755.9459459458</v>
      </c>
      <c r="Q58" s="146">
        <f ca="1">PAJAK[[#This Row],[DPP]]+PAJAK[[#This Row],[PPN 11%]]</f>
        <v>17232810</v>
      </c>
      <c r="R58" s="32" t="str">
        <f ca="1">IF(ISNUMBER(PAJAK[[#This Row],[//]]),PPN,"")</f>
        <v>11%</v>
      </c>
    </row>
    <row r="59" spans="1:18" x14ac:dyDescent="0.25">
      <c r="A59" s="33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963</v>
      </c>
      <c r="B59" s="127">
        <f ca="1">HYPERLINK("[NOTA_.XLSX]NOTA!c"&amp;PAJAK[[#This Row],[//]],IF(PAJAK[[#This Row],[//]]="","",INDEX(INDIRECT("NOTA["&amp;PAJAK[#Headers]&amp;"]"),PAJAK[[#This Row],[//]]-2)))</f>
        <v>163</v>
      </c>
      <c r="C59" s="33" t="str">
        <f ca="1">IF(PAJAK[[#This Row],[//]]="","",INDEX(INDIRECT("NOTA["&amp;PAJAK[#Headers]&amp;"]"),PAJAK[[#This Row],[//]]-2))</f>
        <v>ATA_2705_149-5</v>
      </c>
      <c r="D59" s="33">
        <f ca="1">MATCH(PAJAK[[#This Row],[ID]],[4]!Table1[ID],0)</f>
        <v>63</v>
      </c>
      <c r="E59" s="126">
        <f ca="1">IF(PAJAK[[#This Row],[ID]]="","",COUNTIF(NOTA[ID_H],PAJAK[[#This Row],[ID]]))</f>
        <v>5</v>
      </c>
      <c r="F59" s="29" t="str">
        <f ca="1">IF(PAJAK[[#This Row],[//]]="","",INDEX(CONV[2],MATCH(INDEX(INDIRECT("NOTA["&amp;PAJAK[#Headers]&amp;"]"),PAJAK[[#This Row],[//]]-2),CONV[1],0),0))</f>
        <v>PT ATALI MAKMUR</v>
      </c>
      <c r="G59" s="31">
        <f ca="1">IF(PAJAK[[#This Row],[//]]="","",INDEX(NOTA[TGL_H],PAJAK[[#This Row],[//]]-2))</f>
        <v>45073</v>
      </c>
      <c r="H59" s="31">
        <f ca="1">IF(PAJAK[[#This Row],[//]]="","",INDEX(INDIRECT("NOTA["&amp;PAJAK[#Headers]&amp;"]"),PAJAK[[#This Row],[//]]-2))</f>
        <v>45068</v>
      </c>
      <c r="I59" s="30" t="str">
        <f ca="1">IF(PAJAK[[#This Row],[//]]="","",INDEX(INDIRECT("NOTA["&amp;PAJAK[#Headers]&amp;"]"),PAJAK[[#This Row],[//]]-2))</f>
        <v>SA230508149</v>
      </c>
      <c r="J59" s="29" t="str">
        <f ca="1">IF(OR(PAJAK[[#This Row],[//]]="",INDEX(INDIRECT("NOTA["&amp;PAJAK[#Headers]&amp;"]"),PAJAK[[#This Row],[//]]-2)=""),"",INDEX(INDIRECT("NOTA["&amp;PAJAK[#Headers]&amp;"]"),PAJAK[[#This Row],[//]]-2))</f>
        <v/>
      </c>
      <c r="K59" s="146">
        <f ca="1">IF(PAJAK[[#This Row],[//]]="","",SUMIF(NOTA[ID_H],PAJAK[[#This Row],[ID]],NOTA[JUMLAH]))</f>
        <v>15178300</v>
      </c>
      <c r="L59" s="146">
        <f ca="1">IF(PAJAK[[#This Row],[//]]="","",SUMIF(NOTA[ID_H],PAJAK[[#This Row],[ID]],NOTA[DISC]))</f>
        <v>2561338.125</v>
      </c>
      <c r="M59" s="146">
        <f ca="1">PAJAK[[#This Row],[SUB TOTAL]]-PAJAK[[#This Row],[DISKON]]</f>
        <v>12616961.875</v>
      </c>
      <c r="N59" s="146">
        <f ca="1">IF(PAJAK[[#This Row],[//]]="","",INDEX(INDIRECT("NOTA["&amp;PAJAK[#Headers]&amp;"]"),PAJAK[[#This Row],[//]]-2+PAJAK[[#This Row],[QB]]-1))</f>
        <v>0</v>
      </c>
      <c r="O59" s="146">
        <f ca="1">(PAJAK[[#This Row],[SUB T-DISC]]-PAJAK[[#This Row],[DISC DLL]])/111%</f>
        <v>11366632.319819819</v>
      </c>
      <c r="P59" s="146">
        <f ca="1">PAJAK[[#This Row],[DPP]]*PAJAK[[#This Row],[PPN]]</f>
        <v>1250329.5551801801</v>
      </c>
      <c r="Q59" s="146">
        <f ca="1">PAJAK[[#This Row],[DPP]]+PAJAK[[#This Row],[PPN 11%]]</f>
        <v>12616961.875</v>
      </c>
      <c r="R59" s="32" t="str">
        <f ca="1">IF(ISNUMBER(PAJAK[[#This Row],[//]]),PPN,"")</f>
        <v>11%</v>
      </c>
    </row>
    <row r="60" spans="1:18" x14ac:dyDescent="0.25">
      <c r="A60" s="33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969</v>
      </c>
      <c r="B60" s="127">
        <f ca="1">HYPERLINK("[NOTA_.XLSX]NOTA!c"&amp;PAJAK[[#This Row],[//]],IF(PAJAK[[#This Row],[//]]="","",INDEX(INDIRECT("NOTA["&amp;PAJAK[#Headers]&amp;"]"),PAJAK[[#This Row],[//]]-2)))</f>
        <v>164</v>
      </c>
      <c r="C60" s="33" t="str">
        <f ca="1">IF(PAJAK[[#This Row],[//]]="","",INDEX(INDIRECT("NOTA["&amp;PAJAK[#Headers]&amp;"]"),PAJAK[[#This Row],[//]]-2))</f>
        <v>ATA_2705_297-11</v>
      </c>
      <c r="D60" s="33">
        <f ca="1">MATCH(PAJAK[[#This Row],[ID]],[4]!Table1[ID],0)</f>
        <v>67</v>
      </c>
      <c r="E60" s="126">
        <f ca="1">IF(PAJAK[[#This Row],[ID]]="","",COUNTIF(NOTA[ID_H],PAJAK[[#This Row],[ID]]))</f>
        <v>11</v>
      </c>
      <c r="F60" s="29" t="str">
        <f ca="1">IF(PAJAK[[#This Row],[//]]="","",INDEX(CONV[2],MATCH(INDEX(INDIRECT("NOTA["&amp;PAJAK[#Headers]&amp;"]"),PAJAK[[#This Row],[//]]-2),CONV[1],0),0))</f>
        <v>PT ATALI MAKMUR</v>
      </c>
      <c r="G60" s="31">
        <f ca="1">IF(PAJAK[[#This Row],[//]]="","",INDEX(NOTA[TGL_H],PAJAK[[#This Row],[//]]-2))</f>
        <v>45073</v>
      </c>
      <c r="H60" s="31">
        <f ca="1">IF(PAJAK[[#This Row],[//]]="","",INDEX(INDIRECT("NOTA["&amp;PAJAK[#Headers]&amp;"]"),PAJAK[[#This Row],[//]]-2))</f>
        <v>45070</v>
      </c>
      <c r="I60" s="30" t="str">
        <f ca="1">IF(PAJAK[[#This Row],[//]]="","",INDEX(INDIRECT("NOTA["&amp;PAJAK[#Headers]&amp;"]"),PAJAK[[#This Row],[//]]-2))</f>
        <v>SA230508297</v>
      </c>
      <c r="J60" s="29" t="str">
        <f ca="1">IF(OR(PAJAK[[#This Row],[//]]="",INDEX(INDIRECT("NOTA["&amp;PAJAK[#Headers]&amp;"]"),PAJAK[[#This Row],[//]]-2)=""),"",INDEX(INDIRECT("NOTA["&amp;PAJAK[#Headers]&amp;"]"),PAJAK[[#This Row],[//]]-2))</f>
        <v/>
      </c>
      <c r="K60" s="146">
        <f ca="1">IF(PAJAK[[#This Row],[//]]="","",SUMIF(NOTA[ID_H],PAJAK[[#This Row],[ID]],NOTA[JUMLAH]))</f>
        <v>5695200</v>
      </c>
      <c r="L60" s="146">
        <f ca="1">IF(PAJAK[[#This Row],[//]]="","",SUMIF(NOTA[ID_H],PAJAK[[#This Row],[ID]],NOTA[DISC]))</f>
        <v>961065</v>
      </c>
      <c r="M60" s="146">
        <f ca="1">PAJAK[[#This Row],[SUB TOTAL]]-PAJAK[[#This Row],[DISKON]]</f>
        <v>4734135</v>
      </c>
      <c r="N60" s="146">
        <f ca="1">IF(PAJAK[[#This Row],[//]]="","",INDEX(INDIRECT("NOTA["&amp;PAJAK[#Headers]&amp;"]"),PAJAK[[#This Row],[//]]-2+PAJAK[[#This Row],[QB]]-1))</f>
        <v>0</v>
      </c>
      <c r="O60" s="146">
        <f ca="1">(PAJAK[[#This Row],[SUB T-DISC]]-PAJAK[[#This Row],[DISC DLL]])/111%</f>
        <v>4264986.4864864862</v>
      </c>
      <c r="P60" s="146">
        <f ca="1">PAJAK[[#This Row],[DPP]]*PAJAK[[#This Row],[PPN]]</f>
        <v>469148.51351351349</v>
      </c>
      <c r="Q60" s="146">
        <f ca="1">PAJAK[[#This Row],[DPP]]+PAJAK[[#This Row],[PPN 11%]]</f>
        <v>4734135</v>
      </c>
      <c r="R60" s="32" t="str">
        <f ca="1">IF(ISNUMBER(PAJAK[[#This Row],[//]]),PPN,"")</f>
        <v>11%</v>
      </c>
    </row>
    <row r="61" spans="1:18" x14ac:dyDescent="0.25">
      <c r="A61" s="2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981</v>
      </c>
      <c r="B61" s="29">
        <f ca="1">HYPERLINK("[NOTA_.XLSX]NOTA!c"&amp;PAJAK[[#This Row],[//]],IF(PAJAK[[#This Row],[//]]="","",INDEX(INDIRECT("NOTA["&amp;PAJAK[#Headers]&amp;"]"),PAJAK[[#This Row],[//]]-2)))</f>
        <v>165</v>
      </c>
      <c r="C61" s="29" t="str">
        <f ca="1">IF(PAJAK[[#This Row],[//]]="","",INDEX(INDIRECT("NOTA["&amp;PAJAK[#Headers]&amp;"]"),PAJAK[[#This Row],[//]]-2))</f>
        <v>ATA_2705_267-7</v>
      </c>
      <c r="D61" s="29">
        <f ca="1">MATCH(PAJAK[[#This Row],[ID]],[4]!Table1[ID],0)</f>
        <v>65</v>
      </c>
      <c r="E61" s="30">
        <f ca="1">IF(PAJAK[[#This Row],[ID]]="","",COUNTIF(NOTA[ID_H],PAJAK[[#This Row],[ID]]))</f>
        <v>7</v>
      </c>
      <c r="F61" s="29" t="str">
        <f ca="1">IF(PAJAK[[#This Row],[//]]="","",INDEX(CONV[2],MATCH(INDEX(INDIRECT("NOTA["&amp;PAJAK[#Headers]&amp;"]"),PAJAK[[#This Row],[//]]-2),CONV[1],0),0))</f>
        <v>PT ATALI MAKMUR</v>
      </c>
      <c r="G61" s="31">
        <f ca="1">IF(PAJAK[[#This Row],[//]]="","",INDEX(NOTA[TGL_H],PAJAK[[#This Row],[//]]-2))</f>
        <v>45073</v>
      </c>
      <c r="H61" s="31">
        <f ca="1">IF(PAJAK[[#This Row],[//]]="","",INDEX(INDIRECT("NOTA["&amp;PAJAK[#Headers]&amp;"]"),PAJAK[[#This Row],[//]]-2))</f>
        <v>45070</v>
      </c>
      <c r="I61" s="30" t="str">
        <f ca="1">IF(PAJAK[[#This Row],[//]]="","",INDEX(INDIRECT("NOTA["&amp;PAJAK[#Headers]&amp;"]"),PAJAK[[#This Row],[//]]-2))</f>
        <v>SA230508267</v>
      </c>
      <c r="J61" s="29" t="str">
        <f ca="1">IF(OR(PAJAK[[#This Row],[//]]="",INDEX(INDIRECT("NOTA["&amp;PAJAK[#Headers]&amp;"]"),PAJAK[[#This Row],[//]]-2)=""),"",INDEX(INDIRECT("NOTA["&amp;PAJAK[#Headers]&amp;"]"),PAJAK[[#This Row],[//]]-2))</f>
        <v/>
      </c>
      <c r="K61" s="146">
        <f ca="1">IF(PAJAK[[#This Row],[//]]="","",SUMIF(NOTA[ID_H],PAJAK[[#This Row],[ID]],NOTA[JUMLAH]))</f>
        <v>15211100</v>
      </c>
      <c r="L61" s="146">
        <f ca="1">IF(PAJAK[[#This Row],[//]]="","",SUMIF(NOTA[ID_H],PAJAK[[#This Row],[ID]],NOTA[DISC]))</f>
        <v>2566873.125</v>
      </c>
      <c r="M61" s="146">
        <f ca="1">PAJAK[[#This Row],[SUB TOTAL]]-PAJAK[[#This Row],[DISKON]]</f>
        <v>12644226.875</v>
      </c>
      <c r="N61" s="146">
        <f ca="1">IF(PAJAK[[#This Row],[//]]="","",INDEX(INDIRECT("NOTA["&amp;PAJAK[#Headers]&amp;"]"),PAJAK[[#This Row],[//]]-2+PAJAK[[#This Row],[QB]]-1))</f>
        <v>0</v>
      </c>
      <c r="O61" s="146">
        <f ca="1">(PAJAK[[#This Row],[SUB T-DISC]]-PAJAK[[#This Row],[DISC DLL]])/111%</f>
        <v>11391195.382882882</v>
      </c>
      <c r="P61" s="146">
        <f ca="1">PAJAK[[#This Row],[DPP]]*PAJAK[[#This Row],[PPN]]</f>
        <v>1253031.4921171169</v>
      </c>
      <c r="Q61" s="146">
        <f ca="1">PAJAK[[#This Row],[DPP]]+PAJAK[[#This Row],[PPN 11%]]</f>
        <v>12644226.874999998</v>
      </c>
      <c r="R61" s="32" t="str">
        <f ca="1">IF(ISNUMBER(PAJAK[[#This Row],[//]]),PPN,"")</f>
        <v>11%</v>
      </c>
    </row>
    <row r="62" spans="1:18" x14ac:dyDescent="0.25">
      <c r="A62" s="33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989</v>
      </c>
      <c r="B62" s="127">
        <f ca="1">HYPERLINK("[NOTA_.XLSX]NOTA!c"&amp;PAJAK[[#This Row],[//]],IF(PAJAK[[#This Row],[//]]="","",INDEX(INDIRECT("NOTA["&amp;PAJAK[#Headers]&amp;"]"),PAJAK[[#This Row],[//]]-2)))</f>
        <v>166</v>
      </c>
      <c r="C62" s="33" t="str">
        <f ca="1">IF(PAJAK[[#This Row],[//]]="","",INDEX(INDIRECT("NOTA["&amp;PAJAK[#Headers]&amp;"]"),PAJAK[[#This Row],[//]]-2))</f>
        <v>ATA_2705_298-9</v>
      </c>
      <c r="D62" s="33">
        <f ca="1">MATCH(PAJAK[[#This Row],[ID]],[4]!Table1[ID],0)</f>
        <v>68</v>
      </c>
      <c r="E62" s="126">
        <f ca="1">IF(PAJAK[[#This Row],[ID]]="","",COUNTIF(NOTA[ID_H],PAJAK[[#This Row],[ID]]))</f>
        <v>9</v>
      </c>
      <c r="F62" s="29" t="str">
        <f ca="1">IF(PAJAK[[#This Row],[//]]="","",INDEX(CONV[2],MATCH(INDEX(INDIRECT("NOTA["&amp;PAJAK[#Headers]&amp;"]"),PAJAK[[#This Row],[//]]-2),CONV[1],0),0))</f>
        <v>PT ATALI MAKMUR</v>
      </c>
      <c r="G62" s="31">
        <f ca="1">IF(PAJAK[[#This Row],[//]]="","",INDEX(NOTA[TGL_H],PAJAK[[#This Row],[//]]-2))</f>
        <v>45073</v>
      </c>
      <c r="H62" s="31">
        <f ca="1">IF(PAJAK[[#This Row],[//]]="","",INDEX(INDIRECT("NOTA["&amp;PAJAK[#Headers]&amp;"]"),PAJAK[[#This Row],[//]]-2))</f>
        <v>45070</v>
      </c>
      <c r="I62" s="30" t="str">
        <f ca="1">IF(PAJAK[[#This Row],[//]]="","",INDEX(INDIRECT("NOTA["&amp;PAJAK[#Headers]&amp;"]"),PAJAK[[#This Row],[//]]-2))</f>
        <v>SA230508298</v>
      </c>
      <c r="J62" s="29" t="str">
        <f ca="1">IF(OR(PAJAK[[#This Row],[//]]="",INDEX(INDIRECT("NOTA["&amp;PAJAK[#Headers]&amp;"]"),PAJAK[[#This Row],[//]]-2)=""),"",INDEX(INDIRECT("NOTA["&amp;PAJAK[#Headers]&amp;"]"),PAJAK[[#This Row],[//]]-2))</f>
        <v/>
      </c>
      <c r="K62" s="146">
        <f ca="1">IF(PAJAK[[#This Row],[//]]="","",SUMIF(NOTA[ID_H],PAJAK[[#This Row],[ID]],NOTA[JUMLAH]))</f>
        <v>18712000</v>
      </c>
      <c r="L62" s="146">
        <f ca="1">IF(PAJAK[[#This Row],[//]]="","",SUMIF(NOTA[ID_H],PAJAK[[#This Row],[ID]],NOTA[DISC]))</f>
        <v>3143875</v>
      </c>
      <c r="M62" s="146">
        <f ca="1">PAJAK[[#This Row],[SUB TOTAL]]-PAJAK[[#This Row],[DISKON]]</f>
        <v>15568125</v>
      </c>
      <c r="N62" s="146">
        <f ca="1">IF(PAJAK[[#This Row],[//]]="","",INDEX(INDIRECT("NOTA["&amp;PAJAK[#Headers]&amp;"]"),PAJAK[[#This Row],[//]]-2+PAJAK[[#This Row],[QB]]-1))</f>
        <v>495900</v>
      </c>
      <c r="O62" s="146">
        <f ca="1">(PAJAK[[#This Row],[SUB T-DISC]]-PAJAK[[#This Row],[DISC DLL]])/111%</f>
        <v>13578581.081081079</v>
      </c>
      <c r="P62" s="146">
        <f ca="1">PAJAK[[#This Row],[DPP]]*PAJAK[[#This Row],[PPN]]</f>
        <v>1493643.9189189188</v>
      </c>
      <c r="Q62" s="146">
        <f ca="1">PAJAK[[#This Row],[DPP]]+PAJAK[[#This Row],[PPN 11%]]</f>
        <v>15072224.999999998</v>
      </c>
      <c r="R62" s="32" t="str">
        <f ca="1">IF(ISNUMBER(PAJAK[[#This Row],[//]]),PPN,"")</f>
        <v>11%</v>
      </c>
    </row>
    <row r="63" spans="1:18" x14ac:dyDescent="0.25">
      <c r="A63" s="2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999</v>
      </c>
      <c r="B63" s="29">
        <f ca="1">HYPERLINK("[NOTA_.XLSX]NOTA!c"&amp;PAJAK[[#This Row],[//]],IF(PAJAK[[#This Row],[//]]="","",INDEX(INDIRECT("NOTA["&amp;PAJAK[#Headers]&amp;"]"),PAJAK[[#This Row],[//]]-2)))</f>
        <v>167</v>
      </c>
      <c r="C63" s="29" t="str">
        <f ca="1">IF(PAJAK[[#This Row],[//]]="","",INDEX(INDIRECT("NOTA["&amp;PAJAK[#Headers]&amp;"]"),PAJAK[[#This Row],[//]]-2))</f>
        <v>ATA_2705_268-9</v>
      </c>
      <c r="D63" s="29">
        <f ca="1">MATCH(PAJAK[[#This Row],[ID]],[4]!Table1[ID],0)</f>
        <v>66</v>
      </c>
      <c r="E63" s="30">
        <f ca="1">IF(PAJAK[[#This Row],[ID]]="","",COUNTIF(NOTA[ID_H],PAJAK[[#This Row],[ID]]))</f>
        <v>9</v>
      </c>
      <c r="F63" s="29" t="str">
        <f ca="1">IF(PAJAK[[#This Row],[//]]="","",INDEX(CONV[2],MATCH(INDEX(INDIRECT("NOTA["&amp;PAJAK[#Headers]&amp;"]"),PAJAK[[#This Row],[//]]-2),CONV[1],0),0))</f>
        <v>PT ATALI MAKMUR</v>
      </c>
      <c r="G63" s="31">
        <f ca="1">IF(PAJAK[[#This Row],[//]]="","",INDEX(NOTA[TGL_H],PAJAK[[#This Row],[//]]-2))</f>
        <v>45073</v>
      </c>
      <c r="H63" s="31">
        <f ca="1">IF(PAJAK[[#This Row],[//]]="","",INDEX(INDIRECT("NOTA["&amp;PAJAK[#Headers]&amp;"]"),PAJAK[[#This Row],[//]]-2))</f>
        <v>45070</v>
      </c>
      <c r="I63" s="30" t="str">
        <f ca="1">IF(PAJAK[[#This Row],[//]]="","",INDEX(INDIRECT("NOTA["&amp;PAJAK[#Headers]&amp;"]"),PAJAK[[#This Row],[//]]-2))</f>
        <v>SA230508268</v>
      </c>
      <c r="J63" s="29" t="str">
        <f ca="1">IF(OR(PAJAK[[#This Row],[//]]="",INDEX(INDIRECT("NOTA["&amp;PAJAK[#Headers]&amp;"]"),PAJAK[[#This Row],[//]]-2)=""),"",INDEX(INDIRECT("NOTA["&amp;PAJAK[#Headers]&amp;"]"),PAJAK[[#This Row],[//]]-2))</f>
        <v/>
      </c>
      <c r="K63" s="146">
        <f ca="1">IF(PAJAK[[#This Row],[//]]="","",SUMIF(NOTA[ID_H],PAJAK[[#This Row],[ID]],NOTA[JUMLAH]))</f>
        <v>27179800</v>
      </c>
      <c r="L63" s="146">
        <f ca="1">IF(PAJAK[[#This Row],[//]]="","",SUMIF(NOTA[ID_H],PAJAK[[#This Row],[ID]],NOTA[DISC]))</f>
        <v>4562485</v>
      </c>
      <c r="M63" s="146">
        <f ca="1">PAJAK[[#This Row],[SUB TOTAL]]-PAJAK[[#This Row],[DISKON]]</f>
        <v>22617315</v>
      </c>
      <c r="N63" s="146">
        <f ca="1">IF(PAJAK[[#This Row],[//]]="","",INDEX(INDIRECT("NOTA["&amp;PAJAK[#Headers]&amp;"]"),PAJAK[[#This Row],[//]]-2+PAJAK[[#This Row],[QB]]-1))</f>
        <v>867825</v>
      </c>
      <c r="O63" s="146">
        <f ca="1">(PAJAK[[#This Row],[SUB T-DISC]]-PAJAK[[#This Row],[DISC DLL]])/111%</f>
        <v>19594135.135135133</v>
      </c>
      <c r="P63" s="146">
        <f ca="1">PAJAK[[#This Row],[DPP]]*PAJAK[[#This Row],[PPN]]</f>
        <v>2155354.8648648649</v>
      </c>
      <c r="Q63" s="146">
        <f ca="1">PAJAK[[#This Row],[DPP]]+PAJAK[[#This Row],[PPN 11%]]</f>
        <v>21749489.999999996</v>
      </c>
      <c r="R63" s="32" t="str">
        <f ca="1">IF(ISNUMBER(PAJAK[[#This Row],[//]]),PPN,"")</f>
        <v>11%</v>
      </c>
    </row>
    <row r="64" spans="1:18" x14ac:dyDescent="0.25">
      <c r="A64" s="33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1009</v>
      </c>
      <c r="B64" s="127">
        <f ca="1">HYPERLINK("[NOTA_.XLSX]NOTA!c"&amp;PAJAK[[#This Row],[//]],IF(PAJAK[[#This Row],[//]]="","",INDEX(INDIRECT("NOTA["&amp;PAJAK[#Headers]&amp;"]"),PAJAK[[#This Row],[//]]-2)))</f>
        <v>168</v>
      </c>
      <c r="C64" s="33" t="str">
        <f ca="1">IF(PAJAK[[#This Row],[//]]="","",INDEX(INDIRECT("NOTA["&amp;PAJAK[#Headers]&amp;"]"),PAJAK[[#This Row],[//]]-2))</f>
        <v>ATA_2905_319-1</v>
      </c>
      <c r="D64" s="33">
        <f ca="1">MATCH(PAJAK[[#This Row],[ID]],[4]!Table1[ID],0)</f>
        <v>69</v>
      </c>
      <c r="E64" s="126">
        <f ca="1">IF(PAJAK[[#This Row],[ID]]="","",COUNTIF(NOTA[ID_H],PAJAK[[#This Row],[ID]]))</f>
        <v>1</v>
      </c>
      <c r="F64" s="29" t="str">
        <f ca="1">IF(PAJAK[[#This Row],[//]]="","",INDEX(CONV[2],MATCH(INDEX(INDIRECT("NOTA["&amp;PAJAK[#Headers]&amp;"]"),PAJAK[[#This Row],[//]]-2),CONV[1],0),0))</f>
        <v>PT ATALI MAKMUR</v>
      </c>
      <c r="G64" s="31">
        <f ca="1">IF(PAJAK[[#This Row],[//]]="","",INDEX(NOTA[TGL_H],PAJAK[[#This Row],[//]]-2))</f>
        <v>45075</v>
      </c>
      <c r="H64" s="31">
        <f ca="1">IF(PAJAK[[#This Row],[//]]="","",INDEX(INDIRECT("NOTA["&amp;PAJAK[#Headers]&amp;"]"),PAJAK[[#This Row],[//]]-2))</f>
        <v>45071</v>
      </c>
      <c r="I64" s="30" t="str">
        <f ca="1">IF(PAJAK[[#This Row],[//]]="","",INDEX(INDIRECT("NOTA["&amp;PAJAK[#Headers]&amp;"]"),PAJAK[[#This Row],[//]]-2))</f>
        <v>SA230508319</v>
      </c>
      <c r="J64" s="29" t="str">
        <f ca="1">IF(OR(PAJAK[[#This Row],[//]]="",INDEX(INDIRECT("NOTA["&amp;PAJAK[#Headers]&amp;"]"),PAJAK[[#This Row],[//]]-2)=""),"",INDEX(INDIRECT("NOTA["&amp;PAJAK[#Headers]&amp;"]"),PAJAK[[#This Row],[//]]-2))</f>
        <v/>
      </c>
      <c r="K64" s="146">
        <f ca="1">IF(PAJAK[[#This Row],[//]]="","",SUMIF(NOTA[ID_H],PAJAK[[#This Row],[ID]],NOTA[JUMLAH]))</f>
        <v>1238400</v>
      </c>
      <c r="L64" s="146">
        <f ca="1">IF(PAJAK[[#This Row],[//]]="","",SUMIF(NOTA[ID_H],PAJAK[[#This Row],[ID]],NOTA[DISC]))</f>
        <v>208980</v>
      </c>
      <c r="M64" s="146">
        <f ca="1">PAJAK[[#This Row],[SUB TOTAL]]-PAJAK[[#This Row],[DISKON]]</f>
        <v>1029420</v>
      </c>
      <c r="N64" s="146">
        <f ca="1">IF(PAJAK[[#This Row],[//]]="","",INDEX(INDIRECT("NOTA["&amp;PAJAK[#Headers]&amp;"]"),PAJAK[[#This Row],[//]]-2+PAJAK[[#This Row],[QB]]-1))</f>
        <v>0</v>
      </c>
      <c r="O64" s="146">
        <f ca="1">(PAJAK[[#This Row],[SUB T-DISC]]-PAJAK[[#This Row],[DISC DLL]])/111%</f>
        <v>927405.40540540533</v>
      </c>
      <c r="P64" s="146">
        <f ca="1">PAJAK[[#This Row],[DPP]]*PAJAK[[#This Row],[PPN]]</f>
        <v>102014.59459459459</v>
      </c>
      <c r="Q64" s="146">
        <f ca="1">PAJAK[[#This Row],[DPP]]+PAJAK[[#This Row],[PPN 11%]]</f>
        <v>1029419.9999999999</v>
      </c>
      <c r="R64" s="32" t="str">
        <f ca="1">IF(ISNUMBER(PAJAK[[#This Row],[//]]),PPN,"")</f>
        <v>11%</v>
      </c>
    </row>
    <row r="65" spans="1:23" x14ac:dyDescent="0.25">
      <c r="A65" s="2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1011</v>
      </c>
      <c r="B65" s="128">
        <f ca="1">HYPERLINK("[NOTA_.XLSX]NOTA!c"&amp;PAJAK[[#This Row],[//]],IF(PAJAK[[#This Row],[//]]="","",INDEX(INDIRECT("NOTA["&amp;PAJAK[#Headers]&amp;"]"),PAJAK[[#This Row],[//]]-2)))</f>
        <v>169</v>
      </c>
      <c r="C65" s="29" t="str">
        <f ca="1">IF(PAJAK[[#This Row],[//]]="","",INDEX(INDIRECT("NOTA["&amp;PAJAK[#Headers]&amp;"]"),PAJAK[[#This Row],[//]]-2))</f>
        <v>ATA_2905_396-2</v>
      </c>
      <c r="D65" s="29">
        <f ca="1">MATCH(PAJAK[[#This Row],[ID]],[4]!Table1[ID],0)</f>
        <v>70</v>
      </c>
      <c r="E65" s="30">
        <f ca="1">IF(PAJAK[[#This Row],[ID]]="","",COUNTIF(NOTA[ID_H],PAJAK[[#This Row],[ID]]))</f>
        <v>2</v>
      </c>
      <c r="F65" s="29" t="str">
        <f ca="1">IF(PAJAK[[#This Row],[//]]="","",INDEX(CONV[2],MATCH(INDEX(INDIRECT("NOTA["&amp;PAJAK[#Headers]&amp;"]"),PAJAK[[#This Row],[//]]-2),CONV[1],0),0))</f>
        <v>PT ATALI MAKMUR</v>
      </c>
      <c r="G65" s="31">
        <f ca="1">IF(PAJAK[[#This Row],[//]]="","",INDEX(NOTA[TGL_H],PAJAK[[#This Row],[//]]-2))</f>
        <v>45075</v>
      </c>
      <c r="H65" s="31">
        <f ca="1">IF(PAJAK[[#This Row],[//]]="","",INDEX(INDIRECT("NOTA["&amp;PAJAK[#Headers]&amp;"]"),PAJAK[[#This Row],[//]]-2))</f>
        <v>45072</v>
      </c>
      <c r="I65" s="30" t="str">
        <f ca="1">IF(PAJAK[[#This Row],[//]]="","",INDEX(INDIRECT("NOTA["&amp;PAJAK[#Headers]&amp;"]"),PAJAK[[#This Row],[//]]-2))</f>
        <v>SA230508396</v>
      </c>
      <c r="J65" s="29" t="str">
        <f ca="1">IF(OR(PAJAK[[#This Row],[//]]="",INDEX(INDIRECT("NOTA["&amp;PAJAK[#Headers]&amp;"]"),PAJAK[[#This Row],[//]]-2)=""),"",INDEX(INDIRECT("NOTA["&amp;PAJAK[#Headers]&amp;"]"),PAJAK[[#This Row],[//]]-2))</f>
        <v/>
      </c>
      <c r="K65" s="146">
        <f ca="1">IF(PAJAK[[#This Row],[//]]="","",SUMIF(NOTA[ID_H],PAJAK[[#This Row],[ID]],NOTA[JUMLAH]))</f>
        <v>5260000</v>
      </c>
      <c r="L65" s="146">
        <f ca="1">IF(PAJAK[[#This Row],[//]]="","",SUMIF(NOTA[ID_H],PAJAK[[#This Row],[ID]],NOTA[DISC]))</f>
        <v>887625</v>
      </c>
      <c r="M65" s="146">
        <f ca="1">PAJAK[[#This Row],[SUB TOTAL]]-PAJAK[[#This Row],[DISKON]]</f>
        <v>4372375</v>
      </c>
      <c r="N65" s="146">
        <f ca="1">IF(PAJAK[[#This Row],[//]]="","",INDEX(INDIRECT("NOTA["&amp;PAJAK[#Headers]&amp;"]"),PAJAK[[#This Row],[//]]-2+PAJAK[[#This Row],[QB]]-1))</f>
        <v>0</v>
      </c>
      <c r="O65" s="146">
        <f ca="1">(PAJAK[[#This Row],[SUB T-DISC]]-PAJAK[[#This Row],[DISC DLL]])/111%</f>
        <v>3939076.5765765761</v>
      </c>
      <c r="P65" s="146">
        <f ca="1">PAJAK[[#This Row],[DPP]]*PAJAK[[#This Row],[PPN]]</f>
        <v>433298.42342342337</v>
      </c>
      <c r="Q65" s="146">
        <f ca="1">PAJAK[[#This Row],[DPP]]+PAJAK[[#This Row],[PPN 11%]]</f>
        <v>4372374.9999999991</v>
      </c>
      <c r="R65" s="32" t="str">
        <f ca="1">IF(ISNUMBER(PAJAK[[#This Row],[//]]),PPN,"")</f>
        <v>11%</v>
      </c>
    </row>
    <row r="66" spans="1:23" x14ac:dyDescent="0.25">
      <c r="A66" s="29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1014</v>
      </c>
      <c r="B66" s="128">
        <f ca="1">HYPERLINK("[NOTA_.XLSX]NOTA!c"&amp;PAJAK[[#This Row],[//]],IF(PAJAK[[#This Row],[//]]="","",INDEX(INDIRECT("NOTA["&amp;PAJAK[#Headers]&amp;"]"),PAJAK[[#This Row],[//]]-2)))</f>
        <v>170</v>
      </c>
      <c r="C66" s="29" t="str">
        <f ca="1">IF(PAJAK[[#This Row],[//]]="","",INDEX(INDIRECT("NOTA["&amp;PAJAK[#Headers]&amp;"]"),PAJAK[[#This Row],[//]]-2))</f>
        <v>KEN_2705_394-10</v>
      </c>
      <c r="D66" s="29">
        <f ca="1">MATCH(PAJAK[[#This Row],[ID]],[4]!Table1[ID],0)</f>
        <v>29</v>
      </c>
      <c r="E66" s="30">
        <f ca="1">IF(PAJAK[[#This Row],[ID]]="","",COUNTIF(NOTA[ID_H],PAJAK[[#This Row],[ID]]))</f>
        <v>10</v>
      </c>
      <c r="F66" s="29" t="str">
        <f ca="1">IF(PAJAK[[#This Row],[//]]="","",INDEX(CONV[2],MATCH(INDEX(INDIRECT("NOTA["&amp;PAJAK[#Headers]&amp;"]"),PAJAK[[#This Row],[//]]-2),CONV[1],0),0))</f>
        <v>PT KENKO SINAR INDONESIA</v>
      </c>
      <c r="G66" s="31">
        <f ca="1">IF(PAJAK[[#This Row],[//]]="","",INDEX(NOTA[TGL_H],PAJAK[[#This Row],[//]]-2))</f>
        <v>45073</v>
      </c>
      <c r="H66" s="31">
        <f ca="1">IF(PAJAK[[#This Row],[//]]="","",INDEX(INDIRECT("NOTA["&amp;PAJAK[#Headers]&amp;"]"),PAJAK[[#This Row],[//]]-2))</f>
        <v>45071</v>
      </c>
      <c r="I66" s="30" t="str">
        <f ca="1">IF(PAJAK[[#This Row],[//]]="","",INDEX(INDIRECT("NOTA["&amp;PAJAK[#Headers]&amp;"]"),PAJAK[[#This Row],[//]]-2))</f>
        <v>23052394</v>
      </c>
      <c r="J66" s="29" t="str">
        <f ca="1">IF(OR(PAJAK[[#This Row],[//]]="",INDEX(INDIRECT("NOTA["&amp;PAJAK[#Headers]&amp;"]"),PAJAK[[#This Row],[//]]-2)=""),"",INDEX(INDIRECT("NOTA["&amp;PAJAK[#Headers]&amp;"]"),PAJAK[[#This Row],[//]]-2))</f>
        <v>SA 41990</v>
      </c>
      <c r="K66" s="146">
        <f ca="1">IF(PAJAK[[#This Row],[//]]="","",SUMIF(NOTA[ID_H],PAJAK[[#This Row],[ID]],NOTA[JUMLAH]))</f>
        <v>33262200</v>
      </c>
      <c r="L66" s="146">
        <f ca="1">IF(PAJAK[[#This Row],[//]]="","",SUMIF(NOTA[ID_H],PAJAK[[#This Row],[ID]],NOTA[DISC]))</f>
        <v>5654574</v>
      </c>
      <c r="M66" s="146">
        <f ca="1">PAJAK[[#This Row],[SUB TOTAL]]-PAJAK[[#This Row],[DISKON]]</f>
        <v>27607626</v>
      </c>
      <c r="N66" s="146">
        <f ca="1">IF(PAJAK[[#This Row],[//]]="","",INDEX(INDIRECT("NOTA["&amp;PAJAK[#Headers]&amp;"]"),PAJAK[[#This Row],[//]]-2+PAJAK[[#This Row],[QB]]-1))</f>
        <v>0</v>
      </c>
      <c r="O66" s="146">
        <f ca="1">(PAJAK[[#This Row],[SUB T-DISC]]-PAJAK[[#This Row],[DISC DLL]])/111%</f>
        <v>24871735.135135133</v>
      </c>
      <c r="P66" s="146">
        <f ca="1">PAJAK[[#This Row],[DPP]]*PAJAK[[#This Row],[PPN]]</f>
        <v>2735890.8648648649</v>
      </c>
      <c r="Q66" s="146">
        <f ca="1">PAJAK[[#This Row],[DPP]]+PAJAK[[#This Row],[PPN 11%]]</f>
        <v>27607625.999999996</v>
      </c>
      <c r="R66" s="32" t="str">
        <f ca="1">IF(ISNUMBER(PAJAK[[#This Row],[//]]),PPN,"")</f>
        <v>11%</v>
      </c>
    </row>
    <row r="67" spans="1:23" x14ac:dyDescent="0.25">
      <c r="A67" s="33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1025</v>
      </c>
      <c r="B67" s="127">
        <f ca="1">HYPERLINK("[NOTA_.XLSX]NOTA!c"&amp;PAJAK[[#This Row],[//]],IF(PAJAK[[#This Row],[//]]="","",INDEX(INDIRECT("NOTA["&amp;PAJAK[#Headers]&amp;"]"),PAJAK[[#This Row],[//]]-2)))</f>
        <v>171</v>
      </c>
      <c r="C67" s="33" t="str">
        <f ca="1">IF(PAJAK[[#This Row],[//]]="","",INDEX(INDIRECT("NOTA["&amp;PAJAK[#Headers]&amp;"]"),PAJAK[[#This Row],[//]]-2))</f>
        <v>KEN_2905_506-9</v>
      </c>
      <c r="D67" s="33">
        <f ca="1">MATCH(PAJAK[[#This Row],[ID]],[4]!Table1[ID],0)</f>
        <v>30</v>
      </c>
      <c r="E67" s="126">
        <f ca="1">IF(PAJAK[[#This Row],[ID]]="","",COUNTIF(NOTA[ID_H],PAJAK[[#This Row],[ID]]))</f>
        <v>9</v>
      </c>
      <c r="F67" s="29" t="str">
        <f ca="1">IF(PAJAK[[#This Row],[//]]="","",INDEX(CONV[2],MATCH(INDEX(INDIRECT("NOTA["&amp;PAJAK[#Headers]&amp;"]"),PAJAK[[#This Row],[//]]-2),CONV[1],0),0))</f>
        <v>PT KENKO SINAR INDONESIA</v>
      </c>
      <c r="G67" s="31">
        <f ca="1">IF(PAJAK[[#This Row],[//]]="","",INDEX(NOTA[TGL_H],PAJAK[[#This Row],[//]]-2))</f>
        <v>45075</v>
      </c>
      <c r="H67" s="31">
        <f ca="1">IF(PAJAK[[#This Row],[//]]="","",INDEX(INDIRECT("NOTA["&amp;PAJAK[#Headers]&amp;"]"),PAJAK[[#This Row],[//]]-2))</f>
        <v>45072</v>
      </c>
      <c r="I67" s="30" t="str">
        <f ca="1">IF(PAJAK[[#This Row],[//]]="","",INDEX(INDIRECT("NOTA["&amp;PAJAK[#Headers]&amp;"]"),PAJAK[[#This Row],[//]]-2))</f>
        <v>23052506</v>
      </c>
      <c r="J67" s="29" t="str">
        <f ca="1">IF(OR(PAJAK[[#This Row],[//]]="",INDEX(INDIRECT("NOTA["&amp;PAJAK[#Headers]&amp;"]"),PAJAK[[#This Row],[//]]-2)=""),"",INDEX(INDIRECT("NOTA["&amp;PAJAK[#Headers]&amp;"]"),PAJAK[[#This Row],[//]]-2))</f>
        <v>SA 42011</v>
      </c>
      <c r="K67" s="146">
        <f ca="1">IF(PAJAK[[#This Row],[//]]="","",SUMIF(NOTA[ID_H],PAJAK[[#This Row],[ID]],NOTA[JUMLAH]))</f>
        <v>20947200</v>
      </c>
      <c r="L67" s="146">
        <f ca="1">IF(PAJAK[[#This Row],[//]]="","",SUMIF(NOTA[ID_H],PAJAK[[#This Row],[ID]],NOTA[DISC]))</f>
        <v>3561024</v>
      </c>
      <c r="M67" s="146">
        <f ca="1">PAJAK[[#This Row],[SUB TOTAL]]-PAJAK[[#This Row],[DISKON]]</f>
        <v>17386176</v>
      </c>
      <c r="N67" s="146">
        <f ca="1">IF(PAJAK[[#This Row],[//]]="","",INDEX(INDIRECT("NOTA["&amp;PAJAK[#Headers]&amp;"]"),PAJAK[[#This Row],[//]]-2+PAJAK[[#This Row],[QB]]-1))</f>
        <v>0</v>
      </c>
      <c r="O67" s="146">
        <f ca="1">(PAJAK[[#This Row],[SUB T-DISC]]-PAJAK[[#This Row],[DISC DLL]])/111%</f>
        <v>15663221.62162162</v>
      </c>
      <c r="P67" s="146">
        <f ca="1">PAJAK[[#This Row],[DPP]]*PAJAK[[#This Row],[PPN]]</f>
        <v>1722954.3783783782</v>
      </c>
      <c r="Q67" s="146">
        <f ca="1">PAJAK[[#This Row],[DPP]]+PAJAK[[#This Row],[PPN 11%]]</f>
        <v>17386176</v>
      </c>
      <c r="R67" s="32" t="str">
        <f ca="1">IF(ISNUMBER(PAJAK[[#This Row],[//]]),PPN,"")</f>
        <v>11%</v>
      </c>
    </row>
    <row r="68" spans="1:23" x14ac:dyDescent="0.25">
      <c r="A68" s="3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1035</v>
      </c>
      <c r="B68" s="127">
        <f ca="1">HYPERLINK("[NOTA_.XLSX]NOTA!c"&amp;PAJAK[[#This Row],[//]],IF(PAJAK[[#This Row],[//]]="","",INDEX(INDIRECT("NOTA["&amp;PAJAK[#Headers]&amp;"]"),PAJAK[[#This Row],[//]]-2)))</f>
        <v>172</v>
      </c>
      <c r="C68" s="33" t="str">
        <f ca="1">IF(PAJAK[[#This Row],[//]]="","",INDEX(INDIRECT("NOTA["&amp;PAJAK[#Headers]&amp;"]"),PAJAK[[#This Row],[//]]-2))</f>
        <v>KEN_2905_563-7</v>
      </c>
      <c r="D68" s="33">
        <f ca="1">MATCH(PAJAK[[#This Row],[ID]],[4]!Table1[ID],0)</f>
        <v>31</v>
      </c>
      <c r="E68" s="126">
        <f ca="1">IF(PAJAK[[#This Row],[ID]]="","",COUNTIF(NOTA[ID_H],PAJAK[[#This Row],[ID]]))</f>
        <v>7</v>
      </c>
      <c r="F68" s="29" t="str">
        <f ca="1">IF(PAJAK[[#This Row],[//]]="","",INDEX(CONV[2],MATCH(INDEX(INDIRECT("NOTA["&amp;PAJAK[#Headers]&amp;"]"),PAJAK[[#This Row],[//]]-2),CONV[1],0),0))</f>
        <v>PT KENKO SINAR INDONESIA</v>
      </c>
      <c r="G68" s="31">
        <f ca="1">IF(PAJAK[[#This Row],[//]]="","",INDEX(NOTA[TGL_H],PAJAK[[#This Row],[//]]-2))</f>
        <v>45075</v>
      </c>
      <c r="H68" s="31">
        <f ca="1">IF(PAJAK[[#This Row],[//]]="","",INDEX(INDIRECT("NOTA["&amp;PAJAK[#Headers]&amp;"]"),PAJAK[[#This Row],[//]]-2))</f>
        <v>45072</v>
      </c>
      <c r="I68" s="30" t="str">
        <f ca="1">IF(PAJAK[[#This Row],[//]]="","",INDEX(INDIRECT("NOTA["&amp;PAJAK[#Headers]&amp;"]"),PAJAK[[#This Row],[//]]-2))</f>
        <v>23052563</v>
      </c>
      <c r="J68" s="29" t="str">
        <f ca="1">IF(OR(PAJAK[[#This Row],[//]]="",INDEX(INDIRECT("NOTA["&amp;PAJAK[#Headers]&amp;"]"),PAJAK[[#This Row],[//]]-2)=""),"",INDEX(INDIRECT("NOTA["&amp;PAJAK[#Headers]&amp;"]"),PAJAK[[#This Row],[//]]-2))</f>
        <v>SA 42041</v>
      </c>
      <c r="K68" s="146">
        <f ca="1">IF(PAJAK[[#This Row],[//]]="","",SUMIF(NOTA[ID_H],PAJAK[[#This Row],[ID]],NOTA[JUMLAH]))</f>
        <v>65734800</v>
      </c>
      <c r="L68" s="146">
        <f ca="1">IF(PAJAK[[#This Row],[//]]="","",SUMIF(NOTA[ID_H],PAJAK[[#This Row],[ID]],NOTA[DISC]))</f>
        <v>11174916</v>
      </c>
      <c r="M68" s="146">
        <f ca="1">PAJAK[[#This Row],[SUB TOTAL]]-PAJAK[[#This Row],[DISKON]]</f>
        <v>54559884</v>
      </c>
      <c r="N68" s="146">
        <f ca="1">IF(PAJAK[[#This Row],[//]]="","",INDEX(INDIRECT("NOTA["&amp;PAJAK[#Headers]&amp;"]"),PAJAK[[#This Row],[//]]-2+PAJAK[[#This Row],[QB]]-1))</f>
        <v>0</v>
      </c>
      <c r="O68" s="146">
        <f ca="1">(PAJAK[[#This Row],[SUB T-DISC]]-PAJAK[[#This Row],[DISC DLL]])/111%</f>
        <v>49153048.648648642</v>
      </c>
      <c r="P68" s="146">
        <f ca="1">PAJAK[[#This Row],[DPP]]*PAJAK[[#This Row],[PPN]]</f>
        <v>5406835.3513513505</v>
      </c>
      <c r="Q68" s="146">
        <f ca="1">PAJAK[[#This Row],[DPP]]+PAJAK[[#This Row],[PPN 11%]]</f>
        <v>54559883.999999993</v>
      </c>
      <c r="R68" s="32" t="str">
        <f ca="1">IF(ISNUMBER(PAJAK[[#This Row],[//]]),PPN,"")</f>
        <v>11%</v>
      </c>
    </row>
    <row r="69" spans="1:23" x14ac:dyDescent="0.25">
      <c r="A69" s="3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1043</v>
      </c>
      <c r="B69" s="127">
        <f ca="1">HYPERLINK("[NOTA_.XLSX]NOTA!c"&amp;PAJAK[[#This Row],[//]],IF(PAJAK[[#This Row],[//]]="","",INDEX(INDIRECT("NOTA["&amp;PAJAK[#Headers]&amp;"]"),PAJAK[[#This Row],[//]]-2)))</f>
        <v>173</v>
      </c>
      <c r="C69" s="33" t="str">
        <f ca="1">IF(PAJAK[[#This Row],[//]]="","",INDEX(INDIRECT("NOTA["&amp;PAJAK[#Headers]&amp;"]"),PAJAK[[#This Row],[//]]-2))</f>
        <v>KEN_3105_797-3</v>
      </c>
      <c r="D69" s="33">
        <f ca="1">MATCH(PAJAK[[#This Row],[ID]],[4]!Table1[ID],0)</f>
        <v>32</v>
      </c>
      <c r="E69" s="126">
        <f ca="1">IF(PAJAK[[#This Row],[ID]]="","",COUNTIF(NOTA[ID_H],PAJAK[[#This Row],[ID]]))</f>
        <v>3</v>
      </c>
      <c r="F69" s="29" t="str">
        <f ca="1">IF(PAJAK[[#This Row],[//]]="","",INDEX(CONV[2],MATCH(INDEX(INDIRECT("NOTA["&amp;PAJAK[#Headers]&amp;"]"),PAJAK[[#This Row],[//]]-2),CONV[1],0),0))</f>
        <v>PT KENKO SINAR INDONESIA</v>
      </c>
      <c r="G69" s="31">
        <f ca="1">IF(PAJAK[[#This Row],[//]]="","",INDEX(NOTA[TGL_H],PAJAK[[#This Row],[//]]-2))</f>
        <v>45077</v>
      </c>
      <c r="H69" s="31">
        <f ca="1">IF(PAJAK[[#This Row],[//]]="","",INDEX(INDIRECT("NOTA["&amp;PAJAK[#Headers]&amp;"]"),PAJAK[[#This Row],[//]]-2))</f>
        <v>45075</v>
      </c>
      <c r="I69" s="30" t="str">
        <f ca="1">IF(PAJAK[[#This Row],[//]]="","",INDEX(INDIRECT("NOTA["&amp;PAJAK[#Headers]&amp;"]"),PAJAK[[#This Row],[//]]-2))</f>
        <v>23052797</v>
      </c>
      <c r="J69" s="29" t="str">
        <f ca="1">IF(OR(PAJAK[[#This Row],[//]]="",INDEX(INDIRECT("NOTA["&amp;PAJAK[#Headers]&amp;"]"),PAJAK[[#This Row],[//]]-2)=""),"",INDEX(INDIRECT("NOTA["&amp;PAJAK[#Headers]&amp;"]"),PAJAK[[#This Row],[//]]-2))</f>
        <v/>
      </c>
      <c r="K69" s="146">
        <f ca="1">IF(PAJAK[[#This Row],[//]]="","",SUMIF(NOTA[ID_H],PAJAK[[#This Row],[ID]],NOTA[JUMLAH]))</f>
        <v>11211600</v>
      </c>
      <c r="L69" s="146">
        <f ca="1">IF(PAJAK[[#This Row],[//]]="","",SUMIF(NOTA[ID_H],PAJAK[[#This Row],[ID]],NOTA[DISC]))</f>
        <v>1905972</v>
      </c>
      <c r="M69" s="146">
        <f ca="1">PAJAK[[#This Row],[SUB TOTAL]]-PAJAK[[#This Row],[DISKON]]</f>
        <v>9305628</v>
      </c>
      <c r="N69" s="146">
        <f ca="1">IF(PAJAK[[#This Row],[//]]="","",INDEX(INDIRECT("NOTA["&amp;PAJAK[#Headers]&amp;"]"),PAJAK[[#This Row],[//]]-2+PAJAK[[#This Row],[QB]]-1))</f>
        <v>0</v>
      </c>
      <c r="O69" s="146">
        <f ca="1">(PAJAK[[#This Row],[SUB T-DISC]]-PAJAK[[#This Row],[DISC DLL]])/111%</f>
        <v>8383448.6486486476</v>
      </c>
      <c r="P69" s="146">
        <f ca="1">PAJAK[[#This Row],[DPP]]*PAJAK[[#This Row],[PPN]]</f>
        <v>922179.35135135124</v>
      </c>
      <c r="Q69" s="146">
        <f ca="1">PAJAK[[#This Row],[DPP]]+PAJAK[[#This Row],[PPN 11%]]</f>
        <v>9305627.9999999981</v>
      </c>
      <c r="R69" s="32" t="str">
        <f ca="1">IF(ISNUMBER(PAJAK[[#This Row],[//]]),PPN,"")</f>
        <v>11%</v>
      </c>
    </row>
    <row r="70" spans="1:23" x14ac:dyDescent="0.25">
      <c r="A70" s="2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1054</v>
      </c>
      <c r="B70" s="128">
        <f ca="1">HYPERLINK("[NOTA_.XLSX]NOTA!c"&amp;PAJAK[[#This Row],[//]],IF(PAJAK[[#This Row],[//]]="","",INDEX(INDIRECT("NOTA["&amp;PAJAK[#Headers]&amp;"]"),PAJAK[[#This Row],[//]]-2)))</f>
        <v>176</v>
      </c>
      <c r="C70" s="29" t="str">
        <f ca="1">IF(PAJAK[[#This Row],[//]]="","",INDEX(INDIRECT("NOTA["&amp;PAJAK[#Headers]&amp;"]"),PAJAK[[#This Row],[//]]-2))</f>
        <v>KEN_1305_715-10</v>
      </c>
      <c r="D70" s="29">
        <f ca="1">MATCH(PAJAK[[#This Row],[ID]],[4]!Table1[ID],0)</f>
        <v>9</v>
      </c>
      <c r="E70" s="30">
        <f ca="1">IF(PAJAK[[#This Row],[ID]]="","",COUNTIF(NOTA[ID_H],PAJAK[[#This Row],[ID]]))</f>
        <v>10</v>
      </c>
      <c r="F70" s="29" t="str">
        <f ca="1">IF(PAJAK[[#This Row],[//]]="","",INDEX(CONV[2],MATCH(INDEX(INDIRECT("NOTA["&amp;PAJAK[#Headers]&amp;"]"),PAJAK[[#This Row],[//]]-2),CONV[1],0),0))</f>
        <v>PT KENKO SINAR INDONESIA</v>
      </c>
      <c r="G70" s="31">
        <f ca="1">IF(PAJAK[[#This Row],[//]]="","",INDEX(NOTA[TGL_H],PAJAK[[#This Row],[//]]-2))</f>
        <v>45059</v>
      </c>
      <c r="H70" s="31">
        <f ca="1">IF(PAJAK[[#This Row],[//]]="","",INDEX(INDIRECT("NOTA["&amp;PAJAK[#Headers]&amp;"]"),PAJAK[[#This Row],[//]]-2))</f>
        <v>45054</v>
      </c>
      <c r="I70" s="30" t="str">
        <f ca="1">IF(PAJAK[[#This Row],[//]]="","",INDEX(INDIRECT("NOTA["&amp;PAJAK[#Headers]&amp;"]"),PAJAK[[#This Row],[//]]-2))</f>
        <v>23050715</v>
      </c>
      <c r="J70" s="29" t="str">
        <f ca="1">IF(OR(PAJAK[[#This Row],[//]]="",INDEX(INDIRECT("NOTA["&amp;PAJAK[#Headers]&amp;"]"),PAJAK[[#This Row],[//]]-2)=""),"",INDEX(INDIRECT("NOTA["&amp;PAJAK[#Headers]&amp;"]"),PAJAK[[#This Row],[//]]-2))</f>
        <v/>
      </c>
      <c r="K70" s="146">
        <f ca="1">IF(PAJAK[[#This Row],[//]]="","",SUMIF(NOTA[ID_H],PAJAK[[#This Row],[ID]],NOTA[JUMLAH]))</f>
        <v>78597600</v>
      </c>
      <c r="L70" s="146">
        <f ca="1">IF(PAJAK[[#This Row],[//]]="","",SUMIF(NOTA[ID_H],PAJAK[[#This Row],[ID]],NOTA[DISC]))</f>
        <v>13361592</v>
      </c>
      <c r="M70" s="146">
        <f ca="1">PAJAK[[#This Row],[SUB TOTAL]]-PAJAK[[#This Row],[DISKON]]</f>
        <v>65236008</v>
      </c>
      <c r="N70" s="146">
        <f ca="1">IF(PAJAK[[#This Row],[//]]="","",INDEX(INDIRECT("NOTA["&amp;PAJAK[#Headers]&amp;"]"),PAJAK[[#This Row],[//]]-2+PAJAK[[#This Row],[QB]]-1))</f>
        <v>0</v>
      </c>
      <c r="O70" s="146">
        <f ca="1">(PAJAK[[#This Row],[SUB T-DISC]]-PAJAK[[#This Row],[DISC DLL]])/111%</f>
        <v>58771178.378378376</v>
      </c>
      <c r="P70" s="146">
        <f ca="1">PAJAK[[#This Row],[DPP]]*PAJAK[[#This Row],[PPN]]</f>
        <v>6464829.6216216218</v>
      </c>
      <c r="Q70" s="146">
        <f ca="1">PAJAK[[#This Row],[DPP]]+PAJAK[[#This Row],[PPN 11%]]</f>
        <v>65236008</v>
      </c>
      <c r="R70" s="32" t="str">
        <f ca="1">IF(ISNUMBER(PAJAK[[#This Row],[//]]),PPN,"")</f>
        <v>11%</v>
      </c>
    </row>
    <row r="71" spans="1:23" x14ac:dyDescent="0.25">
      <c r="A71" s="3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1065</v>
      </c>
      <c r="B71" s="127">
        <f ca="1">HYPERLINK("[NOTA_.XLSX]NOTA!c"&amp;PAJAK[[#This Row],[//]],IF(PAJAK[[#This Row],[//]]="","",INDEX(INDIRECT("NOTA["&amp;PAJAK[#Headers]&amp;"]"),PAJAK[[#This Row],[//]]-2)))</f>
        <v>177</v>
      </c>
      <c r="C71" s="33" t="str">
        <f ca="1">IF(PAJAK[[#This Row],[//]]="","",INDEX(INDIRECT("NOTA["&amp;PAJAK[#Headers]&amp;"]"),PAJAK[[#This Row],[//]]-2))</f>
        <v>KEN_1305_786-8</v>
      </c>
      <c r="D71" s="33">
        <f ca="1">MATCH(PAJAK[[#This Row],[ID]],[4]!Table1[ID],0)</f>
        <v>10</v>
      </c>
      <c r="E71" s="126">
        <f ca="1">IF(PAJAK[[#This Row],[ID]]="","",COUNTIF(NOTA[ID_H],PAJAK[[#This Row],[ID]]))</f>
        <v>8</v>
      </c>
      <c r="F71" s="29" t="str">
        <f ca="1">IF(PAJAK[[#This Row],[//]]="","",INDEX(CONV[2],MATCH(INDEX(INDIRECT("NOTA["&amp;PAJAK[#Headers]&amp;"]"),PAJAK[[#This Row],[//]]-2),CONV[1],0),0))</f>
        <v>PT KENKO SINAR INDONESIA</v>
      </c>
      <c r="G71" s="31">
        <f ca="1">IF(PAJAK[[#This Row],[//]]="","",INDEX(NOTA[TGL_H],PAJAK[[#This Row],[//]]-2))</f>
        <v>45059</v>
      </c>
      <c r="H71" s="31">
        <f ca="1">IF(PAJAK[[#This Row],[//]]="","",INDEX(INDIRECT("NOTA["&amp;PAJAK[#Headers]&amp;"]"),PAJAK[[#This Row],[//]]-2))</f>
        <v>45055</v>
      </c>
      <c r="I71" s="30" t="str">
        <f ca="1">IF(PAJAK[[#This Row],[//]]="","",INDEX(INDIRECT("NOTA["&amp;PAJAK[#Headers]&amp;"]"),PAJAK[[#This Row],[//]]-2))</f>
        <v>23050786</v>
      </c>
      <c r="J71" s="29" t="str">
        <f ca="1">IF(OR(PAJAK[[#This Row],[//]]="",INDEX(INDIRECT("NOTA["&amp;PAJAK[#Headers]&amp;"]"),PAJAK[[#This Row],[//]]-2)=""),"",INDEX(INDIRECT("NOTA["&amp;PAJAK[#Headers]&amp;"]"),PAJAK[[#This Row],[//]]-2))</f>
        <v/>
      </c>
      <c r="K71" s="146">
        <f ca="1">IF(PAJAK[[#This Row],[//]]="","",SUMIF(NOTA[ID_H],PAJAK[[#This Row],[ID]],NOTA[JUMLAH]))</f>
        <v>183157200</v>
      </c>
      <c r="L71" s="146">
        <f ca="1">IF(PAJAK[[#This Row],[//]]="","",SUMIF(NOTA[ID_H],PAJAK[[#This Row],[ID]],NOTA[DISC]))</f>
        <v>31136724</v>
      </c>
      <c r="M71" s="146">
        <f ca="1">PAJAK[[#This Row],[SUB TOTAL]]-PAJAK[[#This Row],[DISKON]]</f>
        <v>152020476</v>
      </c>
      <c r="N71" s="146">
        <f ca="1">IF(PAJAK[[#This Row],[//]]="","",INDEX(INDIRECT("NOTA["&amp;PAJAK[#Headers]&amp;"]"),PAJAK[[#This Row],[//]]-2+PAJAK[[#This Row],[QB]]-1))</f>
        <v>0</v>
      </c>
      <c r="O71" s="146">
        <f ca="1">(PAJAK[[#This Row],[SUB T-DISC]]-PAJAK[[#This Row],[DISC DLL]])/111%</f>
        <v>136955383.78378376</v>
      </c>
      <c r="P71" s="146">
        <f ca="1">PAJAK[[#This Row],[DPP]]*PAJAK[[#This Row],[PPN]]</f>
        <v>15065092.216216214</v>
      </c>
      <c r="Q71" s="146">
        <f ca="1">PAJAK[[#This Row],[DPP]]+PAJAK[[#This Row],[PPN 11%]]</f>
        <v>152020475.99999997</v>
      </c>
      <c r="R71" s="32" t="str">
        <f ca="1">IF(ISNUMBER(PAJAK[[#This Row],[//]]),PPN,"")</f>
        <v>11%</v>
      </c>
    </row>
    <row r="72" spans="1:23" x14ac:dyDescent="0.25">
      <c r="A72" s="3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1074</v>
      </c>
      <c r="B72" s="127">
        <f ca="1">HYPERLINK("[NOTA_.XLSX]NOTA!c"&amp;PAJAK[[#This Row],[//]],IF(PAJAK[[#This Row],[//]]="","",INDEX(INDIRECT("NOTA["&amp;PAJAK[#Headers]&amp;"]"),PAJAK[[#This Row],[//]]-2)))</f>
        <v>178</v>
      </c>
      <c r="C72" s="33" t="str">
        <f ca="1">IF(PAJAK[[#This Row],[//]]="","",INDEX(INDIRECT("NOTA["&amp;PAJAK[#Headers]&amp;"]"),PAJAK[[#This Row],[//]]-2))</f>
        <v>KEN_1305_793-2</v>
      </c>
      <c r="D72" s="33">
        <f ca="1">MATCH(PAJAK[[#This Row],[ID]],[4]!Table1[ID],0)</f>
        <v>11</v>
      </c>
      <c r="E72" s="126">
        <f ca="1">IF(PAJAK[[#This Row],[ID]]="","",COUNTIF(NOTA[ID_H],PAJAK[[#This Row],[ID]]))</f>
        <v>2</v>
      </c>
      <c r="F72" s="29" t="str">
        <f ca="1">IF(PAJAK[[#This Row],[//]]="","",INDEX(CONV[2],MATCH(INDEX(INDIRECT("NOTA["&amp;PAJAK[#Headers]&amp;"]"),PAJAK[[#This Row],[//]]-2),CONV[1],0),0))</f>
        <v>PT KENKO SINAR INDONESIA</v>
      </c>
      <c r="G72" s="31">
        <f ca="1">IF(PAJAK[[#This Row],[//]]="","",INDEX(NOTA[TGL_H],PAJAK[[#This Row],[//]]-2))</f>
        <v>45059</v>
      </c>
      <c r="H72" s="31">
        <f ca="1">IF(PAJAK[[#This Row],[//]]="","",INDEX(INDIRECT("NOTA["&amp;PAJAK[#Headers]&amp;"]"),PAJAK[[#This Row],[//]]-2))</f>
        <v>45055</v>
      </c>
      <c r="I72" s="30" t="str">
        <f ca="1">IF(PAJAK[[#This Row],[//]]="","",INDEX(INDIRECT("NOTA["&amp;PAJAK[#Headers]&amp;"]"),PAJAK[[#This Row],[//]]-2))</f>
        <v>23050793</v>
      </c>
      <c r="J72" s="29" t="str">
        <f ca="1">IF(OR(PAJAK[[#This Row],[//]]="",INDEX(INDIRECT("NOTA["&amp;PAJAK[#Headers]&amp;"]"),PAJAK[[#This Row],[//]]-2)=""),"",INDEX(INDIRECT("NOTA["&amp;PAJAK[#Headers]&amp;"]"),PAJAK[[#This Row],[//]]-2))</f>
        <v/>
      </c>
      <c r="K72" s="146">
        <f ca="1">IF(PAJAK[[#This Row],[//]]="","",SUMIF(NOTA[ID_H],PAJAK[[#This Row],[ID]],NOTA[JUMLAH]))</f>
        <v>94608000</v>
      </c>
      <c r="L72" s="146">
        <f ca="1">IF(PAJAK[[#This Row],[//]]="","",SUMIF(NOTA[ID_H],PAJAK[[#This Row],[ID]],NOTA[DISC]))</f>
        <v>20009592</v>
      </c>
      <c r="M72" s="146">
        <f ca="1">PAJAK[[#This Row],[SUB TOTAL]]-PAJAK[[#This Row],[DISKON]]</f>
        <v>74598408</v>
      </c>
      <c r="N72" s="146">
        <f ca="1">IF(PAJAK[[#This Row],[//]]="","",INDEX(INDIRECT("NOTA["&amp;PAJAK[#Headers]&amp;"]"),PAJAK[[#This Row],[//]]-2+PAJAK[[#This Row],[QB]]-1))</f>
        <v>0</v>
      </c>
      <c r="O72" s="146">
        <f ca="1">(PAJAK[[#This Row],[SUB T-DISC]]-PAJAK[[#This Row],[DISC DLL]])/111%</f>
        <v>67205772.972972974</v>
      </c>
      <c r="P72" s="146">
        <f ca="1">PAJAK[[#This Row],[DPP]]*PAJAK[[#This Row],[PPN]]</f>
        <v>7392635.0270270268</v>
      </c>
      <c r="Q72" s="146">
        <f ca="1">PAJAK[[#This Row],[DPP]]+PAJAK[[#This Row],[PPN 11%]]</f>
        <v>74598408</v>
      </c>
      <c r="R72" s="32" t="str">
        <f ca="1">IF(ISNUMBER(PAJAK[[#This Row],[//]]),PPN,"")</f>
        <v>11%</v>
      </c>
    </row>
    <row r="73" spans="1:23" x14ac:dyDescent="0.25">
      <c r="A73" s="3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1077</v>
      </c>
      <c r="B73" s="127">
        <f ca="1">HYPERLINK("[NOTA_.XLSX]NOTA!c"&amp;PAJAK[[#This Row],[//]],IF(PAJAK[[#This Row],[//]]="","",INDEX(INDIRECT("NOTA["&amp;PAJAK[#Headers]&amp;"]"),PAJAK[[#This Row],[//]]-2)))</f>
        <v>179</v>
      </c>
      <c r="C73" s="33" t="str">
        <f ca="1">IF(PAJAK[[#This Row],[//]]="","",INDEX(INDIRECT("NOTA["&amp;PAJAK[#Headers]&amp;"]"),PAJAK[[#This Row],[//]]-2))</f>
        <v>KEN_1305_811-1</v>
      </c>
      <c r="D73" s="33">
        <f ca="1">MATCH(PAJAK[[#This Row],[ID]],[4]!Table1[ID],0)</f>
        <v>12</v>
      </c>
      <c r="E73" s="126">
        <f ca="1">IF(PAJAK[[#This Row],[ID]]="","",COUNTIF(NOTA[ID_H],PAJAK[[#This Row],[ID]]))</f>
        <v>1</v>
      </c>
      <c r="F73" s="29" t="str">
        <f ca="1">IF(PAJAK[[#This Row],[//]]="","",INDEX(CONV[2],MATCH(INDEX(INDIRECT("NOTA["&amp;PAJAK[#Headers]&amp;"]"),PAJAK[[#This Row],[//]]-2),CONV[1],0),0))</f>
        <v>PT KENKO SINAR INDONESIA</v>
      </c>
      <c r="G73" s="31">
        <f ca="1">IF(PAJAK[[#This Row],[//]]="","",INDEX(NOTA[TGL_H],PAJAK[[#This Row],[//]]-2))</f>
        <v>45059</v>
      </c>
      <c r="H73" s="31">
        <f ca="1">IF(PAJAK[[#This Row],[//]]="","",INDEX(INDIRECT("NOTA["&amp;PAJAK[#Headers]&amp;"]"),PAJAK[[#This Row],[//]]-2))</f>
        <v>45055</v>
      </c>
      <c r="I73" s="30">
        <f ca="1">IF(PAJAK[[#This Row],[//]]="","",INDEX(INDIRECT("NOTA["&amp;PAJAK[#Headers]&amp;"]"),PAJAK[[#This Row],[//]]-2))</f>
        <v>23050811</v>
      </c>
      <c r="J73" s="29" t="str">
        <f ca="1">IF(OR(PAJAK[[#This Row],[//]]="",INDEX(INDIRECT("NOTA["&amp;PAJAK[#Headers]&amp;"]"),PAJAK[[#This Row],[//]]-2)=""),"",INDEX(INDIRECT("NOTA["&amp;PAJAK[#Headers]&amp;"]"),PAJAK[[#This Row],[//]]-2))</f>
        <v/>
      </c>
      <c r="K73" s="146">
        <f ca="1">IF(PAJAK[[#This Row],[//]]="","",SUMIF(NOTA[ID_H],PAJAK[[#This Row],[ID]],NOTA[JUMLAH]))</f>
        <v>4500000</v>
      </c>
      <c r="L73" s="146">
        <f ca="1">IF(PAJAK[[#This Row],[//]]="","",SUMIF(NOTA[ID_H],PAJAK[[#This Row],[ID]],NOTA[DISC]))</f>
        <v>765000</v>
      </c>
      <c r="M73" s="146">
        <f ca="1">PAJAK[[#This Row],[SUB TOTAL]]-PAJAK[[#This Row],[DISKON]]</f>
        <v>3735000</v>
      </c>
      <c r="N73" s="146">
        <f ca="1">IF(PAJAK[[#This Row],[//]]="","",INDEX(INDIRECT("NOTA["&amp;PAJAK[#Headers]&amp;"]"),PAJAK[[#This Row],[//]]-2+PAJAK[[#This Row],[QB]]-1))</f>
        <v>0</v>
      </c>
      <c r="O73" s="146">
        <f ca="1">(PAJAK[[#This Row],[SUB T-DISC]]-PAJAK[[#This Row],[DISC DLL]])/111%</f>
        <v>3364864.8648648644</v>
      </c>
      <c r="P73" s="146">
        <f ca="1">PAJAK[[#This Row],[DPP]]*PAJAK[[#This Row],[PPN]]</f>
        <v>370135.13513513509</v>
      </c>
      <c r="Q73" s="146">
        <f ca="1">PAJAK[[#This Row],[DPP]]+PAJAK[[#This Row],[PPN 11%]]</f>
        <v>3734999.9999999995</v>
      </c>
      <c r="R73" s="32" t="str">
        <f ca="1">IF(ISNUMBER(PAJAK[[#This Row],[//]]),PPN,"")</f>
        <v>11%</v>
      </c>
    </row>
    <row r="74" spans="1:23" x14ac:dyDescent="0.25">
      <c r="A74" s="29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1079</v>
      </c>
      <c r="B74" s="29">
        <f ca="1">HYPERLINK("[NOTA_.XLSX]NOTA!c"&amp;PAJAK[[#This Row],[//]],IF(PAJAK[[#This Row],[//]]="","",INDEX(INDIRECT("NOTA["&amp;PAJAK[#Headers]&amp;"]"),PAJAK[[#This Row],[//]]-2)))</f>
        <v>180</v>
      </c>
      <c r="C74" s="29" t="str">
        <f ca="1">IF(PAJAK[[#This Row],[//]]="","",INDEX(INDIRECT("NOTA["&amp;PAJAK[#Headers]&amp;"]"),PAJAK[[#This Row],[//]]-2))</f>
        <v>KEN_1305_951-4</v>
      </c>
      <c r="D74" s="29">
        <f ca="1">MATCH(PAJAK[[#This Row],[ID]],[4]!Table1[ID],0)</f>
        <v>13</v>
      </c>
      <c r="E74" s="30">
        <f ca="1">IF(PAJAK[[#This Row],[ID]]="","",COUNTIF(NOTA[ID_H],PAJAK[[#This Row],[ID]]))</f>
        <v>4</v>
      </c>
      <c r="F74" s="29" t="str">
        <f ca="1">IF(PAJAK[[#This Row],[//]]="","",INDEX(CONV[2],MATCH(INDEX(INDIRECT("NOTA["&amp;PAJAK[#Headers]&amp;"]"),PAJAK[[#This Row],[//]]-2),CONV[1],0),0))</f>
        <v>PT KENKO SINAR INDONESIA</v>
      </c>
      <c r="G74" s="31">
        <f ca="1">IF(PAJAK[[#This Row],[//]]="","",INDEX(NOTA[TGL_H],PAJAK[[#This Row],[//]]-2))</f>
        <v>45059</v>
      </c>
      <c r="H74" s="31">
        <f ca="1">IF(PAJAK[[#This Row],[//]]="","",INDEX(INDIRECT("NOTA["&amp;PAJAK[#Headers]&amp;"]"),PAJAK[[#This Row],[//]]-2))</f>
        <v>45056</v>
      </c>
      <c r="I74" s="30" t="str">
        <f ca="1">IF(PAJAK[[#This Row],[//]]="","",INDEX(INDIRECT("NOTA["&amp;PAJAK[#Headers]&amp;"]"),PAJAK[[#This Row],[//]]-2))</f>
        <v>23050951</v>
      </c>
      <c r="J74" s="29" t="str">
        <f ca="1">IF(OR(PAJAK[[#This Row],[//]]="",INDEX(INDIRECT("NOTA["&amp;PAJAK[#Headers]&amp;"]"),PAJAK[[#This Row],[//]]-2)=""),"",INDEX(INDIRECT("NOTA["&amp;PAJAK[#Headers]&amp;"]"),PAJAK[[#This Row],[//]]-2))</f>
        <v/>
      </c>
      <c r="K74" s="146">
        <f ca="1">IF(PAJAK[[#This Row],[//]]="","",SUMIF(NOTA[ID_H],PAJAK[[#This Row],[ID]],NOTA[JUMLAH]))</f>
        <v>45666000</v>
      </c>
      <c r="L74" s="146">
        <f ca="1">IF(PAJAK[[#This Row],[//]]="","",SUMIF(NOTA[ID_H],PAJAK[[#This Row],[ID]],NOTA[DISC]))</f>
        <v>7763220.0000000009</v>
      </c>
      <c r="M74" s="146">
        <f ca="1">PAJAK[[#This Row],[SUB TOTAL]]-PAJAK[[#This Row],[DISKON]]</f>
        <v>37902780</v>
      </c>
      <c r="N74" s="146">
        <f ca="1">IF(PAJAK[[#This Row],[//]]="","",INDEX(INDIRECT("NOTA["&amp;PAJAK[#Headers]&amp;"]"),PAJAK[[#This Row],[//]]-2+PAJAK[[#This Row],[QB]]-1))</f>
        <v>0</v>
      </c>
      <c r="O74" s="146">
        <f ca="1">(PAJAK[[#This Row],[SUB T-DISC]]-PAJAK[[#This Row],[DISC DLL]])/111%</f>
        <v>34146648.648648642</v>
      </c>
      <c r="P74" s="146">
        <f ca="1">PAJAK[[#This Row],[DPP]]*PAJAK[[#This Row],[PPN]]</f>
        <v>3756131.3513513505</v>
      </c>
      <c r="Q74" s="146">
        <f ca="1">PAJAK[[#This Row],[DPP]]+PAJAK[[#This Row],[PPN 11%]]</f>
        <v>37902779.999999993</v>
      </c>
      <c r="R74" s="32" t="str">
        <f ca="1">IF(ISNUMBER(PAJAK[[#This Row],[//]]),PPN,"")</f>
        <v>11%</v>
      </c>
    </row>
    <row r="75" spans="1:23" x14ac:dyDescent="0.25">
      <c r="A75" s="29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1084</v>
      </c>
      <c r="B75" s="128">
        <f ca="1">HYPERLINK("[NOTA_.XLSX]NOTA!c"&amp;PAJAK[[#This Row],[//]],IF(PAJAK[[#This Row],[//]]="","",INDEX(INDIRECT("NOTA["&amp;PAJAK[#Headers]&amp;"]"),PAJAK[[#This Row],[//]]-2)))</f>
        <v>181</v>
      </c>
      <c r="C75" s="29" t="str">
        <f ca="1">IF(PAJAK[[#This Row],[//]]="","",INDEX(INDIRECT("NOTA["&amp;PAJAK[#Headers]&amp;"]"),PAJAK[[#This Row],[//]]-2))</f>
        <v>SAM_0306_299-4</v>
      </c>
      <c r="D75" s="29">
        <f ca="1">MATCH(PAJAK[[#This Row],[ID]],[4]!Table1[ID],0)</f>
        <v>84</v>
      </c>
      <c r="E75" s="30">
        <f ca="1">IF(PAJAK[[#This Row],[ID]]="","",COUNTIF(NOTA[ID_H],PAJAK[[#This Row],[ID]]))</f>
        <v>4</v>
      </c>
      <c r="F75" s="29" t="str">
        <f ca="1">IF(PAJAK[[#This Row],[//]]="","",INDEX(CONV[2],MATCH(INDEX(INDIRECT("NOTA["&amp;PAJAK[#Headers]&amp;"]"),PAJAK[[#This Row],[//]]-2),CONV[1],0),0))</f>
        <v>CV SAMUDERA ANGKASA JAYA</v>
      </c>
      <c r="G75" s="31">
        <f ca="1">IF(PAJAK[[#This Row],[//]]="","",INDEX(NOTA[TGL_H],PAJAK[[#This Row],[//]]-2))</f>
        <v>45080</v>
      </c>
      <c r="H75" s="31">
        <f ca="1">IF(PAJAK[[#This Row],[//]]="","",INDEX(INDIRECT("NOTA["&amp;PAJAK[#Headers]&amp;"]"),PAJAK[[#This Row],[//]]-2))</f>
        <v>45072</v>
      </c>
      <c r="I75" s="30" t="str">
        <f ca="1">IF(PAJAK[[#This Row],[//]]="","",INDEX(INDIRECT("NOTA["&amp;PAJAK[#Headers]&amp;"]"),PAJAK[[#This Row],[//]]-2))</f>
        <v>JL-52299</v>
      </c>
      <c r="J75" s="29" t="str">
        <f ca="1">IF(OR(PAJAK[[#This Row],[//]]="",INDEX(INDIRECT("NOTA["&amp;PAJAK[#Headers]&amp;"]"),PAJAK[[#This Row],[//]]-2)=""),"",INDEX(INDIRECT("NOTA["&amp;PAJAK[#Headers]&amp;"]"),PAJAK[[#This Row],[//]]-2))</f>
        <v/>
      </c>
      <c r="K75" s="146">
        <f ca="1">IF(PAJAK[[#This Row],[//]]="","",SUMIF(NOTA[ID_H],PAJAK[[#This Row],[ID]],NOTA[JUMLAH]))</f>
        <v>17856000</v>
      </c>
      <c r="L75" s="146">
        <f ca="1">IF(PAJAK[[#This Row],[//]]="","",SUMIF(NOTA[ID_H],PAJAK[[#This Row],[ID]],NOTA[DISC]))</f>
        <v>892800</v>
      </c>
      <c r="M75" s="146">
        <f ca="1">PAJAK[[#This Row],[SUB TOTAL]]-PAJAK[[#This Row],[DISKON]]</f>
        <v>16963200</v>
      </c>
      <c r="N75" s="146">
        <f ca="1">IF(PAJAK[[#This Row],[//]]="","",INDEX(INDIRECT("NOTA["&amp;PAJAK[#Headers]&amp;"]"),PAJAK[[#This Row],[//]]-2+PAJAK[[#This Row],[QB]]-1))</f>
        <v>0</v>
      </c>
      <c r="O75" s="146">
        <f ca="1">(PAJAK[[#This Row],[SUB T-DISC]]-PAJAK[[#This Row],[DISC DLL]])/111%</f>
        <v>15282162.162162161</v>
      </c>
      <c r="P75" s="146">
        <f ca="1">PAJAK[[#This Row],[DPP]]*PAJAK[[#This Row],[PPN]]</f>
        <v>1681037.8378378376</v>
      </c>
      <c r="Q75" s="146">
        <f ca="1">PAJAK[[#This Row],[DPP]]+PAJAK[[#This Row],[PPN 11%]]</f>
        <v>16963200</v>
      </c>
      <c r="R75" s="32" t="str">
        <f ca="1">IF(ISNUMBER(PAJAK[[#This Row],[//]]),PPN,"")</f>
        <v>11%</v>
      </c>
    </row>
    <row r="76" spans="1:23" x14ac:dyDescent="0.25">
      <c r="A76" s="33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1089</v>
      </c>
      <c r="B76" s="127">
        <f ca="1">HYPERLINK("[NOTA_.XLSX]NOTA!c"&amp;PAJAK[[#This Row],[//]],IF(PAJAK[[#This Row],[//]]="","",INDEX(INDIRECT("NOTA["&amp;PAJAK[#Headers]&amp;"]"),PAJAK[[#This Row],[//]]-2)))</f>
        <v>182</v>
      </c>
      <c r="C76" s="33" t="str">
        <f ca="1">IF(PAJAK[[#This Row],[//]]="","",INDEX(INDIRECT("NOTA["&amp;PAJAK[#Headers]&amp;"]"),PAJAK[[#This Row],[//]]-2))</f>
        <v>ATA_0206_638-6</v>
      </c>
      <c r="D76" s="33">
        <f ca="1">MATCH(PAJAK[[#This Row],[ID]],[4]!Table1[ID],0)</f>
        <v>74</v>
      </c>
      <c r="E76" s="126">
        <f ca="1">IF(PAJAK[[#This Row],[ID]]="","",COUNTIF(NOTA[ID_H],PAJAK[[#This Row],[ID]]))</f>
        <v>6</v>
      </c>
      <c r="F76" s="29" t="str">
        <f ca="1">IF(PAJAK[[#This Row],[//]]="","",INDEX(CONV[2],MATCH(INDEX(INDIRECT("NOTA["&amp;PAJAK[#Headers]&amp;"]"),PAJAK[[#This Row],[//]]-2),CONV[1],0),0))</f>
        <v>PT ATALI MAKMUR</v>
      </c>
      <c r="G76" s="31">
        <f ca="1">IF(PAJAK[[#This Row],[//]]="","",INDEX(NOTA[TGL_H],PAJAK[[#This Row],[//]]-2))</f>
        <v>45079</v>
      </c>
      <c r="H76" s="31">
        <f ca="1">IF(PAJAK[[#This Row],[//]]="","",INDEX(INDIRECT("NOTA["&amp;PAJAK[#Headers]&amp;"]"),PAJAK[[#This Row],[//]]-2))</f>
        <v>45076</v>
      </c>
      <c r="I76" s="30" t="str">
        <f ca="1">IF(PAJAK[[#This Row],[//]]="","",INDEX(INDIRECT("NOTA["&amp;PAJAK[#Headers]&amp;"]"),PAJAK[[#This Row],[//]]-2))</f>
        <v>SA230508638</v>
      </c>
      <c r="J76" s="29" t="str">
        <f ca="1">IF(OR(PAJAK[[#This Row],[//]]="",INDEX(INDIRECT("NOTA["&amp;PAJAK[#Headers]&amp;"]"),PAJAK[[#This Row],[//]]-2)=""),"",INDEX(INDIRECT("NOTA["&amp;PAJAK[#Headers]&amp;"]"),PAJAK[[#This Row],[//]]-2))</f>
        <v/>
      </c>
      <c r="K76" s="146">
        <f ca="1">IF(PAJAK[[#This Row],[//]]="","",SUMIF(NOTA[ID_H],PAJAK[[#This Row],[ID]],NOTA[JUMLAH]))</f>
        <v>9681000</v>
      </c>
      <c r="L76" s="146">
        <f ca="1">IF(PAJAK[[#This Row],[//]]="","",SUMIF(NOTA[ID_H],PAJAK[[#This Row],[ID]],NOTA[DISC]))</f>
        <v>1623337.5</v>
      </c>
      <c r="M76" s="146">
        <f ca="1">PAJAK[[#This Row],[SUB TOTAL]]-PAJAK[[#This Row],[DISKON]]</f>
        <v>8057662.5</v>
      </c>
      <c r="N76" s="146">
        <f ca="1">IF(PAJAK[[#This Row],[//]]="","",INDEX(INDIRECT("NOTA["&amp;PAJAK[#Headers]&amp;"]"),PAJAK[[#This Row],[//]]-2+PAJAK[[#This Row],[QB]]-1))</f>
        <v>0</v>
      </c>
      <c r="O76" s="146">
        <f ca="1">(PAJAK[[#This Row],[SUB T-DISC]]-PAJAK[[#This Row],[DISC DLL]])/111%</f>
        <v>7259155.405405405</v>
      </c>
      <c r="P76" s="146">
        <f ca="1">PAJAK[[#This Row],[DPP]]*PAJAK[[#This Row],[PPN]]</f>
        <v>798507.09459459456</v>
      </c>
      <c r="Q76" s="146">
        <f ca="1">PAJAK[[#This Row],[DPP]]+PAJAK[[#This Row],[PPN 11%]]</f>
        <v>8057662.5</v>
      </c>
      <c r="R76" s="32" t="str">
        <f ca="1">IF(ISNUMBER(PAJAK[[#This Row],[//]]),PPN,"")</f>
        <v>11%</v>
      </c>
    </row>
    <row r="77" spans="1:23" x14ac:dyDescent="0.25">
      <c r="A77" s="29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1096</v>
      </c>
      <c r="B77" s="29">
        <f ca="1">HYPERLINK("[NOTA_.XLSX]NOTA!c"&amp;PAJAK[[#This Row],[//]],IF(PAJAK[[#This Row],[//]]="","",INDEX(INDIRECT("NOTA["&amp;PAJAK[#Headers]&amp;"]"),PAJAK[[#This Row],[//]]-2)))</f>
        <v>183</v>
      </c>
      <c r="C77" s="29" t="str">
        <f ca="1">IF(PAJAK[[#This Row],[//]]="","",INDEX(INDIRECT("NOTA["&amp;PAJAK[#Headers]&amp;"]"),PAJAK[[#This Row],[//]]-2))</f>
        <v>ATA_0206_637-7</v>
      </c>
      <c r="D77" s="29">
        <f ca="1">MATCH(PAJAK[[#This Row],[ID]],[4]!Table1[ID],0)</f>
        <v>73</v>
      </c>
      <c r="E77" s="30">
        <f ca="1">IF(PAJAK[[#This Row],[ID]]="","",COUNTIF(NOTA[ID_H],PAJAK[[#This Row],[ID]]))</f>
        <v>7</v>
      </c>
      <c r="F77" s="29" t="str">
        <f ca="1">IF(PAJAK[[#This Row],[//]]="","",INDEX(CONV[2],MATCH(INDEX(INDIRECT("NOTA["&amp;PAJAK[#Headers]&amp;"]"),PAJAK[[#This Row],[//]]-2),CONV[1],0),0))</f>
        <v>PT ATALI MAKMUR</v>
      </c>
      <c r="G77" s="31">
        <f ca="1">IF(PAJAK[[#This Row],[//]]="","",INDEX(NOTA[TGL_H],PAJAK[[#This Row],[//]]-2))</f>
        <v>45079</v>
      </c>
      <c r="H77" s="31">
        <f ca="1">IF(PAJAK[[#This Row],[//]]="","",INDEX(INDIRECT("NOTA["&amp;PAJAK[#Headers]&amp;"]"),PAJAK[[#This Row],[//]]-2))</f>
        <v>45076</v>
      </c>
      <c r="I77" s="30" t="str">
        <f ca="1">IF(PAJAK[[#This Row],[//]]="","",INDEX(INDIRECT("NOTA["&amp;PAJAK[#Headers]&amp;"]"),PAJAK[[#This Row],[//]]-2))</f>
        <v>SA230508637</v>
      </c>
      <c r="J77" s="29" t="str">
        <f ca="1">IF(OR(PAJAK[[#This Row],[//]]="",INDEX(INDIRECT("NOTA["&amp;PAJAK[#Headers]&amp;"]"),PAJAK[[#This Row],[//]]-2)=""),"",INDEX(INDIRECT("NOTA["&amp;PAJAK[#Headers]&amp;"]"),PAJAK[[#This Row],[//]]-2))</f>
        <v/>
      </c>
      <c r="K77" s="146">
        <f ca="1">IF(PAJAK[[#This Row],[//]]="","",SUMIF(NOTA[ID_H],PAJAK[[#This Row],[ID]],NOTA[JUMLAH]))</f>
        <v>12228000</v>
      </c>
      <c r="L77" s="146">
        <f ca="1">IF(PAJAK[[#This Row],[//]]="","",SUMIF(NOTA[ID_H],PAJAK[[#This Row],[ID]],NOTA[DISC]))</f>
        <v>2063475</v>
      </c>
      <c r="M77" s="146">
        <f ca="1">PAJAK[[#This Row],[SUB TOTAL]]-PAJAK[[#This Row],[DISKON]]</f>
        <v>10164525</v>
      </c>
      <c r="N77" s="146">
        <f ca="1">IF(PAJAK[[#This Row],[//]]="","",INDEX(INDIRECT("NOTA["&amp;PAJAK[#Headers]&amp;"]"),PAJAK[[#This Row],[//]]-2+PAJAK[[#This Row],[QB]]-1))</f>
        <v>0</v>
      </c>
      <c r="O77" s="146">
        <f ca="1">(PAJAK[[#This Row],[SUB T-DISC]]-PAJAK[[#This Row],[DISC DLL]])/111%</f>
        <v>9157229.7297297288</v>
      </c>
      <c r="P77" s="146">
        <f ca="1">PAJAK[[#This Row],[DPP]]*PAJAK[[#This Row],[PPN]]</f>
        <v>1007295.2702702702</v>
      </c>
      <c r="Q77" s="146">
        <f ca="1">PAJAK[[#This Row],[DPP]]+PAJAK[[#This Row],[PPN 11%]]</f>
        <v>10164524.999999998</v>
      </c>
      <c r="R77" s="32" t="str">
        <f ca="1">IF(ISNUMBER(PAJAK[[#This Row],[//]]),PPN,"")</f>
        <v>11%</v>
      </c>
    </row>
    <row r="78" spans="1:23" x14ac:dyDescent="0.25">
      <c r="A78" s="33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1104</v>
      </c>
      <c r="B78" s="127">
        <f ca="1">HYPERLINK("[NOTA_.XLSX]NOTA!c"&amp;PAJAK[[#This Row],[//]],IF(PAJAK[[#This Row],[//]]="","",INDEX(INDIRECT("NOTA["&amp;PAJAK[#Headers]&amp;"]"),PAJAK[[#This Row],[//]]-2)))</f>
        <v>184</v>
      </c>
      <c r="C78" s="33" t="str">
        <f ca="1">IF(PAJAK[[#This Row],[//]]="","",INDEX(INDIRECT("NOTA["&amp;PAJAK[#Headers]&amp;"]"),PAJAK[[#This Row],[//]]-2))</f>
        <v>ATA_0206_636-11</v>
      </c>
      <c r="D78" s="33">
        <f ca="1">MATCH(PAJAK[[#This Row],[ID]],[4]!Table1[ID],0)</f>
        <v>72</v>
      </c>
      <c r="E78" s="126">
        <f ca="1">IF(PAJAK[[#This Row],[ID]]="","",COUNTIF(NOTA[ID_H],PAJAK[[#This Row],[ID]]))</f>
        <v>11</v>
      </c>
      <c r="F78" s="29" t="str">
        <f ca="1">IF(PAJAK[[#This Row],[//]]="","",INDEX(CONV[2],MATCH(INDEX(INDIRECT("NOTA["&amp;PAJAK[#Headers]&amp;"]"),PAJAK[[#This Row],[//]]-2),CONV[1],0),0))</f>
        <v>PT ATALI MAKMUR</v>
      </c>
      <c r="G78" s="31">
        <f ca="1">IF(PAJAK[[#This Row],[//]]="","",INDEX(NOTA[TGL_H],PAJAK[[#This Row],[//]]-2))</f>
        <v>45079</v>
      </c>
      <c r="H78" s="31">
        <f ca="1">IF(PAJAK[[#This Row],[//]]="","",INDEX(INDIRECT("NOTA["&amp;PAJAK[#Headers]&amp;"]"),PAJAK[[#This Row],[//]]-2))</f>
        <v>45076</v>
      </c>
      <c r="I78" s="30" t="str">
        <f ca="1">IF(PAJAK[[#This Row],[//]]="","",INDEX(INDIRECT("NOTA["&amp;PAJAK[#Headers]&amp;"]"),PAJAK[[#This Row],[//]]-2))</f>
        <v>SA230508636</v>
      </c>
      <c r="J78" s="29" t="str">
        <f ca="1">IF(OR(PAJAK[[#This Row],[//]]="",INDEX(INDIRECT("NOTA["&amp;PAJAK[#Headers]&amp;"]"),PAJAK[[#This Row],[//]]-2)=""),"",INDEX(INDIRECT("NOTA["&amp;PAJAK[#Headers]&amp;"]"),PAJAK[[#This Row],[//]]-2))</f>
        <v/>
      </c>
      <c r="K78" s="146">
        <f ca="1">IF(PAJAK[[#This Row],[//]]="","",SUMIF(NOTA[ID_H],PAJAK[[#This Row],[ID]],NOTA[JUMLAH]))</f>
        <v>40336600</v>
      </c>
      <c r="L78" s="146">
        <f ca="1">IF(PAJAK[[#This Row],[//]]="","",SUMIF(NOTA[ID_H],PAJAK[[#This Row],[ID]],NOTA[DISC]))</f>
        <v>6806801.25</v>
      </c>
      <c r="M78" s="146">
        <f ca="1">PAJAK[[#This Row],[SUB TOTAL]]-PAJAK[[#This Row],[DISKON]]</f>
        <v>33529798.75</v>
      </c>
      <c r="N78" s="146">
        <f ca="1">IF(PAJAK[[#This Row],[//]]="","",INDEX(INDIRECT("NOTA["&amp;PAJAK[#Headers]&amp;"]"),PAJAK[[#This Row],[//]]-2+PAJAK[[#This Row],[QB]]-1))</f>
        <v>0</v>
      </c>
      <c r="O78" s="146">
        <f ca="1">(PAJAK[[#This Row],[SUB T-DISC]]-PAJAK[[#This Row],[DISC DLL]])/111%</f>
        <v>30207025.900900897</v>
      </c>
      <c r="P78" s="146">
        <f ca="1">PAJAK[[#This Row],[DPP]]*PAJAK[[#This Row],[PPN]]</f>
        <v>3322772.8490990987</v>
      </c>
      <c r="Q78" s="146">
        <f ca="1">PAJAK[[#This Row],[DPP]]+PAJAK[[#This Row],[PPN 11%]]</f>
        <v>33529798.749999996</v>
      </c>
      <c r="R78" s="32" t="str">
        <f ca="1">IF(ISNUMBER(PAJAK[[#This Row],[//]]),PPN,"")</f>
        <v>11%</v>
      </c>
    </row>
    <row r="79" spans="1:23" x14ac:dyDescent="0.25">
      <c r="A79" s="33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>1116</v>
      </c>
      <c r="B79" s="127">
        <f ca="1">HYPERLINK("[NOTA_.XLSX]NOTA!c"&amp;PAJAK[[#This Row],[//]],IF(PAJAK[[#This Row],[//]]="","",INDEX(INDIRECT("NOTA["&amp;PAJAK[#Headers]&amp;"]"),PAJAK[[#This Row],[//]]-2)))</f>
        <v>185</v>
      </c>
      <c r="C79" s="33" t="str">
        <f ca="1">IF(PAJAK[[#This Row],[//]]="","",INDEX(INDIRECT("NOTA["&amp;PAJAK[#Headers]&amp;"]"),PAJAK[[#This Row],[//]]-2))</f>
        <v>ATA_0206_542-7</v>
      </c>
      <c r="D79" s="33">
        <f ca="1">MATCH(PAJAK[[#This Row],[ID]],[4]!Table1[ID],0)</f>
        <v>71</v>
      </c>
      <c r="E79" s="126">
        <f ca="1">IF(PAJAK[[#This Row],[ID]]="","",COUNTIF(NOTA[ID_H],PAJAK[[#This Row],[ID]]))</f>
        <v>7</v>
      </c>
      <c r="F79" s="29" t="str">
        <f ca="1">IF(PAJAK[[#This Row],[//]]="","",INDEX(CONV[2],MATCH(INDEX(INDIRECT("NOTA["&amp;PAJAK[#Headers]&amp;"]"),PAJAK[[#This Row],[//]]-2),CONV[1],0),0))</f>
        <v>PT ATALI MAKMUR</v>
      </c>
      <c r="G79" s="31">
        <f ca="1">IF(PAJAK[[#This Row],[//]]="","",INDEX(NOTA[TGL_H],PAJAK[[#This Row],[//]]-2))</f>
        <v>45079</v>
      </c>
      <c r="H79" s="31">
        <f ca="1">IF(PAJAK[[#This Row],[//]]="","",INDEX(INDIRECT("NOTA["&amp;PAJAK[#Headers]&amp;"]"),PAJAK[[#This Row],[//]]-2))</f>
        <v>45075</v>
      </c>
      <c r="I79" s="30" t="str">
        <f ca="1">IF(PAJAK[[#This Row],[//]]="","",INDEX(INDIRECT("NOTA["&amp;PAJAK[#Headers]&amp;"]"),PAJAK[[#This Row],[//]]-2))</f>
        <v>SA230508542</v>
      </c>
      <c r="J79" s="29" t="str">
        <f ca="1">IF(OR(PAJAK[[#This Row],[//]]="",INDEX(INDIRECT("NOTA["&amp;PAJAK[#Headers]&amp;"]"),PAJAK[[#This Row],[//]]-2)=""),"",INDEX(INDIRECT("NOTA["&amp;PAJAK[#Headers]&amp;"]"),PAJAK[[#This Row],[//]]-2))</f>
        <v/>
      </c>
      <c r="K79" s="146">
        <f ca="1">IF(PAJAK[[#This Row],[//]]="","",SUMIF(NOTA[ID_H],PAJAK[[#This Row],[ID]],NOTA[JUMLAH]))</f>
        <v>9927600</v>
      </c>
      <c r="L79" s="146">
        <f ca="1">IF(PAJAK[[#This Row],[//]]="","",SUMIF(NOTA[ID_H],PAJAK[[#This Row],[ID]],NOTA[DISC]))</f>
        <v>1675282.5</v>
      </c>
      <c r="M79" s="146">
        <f ca="1">PAJAK[[#This Row],[SUB TOTAL]]-PAJAK[[#This Row],[DISKON]]</f>
        <v>8252317.5</v>
      </c>
      <c r="N79" s="146">
        <f ca="1">IF(PAJAK[[#This Row],[//]]="","",INDEX(INDIRECT("NOTA["&amp;PAJAK[#Headers]&amp;"]"),PAJAK[[#This Row],[//]]-2+PAJAK[[#This Row],[QB]]-1))</f>
        <v>0</v>
      </c>
      <c r="O79" s="146">
        <f ca="1">(PAJAK[[#This Row],[SUB T-DISC]]-PAJAK[[#This Row],[DISC DLL]])/111%</f>
        <v>7434520.2702702694</v>
      </c>
      <c r="P79" s="146">
        <f ca="1">PAJAK[[#This Row],[DPP]]*PAJAK[[#This Row],[PPN]]</f>
        <v>817797.22972972959</v>
      </c>
      <c r="Q79" s="146">
        <f ca="1">PAJAK[[#This Row],[DPP]]+PAJAK[[#This Row],[PPN 11%]]</f>
        <v>8252317.4999999991</v>
      </c>
      <c r="R79" s="32" t="str">
        <f ca="1">IF(ISNUMBER(PAJAK[[#This Row],[//]]),PPN,"")</f>
        <v>11%</v>
      </c>
    </row>
    <row r="80" spans="1:23" s="207" customFormat="1" x14ac:dyDescent="0.25">
      <c r="A80" s="204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>1139</v>
      </c>
      <c r="B80" s="204">
        <f ca="1">HYPERLINK("[NOTA_.XLSX]NOTA!c"&amp;PAJAK[[#This Row],[//]],IF(PAJAK[[#This Row],[//]]="","",INDEX(INDIRECT("NOTA["&amp;PAJAK[#Headers]&amp;"]"),PAJAK[[#This Row],[//]]-2)))</f>
        <v>190</v>
      </c>
      <c r="C80" s="204" t="str">
        <f ca="1">IF(PAJAK[[#This Row],[//]]="","",INDEX(INDIRECT("NOTA["&amp;PAJAK[#Headers]&amp;"]"),PAJAK[[#This Row],[//]]-2))</f>
        <v>99J_0206_623-8</v>
      </c>
      <c r="D80" s="204">
        <f ca="1">MATCH(PAJAK[[#This Row],[ID]],[4]!Table1[ID],0)</f>
        <v>86</v>
      </c>
      <c r="E80" s="205">
        <f ca="1">IF(PAJAK[[#This Row],[ID]]="","",COUNTIF(NOTA[ID_H],PAJAK[[#This Row],[ID]]))</f>
        <v>8</v>
      </c>
      <c r="F80" s="204" t="str">
        <f ca="1">IF(PAJAK[[#This Row],[//]]="","",INDEX(CONV[2],MATCH(INDEX(INDIRECT("NOTA["&amp;PAJAK[#Headers]&amp;"]"),PAJAK[[#This Row],[//]]-2),CONV[1],0),0))</f>
        <v>PT SEMBILAN-SEMBILAN JAYA UTAMA</v>
      </c>
      <c r="G80" s="206">
        <f ca="1">IF(PAJAK[[#This Row],[//]]="","",INDEX(NOTA[TGL_H],PAJAK[[#This Row],[//]]-2))</f>
        <v>45079</v>
      </c>
      <c r="H80" s="206">
        <f ca="1">IF(PAJAK[[#This Row],[//]]="","",INDEX(INDIRECT("NOTA["&amp;PAJAK[#Headers]&amp;"]"),PAJAK[[#This Row],[//]]-2))</f>
        <v>45077</v>
      </c>
      <c r="I80" s="205" t="str">
        <f ca="1">IF(PAJAK[[#This Row],[//]]="","",INDEX(INDIRECT("NOTA["&amp;PAJAK[#Headers]&amp;"]"),PAJAK[[#This Row],[//]]-2))</f>
        <v>JUE826/23</v>
      </c>
      <c r="J80" s="204" t="str">
        <f ca="1">IF(OR(PAJAK[[#This Row],[//]]="",INDEX(INDIRECT("NOTA["&amp;PAJAK[#Headers]&amp;"]"),PAJAK[[#This Row],[//]]-2)=""),"",INDEX(INDIRECT("NOTA["&amp;PAJAK[#Headers]&amp;"]"),PAJAK[[#This Row],[//]]-2))</f>
        <v/>
      </c>
      <c r="K80" s="210">
        <f ca="1">IF(PAJAK[[#This Row],[//]]="","",SUMIF(NOTA[ID_H],PAJAK[[#This Row],[ID]],NOTA[JUMLAH]))</f>
        <v>21024000</v>
      </c>
      <c r="L80" s="210">
        <f ca="1">IF(PAJAK[[#This Row],[//]]="","",SUMIF(NOTA[ID_H],PAJAK[[#This Row],[ID]],NOTA[DISC]))</f>
        <v>0</v>
      </c>
      <c r="M80" s="210">
        <f ca="1">PAJAK[[#This Row],[SUB TOTAL]]-PAJAK[[#This Row],[DISKON]]</f>
        <v>21024000</v>
      </c>
      <c r="N80" s="210">
        <f ca="1">IF(PAJAK[[#This Row],[//]]="","",INDEX(INDIRECT("NOTA["&amp;PAJAK[#Headers]&amp;"]"),PAJAK[[#This Row],[//]]-2+PAJAK[[#This Row],[QB]]-1))</f>
        <v>0</v>
      </c>
      <c r="O80" s="210">
        <f ca="1">(PAJAK[[#This Row],[SUB T-DISC]]-PAJAK[[#This Row],[DISC DLL]])/111%</f>
        <v>18940540.540540539</v>
      </c>
      <c r="P80" s="210">
        <f ca="1">PAJAK[[#This Row],[DPP]]*PAJAK[[#This Row],[PPN]]</f>
        <v>2083459.4594594592</v>
      </c>
      <c r="Q80" s="210">
        <f ca="1">PAJAK[[#This Row],[DPP]]+PAJAK[[#This Row],[PPN 11%]]</f>
        <v>21023999.999999996</v>
      </c>
      <c r="R80" s="211" t="str">
        <f ca="1">IF(ISNUMBER(PAJAK[[#This Row],[//]]),PPN,"")</f>
        <v>11%</v>
      </c>
      <c r="W80" s="210"/>
    </row>
    <row r="81" spans="1:23" s="207" customFormat="1" x14ac:dyDescent="0.25">
      <c r="A81" s="207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>1148</v>
      </c>
      <c r="B81" s="208">
        <f ca="1">HYPERLINK("[NOTA_.XLSX]NOTA!c"&amp;PAJAK[[#This Row],[//]],IF(PAJAK[[#This Row],[//]]="","",INDEX(INDIRECT("NOTA["&amp;PAJAK[#Headers]&amp;"]"),PAJAK[[#This Row],[//]]-2)))</f>
        <v>191</v>
      </c>
      <c r="C81" s="207" t="str">
        <f ca="1">IF(PAJAK[[#This Row],[//]]="","",INDEX(INDIRECT("NOTA["&amp;PAJAK[#Headers]&amp;"]"),PAJAK[[#This Row],[//]]-2))</f>
        <v>99J_0206_523-9</v>
      </c>
      <c r="D81" s="207">
        <f ca="1">MATCH(PAJAK[[#This Row],[ID]],[4]!Table1[ID],0)</f>
        <v>87</v>
      </c>
      <c r="E81" s="209">
        <f ca="1">IF(PAJAK[[#This Row],[ID]]="","",COUNTIF(NOTA[ID_H],PAJAK[[#This Row],[ID]]))</f>
        <v>9</v>
      </c>
      <c r="F81" s="204" t="str">
        <f ca="1">IF(PAJAK[[#This Row],[//]]="","",INDEX(CONV[2],MATCH(INDEX(INDIRECT("NOTA["&amp;PAJAK[#Headers]&amp;"]"),PAJAK[[#This Row],[//]]-2),CONV[1],0),0))</f>
        <v>PT SEMBILAN-SEMBILAN JAYA UTAMA</v>
      </c>
      <c r="G81" s="206">
        <f ca="1">IF(PAJAK[[#This Row],[//]]="","",INDEX(NOTA[TGL_H],PAJAK[[#This Row],[//]]-2))</f>
        <v>45079</v>
      </c>
      <c r="H81" s="206">
        <f ca="1">IF(PAJAK[[#This Row],[//]]="","",INDEX(INDIRECT("NOTA["&amp;PAJAK[#Headers]&amp;"]"),PAJAK[[#This Row],[//]]-2))</f>
        <v>45077</v>
      </c>
      <c r="I81" s="205" t="str">
        <f ca="1">IF(PAJAK[[#This Row],[//]]="","",INDEX(INDIRECT("NOTA["&amp;PAJAK[#Headers]&amp;"]"),PAJAK[[#This Row],[//]]-2))</f>
        <v>JUE825/23</v>
      </c>
      <c r="J81" s="204" t="str">
        <f ca="1">IF(OR(PAJAK[[#This Row],[//]]="",INDEX(INDIRECT("NOTA["&amp;PAJAK[#Headers]&amp;"]"),PAJAK[[#This Row],[//]]-2)=""),"",INDEX(INDIRECT("NOTA["&amp;PAJAK[#Headers]&amp;"]"),PAJAK[[#This Row],[//]]-2))</f>
        <v/>
      </c>
      <c r="K81" s="210">
        <f ca="1">IF(PAJAK[[#This Row],[//]]="","",SUMIF(NOTA[ID_H],PAJAK[[#This Row],[ID]],NOTA[JUMLAH]))</f>
        <v>30990000</v>
      </c>
      <c r="L81" s="210">
        <f ca="1">IF(PAJAK[[#This Row],[//]]="","",SUMIF(NOTA[ID_H],PAJAK[[#This Row],[ID]],NOTA[DISC]))</f>
        <v>0</v>
      </c>
      <c r="M81" s="210">
        <f ca="1">PAJAK[[#This Row],[SUB TOTAL]]-PAJAK[[#This Row],[DISKON]]</f>
        <v>30990000</v>
      </c>
      <c r="N81" s="210">
        <f ca="1">IF(PAJAK[[#This Row],[//]]="","",INDEX(INDIRECT("NOTA["&amp;PAJAK[#Headers]&amp;"]"),PAJAK[[#This Row],[//]]-2+PAJAK[[#This Row],[QB]]-1))</f>
        <v>0</v>
      </c>
      <c r="O81" s="210">
        <f ca="1">(PAJAK[[#This Row],[SUB T-DISC]]-PAJAK[[#This Row],[DISC DLL]])/111%</f>
        <v>27918918.918918915</v>
      </c>
      <c r="P81" s="210">
        <f ca="1">PAJAK[[#This Row],[DPP]]*PAJAK[[#This Row],[PPN]]</f>
        <v>3071081.0810810807</v>
      </c>
      <c r="Q81" s="210">
        <f ca="1">PAJAK[[#This Row],[DPP]]+PAJAK[[#This Row],[PPN 11%]]</f>
        <v>30989999.999999996</v>
      </c>
      <c r="R81" s="211" t="str">
        <f ca="1">IF(ISNUMBER(PAJAK[[#This Row],[//]]),PPN,"")</f>
        <v>11%</v>
      </c>
      <c r="W81" s="210"/>
    </row>
    <row r="82" spans="1:23" x14ac:dyDescent="0.25">
      <c r="A82" s="33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27" t="str">
        <f ca="1">HYPERLINK("[NOTA_.XLSX]NOTA!c"&amp;PAJAK[[#This Row],[//]],IF(PAJAK[[#This Row],[//]]="","",INDEX(INDIRECT("NOTA["&amp;PAJAK[#Headers]&amp;"]"),PAJAK[[#This Row],[//]]-2)))</f>
        <v/>
      </c>
      <c r="C82" s="33" t="str">
        <f ca="1">IF(PAJAK[[#This Row],[//]]="","",INDEX(INDIRECT("NOTA["&amp;PAJAK[#Headers]&amp;"]"),PAJAK[[#This Row],[//]]-2))</f>
        <v/>
      </c>
      <c r="D82" s="33">
        <f ca="1">MATCH(PAJAK[[#This Row],[ID]],[4]!Table1[ID],0)</f>
        <v>1</v>
      </c>
      <c r="E82" s="126" t="str">
        <f ca="1">IF(PAJAK[[#This Row],[ID]]="","",COUNTIF(NOTA[ID_H],PAJAK[[#This Row],[ID]]))</f>
        <v/>
      </c>
      <c r="F82" s="29" t="str">
        <f ca="1">IF(PAJAK[[#This Row],[//]]="","",INDEX(CONV[2],MATCH(INDEX(INDIRECT("NOTA["&amp;PAJAK[#Headers]&amp;"]"),PAJAK[[#This Row],[//]]-2),CONV[1],0),0))</f>
        <v/>
      </c>
      <c r="G82" s="31" t="str">
        <f ca="1">IF(PAJAK[[#This Row],[//]]="","",INDEX(NOTA[TGL_H],PAJAK[[#This Row],[//]]-2))</f>
        <v/>
      </c>
      <c r="H82" s="31" t="str">
        <f ca="1">IF(PAJAK[[#This Row],[//]]="","",INDEX(INDIRECT("NOTA["&amp;PAJAK[#Headers]&amp;"]"),PAJAK[[#This Row],[//]]-2))</f>
        <v/>
      </c>
      <c r="I82" s="30" t="str">
        <f ca="1">IF(PAJAK[[#This Row],[//]]="","",INDEX(INDIRECT("NOTA["&amp;PAJAK[#Headers]&amp;"]"),PAJAK[[#This Row],[//]]-2))</f>
        <v/>
      </c>
      <c r="J8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46" t="str">
        <f ca="1">IF(PAJAK[[#This Row],[//]]="","",SUMIF(NOTA[ID_H],PAJAK[[#This Row],[ID]],NOTA[JUMLAH]))</f>
        <v/>
      </c>
      <c r="L82" s="146" t="str">
        <f ca="1">IF(PAJAK[[#This Row],[//]]="","",SUMIF(NOTA[ID_H],PAJAK[[#This Row],[ID]],NOTA[DISC]))</f>
        <v/>
      </c>
      <c r="M82" s="146" t="e">
        <f ca="1">PAJAK[[#This Row],[SUB TOTAL]]-PAJAK[[#This Row],[DISKON]]</f>
        <v>#VALUE!</v>
      </c>
      <c r="N82" s="146" t="str">
        <f ca="1">IF(PAJAK[[#This Row],[//]]="","",INDEX(INDIRECT("NOTA["&amp;PAJAK[#Headers]&amp;"]"),PAJAK[[#This Row],[//]]-2+PAJAK[[#This Row],[QB]]-1))</f>
        <v/>
      </c>
      <c r="O82" s="146" t="e">
        <f ca="1">(PAJAK[[#This Row],[SUB T-DISC]]-PAJAK[[#This Row],[DISC DLL]])/111%</f>
        <v>#VALUE!</v>
      </c>
      <c r="P82" s="146" t="e">
        <f ca="1">PAJAK[[#This Row],[DPP]]*PAJAK[[#This Row],[PPN]]</f>
        <v>#VALUE!</v>
      </c>
      <c r="Q82" s="146" t="e">
        <f ca="1">PAJAK[[#This Row],[DPP]]+PAJAK[[#This Row],[PPN 11%]]</f>
        <v>#VALUE!</v>
      </c>
      <c r="R82" s="32" t="str">
        <f ca="1">IF(ISNUMBER(PAJAK[[#This Row],[//]]),PPN,"")</f>
        <v/>
      </c>
    </row>
    <row r="83" spans="1:23" x14ac:dyDescent="0.25">
      <c r="A83" s="2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9" t="str">
        <f ca="1">HYPERLINK("[NOTA_.XLSX]NOTA!c"&amp;PAJAK[[#This Row],[//]],IF(PAJAK[[#This Row],[//]]="","",INDEX(INDIRECT("NOTA["&amp;PAJAK[#Headers]&amp;"]"),PAJAK[[#This Row],[//]]-2)))</f>
        <v/>
      </c>
      <c r="C83" s="29" t="str">
        <f ca="1">IF(PAJAK[[#This Row],[//]]="","",INDEX(INDIRECT("NOTA["&amp;PAJAK[#Headers]&amp;"]"),PAJAK[[#This Row],[//]]-2))</f>
        <v/>
      </c>
      <c r="D83" s="29">
        <f ca="1">MATCH(PAJAK[[#This Row],[ID]],[4]!Table1[ID],0)</f>
        <v>1</v>
      </c>
      <c r="E83" s="30" t="str">
        <f ca="1">IF(PAJAK[[#This Row],[ID]]="","",COUNTIF(NOTA[ID_H],PAJAK[[#This Row],[ID]]))</f>
        <v/>
      </c>
      <c r="F83" s="29" t="str">
        <f ca="1">IF(PAJAK[[#This Row],[//]]="","",INDEX(CONV[2],MATCH(INDEX(INDIRECT("NOTA["&amp;PAJAK[#Headers]&amp;"]"),PAJAK[[#This Row],[//]]-2),CONV[1],0),0))</f>
        <v/>
      </c>
      <c r="G83" s="31" t="str">
        <f ca="1">IF(PAJAK[[#This Row],[//]]="","",INDEX(NOTA[TGL_H],PAJAK[[#This Row],[//]]-2))</f>
        <v/>
      </c>
      <c r="H83" s="31" t="str">
        <f ca="1">IF(PAJAK[[#This Row],[//]]="","",INDEX(INDIRECT("NOTA["&amp;PAJAK[#Headers]&amp;"]"),PAJAK[[#This Row],[//]]-2))</f>
        <v/>
      </c>
      <c r="I83" s="30" t="str">
        <f ca="1">IF(PAJAK[[#This Row],[//]]="","",INDEX(INDIRECT("NOTA["&amp;PAJAK[#Headers]&amp;"]"),PAJAK[[#This Row],[//]]-2))</f>
        <v/>
      </c>
      <c r="J8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46" t="str">
        <f ca="1">IF(PAJAK[[#This Row],[//]]="","",SUMIF(NOTA[ID_H],PAJAK[[#This Row],[ID]],NOTA[JUMLAH]))</f>
        <v/>
      </c>
      <c r="L83" s="146" t="str">
        <f ca="1">IF(PAJAK[[#This Row],[//]]="","",SUMIF(NOTA[ID_H],PAJAK[[#This Row],[ID]],NOTA[DISC]))</f>
        <v/>
      </c>
      <c r="M83" s="146" t="e">
        <f ca="1">PAJAK[[#This Row],[SUB TOTAL]]-PAJAK[[#This Row],[DISKON]]</f>
        <v>#VALUE!</v>
      </c>
      <c r="N83" s="146" t="str">
        <f ca="1">IF(PAJAK[[#This Row],[//]]="","",INDEX(INDIRECT("NOTA["&amp;PAJAK[#Headers]&amp;"]"),PAJAK[[#This Row],[//]]-2+PAJAK[[#This Row],[QB]]-1))</f>
        <v/>
      </c>
      <c r="O83" s="146" t="e">
        <f ca="1">(PAJAK[[#This Row],[SUB T-DISC]]-PAJAK[[#This Row],[DISC DLL]])/111%</f>
        <v>#VALUE!</v>
      </c>
      <c r="P83" s="146" t="e">
        <f ca="1">PAJAK[[#This Row],[DPP]]*PAJAK[[#This Row],[PPN]]</f>
        <v>#VALUE!</v>
      </c>
      <c r="Q83" s="146" t="e">
        <f ca="1">PAJAK[[#This Row],[DPP]]+PAJAK[[#This Row],[PPN 11%]]</f>
        <v>#VALUE!</v>
      </c>
      <c r="R83" s="32" t="str">
        <f ca="1">IF(ISNUMBER(PAJAK[[#This Row],[//]]),PPN,"")</f>
        <v/>
      </c>
    </row>
    <row r="84" spans="1:23" x14ac:dyDescent="0.25">
      <c r="A84" s="2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28" t="str">
        <f ca="1">HYPERLINK("[NOTA_.XLSX]NOTA!c"&amp;PAJAK[[#This Row],[//]],IF(PAJAK[[#This Row],[//]]="","",INDEX(INDIRECT("NOTA["&amp;PAJAK[#Headers]&amp;"]"),PAJAK[[#This Row],[//]]-2)))</f>
        <v/>
      </c>
      <c r="C84" s="29" t="str">
        <f ca="1">IF(PAJAK[[#This Row],[//]]="","",INDEX(INDIRECT("NOTA["&amp;PAJAK[#Headers]&amp;"]"),PAJAK[[#This Row],[//]]-2))</f>
        <v/>
      </c>
      <c r="D84" s="29">
        <f ca="1">MATCH(PAJAK[[#This Row],[ID]],[4]!Table1[ID],0)</f>
        <v>1</v>
      </c>
      <c r="E84" s="30" t="str">
        <f ca="1">IF(PAJAK[[#This Row],[ID]]="","",COUNTIF(NOTA[ID_H],PAJAK[[#This Row],[ID]]))</f>
        <v/>
      </c>
      <c r="F84" s="29" t="str">
        <f ca="1">IF(PAJAK[[#This Row],[//]]="","",INDEX(CONV[2],MATCH(INDEX(INDIRECT("NOTA["&amp;PAJAK[#Headers]&amp;"]"),PAJAK[[#This Row],[//]]-2),CONV[1],0),0))</f>
        <v/>
      </c>
      <c r="G84" s="31" t="str">
        <f ca="1">IF(PAJAK[[#This Row],[//]]="","",INDEX(NOTA[TGL_H],PAJAK[[#This Row],[//]]-2))</f>
        <v/>
      </c>
      <c r="H84" s="31" t="str">
        <f ca="1">IF(PAJAK[[#This Row],[//]]="","",INDEX(INDIRECT("NOTA["&amp;PAJAK[#Headers]&amp;"]"),PAJAK[[#This Row],[//]]-2))</f>
        <v/>
      </c>
      <c r="I84" s="30" t="str">
        <f ca="1">IF(PAJAK[[#This Row],[//]]="","",INDEX(INDIRECT("NOTA["&amp;PAJAK[#Headers]&amp;"]"),PAJAK[[#This Row],[//]]-2))</f>
        <v/>
      </c>
      <c r="J84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46" t="str">
        <f ca="1">IF(PAJAK[[#This Row],[//]]="","",SUMIF(NOTA[ID_H],PAJAK[[#This Row],[ID]],NOTA[JUMLAH]))</f>
        <v/>
      </c>
      <c r="L84" s="146" t="str">
        <f ca="1">IF(PAJAK[[#This Row],[//]]="","",SUMIF(NOTA[ID_H],PAJAK[[#This Row],[ID]],NOTA[DISC]))</f>
        <v/>
      </c>
      <c r="M84" s="146" t="e">
        <f ca="1">PAJAK[[#This Row],[SUB TOTAL]]-PAJAK[[#This Row],[DISKON]]</f>
        <v>#VALUE!</v>
      </c>
      <c r="N84" s="146" t="str">
        <f ca="1">IF(PAJAK[[#This Row],[//]]="","",INDEX(INDIRECT("NOTA["&amp;PAJAK[#Headers]&amp;"]"),PAJAK[[#This Row],[//]]-2+PAJAK[[#This Row],[QB]]-1))</f>
        <v/>
      </c>
      <c r="O84" s="146" t="e">
        <f ca="1">(PAJAK[[#This Row],[SUB T-DISC]]-PAJAK[[#This Row],[DISC DLL]])/111%</f>
        <v>#VALUE!</v>
      </c>
      <c r="P84" s="146" t="e">
        <f ca="1">PAJAK[[#This Row],[DPP]]*PAJAK[[#This Row],[PPN]]</f>
        <v>#VALUE!</v>
      </c>
      <c r="Q84" s="146" t="e">
        <f ca="1">PAJAK[[#This Row],[DPP]]+PAJAK[[#This Row],[PPN 11%]]</f>
        <v>#VALUE!</v>
      </c>
      <c r="R84" s="32" t="str">
        <f ca="1">IF(ISNUMBER(PAJAK[[#This Row],[//]]),PPN,"")</f>
        <v/>
      </c>
    </row>
    <row r="85" spans="1:23" x14ac:dyDescent="0.25">
      <c r="A85" s="2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9" t="str">
        <f ca="1">HYPERLINK("[NOTA_.XLSX]NOTA!c"&amp;PAJAK[[#This Row],[//]],IF(PAJAK[[#This Row],[//]]="","",INDEX(INDIRECT("NOTA["&amp;PAJAK[#Headers]&amp;"]"),PAJAK[[#This Row],[//]]-2)))</f>
        <v/>
      </c>
      <c r="C85" s="29" t="str">
        <f ca="1">IF(PAJAK[[#This Row],[//]]="","",INDEX(INDIRECT("NOTA["&amp;PAJAK[#Headers]&amp;"]"),PAJAK[[#This Row],[//]]-2))</f>
        <v/>
      </c>
      <c r="D85" s="29">
        <f ca="1">MATCH(PAJAK[[#This Row],[ID]],[4]!Table1[ID],0)</f>
        <v>1</v>
      </c>
      <c r="E85" s="30" t="str">
        <f ca="1">IF(PAJAK[[#This Row],[ID]]="","",COUNTIF(NOTA[ID_H],PAJAK[[#This Row],[ID]]))</f>
        <v/>
      </c>
      <c r="F85" s="29" t="str">
        <f ca="1">IF(PAJAK[[#This Row],[//]]="","",INDEX(CONV[2],MATCH(INDEX(INDIRECT("NOTA["&amp;PAJAK[#Headers]&amp;"]"),PAJAK[[#This Row],[//]]-2),CONV[1],0),0))</f>
        <v/>
      </c>
      <c r="G85" s="31" t="str">
        <f ca="1">IF(PAJAK[[#This Row],[//]]="","",INDEX(NOTA[TGL_H],PAJAK[[#This Row],[//]]-2))</f>
        <v/>
      </c>
      <c r="H85" s="31" t="str">
        <f ca="1">IF(PAJAK[[#This Row],[//]]="","",INDEX(INDIRECT("NOTA["&amp;PAJAK[#Headers]&amp;"]"),PAJAK[[#This Row],[//]]-2))</f>
        <v/>
      </c>
      <c r="I85" s="30" t="str">
        <f ca="1">IF(PAJAK[[#This Row],[//]]="","",INDEX(INDIRECT("NOTA["&amp;PAJAK[#Headers]&amp;"]"),PAJAK[[#This Row],[//]]-2))</f>
        <v/>
      </c>
      <c r="J85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46" t="str">
        <f ca="1">IF(PAJAK[[#This Row],[//]]="","",SUMIF(NOTA[ID_H],PAJAK[[#This Row],[ID]],NOTA[JUMLAH]))</f>
        <v/>
      </c>
      <c r="L85" s="146" t="str">
        <f ca="1">IF(PAJAK[[#This Row],[//]]="","",SUMIF(NOTA[ID_H],PAJAK[[#This Row],[ID]],NOTA[DISC]))</f>
        <v/>
      </c>
      <c r="M85" s="146" t="e">
        <f ca="1">PAJAK[[#This Row],[SUB TOTAL]]-PAJAK[[#This Row],[DISKON]]</f>
        <v>#VALUE!</v>
      </c>
      <c r="N85" s="146" t="str">
        <f ca="1">IF(PAJAK[[#This Row],[//]]="","",INDEX(INDIRECT("NOTA["&amp;PAJAK[#Headers]&amp;"]"),PAJAK[[#This Row],[//]]-2+PAJAK[[#This Row],[QB]]-1))</f>
        <v/>
      </c>
      <c r="O85" s="146" t="e">
        <f ca="1">(PAJAK[[#This Row],[SUB T-DISC]]-PAJAK[[#This Row],[DISC DLL]])/111%</f>
        <v>#VALUE!</v>
      </c>
      <c r="P85" s="146" t="e">
        <f ca="1">PAJAK[[#This Row],[DPP]]*PAJAK[[#This Row],[PPN]]</f>
        <v>#VALUE!</v>
      </c>
      <c r="Q85" s="146" t="e">
        <f ca="1">PAJAK[[#This Row],[DPP]]+PAJAK[[#This Row],[PPN 11%]]</f>
        <v>#VALUE!</v>
      </c>
      <c r="R85" s="32" t="str">
        <f ca="1">IF(ISNUMBER(PAJAK[[#This Row],[//]]),PPN,"")</f>
        <v/>
      </c>
    </row>
    <row r="86" spans="1:23" x14ac:dyDescent="0.25">
      <c r="A86" s="33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27" t="str">
        <f ca="1">HYPERLINK("[NOTA_.XLSX]NOTA!c"&amp;PAJAK[[#This Row],[//]],IF(PAJAK[[#This Row],[//]]="","",INDEX(INDIRECT("NOTA["&amp;PAJAK[#Headers]&amp;"]"),PAJAK[[#This Row],[//]]-2)))</f>
        <v/>
      </c>
      <c r="C86" s="33" t="str">
        <f ca="1">IF(PAJAK[[#This Row],[//]]="","",INDEX(INDIRECT("NOTA["&amp;PAJAK[#Headers]&amp;"]"),PAJAK[[#This Row],[//]]-2))</f>
        <v/>
      </c>
      <c r="D86" s="33">
        <f ca="1">MATCH(PAJAK[[#This Row],[ID]],[4]!Table1[ID],0)</f>
        <v>1</v>
      </c>
      <c r="E86" s="126" t="str">
        <f ca="1">IF(PAJAK[[#This Row],[ID]]="","",COUNTIF(NOTA[ID_H],PAJAK[[#This Row],[ID]]))</f>
        <v/>
      </c>
      <c r="F86" s="29" t="str">
        <f ca="1">IF(PAJAK[[#This Row],[//]]="","",INDEX(CONV[2],MATCH(INDEX(INDIRECT("NOTA["&amp;PAJAK[#Headers]&amp;"]"),PAJAK[[#This Row],[//]]-2),CONV[1],0),0))</f>
        <v/>
      </c>
      <c r="G86" s="31" t="str">
        <f ca="1">IF(PAJAK[[#This Row],[//]]="","",INDEX(NOTA[TGL_H],PAJAK[[#This Row],[//]]-2))</f>
        <v/>
      </c>
      <c r="H86" s="31" t="str">
        <f ca="1">IF(PAJAK[[#This Row],[//]]="","",INDEX(INDIRECT("NOTA["&amp;PAJAK[#Headers]&amp;"]"),PAJAK[[#This Row],[//]]-2))</f>
        <v/>
      </c>
      <c r="I86" s="30" t="str">
        <f ca="1">IF(PAJAK[[#This Row],[//]]="","",INDEX(INDIRECT("NOTA["&amp;PAJAK[#Headers]&amp;"]"),PAJAK[[#This Row],[//]]-2))</f>
        <v/>
      </c>
      <c r="J86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46" t="str">
        <f ca="1">IF(PAJAK[[#This Row],[//]]="","",SUMIF(NOTA[ID_H],PAJAK[[#This Row],[ID]],NOTA[JUMLAH]))</f>
        <v/>
      </c>
      <c r="L86" s="146" t="str">
        <f ca="1">IF(PAJAK[[#This Row],[//]]="","",SUMIF(NOTA[ID_H],PAJAK[[#This Row],[ID]],NOTA[DISC]))</f>
        <v/>
      </c>
      <c r="M86" s="146" t="e">
        <f ca="1">PAJAK[[#This Row],[SUB TOTAL]]-PAJAK[[#This Row],[DISKON]]</f>
        <v>#VALUE!</v>
      </c>
      <c r="N86" s="146" t="str">
        <f ca="1">IF(PAJAK[[#This Row],[//]]="","",INDEX(INDIRECT("NOTA["&amp;PAJAK[#Headers]&amp;"]"),PAJAK[[#This Row],[//]]-2+PAJAK[[#This Row],[QB]]-1))</f>
        <v/>
      </c>
      <c r="O86" s="146" t="e">
        <f ca="1">(PAJAK[[#This Row],[SUB T-DISC]]-PAJAK[[#This Row],[DISC DLL]])/111%</f>
        <v>#VALUE!</v>
      </c>
      <c r="P86" s="146" t="e">
        <f ca="1">PAJAK[[#This Row],[DPP]]*PAJAK[[#This Row],[PPN]]</f>
        <v>#VALUE!</v>
      </c>
      <c r="Q86" s="146" t="e">
        <f ca="1">PAJAK[[#This Row],[DPP]]+PAJAK[[#This Row],[PPN 11%]]</f>
        <v>#VALUE!</v>
      </c>
      <c r="R86" s="32" t="str">
        <f ca="1">IF(ISNUMBER(PAJAK[[#This Row],[//]]),PPN,"")</f>
        <v/>
      </c>
    </row>
    <row r="87" spans="1:23" x14ac:dyDescent="0.25">
      <c r="A87" s="33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27" t="str">
        <f ca="1">HYPERLINK("[NOTA_.XLSX]NOTA!c"&amp;PAJAK[[#This Row],[//]],IF(PAJAK[[#This Row],[//]]="","",INDEX(INDIRECT("NOTA["&amp;PAJAK[#Headers]&amp;"]"),PAJAK[[#This Row],[//]]-2)))</f>
        <v/>
      </c>
      <c r="C87" s="33" t="str">
        <f ca="1">IF(PAJAK[[#This Row],[//]]="","",INDEX(INDIRECT("NOTA["&amp;PAJAK[#Headers]&amp;"]"),PAJAK[[#This Row],[//]]-2))</f>
        <v/>
      </c>
      <c r="D87" s="33">
        <f ca="1">MATCH(PAJAK[[#This Row],[ID]],[4]!Table1[ID],0)</f>
        <v>1</v>
      </c>
      <c r="E87" s="126" t="str">
        <f ca="1">IF(PAJAK[[#This Row],[ID]]="","",COUNTIF(NOTA[ID_H],PAJAK[[#This Row],[ID]]))</f>
        <v/>
      </c>
      <c r="F87" s="29" t="str">
        <f ca="1">IF(PAJAK[[#This Row],[//]]="","",INDEX(CONV[2],MATCH(INDEX(INDIRECT("NOTA["&amp;PAJAK[#Headers]&amp;"]"),PAJAK[[#This Row],[//]]-2),CONV[1],0),0))</f>
        <v/>
      </c>
      <c r="G87" s="31" t="str">
        <f ca="1">IF(PAJAK[[#This Row],[//]]="","",INDEX(NOTA[TGL_H],PAJAK[[#This Row],[//]]-2))</f>
        <v/>
      </c>
      <c r="H87" s="31" t="str">
        <f ca="1">IF(PAJAK[[#This Row],[//]]="","",INDEX(INDIRECT("NOTA["&amp;PAJAK[#Headers]&amp;"]"),PAJAK[[#This Row],[//]]-2))</f>
        <v/>
      </c>
      <c r="I87" s="30" t="str">
        <f ca="1">IF(PAJAK[[#This Row],[//]]="","",INDEX(INDIRECT("NOTA["&amp;PAJAK[#Headers]&amp;"]"),PAJAK[[#This Row],[//]]-2))</f>
        <v/>
      </c>
      <c r="J87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46" t="str">
        <f ca="1">IF(PAJAK[[#This Row],[//]]="","",SUMIF(NOTA[ID_H],PAJAK[[#This Row],[ID]],NOTA[JUMLAH]))</f>
        <v/>
      </c>
      <c r="L87" s="146" t="str">
        <f ca="1">IF(PAJAK[[#This Row],[//]]="","",SUMIF(NOTA[ID_H],PAJAK[[#This Row],[ID]],NOTA[DISC]))</f>
        <v/>
      </c>
      <c r="M87" s="146" t="e">
        <f ca="1">PAJAK[[#This Row],[SUB TOTAL]]-PAJAK[[#This Row],[DISKON]]</f>
        <v>#VALUE!</v>
      </c>
      <c r="N87" s="146" t="str">
        <f ca="1">IF(PAJAK[[#This Row],[//]]="","",INDEX(INDIRECT("NOTA["&amp;PAJAK[#Headers]&amp;"]"),PAJAK[[#This Row],[//]]-2+PAJAK[[#This Row],[QB]]-1))</f>
        <v/>
      </c>
      <c r="O87" s="146" t="e">
        <f ca="1">(PAJAK[[#This Row],[SUB T-DISC]]-PAJAK[[#This Row],[DISC DLL]])/111%</f>
        <v>#VALUE!</v>
      </c>
      <c r="P87" s="146" t="e">
        <f ca="1">PAJAK[[#This Row],[DPP]]*PAJAK[[#This Row],[PPN]]</f>
        <v>#VALUE!</v>
      </c>
      <c r="Q87" s="146" t="e">
        <f ca="1">PAJAK[[#This Row],[DPP]]+PAJAK[[#This Row],[PPN 11%]]</f>
        <v>#VALUE!</v>
      </c>
      <c r="R87" s="32" t="str">
        <f ca="1">IF(ISNUMBER(PAJAK[[#This Row],[//]]),PPN,"")</f>
        <v/>
      </c>
    </row>
    <row r="88" spans="1:23" x14ac:dyDescent="0.25">
      <c r="A88" s="2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9" t="str">
        <f ca="1">HYPERLINK("[NOTA_.XLSX]NOTA!c"&amp;PAJAK[[#This Row],[//]],IF(PAJAK[[#This Row],[//]]="","",INDEX(INDIRECT("NOTA["&amp;PAJAK[#Headers]&amp;"]"),PAJAK[[#This Row],[//]]-2)))</f>
        <v/>
      </c>
      <c r="C88" s="29" t="str">
        <f ca="1">IF(PAJAK[[#This Row],[//]]="","",INDEX(INDIRECT("NOTA["&amp;PAJAK[#Headers]&amp;"]"),PAJAK[[#This Row],[//]]-2))</f>
        <v/>
      </c>
      <c r="D88" s="29">
        <f ca="1">MATCH(PAJAK[[#This Row],[ID]],[4]!Table1[ID],0)</f>
        <v>1</v>
      </c>
      <c r="E88" s="30" t="str">
        <f ca="1">IF(PAJAK[[#This Row],[ID]]="","",COUNTIF(NOTA[ID_H],PAJAK[[#This Row],[ID]]))</f>
        <v/>
      </c>
      <c r="F88" s="29" t="str">
        <f ca="1">IF(PAJAK[[#This Row],[//]]="","",INDEX(CONV[2],MATCH(INDEX(INDIRECT("NOTA["&amp;PAJAK[#Headers]&amp;"]"),PAJAK[[#This Row],[//]]-2),CONV[1],0),0))</f>
        <v/>
      </c>
      <c r="G88" s="31" t="str">
        <f ca="1">IF(PAJAK[[#This Row],[//]]="","",INDEX(NOTA[TGL_H],PAJAK[[#This Row],[//]]-2))</f>
        <v/>
      </c>
      <c r="H88" s="31" t="str">
        <f ca="1">IF(PAJAK[[#This Row],[//]]="","",INDEX(INDIRECT("NOTA["&amp;PAJAK[#Headers]&amp;"]"),PAJAK[[#This Row],[//]]-2))</f>
        <v/>
      </c>
      <c r="I88" s="30" t="str">
        <f ca="1">IF(PAJAK[[#This Row],[//]]="","",INDEX(INDIRECT("NOTA["&amp;PAJAK[#Headers]&amp;"]"),PAJAK[[#This Row],[//]]-2))</f>
        <v/>
      </c>
      <c r="J88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46" t="str">
        <f ca="1">IF(PAJAK[[#This Row],[//]]="","",SUMIF(NOTA[ID_H],PAJAK[[#This Row],[ID]],NOTA[JUMLAH]))</f>
        <v/>
      </c>
      <c r="L88" s="146" t="str">
        <f ca="1">IF(PAJAK[[#This Row],[//]]="","",SUMIF(NOTA[ID_H],PAJAK[[#This Row],[ID]],NOTA[DISC]))</f>
        <v/>
      </c>
      <c r="M88" s="146" t="e">
        <f ca="1">PAJAK[[#This Row],[SUB TOTAL]]-PAJAK[[#This Row],[DISKON]]</f>
        <v>#VALUE!</v>
      </c>
      <c r="N88" s="146" t="str">
        <f ca="1">IF(PAJAK[[#This Row],[//]]="","",INDEX(INDIRECT("NOTA["&amp;PAJAK[#Headers]&amp;"]"),PAJAK[[#This Row],[//]]-2+PAJAK[[#This Row],[QB]]-1))</f>
        <v/>
      </c>
      <c r="O88" s="146" t="e">
        <f ca="1">(PAJAK[[#This Row],[SUB T-DISC]]-PAJAK[[#This Row],[DISC DLL]])/111%</f>
        <v>#VALUE!</v>
      </c>
      <c r="P88" s="146" t="e">
        <f ca="1">PAJAK[[#This Row],[DPP]]*PAJAK[[#This Row],[PPN]]</f>
        <v>#VALUE!</v>
      </c>
      <c r="Q88" s="146" t="e">
        <f ca="1">PAJAK[[#This Row],[DPP]]+PAJAK[[#This Row],[PPN 11%]]</f>
        <v>#VALUE!</v>
      </c>
      <c r="R88" s="32" t="str">
        <f ca="1">IF(ISNUMBER(PAJAK[[#This Row],[//]]),PPN,"")</f>
        <v/>
      </c>
    </row>
    <row r="89" spans="1:23" x14ac:dyDescent="0.25">
      <c r="A89" s="33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27" t="str">
        <f ca="1">HYPERLINK("[NOTA_.XLSX]NOTA!c"&amp;PAJAK[[#This Row],[//]],IF(PAJAK[[#This Row],[//]]="","",INDEX(INDIRECT("NOTA["&amp;PAJAK[#Headers]&amp;"]"),PAJAK[[#This Row],[//]]-2)))</f>
        <v/>
      </c>
      <c r="C89" s="33" t="str">
        <f ca="1">IF(PAJAK[[#This Row],[//]]="","",INDEX(INDIRECT("NOTA["&amp;PAJAK[#Headers]&amp;"]"),PAJAK[[#This Row],[//]]-2))</f>
        <v/>
      </c>
      <c r="D89" s="33">
        <f ca="1">MATCH(PAJAK[[#This Row],[ID]],[4]!Table1[ID],0)</f>
        <v>1</v>
      </c>
      <c r="E89" s="126" t="str">
        <f ca="1">IF(PAJAK[[#This Row],[ID]]="","",COUNTIF(NOTA[ID_H],PAJAK[[#This Row],[ID]]))</f>
        <v/>
      </c>
      <c r="F89" s="29" t="str">
        <f ca="1">IF(PAJAK[[#This Row],[//]]="","",INDEX(CONV[2],MATCH(INDEX(INDIRECT("NOTA["&amp;PAJAK[#Headers]&amp;"]"),PAJAK[[#This Row],[//]]-2),CONV[1],0),0))</f>
        <v/>
      </c>
      <c r="G89" s="31" t="str">
        <f ca="1">IF(PAJAK[[#This Row],[//]]="","",INDEX(NOTA[TGL_H],PAJAK[[#This Row],[//]]-2))</f>
        <v/>
      </c>
      <c r="H89" s="31" t="str">
        <f ca="1">IF(PAJAK[[#This Row],[//]]="","",INDEX(INDIRECT("NOTA["&amp;PAJAK[#Headers]&amp;"]"),PAJAK[[#This Row],[//]]-2))</f>
        <v/>
      </c>
      <c r="I89" s="30" t="str">
        <f ca="1">IF(PAJAK[[#This Row],[//]]="","",INDEX(INDIRECT("NOTA["&amp;PAJAK[#Headers]&amp;"]"),PAJAK[[#This Row],[//]]-2))</f>
        <v/>
      </c>
      <c r="J89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46" t="str">
        <f ca="1">IF(PAJAK[[#This Row],[//]]="","",SUMIF(NOTA[ID_H],PAJAK[[#This Row],[ID]],NOTA[JUMLAH]))</f>
        <v/>
      </c>
      <c r="L89" s="146" t="str">
        <f ca="1">IF(PAJAK[[#This Row],[//]]="","",SUMIF(NOTA[ID_H],PAJAK[[#This Row],[ID]],NOTA[DISC]))</f>
        <v/>
      </c>
      <c r="M89" s="146" t="e">
        <f ca="1">PAJAK[[#This Row],[SUB TOTAL]]-PAJAK[[#This Row],[DISKON]]</f>
        <v>#VALUE!</v>
      </c>
      <c r="N89" s="146" t="str">
        <f ca="1">IF(PAJAK[[#This Row],[//]]="","",INDEX(INDIRECT("NOTA["&amp;PAJAK[#Headers]&amp;"]"),PAJAK[[#This Row],[//]]-2+PAJAK[[#This Row],[QB]]-1))</f>
        <v/>
      </c>
      <c r="O89" s="146" t="e">
        <f ca="1">(PAJAK[[#This Row],[SUB T-DISC]]-PAJAK[[#This Row],[DISC DLL]])/111%</f>
        <v>#VALUE!</v>
      </c>
      <c r="P89" s="146" t="e">
        <f ca="1">PAJAK[[#This Row],[DPP]]*PAJAK[[#This Row],[PPN]]</f>
        <v>#VALUE!</v>
      </c>
      <c r="Q89" s="146" t="e">
        <f ca="1">PAJAK[[#This Row],[DPP]]+PAJAK[[#This Row],[PPN 11%]]</f>
        <v>#VALUE!</v>
      </c>
      <c r="R89" s="32" t="str">
        <f ca="1">IF(ISNUMBER(PAJAK[[#This Row],[//]]),PPN,"")</f>
        <v/>
      </c>
    </row>
    <row r="90" spans="1:23" x14ac:dyDescent="0.25">
      <c r="A90" s="33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27" t="str">
        <f ca="1">HYPERLINK("[NOTA_.XLSX]NOTA!c"&amp;PAJAK[[#This Row],[//]],IF(PAJAK[[#This Row],[//]]="","",INDEX(INDIRECT("NOTA["&amp;PAJAK[#Headers]&amp;"]"),PAJAK[[#This Row],[//]]-2)))</f>
        <v/>
      </c>
      <c r="C90" s="33" t="str">
        <f ca="1">IF(PAJAK[[#This Row],[//]]="","",INDEX(INDIRECT("NOTA["&amp;PAJAK[#Headers]&amp;"]"),PAJAK[[#This Row],[//]]-2))</f>
        <v/>
      </c>
      <c r="D90" s="33">
        <f ca="1">MATCH(PAJAK[[#This Row],[ID]],[4]!Table1[ID],0)</f>
        <v>1</v>
      </c>
      <c r="E90" s="126" t="str">
        <f ca="1">IF(PAJAK[[#This Row],[ID]]="","",COUNTIF(NOTA[ID_H],PAJAK[[#This Row],[ID]]))</f>
        <v/>
      </c>
      <c r="F90" s="29" t="str">
        <f ca="1">IF(PAJAK[[#This Row],[//]]="","",INDEX(CONV[2],MATCH(INDEX(INDIRECT("NOTA["&amp;PAJAK[#Headers]&amp;"]"),PAJAK[[#This Row],[//]]-2),CONV[1],0),0))</f>
        <v/>
      </c>
      <c r="G90" s="31" t="str">
        <f ca="1">IF(PAJAK[[#This Row],[//]]="","",INDEX(NOTA[TGL_H],PAJAK[[#This Row],[//]]-2))</f>
        <v/>
      </c>
      <c r="H90" s="31" t="str">
        <f ca="1">IF(PAJAK[[#This Row],[//]]="","",INDEX(INDIRECT("NOTA["&amp;PAJAK[#Headers]&amp;"]"),PAJAK[[#This Row],[//]]-2))</f>
        <v/>
      </c>
      <c r="I90" s="30" t="str">
        <f ca="1">IF(PAJAK[[#This Row],[//]]="","",INDEX(INDIRECT("NOTA["&amp;PAJAK[#Headers]&amp;"]"),PAJAK[[#This Row],[//]]-2))</f>
        <v/>
      </c>
      <c r="J90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46" t="str">
        <f ca="1">IF(PAJAK[[#This Row],[//]]="","",SUMIF(NOTA[ID_H],PAJAK[[#This Row],[ID]],NOTA[JUMLAH]))</f>
        <v/>
      </c>
      <c r="L90" s="146" t="str">
        <f ca="1">IF(PAJAK[[#This Row],[//]]="","",SUMIF(NOTA[ID_H],PAJAK[[#This Row],[ID]],NOTA[DISC]))</f>
        <v/>
      </c>
      <c r="M90" s="146" t="e">
        <f ca="1">PAJAK[[#This Row],[SUB TOTAL]]-PAJAK[[#This Row],[DISKON]]</f>
        <v>#VALUE!</v>
      </c>
      <c r="N90" s="146" t="str">
        <f ca="1">IF(PAJAK[[#This Row],[//]]="","",INDEX(INDIRECT("NOTA["&amp;PAJAK[#Headers]&amp;"]"),PAJAK[[#This Row],[//]]-2+PAJAK[[#This Row],[QB]]-1))</f>
        <v/>
      </c>
      <c r="O90" s="146" t="e">
        <f ca="1">(PAJAK[[#This Row],[SUB T-DISC]]-PAJAK[[#This Row],[DISC DLL]])/111%</f>
        <v>#VALUE!</v>
      </c>
      <c r="P90" s="146" t="e">
        <f ca="1">PAJAK[[#This Row],[DPP]]*PAJAK[[#This Row],[PPN]]</f>
        <v>#VALUE!</v>
      </c>
      <c r="Q90" s="146" t="e">
        <f ca="1">PAJAK[[#This Row],[DPP]]+PAJAK[[#This Row],[PPN 11%]]</f>
        <v>#VALUE!</v>
      </c>
      <c r="R90" s="32" t="str">
        <f ca="1">IF(ISNUMBER(PAJAK[[#This Row],[//]]),PPN,"")</f>
        <v/>
      </c>
    </row>
    <row r="91" spans="1:23" x14ac:dyDescent="0.25">
      <c r="A91" s="33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27" t="str">
        <f ca="1">HYPERLINK("[NOTA_.XLSX]NOTA!c"&amp;PAJAK[[#This Row],[//]],IF(PAJAK[[#This Row],[//]]="","",INDEX(INDIRECT("NOTA["&amp;PAJAK[#Headers]&amp;"]"),PAJAK[[#This Row],[//]]-2)))</f>
        <v/>
      </c>
      <c r="C91" s="33" t="str">
        <f ca="1">IF(PAJAK[[#This Row],[//]]="","",INDEX(INDIRECT("NOTA["&amp;PAJAK[#Headers]&amp;"]"),PAJAK[[#This Row],[//]]-2))</f>
        <v/>
      </c>
      <c r="D91" s="33">
        <f ca="1">MATCH(PAJAK[[#This Row],[ID]],[4]!Table1[ID],0)</f>
        <v>1</v>
      </c>
      <c r="E91" s="126" t="str">
        <f ca="1">IF(PAJAK[[#This Row],[ID]]="","",COUNTIF(NOTA[ID_H],PAJAK[[#This Row],[ID]]))</f>
        <v/>
      </c>
      <c r="F91" s="29" t="str">
        <f ca="1">IF(PAJAK[[#This Row],[//]]="","",INDEX(CONV[2],MATCH(INDEX(INDIRECT("NOTA["&amp;PAJAK[#Headers]&amp;"]"),PAJAK[[#This Row],[//]]-2),CONV[1],0),0))</f>
        <v/>
      </c>
      <c r="G91" s="31" t="str">
        <f ca="1">IF(PAJAK[[#This Row],[//]]="","",INDEX(NOTA[TGL_H],PAJAK[[#This Row],[//]]-2))</f>
        <v/>
      </c>
      <c r="H91" s="31" t="str">
        <f ca="1">IF(PAJAK[[#This Row],[//]]="","",INDEX(INDIRECT("NOTA["&amp;PAJAK[#Headers]&amp;"]"),PAJAK[[#This Row],[//]]-2))</f>
        <v/>
      </c>
      <c r="I91" s="30" t="str">
        <f ca="1">IF(PAJAK[[#This Row],[//]]="","",INDEX(INDIRECT("NOTA["&amp;PAJAK[#Headers]&amp;"]"),PAJAK[[#This Row],[//]]-2))</f>
        <v/>
      </c>
      <c r="J91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46" t="str">
        <f ca="1">IF(PAJAK[[#This Row],[//]]="","",SUMIF(NOTA[ID_H],PAJAK[[#This Row],[ID]],NOTA[JUMLAH]))</f>
        <v/>
      </c>
      <c r="L91" s="146" t="str">
        <f ca="1">IF(PAJAK[[#This Row],[//]]="","",SUMIF(NOTA[ID_H],PAJAK[[#This Row],[ID]],NOTA[DISC]))</f>
        <v/>
      </c>
      <c r="M91" s="146" t="e">
        <f ca="1">PAJAK[[#This Row],[SUB TOTAL]]-PAJAK[[#This Row],[DISKON]]</f>
        <v>#VALUE!</v>
      </c>
      <c r="N91" s="146" t="str">
        <f ca="1">IF(PAJAK[[#This Row],[//]]="","",INDEX(INDIRECT("NOTA["&amp;PAJAK[#Headers]&amp;"]"),PAJAK[[#This Row],[//]]-2+PAJAK[[#This Row],[QB]]-1))</f>
        <v/>
      </c>
      <c r="O91" s="146" t="e">
        <f ca="1">(PAJAK[[#This Row],[SUB T-DISC]]-PAJAK[[#This Row],[DISC DLL]])/111%</f>
        <v>#VALUE!</v>
      </c>
      <c r="P91" s="146" t="e">
        <f ca="1">PAJAK[[#This Row],[DPP]]*PAJAK[[#This Row],[PPN]]</f>
        <v>#VALUE!</v>
      </c>
      <c r="Q91" s="146" t="e">
        <f ca="1">PAJAK[[#This Row],[DPP]]+PAJAK[[#This Row],[PPN 11%]]</f>
        <v>#VALUE!</v>
      </c>
      <c r="R91" s="32" t="str">
        <f ca="1">IF(ISNUMBER(PAJAK[[#This Row],[//]]),PPN,"")</f>
        <v/>
      </c>
    </row>
    <row r="92" spans="1:23" x14ac:dyDescent="0.25">
      <c r="A92" s="3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27" t="str">
        <f ca="1">HYPERLINK("[NOTA_.XLSX]NOTA!c"&amp;PAJAK[[#This Row],[//]],IF(PAJAK[[#This Row],[//]]="","",INDEX(INDIRECT("NOTA["&amp;PAJAK[#Headers]&amp;"]"),PAJAK[[#This Row],[//]]-2)))</f>
        <v/>
      </c>
      <c r="C92" s="33" t="str">
        <f ca="1">IF(PAJAK[[#This Row],[//]]="","",INDEX(INDIRECT("NOTA["&amp;PAJAK[#Headers]&amp;"]"),PAJAK[[#This Row],[//]]-2))</f>
        <v/>
      </c>
      <c r="D92" s="33">
        <f ca="1">MATCH(PAJAK[[#This Row],[ID]],[4]!Table1[ID],0)</f>
        <v>1</v>
      </c>
      <c r="E92" s="126" t="str">
        <f ca="1">IF(PAJAK[[#This Row],[ID]]="","",COUNTIF(NOTA[ID_H],PAJAK[[#This Row],[ID]]))</f>
        <v/>
      </c>
      <c r="F92" s="29" t="str">
        <f ca="1">IF(PAJAK[[#This Row],[//]]="","",INDEX(CONV[2],MATCH(INDEX(INDIRECT("NOTA["&amp;PAJAK[#Headers]&amp;"]"),PAJAK[[#This Row],[//]]-2),CONV[1],0),0))</f>
        <v/>
      </c>
      <c r="G92" s="31" t="str">
        <f ca="1">IF(PAJAK[[#This Row],[//]]="","",INDEX(NOTA[TGL_H],PAJAK[[#This Row],[//]]-2))</f>
        <v/>
      </c>
      <c r="H92" s="31" t="str">
        <f ca="1">IF(PAJAK[[#This Row],[//]]="","",INDEX(INDIRECT("NOTA["&amp;PAJAK[#Headers]&amp;"]"),PAJAK[[#This Row],[//]]-2))</f>
        <v/>
      </c>
      <c r="I92" s="30" t="str">
        <f ca="1">IF(PAJAK[[#This Row],[//]]="","",INDEX(INDIRECT("NOTA["&amp;PAJAK[#Headers]&amp;"]"),PAJAK[[#This Row],[//]]-2))</f>
        <v/>
      </c>
      <c r="J92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46" t="str">
        <f ca="1">IF(PAJAK[[#This Row],[//]]="","",SUMIF(NOTA[ID_H],PAJAK[[#This Row],[ID]],NOTA[JUMLAH]))</f>
        <v/>
      </c>
      <c r="L92" s="146" t="str">
        <f ca="1">IF(PAJAK[[#This Row],[//]]="","",SUMIF(NOTA[ID_H],PAJAK[[#This Row],[ID]],NOTA[DISC]))</f>
        <v/>
      </c>
      <c r="M92" s="146" t="e">
        <f ca="1">PAJAK[[#This Row],[SUB TOTAL]]-PAJAK[[#This Row],[DISKON]]</f>
        <v>#VALUE!</v>
      </c>
      <c r="N92" s="146" t="str">
        <f ca="1">IF(PAJAK[[#This Row],[//]]="","",INDEX(INDIRECT("NOTA["&amp;PAJAK[#Headers]&amp;"]"),PAJAK[[#This Row],[//]]-2+PAJAK[[#This Row],[QB]]-1))</f>
        <v/>
      </c>
      <c r="O92" s="146" t="e">
        <f ca="1">(PAJAK[[#This Row],[SUB T-DISC]]-PAJAK[[#This Row],[DISC DLL]])/111%</f>
        <v>#VALUE!</v>
      </c>
      <c r="P92" s="146" t="e">
        <f ca="1">PAJAK[[#This Row],[DPP]]*PAJAK[[#This Row],[PPN]]</f>
        <v>#VALUE!</v>
      </c>
      <c r="Q92" s="146" t="e">
        <f ca="1">PAJAK[[#This Row],[DPP]]+PAJAK[[#This Row],[PPN 11%]]</f>
        <v>#VALUE!</v>
      </c>
      <c r="R92" s="32" t="str">
        <f ca="1">IF(ISNUMBER(PAJAK[[#This Row],[//]]),PPN,"")</f>
        <v/>
      </c>
    </row>
    <row r="93" spans="1:23" x14ac:dyDescent="0.25">
      <c r="A93" s="3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7" t="str">
        <f ca="1">HYPERLINK("[NOTA_.XLSX]NOTA!c"&amp;PAJAK[[#This Row],[//]],IF(PAJAK[[#This Row],[//]]="","",INDEX(INDIRECT("NOTA["&amp;PAJAK[#Headers]&amp;"]"),PAJAK[[#This Row],[//]]-2)))</f>
        <v/>
      </c>
      <c r="C93" s="33" t="str">
        <f ca="1">IF(PAJAK[[#This Row],[//]]="","",INDEX(INDIRECT("NOTA["&amp;PAJAK[#Headers]&amp;"]"),PAJAK[[#This Row],[//]]-2))</f>
        <v/>
      </c>
      <c r="D93" s="33">
        <f ca="1">MATCH(PAJAK[[#This Row],[ID]],[4]!Table1[ID],0)</f>
        <v>1</v>
      </c>
      <c r="E93" s="126" t="str">
        <f ca="1">IF(PAJAK[[#This Row],[ID]]="","",COUNTIF(NOTA[ID_H],PAJAK[[#This Row],[ID]]))</f>
        <v/>
      </c>
      <c r="F93" s="29" t="str">
        <f ca="1">IF(PAJAK[[#This Row],[//]]="","",INDEX(CONV[2],MATCH(INDEX(INDIRECT("NOTA["&amp;PAJAK[#Headers]&amp;"]"),PAJAK[[#This Row],[//]]-2),CONV[1],0),0))</f>
        <v/>
      </c>
      <c r="G93" s="31" t="str">
        <f ca="1">IF(PAJAK[[#This Row],[//]]="","",INDEX(NOTA[TGL_H],PAJAK[[#This Row],[//]]-2))</f>
        <v/>
      </c>
      <c r="H93" s="31" t="str">
        <f ca="1">IF(PAJAK[[#This Row],[//]]="","",INDEX(INDIRECT("NOTA["&amp;PAJAK[#Headers]&amp;"]"),PAJAK[[#This Row],[//]]-2))</f>
        <v/>
      </c>
      <c r="I93" s="30" t="str">
        <f ca="1">IF(PAJAK[[#This Row],[//]]="","",INDEX(INDIRECT("NOTA["&amp;PAJAK[#Headers]&amp;"]"),PAJAK[[#This Row],[//]]-2))</f>
        <v/>
      </c>
      <c r="J93" s="29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46" t="str">
        <f ca="1">IF(PAJAK[[#This Row],[//]]="","",SUMIF(NOTA[ID_H],PAJAK[[#This Row],[ID]],NOTA[JUMLAH]))</f>
        <v/>
      </c>
      <c r="L93" s="146" t="str">
        <f ca="1">IF(PAJAK[[#This Row],[//]]="","",SUMIF(NOTA[ID_H],PAJAK[[#This Row],[ID]],NOTA[DISC]))</f>
        <v/>
      </c>
      <c r="M93" s="146" t="e">
        <f ca="1">PAJAK[[#This Row],[SUB TOTAL]]-PAJAK[[#This Row],[DISKON]]</f>
        <v>#VALUE!</v>
      </c>
      <c r="N93" s="146" t="str">
        <f ca="1">IF(PAJAK[[#This Row],[//]]="","",INDEX(INDIRECT("NOTA["&amp;PAJAK[#Headers]&amp;"]"),PAJAK[[#This Row],[//]]-2+PAJAK[[#This Row],[QB]]-1))</f>
        <v/>
      </c>
      <c r="O93" s="146" t="e">
        <f ca="1">(PAJAK[[#This Row],[SUB T-DISC]]-PAJAK[[#This Row],[DISC DLL]])/111%</f>
        <v>#VALUE!</v>
      </c>
      <c r="P93" s="146" t="e">
        <f ca="1">PAJAK[[#This Row],[DPP]]*PAJAK[[#This Row],[PPN]]</f>
        <v>#VALUE!</v>
      </c>
      <c r="Q93" s="146" t="e">
        <f ca="1">PAJAK[[#This Row],[DPP]]+PAJAK[[#This Row],[PPN 11%]]</f>
        <v>#VALUE!</v>
      </c>
      <c r="R93" s="32" t="str">
        <f ca="1">IF(ISNUMBER(PAJAK[[#This Row],[//]]),PPN,"")</f>
        <v/>
      </c>
    </row>
  </sheetData>
  <conditionalFormatting sqref="I2:I93">
    <cfRule type="duplicateValues" dxfId="3" priority="2"/>
  </conditionalFormatting>
  <conditionalFormatting sqref="I1:I1048576">
    <cfRule type="duplicateValues" dxfId="2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41</v>
      </c>
      <c r="F1" t="str">
        <f ca="1">MID(G1,FIND("]",G1)+1,LEN(G1)-FIND("]",G1))</f>
        <v>ATALI</v>
      </c>
      <c r="G1" s="4" t="str">
        <f ca="1">CELL("filename",G1)</f>
        <v>D:\kerja\BANK EXP\BARU\2023\05 MEI\[NOTA 05 MEI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128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22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45055</v>
      </c>
      <c r="F3" s="2">
        <f ca="1">IF(ATALI[[#This Row],[//PAJAK]]="","",INDEX(INDIRECT("PAJAK["&amp;ATALI[#Headers]&amp;"]"),ATALI[[#This Row],[//PAJAK]]-1))</f>
        <v>45051</v>
      </c>
      <c r="G3" s="7" t="str">
        <f ca="1">IF(ATALI[[#This Row],[//PAJAK]]="","",INDEX(INDIRECT("PAJAK["&amp;ATALI[#Headers]&amp;"]"),ATALI[[#This Row],[//PAJAK]]-1))</f>
        <v>SA230506867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26034750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23454729.729729727</v>
      </c>
      <c r="L3" s="1">
        <f ca="1">ATALI[[#This Row],[DPP]]*11%</f>
        <v>2580020.2702702698</v>
      </c>
      <c r="M3" s="1">
        <f ca="1">ATALI[[#This Row],[DPP]]+ATALI[[#This Row],[PPN (11%)]]</f>
        <v>26034749.999999996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130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6</v>
      </c>
      <c r="C4" s="12">
        <f ca="1">HYPERLINK("[NOTA_.xlsx]PAJAK!b"&amp;ATALI[[#This Row],[//PAJAK]],IF(ATALI[[#This Row],[//PAJAK]]="","",INDEX(INDIRECT("PAJAK["&amp;ATALI[#Headers]&amp;"]"),ATALI[[#This Row],[//PAJAK]]-1)))</f>
        <v>23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45055</v>
      </c>
      <c r="F4" s="2">
        <f ca="1">IF(ATALI[[#This Row],[//PAJAK]]="","",INDEX(INDIRECT("PAJAK["&amp;ATALI[#Headers]&amp;"]"),ATALI[[#This Row],[//PAJAK]]-1))</f>
        <v>45050</v>
      </c>
      <c r="G4" s="5" t="str">
        <f ca="1">IF(ATALI[[#This Row],[//PAJAK]]="","",INDEX(INDIRECT("PAJAK["&amp;ATALI[#Headers]&amp;"]"),ATALI[[#This Row],[//PAJAK]]-1))</f>
        <v>SA230506812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25436250</v>
      </c>
      <c r="J4" s="1">
        <f ca="1">IF(ATALI[[#This Row],[//PAJAK]]="","",INDEX(PAJAK[DISC DLL],ATALI[[#This Row],[//PAJAK]]-1))</f>
        <v>1584080</v>
      </c>
      <c r="K4" s="1">
        <f ca="1">(ATALI[[#This Row],[SUB TOTAL]]-ATALI[[#This Row],[DISKON]])/1.11</f>
        <v>21488441.441441439</v>
      </c>
      <c r="L4" s="1">
        <f ca="1">ATALI[[#This Row],[DPP]]*11%</f>
        <v>2363728.5585585581</v>
      </c>
      <c r="M4" s="1">
        <f ca="1">ATALI[[#This Row],[DPP]]+ATALI[[#This Row],[PPN (11%)]]</f>
        <v>23852169.999999996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7</v>
      </c>
      <c r="C5" s="12">
        <f ca="1">HYPERLINK("[NOTA_.xlsx]PAJAK!b"&amp;ATALI[[#This Row],[//PAJAK]],IF(ATALI[[#This Row],[//PAJAK]]="","",INDEX(INDIRECT("PAJAK["&amp;ATALI[#Headers]&amp;"]"),ATALI[[#This Row],[//PAJAK]]-1)))</f>
        <v>24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45055</v>
      </c>
      <c r="F5" s="2">
        <f ca="1">IF(ATALI[[#This Row],[//PAJAK]]="","",INDEX(INDIRECT("PAJAK["&amp;ATALI[#Headers]&amp;"]"),ATALI[[#This Row],[//PAJAK]]-1))</f>
        <v>45050</v>
      </c>
      <c r="G5" s="5" t="str">
        <f ca="1">IF(ATALI[[#This Row],[//PAJAK]]="","",INDEX(INDIRECT("PAJAK["&amp;ATALI[#Headers]&amp;"]"),ATALI[[#This Row],[//PAJAK]]-1))</f>
        <v>SA230506794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36753390</v>
      </c>
      <c r="J5" s="1">
        <f ca="1">IF(ATALI[[#This Row],[//PAJAK]]="","",INDEX(PAJAK[DISC DLL],ATALI[[#This Row],[//PAJAK]]-1))</f>
        <v>600000</v>
      </c>
      <c r="K5" s="1">
        <f ca="1">(ATALI[[#This Row],[SUB TOTAL]]-ATALI[[#This Row],[DISKON]])/1.11</f>
        <v>32570621.62162162</v>
      </c>
      <c r="L5" s="1">
        <f ca="1">ATALI[[#This Row],[DPP]]*11%</f>
        <v>3582768.3783783782</v>
      </c>
      <c r="M5" s="1">
        <f ca="1">ATALI[[#This Row],[DPP]]+ATALI[[#This Row],[PPN (11%)]]</f>
        <v>36153390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140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8</v>
      </c>
      <c r="C6" s="12">
        <f ca="1">HYPERLINK("[NOTA_.xlsx]PAJAK!b"&amp;ATALI[[#This Row],[//PAJAK]],IF(ATALI[[#This Row],[//PAJAK]]="","",INDEX(INDIRECT("PAJAK["&amp;ATALI[#Headers]&amp;"]"),ATALI[[#This Row],[//PAJAK]]-1)))</f>
        <v>25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45055</v>
      </c>
      <c r="F6" s="2">
        <f ca="1">IF(ATALI[[#This Row],[//PAJAK]]="","",INDEX(INDIRECT("PAJAK["&amp;ATALI[#Headers]&amp;"]"),ATALI[[#This Row],[//PAJAK]]-1))</f>
        <v>45050</v>
      </c>
      <c r="G6" s="5" t="str">
        <f ca="1">IF(ATALI[[#This Row],[//PAJAK]]="","",INDEX(INDIRECT("PAJAK["&amp;ATALI[#Headers]&amp;"]"),ATALI[[#This Row],[//PAJAK]]-1))</f>
        <v>SA230506792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29991674.5</v>
      </c>
      <c r="J6" s="1">
        <f ca="1">IF(ATALI[[#This Row],[//PAJAK]]="","",INDEX(PAJAK[DISC DLL],ATALI[[#This Row],[//PAJAK]]-1))</f>
        <v>695432</v>
      </c>
      <c r="K6" s="1">
        <f ca="1">(ATALI[[#This Row],[SUB TOTAL]]-ATALI[[#This Row],[DISKON]])/1.11</f>
        <v>26393011.261261258</v>
      </c>
      <c r="L6" s="1">
        <f ca="1">ATALI[[#This Row],[DPP]]*11%</f>
        <v>2903231.2387387385</v>
      </c>
      <c r="M6" s="1">
        <f ca="1">ATALI[[#This Row],[DPP]]+ATALI[[#This Row],[PPN (11%)]]</f>
        <v>29296242.499999996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150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9</v>
      </c>
      <c r="C7" s="12">
        <f ca="1">HYPERLINK("[NOTA_.xlsx]PAJAK!b"&amp;ATALI[[#This Row],[//PAJAK]],IF(ATALI[[#This Row],[//PAJAK]]="","",INDEX(INDIRECT("PAJAK["&amp;ATALI[#Headers]&amp;"]"),ATALI[[#This Row],[//PAJAK]]-1)))</f>
        <v>26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45055</v>
      </c>
      <c r="F7" s="2">
        <f ca="1">IF(ATALI[[#This Row],[//PAJAK]]="","",INDEX(INDIRECT("PAJAK["&amp;ATALI[#Headers]&amp;"]"),ATALI[[#This Row],[//PAJAK]]-1))</f>
        <v>45050</v>
      </c>
      <c r="G7" s="5" t="str">
        <f ca="1">IF(ATALI[[#This Row],[//PAJAK]]="","",INDEX(INDIRECT("PAJAK["&amp;ATALI[#Headers]&amp;"]"),ATALI[[#This Row],[//PAJAK]]-1))</f>
        <v>SA230506793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68319718.75</v>
      </c>
      <c r="J7" s="1">
        <f ca="1">IF(ATALI[[#This Row],[//PAJAK]]="","",INDEX(PAJAK[DISC DLL],ATALI[[#This Row],[//PAJAK]]-1))</f>
        <v>2040000</v>
      </c>
      <c r="K7" s="1">
        <f ca="1">(ATALI[[#This Row],[SUB TOTAL]]-ATALI[[#This Row],[DISKON]])/1.11</f>
        <v>59711458.333333328</v>
      </c>
      <c r="L7" s="1">
        <f ca="1">ATALI[[#This Row],[DPP]]*11%</f>
        <v>6568260.416666666</v>
      </c>
      <c r="M7" s="1">
        <f ca="1">ATALI[[#This Row],[DPP]]+ATALI[[#This Row],[PPN (11%)]]</f>
        <v>66279718.749999993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252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13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45058</v>
      </c>
      <c r="F8" s="2">
        <f ca="1">IF(ATALI[[#This Row],[//PAJAK]]="","",INDEX(INDIRECT("PAJAK["&amp;ATALI[#Headers]&amp;"]"),ATALI[[#This Row],[//PAJAK]]-1))</f>
        <v>45052</v>
      </c>
      <c r="G8" s="5" t="str">
        <f ca="1">IF(ATALI[[#This Row],[//PAJAK]]="","",INDEX(INDIRECT("PAJAK["&amp;ATALI[#Headers]&amp;"]"),ATALI[[#This Row],[//PAJAK]]-1))</f>
        <v>SA230507030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10342080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9317189.1891891882</v>
      </c>
      <c r="L8" s="1">
        <f ca="1">ATALI[[#This Row],[DPP]]*11%</f>
        <v>1024890.8108108107</v>
      </c>
      <c r="M8" s="1">
        <f ca="1">ATALI[[#This Row],[DPP]]+ATALI[[#This Row],[PPN (11%)]]</f>
        <v>10342079.999999998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307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17</v>
      </c>
      <c r="C9" s="12">
        <f ca="1">HYPERLINK("[NOTA_.xlsx]PAJAK!b"&amp;ATALI[[#This Row],[//PAJAK]],IF(ATALI[[#This Row],[//PAJAK]]="","",INDEX(INDIRECT("PAJAK["&amp;ATALI[#Headers]&amp;"]"),ATALI[[#This Row],[//PAJAK]]-1)))</f>
        <v>57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45059</v>
      </c>
      <c r="F9" s="2">
        <f ca="1">IF(ATALI[[#This Row],[//PAJAK]]="","",INDEX(INDIRECT("PAJAK["&amp;ATALI[#Headers]&amp;"]"),ATALI[[#This Row],[//PAJAK]]-1))</f>
        <v>45054</v>
      </c>
      <c r="G9" s="5" t="str">
        <f ca="1">IF(ATALI[[#This Row],[//PAJAK]]="","",INDEX(INDIRECT("PAJAK["&amp;ATALI[#Headers]&amp;"]"),ATALI[[#This Row],[//PAJAK]]-1))</f>
        <v>SA230507076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78158447.5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70413015.765765756</v>
      </c>
      <c r="L9" s="1">
        <f ca="1">ATALI[[#This Row],[DPP]]*11%</f>
        <v>7745431.7342342334</v>
      </c>
      <c r="M9" s="1">
        <f ca="1">ATALI[[#This Row],[DPP]]+ATALI[[#This Row],[PPN (11%)]]</f>
        <v>78158447.499999985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317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18</v>
      </c>
      <c r="C10" s="12">
        <f ca="1">HYPERLINK("[NOTA_.xlsx]PAJAK!b"&amp;ATALI[[#This Row],[//PAJAK]],IF(ATALI[[#This Row],[//PAJAK]]="","",INDEX(INDIRECT("PAJAK["&amp;ATALI[#Headers]&amp;"]"),ATALI[[#This Row],[//PAJAK]]-1)))</f>
        <v>58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45059</v>
      </c>
      <c r="F10" s="2">
        <f ca="1">IF(ATALI[[#This Row],[//PAJAK]]="","",INDEX(INDIRECT("PAJAK["&amp;ATALI[#Headers]&amp;"]"),ATALI[[#This Row],[//PAJAK]]-1))</f>
        <v>45055</v>
      </c>
      <c r="G10" s="5" t="str">
        <f ca="1">IF(ATALI[[#This Row],[//PAJAK]]="","",INDEX(INDIRECT("PAJAK["&amp;ATALI[#Headers]&amp;"]"),ATALI[[#This Row],[//PAJAK]]-1))</f>
        <v>SA230507201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14056875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12663851.351351351</v>
      </c>
      <c r="L10" s="1">
        <f ca="1">ATALI[[#This Row],[DPP]]*11%</f>
        <v>1393023.6486486485</v>
      </c>
      <c r="M10" s="1">
        <f ca="1">ATALI[[#This Row],[DPP]]+ATALI[[#This Row],[PPN (11%)]]</f>
        <v>14056875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320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19</v>
      </c>
      <c r="C11" s="12">
        <f ca="1">HYPERLINK("[NOTA_.xlsx]PAJAK!b"&amp;ATALI[[#This Row],[//PAJAK]],IF(ATALI[[#This Row],[//PAJAK]]="","",INDEX(INDIRECT("PAJAK["&amp;ATALI[#Headers]&amp;"]"),ATALI[[#This Row],[//PAJAK]]-1)))</f>
        <v>59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45059</v>
      </c>
      <c r="F11" s="2">
        <f ca="1">IF(ATALI[[#This Row],[//PAJAK]]="","",INDEX(INDIRECT("PAJAK["&amp;ATALI[#Headers]&amp;"]"),ATALI[[#This Row],[//PAJAK]]-1))</f>
        <v>45054</v>
      </c>
      <c r="G11" s="5" t="str">
        <f ca="1">IF(ATALI[[#This Row],[//PAJAK]]="","",INDEX(INDIRECT("PAJAK["&amp;ATALI[#Headers]&amp;"]"),ATALI[[#This Row],[//PAJAK]]-1))</f>
        <v>SA230507105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20708100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18655945.945945945</v>
      </c>
      <c r="L11" s="1">
        <f ca="1">ATALI[[#This Row],[DPP]]*11%</f>
        <v>2052154.054054054</v>
      </c>
      <c r="M11" s="1">
        <f ca="1">ATALI[[#This Row],[DPP]]+ATALI[[#This Row],[PPN (11%)]]</f>
        <v>20708100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382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20</v>
      </c>
      <c r="C12" s="12">
        <f ca="1">HYPERLINK("[NOTA_.xlsx]PAJAK!b"&amp;ATALI[[#This Row],[//PAJAK]],IF(ATALI[[#This Row],[//PAJAK]]="","",INDEX(INDIRECT("PAJAK["&amp;ATALI[#Headers]&amp;"]"),ATALI[[#This Row],[//PAJAK]]-1)))</f>
        <v>74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45061</v>
      </c>
      <c r="F12" s="2">
        <f ca="1">IF(ATALI[[#This Row],[//PAJAK]]="","",INDEX(INDIRECT("PAJAK["&amp;ATALI[#Headers]&amp;"]"),ATALI[[#This Row],[//PAJAK]]-1))</f>
        <v>45057</v>
      </c>
      <c r="G12" s="5" t="str">
        <f ca="1">IF(ATALI[[#This Row],[//PAJAK]]="","",INDEX(INDIRECT("PAJAK["&amp;ATALI[#Headers]&amp;"]"),ATALI[[#This Row],[//PAJAK]]-1))</f>
        <v>SA230507405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8681242.5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7820939.1891891882</v>
      </c>
      <c r="L12" s="1">
        <f ca="1">ATALI[[#This Row],[DPP]]*11%</f>
        <v>860303.31081081065</v>
      </c>
      <c r="M12" s="1">
        <f ca="1">ATALI[[#This Row],[DPP]]+ATALI[[#This Row],[PPN (11%)]]</f>
        <v>8681242.4999999981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390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21</v>
      </c>
      <c r="C13" s="12">
        <f ca="1">HYPERLINK("[NOTA_.xlsx]PAJAK!b"&amp;ATALI[[#This Row],[//PAJAK]],IF(ATALI[[#This Row],[//PAJAK]]="","",INDEX(INDIRECT("PAJAK["&amp;ATALI[#Headers]&amp;"]"),ATALI[[#This Row],[//PAJAK]]-1)))</f>
        <v>75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45061</v>
      </c>
      <c r="F13" s="2">
        <f ca="1">IF(ATALI[[#This Row],[//PAJAK]]="","",INDEX(INDIRECT("PAJAK["&amp;ATALI[#Headers]&amp;"]"),ATALI[[#This Row],[//PAJAK]]-1))</f>
        <v>45056</v>
      </c>
      <c r="G13" s="5" t="str">
        <f ca="1">IF(ATALI[[#This Row],[//PAJAK]]="","",INDEX(INDIRECT("PAJAK["&amp;ATALI[#Headers]&amp;"]"),ATALI[[#This Row],[//PAJAK]]-1))</f>
        <v>SA230507301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5517172.5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4970425.6756756753</v>
      </c>
      <c r="L13" s="1">
        <f ca="1">ATALI[[#This Row],[DPP]]*11%</f>
        <v>546746.82432432426</v>
      </c>
      <c r="M13" s="1">
        <f ca="1">ATALI[[#This Row],[DPP]]+ATALI[[#This Row],[PPN (11%)]]</f>
        <v>5517172.5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394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22</v>
      </c>
      <c r="C14" s="12">
        <f ca="1">HYPERLINK("[NOTA_.xlsx]PAJAK!b"&amp;ATALI[[#This Row],[//PAJAK]],IF(ATALI[[#This Row],[//PAJAK]]="","",INDEX(INDIRECT("PAJAK["&amp;ATALI[#Headers]&amp;"]"),ATALI[[#This Row],[//PAJAK]]-1)))</f>
        <v>76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45061</v>
      </c>
      <c r="F14" s="2">
        <f ca="1">IF(ATALI[[#This Row],[//PAJAK]]="","",INDEX(INDIRECT("PAJAK["&amp;ATALI[#Headers]&amp;"]"),ATALI[[#This Row],[//PAJAK]]-1))</f>
        <v>45057</v>
      </c>
      <c r="G14" s="5" t="str">
        <f ca="1">IF(ATALI[[#This Row],[//PAJAK]]="","",INDEX(INDIRECT("PAJAK["&amp;ATALI[#Headers]&amp;"]"),ATALI[[#This Row],[//PAJAK]]-1))</f>
        <v>SA230507451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22825293.75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20563327.702702701</v>
      </c>
      <c r="L14" s="1">
        <f ca="1">ATALI[[#This Row],[DPP]]*11%</f>
        <v>2261966.047297297</v>
      </c>
      <c r="M14" s="1">
        <f ca="1">ATALI[[#This Row],[DPP]]+ATALI[[#This Row],[PPN (11%)]]</f>
        <v>22825293.75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406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23</v>
      </c>
      <c r="C15" s="12">
        <f ca="1">HYPERLINK("[NOTA_.xlsx]PAJAK!b"&amp;ATALI[[#This Row],[//PAJAK]],IF(ATALI[[#This Row],[//PAJAK]]="","",INDEX(INDIRECT("PAJAK["&amp;ATALI[#Headers]&amp;"]"),ATALI[[#This Row],[//PAJAK]]-1)))</f>
        <v>77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45061</v>
      </c>
      <c r="F15" s="2">
        <f ca="1">IF(ATALI[[#This Row],[//PAJAK]]="","",INDEX(INDIRECT("PAJAK["&amp;ATALI[#Headers]&amp;"]"),ATALI[[#This Row],[//PAJAK]]-1))</f>
        <v>45057</v>
      </c>
      <c r="G15" s="5" t="str">
        <f ca="1">IF(ATALI[[#This Row],[//PAJAK]]="","",INDEX(INDIRECT("PAJAK["&amp;ATALI[#Headers]&amp;"]"),ATALI[[#This Row],[//PAJAK]]-1))</f>
        <v>SA230507475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9312660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8389783.7837837823</v>
      </c>
      <c r="L15" s="1">
        <f ca="1">ATALI[[#This Row],[DPP]]*11%</f>
        <v>922876.2162162161</v>
      </c>
      <c r="M15" s="1">
        <f ca="1">ATALI[[#This Row],[DPP]]+ATALI[[#This Row],[PPN (11%)]]</f>
        <v>9312659.9999999981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24</v>
      </c>
      <c r="C16" s="12">
        <f ca="1">HYPERLINK("[NOTA_.xlsx]PAJAK!b"&amp;ATALI[[#This Row],[//PAJAK]],IF(ATALI[[#This Row],[//PAJAK]]="","",INDEX(INDIRECT("PAJAK["&amp;ATALI[#Headers]&amp;"]"),ATALI[[#This Row],[//PAJAK]]-1)))</f>
        <v>80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45065</v>
      </c>
      <c r="F16" s="2">
        <f ca="1">IF(ATALI[[#This Row],[//PAJAK]]="","",INDEX(INDIRECT("PAJAK["&amp;ATALI[#Headers]&amp;"]"),ATALI[[#This Row],[//PAJAK]]-1))</f>
        <v>45058</v>
      </c>
      <c r="G16" s="5" t="str">
        <f ca="1">IF(ATALI[[#This Row],[//PAJAK]]="","",INDEX(INDIRECT("PAJAK["&amp;ATALI[#Headers]&amp;"]"),ATALI[[#This Row],[//PAJAK]]-1))</f>
        <v>SA230507504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20695298.75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18644413.288288288</v>
      </c>
      <c r="L16" s="1">
        <f ca="1">ATALI[[#This Row],[DPP]]*11%</f>
        <v>2050885.4617117117</v>
      </c>
      <c r="M16" s="1">
        <f ca="1">ATALI[[#This Row],[DPP]]+ATALI[[#This Row],[PPN (11%)]]</f>
        <v>20695298.75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431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25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45065</v>
      </c>
      <c r="F17" s="2">
        <f ca="1">IF(ATALI[[#This Row],[//PAJAK]]="","",INDEX(INDIRECT("PAJAK["&amp;ATALI[#Headers]&amp;"]"),ATALI[[#This Row],[//PAJAK]]-1))</f>
        <v>45058</v>
      </c>
      <c r="G17" s="5" t="str">
        <f ca="1">IF(ATALI[[#This Row],[//PAJAK]]="","",INDEX(INDIRECT("PAJAK["&amp;ATALI[#Headers]&amp;"]"),ATALI[[#This Row],[//PAJAK]]-1))</f>
        <v>SA230507505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8043840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7246702.702702702</v>
      </c>
      <c r="L17" s="1">
        <f ca="1">ATALI[[#This Row],[DPP]]*11%</f>
        <v>797137.29729729728</v>
      </c>
      <c r="M17" s="1">
        <f ca="1">ATALI[[#This Row],[DPP]]+ATALI[[#This Row],[PPN (11%)]]</f>
        <v>8043839.9999999991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439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26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45065</v>
      </c>
      <c r="F18" s="2">
        <f ca="1">IF(ATALI[[#This Row],[//PAJAK]]="","",INDEX(INDIRECT("PAJAK["&amp;ATALI[#Headers]&amp;"]"),ATALI[[#This Row],[//PAJAK]]-1))</f>
        <v>45058</v>
      </c>
      <c r="G18" s="7" t="str">
        <f ca="1">IF(ATALI[[#This Row],[//PAJAK]]="","",INDEX(INDIRECT("PAJAK["&amp;ATALI[#Headers]&amp;"]"),ATALI[[#This Row],[//PAJAK]]-1))</f>
        <v>SA230507564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6894720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6211459.4594594585</v>
      </c>
      <c r="L18" s="1">
        <f ca="1">ATALI[[#This Row],[DPP]]*11%</f>
        <v>683260.54054054047</v>
      </c>
      <c r="M18" s="1">
        <f ca="1">ATALI[[#This Row],[DPP]]+ATALI[[#This Row],[PPN (11%)]]</f>
        <v>6894719.9999999991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446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45065</v>
      </c>
      <c r="F19" s="2">
        <f ca="1">IF(ATALI[[#This Row],[//PAJAK]]="","",INDEX(INDIRECT("PAJAK["&amp;ATALI[#Headers]&amp;"]"),ATALI[[#This Row],[//PAJAK]]-1))</f>
        <v>45058</v>
      </c>
      <c r="G19" s="7" t="str">
        <f ca="1">IF(ATALI[[#This Row],[//PAJAK]]="","",INDEX(INDIRECT("PAJAK["&amp;ATALI[#Headers]&amp;"]"),ATALI[[#This Row],[//PAJAK]]-1))</f>
        <v>SA230507563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2836890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2555756.7567567565</v>
      </c>
      <c r="L19" s="1">
        <f ca="1">ATALI[[#This Row],[DPP]]*11%</f>
        <v>281133.2432432432</v>
      </c>
      <c r="M19" s="1">
        <f ca="1">ATALI[[#This Row],[DPP]]+ATALI[[#This Row],[PPN (11%)]]</f>
        <v>2836889.9999999995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565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37</v>
      </c>
      <c r="C20" s="12">
        <f ca="1">HYPERLINK("[NOTA_.xlsx]PAJAK!b"&amp;ATALI[[#This Row],[//PAJAK]],IF(ATALI[[#This Row],[//PAJAK]]="","",INDEX(INDIRECT("PAJAK["&amp;ATALI[#Headers]&amp;"]"),ATALI[[#This Row],[//PAJAK]]-1)))</f>
        <v>102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45066</v>
      </c>
      <c r="F20" s="2">
        <f ca="1">IF(ATALI[[#This Row],[//PAJAK]]="","",INDEX(INDIRECT("PAJAK["&amp;ATALI[#Headers]&amp;"]"),ATALI[[#This Row],[//PAJAK]]-1))</f>
        <v>45062</v>
      </c>
      <c r="G20" s="7" t="str">
        <f ca="1">IF(ATALI[[#This Row],[//PAJAK]]="","",INDEX(INDIRECT("PAJAK["&amp;ATALI[#Headers]&amp;"]"),ATALI[[#This Row],[//PAJAK]]-1))</f>
        <v>SA230507749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42003395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37840896.396396391</v>
      </c>
      <c r="L20" s="1">
        <f ca="1">ATALI[[#This Row],[DPP]]*11%</f>
        <v>4162498.6036036029</v>
      </c>
      <c r="M20" s="1">
        <f ca="1">ATALI[[#This Row],[DPP]]+ATALI[[#This Row],[PPN (11%)]]</f>
        <v>42003394.999999993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578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38</v>
      </c>
      <c r="C21" s="12">
        <f ca="1">HYPERLINK("[NOTA_.xlsx]PAJAK!b"&amp;ATALI[[#This Row],[//PAJAK]],IF(ATALI[[#This Row],[//PAJAK]]="","",INDEX(INDIRECT("PAJAK["&amp;ATALI[#Headers]&amp;"]"),ATALI[[#This Row],[//PAJAK]]-1)))</f>
        <v>103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45066</v>
      </c>
      <c r="F21" s="2">
        <f ca="1">IF(ATALI[[#This Row],[//PAJAK]]="","",INDEX(INDIRECT("PAJAK["&amp;ATALI[#Headers]&amp;"]"),ATALI[[#This Row],[//PAJAK]]-1))</f>
        <v>45062</v>
      </c>
      <c r="G21" s="7" t="str">
        <f ca="1">IF(ATALI[[#This Row],[//PAJAK]]="","",INDEX(INDIRECT("PAJAK["&amp;ATALI[#Headers]&amp;"]"),ATALI[[#This Row],[//PAJAK]]-1))</f>
        <v>SA230507689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71820000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64702702.702702694</v>
      </c>
      <c r="L21" s="1">
        <f ca="1">ATALI[[#This Row],[DPP]]*11%</f>
        <v>7117297.2972972961</v>
      </c>
      <c r="M21" s="1">
        <f ca="1">ATALI[[#This Row],[DPP]]+ATALI[[#This Row],[PPN (11%)]]</f>
        <v>71819999.999999985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586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39</v>
      </c>
      <c r="C22" s="12">
        <f ca="1">HYPERLINK("[NOTA_.xlsx]PAJAK!b"&amp;ATALI[[#This Row],[//PAJAK]],IF(ATALI[[#This Row],[//PAJAK]]="","",INDEX(INDIRECT("PAJAK["&amp;ATALI[#Headers]&amp;"]"),ATALI[[#This Row],[//PAJAK]]-1)))</f>
        <v>106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45068</v>
      </c>
      <c r="F22" s="2">
        <f ca="1">IF(ATALI[[#This Row],[//PAJAK]]="","",INDEX(INDIRECT("PAJAK["&amp;ATALI[#Headers]&amp;"]"),ATALI[[#This Row],[//PAJAK]]-1))</f>
        <v>45063</v>
      </c>
      <c r="G22" s="7" t="str">
        <f ca="1">IF(ATALI[[#This Row],[//PAJAK]]="","",INDEX(INDIRECT("PAJAK["&amp;ATALI[#Headers]&amp;"]"),ATALI[[#This Row],[//PAJAK]]-1))</f>
        <v>SA230507813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18723906.25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16868384.009009007</v>
      </c>
      <c r="L22" s="1">
        <f ca="1">ATALI[[#This Row],[DPP]]*11%</f>
        <v>1855522.2409909908</v>
      </c>
      <c r="M22" s="1">
        <f ca="1">ATALI[[#This Row],[DPP]]+ATALI[[#This Row],[PPN (11%)]]</f>
        <v>18723906.25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40</v>
      </c>
      <c r="C23" s="12">
        <f ca="1">HYPERLINK("[NOTA_.xlsx]PAJAK!b"&amp;ATALI[[#This Row],[//PAJAK]],IF(ATALI[[#This Row],[//PAJAK]]="","",INDEX(INDIRECT("PAJAK["&amp;ATALI[#Headers]&amp;"]"),ATALI[[#This Row],[//PAJAK]]-1)))</f>
        <v>107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45068</v>
      </c>
      <c r="F23" s="2">
        <f ca="1">IF(ATALI[[#This Row],[//PAJAK]]="","",INDEX(INDIRECT("PAJAK["&amp;ATALI[#Headers]&amp;"]"),ATALI[[#This Row],[//PAJAK]]-1))</f>
        <v>45063</v>
      </c>
      <c r="G23" s="7" t="str">
        <f ca="1">IF(ATALI[[#This Row],[//PAJAK]]="","",INDEX(INDIRECT("PAJAK["&amp;ATALI[#Headers]&amp;"]"),ATALI[[#This Row],[//PAJAK]]-1))</f>
        <v>SA230507814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12239325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11026418.918918919</v>
      </c>
      <c r="L23" s="1">
        <f ca="1">ATALI[[#This Row],[DPP]]*11%</f>
        <v>1212906.0810810812</v>
      </c>
      <c r="M23" s="1">
        <f ca="1">ATALI[[#This Row],[DPP]]+ATALI[[#This Row],[PPN (11%)]]</f>
        <v>12239325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610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41</v>
      </c>
      <c r="C24" s="12">
        <f ca="1">HYPERLINK("[NOTA_.xlsx]PAJAK!b"&amp;ATALI[[#This Row],[//PAJAK]],IF(ATALI[[#This Row],[//PAJAK]]="","",INDEX(INDIRECT("PAJAK["&amp;ATALI[#Headers]&amp;"]"),ATALI[[#This Row],[//PAJAK]]-1)))</f>
        <v>108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45068</v>
      </c>
      <c r="F24" s="2">
        <f ca="1">IF(ATALI[[#This Row],[//PAJAK]]="","",INDEX(INDIRECT("PAJAK["&amp;ATALI[#Headers]&amp;"]"),ATALI[[#This Row],[//PAJAK]]-1))</f>
        <v>45063</v>
      </c>
      <c r="G24" s="7" t="str">
        <f ca="1">IF(ATALI[[#This Row],[//PAJAK]]="","",INDEX(INDIRECT("PAJAK["&amp;ATALI[#Headers]&amp;"]"),ATALI[[#This Row],[//PAJAK]]-1))</f>
        <v>SA230507812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35256305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31762436.936936934</v>
      </c>
      <c r="L24" s="1">
        <f ca="1">ATALI[[#This Row],[DPP]]*11%</f>
        <v>3493868.0630630627</v>
      </c>
      <c r="M24" s="1">
        <f ca="1">ATALI[[#This Row],[DPP]]+ATALI[[#This Row],[PPN (11%)]]</f>
        <v>35256305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668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46</v>
      </c>
      <c r="C25" s="12">
        <f ca="1">HYPERLINK("[NOTA_.xlsx]PAJAK!b"&amp;ATALI[[#This Row],[//PAJAK]],IF(ATALI[[#This Row],[//PAJAK]]="","",INDEX(INDIRECT("PAJAK["&amp;ATALI[#Headers]&amp;"]"),ATALI[[#This Row],[//PAJAK]]-1)))</f>
        <v>121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45070</v>
      </c>
      <c r="F25" s="2">
        <f ca="1">IF(ATALI[[#This Row],[//PAJAK]]="","",INDEX(INDIRECT("PAJAK["&amp;ATALI[#Headers]&amp;"]"),ATALI[[#This Row],[//PAJAK]]-1))</f>
        <v>45066</v>
      </c>
      <c r="G25" s="7" t="str">
        <f ca="1">IF(ATALI[[#This Row],[//PAJAK]]="","",INDEX(INDIRECT("PAJAK["&amp;ATALI[#Headers]&amp;"]"),ATALI[[#This Row],[//PAJAK]]-1))</f>
        <v>SA230508030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27567693.75</v>
      </c>
      <c r="J25" s="1">
        <f ca="1">IF(ATALI[[#This Row],[//PAJAK]]="","",INDEX(PAJAK[DISC DLL],ATALI[[#This Row],[//PAJAK]]-1))</f>
        <v>123975</v>
      </c>
      <c r="K25" s="1">
        <f ca="1">(ATALI[[#This Row],[SUB TOTAL]]-ATALI[[#This Row],[DISKON]])/1.11</f>
        <v>24724070.945945945</v>
      </c>
      <c r="L25" s="1">
        <f ca="1">ATALI[[#This Row],[DPP]]*11%</f>
        <v>2719647.804054054</v>
      </c>
      <c r="M25" s="1">
        <f ca="1">ATALI[[#This Row],[DPP]]+ATALI[[#This Row],[PPN (11%)]]</f>
        <v>27443718.75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679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47</v>
      </c>
      <c r="C26" s="12">
        <f ca="1">HYPERLINK("[NOTA_.xlsx]PAJAK!b"&amp;ATALI[[#This Row],[//PAJAK]],IF(ATALI[[#This Row],[//PAJAK]]="","",INDEX(INDIRECT("PAJAK["&amp;ATALI[#Headers]&amp;"]"),ATALI[[#This Row],[//PAJAK]]-1)))</f>
        <v>122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45070</v>
      </c>
      <c r="F26" s="2">
        <f ca="1">IF(ATALI[[#This Row],[//PAJAK]]="","",INDEX(INDIRECT("PAJAK["&amp;ATALI[#Headers]&amp;"]"),ATALI[[#This Row],[//PAJAK]]-1))</f>
        <v>45066</v>
      </c>
      <c r="G26" s="7" t="str">
        <f ca="1">IF(ATALI[[#This Row],[//PAJAK]]="","",INDEX(INDIRECT("PAJAK["&amp;ATALI[#Headers]&amp;"]"),ATALI[[#This Row],[//PAJAK]]-1))</f>
        <v>SA230508029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28010797.5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25234952.702702701</v>
      </c>
      <c r="L26" s="1">
        <f ca="1">ATALI[[#This Row],[DPP]]*11%</f>
        <v>2775844.797297297</v>
      </c>
      <c r="M26" s="1">
        <f ca="1">ATALI[[#This Row],[DPP]]+ATALI[[#This Row],[PPN (11%)]]</f>
        <v>28010797.5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896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53</v>
      </c>
      <c r="C27" s="12">
        <f ca="1">HYPERLINK("[NOTA_.xlsx]PAJAK!b"&amp;ATALI[[#This Row],[//PAJAK]],IF(ATALI[[#This Row],[//PAJAK]]="","",INDEX(INDIRECT("PAJAK["&amp;ATALI[#Headers]&amp;"]"),ATALI[[#This Row],[//PAJAK]]-1)))</f>
        <v>157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45073</v>
      </c>
      <c r="F27" s="2">
        <f ca="1">IF(ATALI[[#This Row],[//PAJAK]]="","",INDEX(INDIRECT("PAJAK["&amp;ATALI[#Headers]&amp;"]"),ATALI[[#This Row],[//PAJAK]]-1))</f>
        <v>45068</v>
      </c>
      <c r="G27" s="7" t="str">
        <f ca="1">IF(ATALI[[#This Row],[//PAJAK]]="","",INDEX(INDIRECT("PAJAK["&amp;ATALI[#Headers]&amp;"]"),ATALI[[#This Row],[//PAJAK]]-1))</f>
        <v>SA230508112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39122159</v>
      </c>
      <c r="J27" s="1">
        <f ca="1">IF(ATALI[[#This Row],[//PAJAK]]="","",INDEX(PAJAK[DISC DLL],ATALI[[#This Row],[//PAJAK]]-1))</f>
        <v>270864</v>
      </c>
      <c r="K27" s="1">
        <f ca="1">(ATALI[[#This Row],[SUB TOTAL]]-ATALI[[#This Row],[DISKON]])/1.11</f>
        <v>35001166.666666664</v>
      </c>
      <c r="L27" s="1">
        <f ca="1">ATALI[[#This Row],[DPP]]*11%</f>
        <v>3850128.333333333</v>
      </c>
      <c r="M27" s="1">
        <f ca="1">ATALI[[#This Row],[DPP]]+ATALI[[#This Row],[PPN (11%)]]</f>
        <v>38851295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907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54</v>
      </c>
      <c r="C28" s="12">
        <f ca="1">HYPERLINK("[NOTA_.xlsx]PAJAK!b"&amp;ATALI[[#This Row],[//PAJAK]],IF(ATALI[[#This Row],[//PAJAK]]="","",INDEX(INDIRECT("PAJAK["&amp;ATALI[#Headers]&amp;"]"),ATALI[[#This Row],[//PAJAK]]-1)))</f>
        <v>158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45073</v>
      </c>
      <c r="F28" s="2">
        <f ca="1">IF(ATALI[[#This Row],[//PAJAK]]="","",INDEX(INDIRECT("PAJAK["&amp;ATALI[#Headers]&amp;"]"),ATALI[[#This Row],[//PAJAK]]-1))</f>
        <v>45068</v>
      </c>
      <c r="G28" s="7" t="str">
        <f ca="1">IF(ATALI[[#This Row],[//PAJAK]]="","",INDEX(INDIRECT("PAJAK["&amp;ATALI[#Headers]&amp;"]"),ATALI[[#This Row],[//PAJAK]]-1))</f>
        <v>SA230508113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49114905</v>
      </c>
      <c r="J28" s="1">
        <f ca="1">IF(ATALI[[#This Row],[//PAJAK]]="","",INDEX(PAJAK[DISC DLL],ATALI[[#This Row],[//PAJAK]]-1))</f>
        <v>2169562.5</v>
      </c>
      <c r="K28" s="1">
        <f ca="1">(ATALI[[#This Row],[SUB TOTAL]]-ATALI[[#This Row],[DISKON]])/1.11</f>
        <v>42293101.351351351</v>
      </c>
      <c r="L28" s="1">
        <f ca="1">ATALI[[#This Row],[DPP]]*11%</f>
        <v>4652241.1486486485</v>
      </c>
      <c r="M28" s="1">
        <f ca="1">ATALI[[#This Row],[DPP]]+ATALI[[#This Row],[PPN (11%)]]</f>
        <v>46945342.5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916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55</v>
      </c>
      <c r="C29" s="12">
        <f ca="1">HYPERLINK("[NOTA_.xlsx]PAJAK!b"&amp;ATALI[[#This Row],[//PAJAK]],IF(ATALI[[#This Row],[//PAJAK]]="","",INDEX(INDIRECT("PAJAK["&amp;ATALI[#Headers]&amp;"]"),ATALI[[#This Row],[//PAJAK]]-1)))</f>
        <v>159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45073</v>
      </c>
      <c r="F29" s="2">
        <f ca="1">IF(ATALI[[#This Row],[//PAJAK]]="","",INDEX(INDIRECT("PAJAK["&amp;ATALI[#Headers]&amp;"]"),ATALI[[#This Row],[//PAJAK]]-1))</f>
        <v>45068</v>
      </c>
      <c r="G29" s="7" t="str">
        <f ca="1">IF(ATALI[[#This Row],[//PAJAK]]="","",INDEX(INDIRECT("PAJAK["&amp;ATALI[#Headers]&amp;"]"),ATALI[[#This Row],[//PAJAK]]-1))</f>
        <v>SA230508109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42308131.25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38115433.558558553</v>
      </c>
      <c r="L29" s="1">
        <f ca="1">ATALI[[#This Row],[DPP]]*11%</f>
        <v>4192697.691441441</v>
      </c>
      <c r="M29" s="1">
        <f ca="1">ATALI[[#This Row],[DPP]]+ATALI[[#This Row],[PPN (11%)]]</f>
        <v>42308131.249999993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928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56</v>
      </c>
      <c r="C30" s="12">
        <f ca="1">HYPERLINK("[NOTA_.xlsx]PAJAK!b"&amp;ATALI[[#This Row],[//PAJAK]],IF(ATALI[[#This Row],[//PAJAK]]="","",INDEX(INDIRECT("PAJAK["&amp;ATALI[#Headers]&amp;"]"),ATALI[[#This Row],[//PAJAK]]-1)))</f>
        <v>160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45073</v>
      </c>
      <c r="F30" s="2">
        <f ca="1">IF(ATALI[[#This Row],[//PAJAK]]="","",INDEX(INDIRECT("PAJAK["&amp;ATALI[#Headers]&amp;"]"),ATALI[[#This Row],[//PAJAK]]-1))</f>
        <v>45068</v>
      </c>
      <c r="G30" s="7" t="str">
        <f ca="1">IF(ATALI[[#This Row],[//PAJAK]]="","",INDEX(INDIRECT("PAJAK["&amp;ATALI[#Headers]&amp;"]"),ATALI[[#This Row],[//PAJAK]]-1))</f>
        <v>SA230508158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28727168.75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25880332.207207207</v>
      </c>
      <c r="L30" s="1">
        <f ca="1">ATALI[[#This Row],[DPP]]*11%</f>
        <v>2846836.5427927929</v>
      </c>
      <c r="M30" s="1">
        <f ca="1">ATALI[[#This Row],[DPP]]+ATALI[[#This Row],[PPN (11%)]]</f>
        <v>28727168.75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938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57</v>
      </c>
      <c r="C31" s="12">
        <f ca="1">HYPERLINK("[NOTA_.xlsx]PAJAK!b"&amp;ATALI[[#This Row],[//PAJAK]],IF(ATALI[[#This Row],[//PAJAK]]="","",INDEX(INDIRECT("PAJAK["&amp;ATALI[#Headers]&amp;"]"),ATALI[[#This Row],[//PAJAK]]-1)))</f>
        <v>161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45073</v>
      </c>
      <c r="F31" s="2">
        <f ca="1">IF(ATALI[[#This Row],[//PAJAK]]="","",INDEX(INDIRECT("PAJAK["&amp;ATALI[#Headers]&amp;"]"),ATALI[[#This Row],[//PAJAK]]-1))</f>
        <v>45068</v>
      </c>
      <c r="G31" s="7" t="str">
        <f ca="1">IF(ATALI[[#This Row],[//PAJAK]]="","",INDEX(INDIRECT("PAJAK["&amp;ATALI[#Headers]&amp;"]"),ATALI[[#This Row],[//PAJAK]]-1))</f>
        <v>SA230508110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30200310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27207486.486486483</v>
      </c>
      <c r="L31" s="1">
        <f ca="1">ATALI[[#This Row],[DPP]]*11%</f>
        <v>2992823.5135135134</v>
      </c>
      <c r="M31" s="1">
        <f ca="1">ATALI[[#This Row],[DPP]]+ATALI[[#This Row],[PPN (11%)]]</f>
        <v>30200309.999999996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950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58</v>
      </c>
      <c r="C32" s="12">
        <f ca="1">HYPERLINK("[NOTA_.xlsx]PAJAK!b"&amp;ATALI[[#This Row],[//PAJAK]],IF(ATALI[[#This Row],[//PAJAK]]="","",INDEX(INDIRECT("PAJAK["&amp;ATALI[#Headers]&amp;"]"),ATALI[[#This Row],[//PAJAK]]-1)))</f>
        <v>162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45073</v>
      </c>
      <c r="F32" s="2">
        <f ca="1">IF(ATALI[[#This Row],[//PAJAK]]="","",INDEX(INDIRECT("PAJAK["&amp;ATALI[#Headers]&amp;"]"),ATALI[[#This Row],[//PAJAK]]-1))</f>
        <v>45068</v>
      </c>
      <c r="G32" s="7" t="str">
        <f ca="1">IF(ATALI[[#This Row],[//PAJAK]]="","",INDEX(INDIRECT("PAJAK["&amp;ATALI[#Headers]&amp;"]"),ATALI[[#This Row],[//PAJAK]]-1))</f>
        <v>SA230508111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17232810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15525054.054054054</v>
      </c>
      <c r="L32" s="1">
        <f ca="1">ATALI[[#This Row],[DPP]]*11%</f>
        <v>1707755.9459459458</v>
      </c>
      <c r="M32" s="1">
        <f ca="1">ATALI[[#This Row],[DPP]]+ATALI[[#This Row],[PPN (11%)]]</f>
        <v>17232810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963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59</v>
      </c>
      <c r="C33" s="12">
        <f ca="1">HYPERLINK("[NOTA_.xlsx]PAJAK!b"&amp;ATALI[[#This Row],[//PAJAK]],IF(ATALI[[#This Row],[//PAJAK]]="","",INDEX(INDIRECT("PAJAK["&amp;ATALI[#Headers]&amp;"]"),ATALI[[#This Row],[//PAJAK]]-1)))</f>
        <v>163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45073</v>
      </c>
      <c r="F33" s="2">
        <f ca="1">IF(ATALI[[#This Row],[//PAJAK]]="","",INDEX(INDIRECT("PAJAK["&amp;ATALI[#Headers]&amp;"]"),ATALI[[#This Row],[//PAJAK]]-1))</f>
        <v>45068</v>
      </c>
      <c r="G33" s="7" t="str">
        <f ca="1">IF(ATALI[[#This Row],[//PAJAK]]="","",INDEX(INDIRECT("PAJAK["&amp;ATALI[#Headers]&amp;"]"),ATALI[[#This Row],[//PAJAK]]-1))</f>
        <v>SA230508149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12616961.875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11366632.319819819</v>
      </c>
      <c r="L33" s="1">
        <f ca="1">ATALI[[#This Row],[DPP]]*11%</f>
        <v>1250329.5551801801</v>
      </c>
      <c r="M33" s="1">
        <f ca="1">ATALI[[#This Row],[DPP]]+ATALI[[#This Row],[PPN (11%)]]</f>
        <v>12616961.875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969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60</v>
      </c>
      <c r="C34" s="12">
        <f ca="1">HYPERLINK("[NOTA_.xlsx]PAJAK!b"&amp;ATALI[[#This Row],[//PAJAK]],IF(ATALI[[#This Row],[//PAJAK]]="","",INDEX(INDIRECT("PAJAK["&amp;ATALI[#Headers]&amp;"]"),ATALI[[#This Row],[//PAJAK]]-1)))</f>
        <v>164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45073</v>
      </c>
      <c r="F34" s="2">
        <f ca="1">IF(ATALI[[#This Row],[//PAJAK]]="","",INDEX(INDIRECT("PAJAK["&amp;ATALI[#Headers]&amp;"]"),ATALI[[#This Row],[//PAJAK]]-1))</f>
        <v>45070</v>
      </c>
      <c r="G34" s="7" t="str">
        <f ca="1">IF(ATALI[[#This Row],[//PAJAK]]="","",INDEX(INDIRECT("PAJAK["&amp;ATALI[#Headers]&amp;"]"),ATALI[[#This Row],[//PAJAK]]-1))</f>
        <v>SA230508297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4734135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4264986.4864864862</v>
      </c>
      <c r="L34" s="1">
        <f ca="1">ATALI[[#This Row],[DPP]]*11%</f>
        <v>469148.51351351349</v>
      </c>
      <c r="M34" s="1">
        <f ca="1">ATALI[[#This Row],[DPP]]+ATALI[[#This Row],[PPN (11%)]]</f>
        <v>4734135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981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61</v>
      </c>
      <c r="C35" s="12">
        <f ca="1">HYPERLINK("[NOTA_.xlsx]PAJAK!b"&amp;ATALI[[#This Row],[//PAJAK]],IF(ATALI[[#This Row],[//PAJAK]]="","",INDEX(INDIRECT("PAJAK["&amp;ATALI[#Headers]&amp;"]"),ATALI[[#This Row],[//PAJAK]]-1)))</f>
        <v>165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45073</v>
      </c>
      <c r="F35" s="2">
        <f ca="1">IF(ATALI[[#This Row],[//PAJAK]]="","",INDEX(INDIRECT("PAJAK["&amp;ATALI[#Headers]&amp;"]"),ATALI[[#This Row],[//PAJAK]]-1))</f>
        <v>45070</v>
      </c>
      <c r="G35" s="7" t="str">
        <f ca="1">IF(ATALI[[#This Row],[//PAJAK]]="","",INDEX(INDIRECT("PAJAK["&amp;ATALI[#Headers]&amp;"]"),ATALI[[#This Row],[//PAJAK]]-1))</f>
        <v>SA230508267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12644226.875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11391195.382882882</v>
      </c>
      <c r="L35" s="1">
        <f ca="1">ATALI[[#This Row],[DPP]]*11%</f>
        <v>1253031.4921171169</v>
      </c>
      <c r="M35" s="1">
        <f ca="1">ATALI[[#This Row],[DPP]]+ATALI[[#This Row],[PPN (11%)]]</f>
        <v>12644226.874999998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989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62</v>
      </c>
      <c r="C36" s="12">
        <f ca="1">HYPERLINK("[NOTA_.xlsx]PAJAK!b"&amp;ATALI[[#This Row],[//PAJAK]],IF(ATALI[[#This Row],[//PAJAK]]="","",INDEX(INDIRECT("PAJAK["&amp;ATALI[#Headers]&amp;"]"),ATALI[[#This Row],[//PAJAK]]-1)))</f>
        <v>166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45073</v>
      </c>
      <c r="F36" s="2">
        <f ca="1">IF(ATALI[[#This Row],[//PAJAK]]="","",INDEX(INDIRECT("PAJAK["&amp;ATALI[#Headers]&amp;"]"),ATALI[[#This Row],[//PAJAK]]-1))</f>
        <v>45070</v>
      </c>
      <c r="G36" s="7" t="str">
        <f ca="1">IF(ATALI[[#This Row],[//PAJAK]]="","",INDEX(INDIRECT("PAJAK["&amp;ATALI[#Headers]&amp;"]"),ATALI[[#This Row],[//PAJAK]]-1))</f>
        <v>SA230508298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15568125</v>
      </c>
      <c r="J36" s="1">
        <f ca="1">IF(ATALI[[#This Row],[//PAJAK]]="","",INDEX(PAJAK[DISC DLL],ATALI[[#This Row],[//PAJAK]]-1))</f>
        <v>495900</v>
      </c>
      <c r="K36" s="1">
        <f ca="1">(ATALI[[#This Row],[SUB TOTAL]]-ATALI[[#This Row],[DISKON]])/1.11</f>
        <v>13578581.081081079</v>
      </c>
      <c r="L36" s="1">
        <f ca="1">ATALI[[#This Row],[DPP]]*11%</f>
        <v>1493643.9189189188</v>
      </c>
      <c r="M36" s="1">
        <f ca="1">ATALI[[#This Row],[DPP]]+ATALI[[#This Row],[PPN (11%)]]</f>
        <v>15072224.999999998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999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63</v>
      </c>
      <c r="C37" s="12">
        <f ca="1">HYPERLINK("[NOTA_.xlsx]PAJAK!b"&amp;ATALI[[#This Row],[//PAJAK]],IF(ATALI[[#This Row],[//PAJAK]]="","",INDEX(INDIRECT("PAJAK["&amp;ATALI[#Headers]&amp;"]"),ATALI[[#This Row],[//PAJAK]]-1)))</f>
        <v>167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45073</v>
      </c>
      <c r="F37" s="2">
        <f ca="1">IF(ATALI[[#This Row],[//PAJAK]]="","",INDEX(INDIRECT("PAJAK["&amp;ATALI[#Headers]&amp;"]"),ATALI[[#This Row],[//PAJAK]]-1))</f>
        <v>45070</v>
      </c>
      <c r="G37" s="7" t="str">
        <f ca="1">IF(ATALI[[#This Row],[//PAJAK]]="","",INDEX(INDIRECT("PAJAK["&amp;ATALI[#Headers]&amp;"]"),ATALI[[#This Row],[//PAJAK]]-1))</f>
        <v>SA230508268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22617315</v>
      </c>
      <c r="J37" s="1">
        <f ca="1">IF(ATALI[[#This Row],[//PAJAK]]="","",INDEX(PAJAK[DISC DLL],ATALI[[#This Row],[//PAJAK]]-1))</f>
        <v>867825</v>
      </c>
      <c r="K37" s="1">
        <f ca="1">(ATALI[[#This Row],[SUB TOTAL]]-ATALI[[#This Row],[DISKON]])/1.11</f>
        <v>19594135.135135133</v>
      </c>
      <c r="L37" s="1">
        <f ca="1">ATALI[[#This Row],[DPP]]*11%</f>
        <v>2155354.8648648649</v>
      </c>
      <c r="M37" s="1">
        <f ca="1">ATALI[[#This Row],[DPP]]+ATALI[[#This Row],[PPN (11%)]]</f>
        <v>21749489.999999996</v>
      </c>
    </row>
    <row r="38" spans="1:13" x14ac:dyDescent="0.25">
      <c r="A38" s="13">
        <f ca="1">HYPERLINK("[NOTA_.xlsx]NOTA!A"&amp;MATCH(ATALI[[#This Row],[ID]],NOTA[ID],0)+2,IF(ATALI[[#This Row],[//PAJAK]]="","",MATCH(ATALI[[#This Row],[ID]],NOTA[ID],0)+2))</f>
        <v>1009</v>
      </c>
      <c r="B38" s="7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>64</v>
      </c>
      <c r="C38" s="12">
        <f ca="1">HYPERLINK("[NOTA_.xlsx]PAJAK!b"&amp;ATALI[[#This Row],[//PAJAK]],IF(ATALI[[#This Row],[//PAJAK]]="","",INDEX(INDIRECT("PAJAK["&amp;ATALI[#Headers]&amp;"]"),ATALI[[#This Row],[//PAJAK]]-1)))</f>
        <v>168</v>
      </c>
      <c r="D38" s="3" t="str">
        <f ca="1">IF(ATALI[[#This Row],[//PAJAK]]="","",INDEX(INDIRECT("PAJAK["&amp;ATALI[#Headers]&amp;"]"),ATALI[[#This Row],[//PAJAK]]-1))</f>
        <v>PT ATALI MAKMUR</v>
      </c>
      <c r="E38" s="2">
        <f ca="1">IF(ATALI[[#This Row],[//PAJAK]]="","",INDEX(INDIRECT("PAJAK["&amp;ATALI[#Headers]&amp;"]"),ATALI[[#This Row],[//PAJAK]]-1))</f>
        <v>45075</v>
      </c>
      <c r="F38" s="2">
        <f ca="1">IF(ATALI[[#This Row],[//PAJAK]]="","",INDEX(INDIRECT("PAJAK["&amp;ATALI[#Headers]&amp;"]"),ATALI[[#This Row],[//PAJAK]]-1))</f>
        <v>45071</v>
      </c>
      <c r="G38" s="7" t="str">
        <f ca="1">IF(ATALI[[#This Row],[//PAJAK]]="","",INDEX(INDIRECT("PAJAK["&amp;ATALI[#Headers]&amp;"]"),ATALI[[#This Row],[//PAJAK]]-1))</f>
        <v>SA230508319</v>
      </c>
      <c r="H38" s="3" t="str">
        <f ca="1">IF(ATALI[[#This Row],[//PAJAK]]="","",INDEX(INDIRECT("PAJAK["&amp;ATALI[#Headers]&amp;"]"),ATALI[[#This Row],[//PAJAK]]-1))</f>
        <v/>
      </c>
      <c r="I38" s="1">
        <f ca="1">IF(ATALI[[#This Row],[//PAJAK]]="","",INDEX(PAJAK[SUB T-DISC],ATALI[[#This Row],[//PAJAK]]-1))</f>
        <v>1029420</v>
      </c>
      <c r="J38" s="1">
        <f ca="1">IF(ATALI[[#This Row],[//PAJAK]]="","",INDEX(PAJAK[DISC DLL],ATALI[[#This Row],[//PAJAK]]-1))</f>
        <v>0</v>
      </c>
      <c r="K38" s="1">
        <f ca="1">(ATALI[[#This Row],[SUB TOTAL]]-ATALI[[#This Row],[DISKON]])/1.11</f>
        <v>927405.40540540533</v>
      </c>
      <c r="L38" s="1">
        <f ca="1">ATALI[[#This Row],[DPP]]*11%</f>
        <v>102014.59459459459</v>
      </c>
      <c r="M38" s="1">
        <f ca="1">ATALI[[#This Row],[DPP]]+ATALI[[#This Row],[PPN (11%)]]</f>
        <v>1029419.9999999999</v>
      </c>
    </row>
    <row r="39" spans="1:13" x14ac:dyDescent="0.25">
      <c r="A39" s="13">
        <f ca="1">HYPERLINK("[NOTA_.xlsx]NOTA!A"&amp;MATCH(ATALI[[#This Row],[ID]],NOTA[ID],0)+2,IF(ATALI[[#This Row],[//PAJAK]]="","",MATCH(ATALI[[#This Row],[ID]],NOTA[ID],0)+2))</f>
        <v>1011</v>
      </c>
      <c r="B39" s="7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>65</v>
      </c>
      <c r="C39" s="12">
        <f ca="1">HYPERLINK("[NOTA_.xlsx]PAJAK!b"&amp;ATALI[[#This Row],[//PAJAK]],IF(ATALI[[#This Row],[//PAJAK]]="","",INDEX(INDIRECT("PAJAK["&amp;ATALI[#Headers]&amp;"]"),ATALI[[#This Row],[//PAJAK]]-1)))</f>
        <v>169</v>
      </c>
      <c r="D39" s="3" t="str">
        <f ca="1">IF(ATALI[[#This Row],[//PAJAK]]="","",INDEX(INDIRECT("PAJAK["&amp;ATALI[#Headers]&amp;"]"),ATALI[[#This Row],[//PAJAK]]-1))</f>
        <v>PT ATALI MAKMUR</v>
      </c>
      <c r="E39" s="2">
        <f ca="1">IF(ATALI[[#This Row],[//PAJAK]]="","",INDEX(INDIRECT("PAJAK["&amp;ATALI[#Headers]&amp;"]"),ATALI[[#This Row],[//PAJAK]]-1))</f>
        <v>45075</v>
      </c>
      <c r="F39" s="2">
        <f ca="1">IF(ATALI[[#This Row],[//PAJAK]]="","",INDEX(INDIRECT("PAJAK["&amp;ATALI[#Headers]&amp;"]"),ATALI[[#This Row],[//PAJAK]]-1))</f>
        <v>45072</v>
      </c>
      <c r="G39" s="7" t="str">
        <f ca="1">IF(ATALI[[#This Row],[//PAJAK]]="","",INDEX(INDIRECT("PAJAK["&amp;ATALI[#Headers]&amp;"]"),ATALI[[#This Row],[//PAJAK]]-1))</f>
        <v>SA230508396</v>
      </c>
      <c r="H39" s="3" t="str">
        <f ca="1">IF(ATALI[[#This Row],[//PAJAK]]="","",INDEX(INDIRECT("PAJAK["&amp;ATALI[#Headers]&amp;"]"),ATALI[[#This Row],[//PAJAK]]-1))</f>
        <v/>
      </c>
      <c r="I39" s="1">
        <f ca="1">IF(ATALI[[#This Row],[//PAJAK]]="","",INDEX(PAJAK[SUB T-DISC],ATALI[[#This Row],[//PAJAK]]-1))</f>
        <v>4372375</v>
      </c>
      <c r="J39" s="1">
        <f ca="1">IF(ATALI[[#This Row],[//PAJAK]]="","",INDEX(PAJAK[DISC DLL],ATALI[[#This Row],[//PAJAK]]-1))</f>
        <v>0</v>
      </c>
      <c r="K39" s="1">
        <f ca="1">(ATALI[[#This Row],[SUB TOTAL]]-ATALI[[#This Row],[DISKON]])/1.11</f>
        <v>3939076.5765765761</v>
      </c>
      <c r="L39" s="1">
        <f ca="1">ATALI[[#This Row],[DPP]]*11%</f>
        <v>433298.42342342337</v>
      </c>
      <c r="M39" s="1">
        <f ca="1">ATALI[[#This Row],[DPP]]+ATALI[[#This Row],[PPN (11%)]]</f>
        <v>4372374.9999999991</v>
      </c>
    </row>
    <row r="40" spans="1:13" x14ac:dyDescent="0.25">
      <c r="A40" s="13">
        <f ca="1">HYPERLINK("[NOTA_.xlsx]NOTA!A"&amp;MATCH(ATALI[[#This Row],[ID]],NOTA[ID],0)+2,IF(ATALI[[#This Row],[//PAJAK]]="","",MATCH(ATALI[[#This Row],[ID]],NOTA[ID],0)+2))</f>
        <v>1089</v>
      </c>
      <c r="B40" s="7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>76</v>
      </c>
      <c r="C40" s="12">
        <f ca="1">HYPERLINK("[NOTA_.xlsx]PAJAK!b"&amp;ATALI[[#This Row],[//PAJAK]],IF(ATALI[[#This Row],[//PAJAK]]="","",INDEX(INDIRECT("PAJAK["&amp;ATALI[#Headers]&amp;"]"),ATALI[[#This Row],[//PAJAK]]-1)))</f>
        <v>182</v>
      </c>
      <c r="D40" s="3" t="str">
        <f ca="1">IF(ATALI[[#This Row],[//PAJAK]]="","",INDEX(INDIRECT("PAJAK["&amp;ATALI[#Headers]&amp;"]"),ATALI[[#This Row],[//PAJAK]]-1))</f>
        <v>PT ATALI MAKMUR</v>
      </c>
      <c r="E40" s="2">
        <f ca="1">IF(ATALI[[#This Row],[//PAJAK]]="","",INDEX(INDIRECT("PAJAK["&amp;ATALI[#Headers]&amp;"]"),ATALI[[#This Row],[//PAJAK]]-1))</f>
        <v>45079</v>
      </c>
      <c r="F40" s="2">
        <f ca="1">IF(ATALI[[#This Row],[//PAJAK]]="","",INDEX(INDIRECT("PAJAK["&amp;ATALI[#Headers]&amp;"]"),ATALI[[#This Row],[//PAJAK]]-1))</f>
        <v>45076</v>
      </c>
      <c r="G40" s="7" t="str">
        <f ca="1">IF(ATALI[[#This Row],[//PAJAK]]="","",INDEX(INDIRECT("PAJAK["&amp;ATALI[#Headers]&amp;"]"),ATALI[[#This Row],[//PAJAK]]-1))</f>
        <v>SA230508638</v>
      </c>
      <c r="H40" s="3" t="str">
        <f ca="1">IF(ATALI[[#This Row],[//PAJAK]]="","",INDEX(INDIRECT("PAJAK["&amp;ATALI[#Headers]&amp;"]"),ATALI[[#This Row],[//PAJAK]]-1))</f>
        <v/>
      </c>
      <c r="I40" s="1">
        <f ca="1">IF(ATALI[[#This Row],[//PAJAK]]="","",INDEX(PAJAK[SUB T-DISC],ATALI[[#This Row],[//PAJAK]]-1))</f>
        <v>8057662.5</v>
      </c>
      <c r="J40" s="1">
        <f ca="1">IF(ATALI[[#This Row],[//PAJAK]]="","",INDEX(PAJAK[DISC DLL],ATALI[[#This Row],[//PAJAK]]-1))</f>
        <v>0</v>
      </c>
      <c r="K40" s="1">
        <f ca="1">(ATALI[[#This Row],[SUB TOTAL]]-ATALI[[#This Row],[DISKON]])/1.11</f>
        <v>7259155.405405405</v>
      </c>
      <c r="L40" s="1">
        <f ca="1">ATALI[[#This Row],[DPP]]*11%</f>
        <v>798507.09459459456</v>
      </c>
      <c r="M40" s="1">
        <f ca="1">ATALI[[#This Row],[DPP]]+ATALI[[#This Row],[PPN (11%)]]</f>
        <v>8057662.5</v>
      </c>
    </row>
    <row r="41" spans="1:13" x14ac:dyDescent="0.25">
      <c r="A41" s="13">
        <f ca="1">HYPERLINK("[NOTA_.xlsx]NOTA!A"&amp;MATCH(ATALI[[#This Row],[ID]],NOTA[ID],0)+2,IF(ATALI[[#This Row],[//PAJAK]]="","",MATCH(ATALI[[#This Row],[ID]],NOTA[ID],0)+2))</f>
        <v>1096</v>
      </c>
      <c r="B41" s="7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>77</v>
      </c>
      <c r="C41" s="12">
        <f ca="1">HYPERLINK("[NOTA_.xlsx]PAJAK!b"&amp;ATALI[[#This Row],[//PAJAK]],IF(ATALI[[#This Row],[//PAJAK]]="","",INDEX(INDIRECT("PAJAK["&amp;ATALI[#Headers]&amp;"]"),ATALI[[#This Row],[//PAJAK]]-1)))</f>
        <v>183</v>
      </c>
      <c r="D41" s="3" t="str">
        <f ca="1">IF(ATALI[[#This Row],[//PAJAK]]="","",INDEX(INDIRECT("PAJAK["&amp;ATALI[#Headers]&amp;"]"),ATALI[[#This Row],[//PAJAK]]-1))</f>
        <v>PT ATALI MAKMUR</v>
      </c>
      <c r="E41" s="2">
        <f ca="1">IF(ATALI[[#This Row],[//PAJAK]]="","",INDEX(INDIRECT("PAJAK["&amp;ATALI[#Headers]&amp;"]"),ATALI[[#This Row],[//PAJAK]]-1))</f>
        <v>45079</v>
      </c>
      <c r="F41" s="2">
        <f ca="1">IF(ATALI[[#This Row],[//PAJAK]]="","",INDEX(INDIRECT("PAJAK["&amp;ATALI[#Headers]&amp;"]"),ATALI[[#This Row],[//PAJAK]]-1))</f>
        <v>45076</v>
      </c>
      <c r="G41" s="7" t="str">
        <f ca="1">IF(ATALI[[#This Row],[//PAJAK]]="","",INDEX(INDIRECT("PAJAK["&amp;ATALI[#Headers]&amp;"]"),ATALI[[#This Row],[//PAJAK]]-1))</f>
        <v>SA230508637</v>
      </c>
      <c r="H41" s="3" t="str">
        <f ca="1">IF(ATALI[[#This Row],[//PAJAK]]="","",INDEX(INDIRECT("PAJAK["&amp;ATALI[#Headers]&amp;"]"),ATALI[[#This Row],[//PAJAK]]-1))</f>
        <v/>
      </c>
      <c r="I41" s="1">
        <f ca="1">IF(ATALI[[#This Row],[//PAJAK]]="","",INDEX(PAJAK[SUB T-DISC],ATALI[[#This Row],[//PAJAK]]-1))</f>
        <v>10164525</v>
      </c>
      <c r="J41" s="1">
        <f ca="1">IF(ATALI[[#This Row],[//PAJAK]]="","",INDEX(PAJAK[DISC DLL],ATALI[[#This Row],[//PAJAK]]-1))</f>
        <v>0</v>
      </c>
      <c r="K41" s="1">
        <f ca="1">(ATALI[[#This Row],[SUB TOTAL]]-ATALI[[#This Row],[DISKON]])/1.11</f>
        <v>9157229.7297297288</v>
      </c>
      <c r="L41" s="1">
        <f ca="1">ATALI[[#This Row],[DPP]]*11%</f>
        <v>1007295.2702702702</v>
      </c>
      <c r="M41" s="1">
        <f ca="1">ATALI[[#This Row],[DPP]]+ATALI[[#This Row],[PPN (11%)]]</f>
        <v>10164524.999999998</v>
      </c>
    </row>
    <row r="42" spans="1:13" x14ac:dyDescent="0.25">
      <c r="A42" s="13">
        <f ca="1">HYPERLINK("[NOTA_.xlsx]NOTA!A"&amp;MATCH(ATALI[[#This Row],[ID]],NOTA[ID],0)+2,IF(ATALI[[#This Row],[//PAJAK]]="","",MATCH(ATALI[[#This Row],[ID]],NOTA[ID],0)+2))</f>
        <v>1104</v>
      </c>
      <c r="B42" s="7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>78</v>
      </c>
      <c r="C42" s="12">
        <f ca="1">HYPERLINK("[NOTA_.xlsx]PAJAK!b"&amp;ATALI[[#This Row],[//PAJAK]],IF(ATALI[[#This Row],[//PAJAK]]="","",INDEX(INDIRECT("PAJAK["&amp;ATALI[#Headers]&amp;"]"),ATALI[[#This Row],[//PAJAK]]-1)))</f>
        <v>184</v>
      </c>
      <c r="D42" s="3" t="str">
        <f ca="1">IF(ATALI[[#This Row],[//PAJAK]]="","",INDEX(INDIRECT("PAJAK["&amp;ATALI[#Headers]&amp;"]"),ATALI[[#This Row],[//PAJAK]]-1))</f>
        <v>PT ATALI MAKMUR</v>
      </c>
      <c r="E42" s="2">
        <f ca="1">IF(ATALI[[#This Row],[//PAJAK]]="","",INDEX(INDIRECT("PAJAK["&amp;ATALI[#Headers]&amp;"]"),ATALI[[#This Row],[//PAJAK]]-1))</f>
        <v>45079</v>
      </c>
      <c r="F42" s="2">
        <f ca="1">IF(ATALI[[#This Row],[//PAJAK]]="","",INDEX(INDIRECT("PAJAK["&amp;ATALI[#Headers]&amp;"]"),ATALI[[#This Row],[//PAJAK]]-1))</f>
        <v>45076</v>
      </c>
      <c r="G42" s="7" t="str">
        <f ca="1">IF(ATALI[[#This Row],[//PAJAK]]="","",INDEX(INDIRECT("PAJAK["&amp;ATALI[#Headers]&amp;"]"),ATALI[[#This Row],[//PAJAK]]-1))</f>
        <v>SA230508636</v>
      </c>
      <c r="H42" s="3" t="str">
        <f ca="1">IF(ATALI[[#This Row],[//PAJAK]]="","",INDEX(INDIRECT("PAJAK["&amp;ATALI[#Headers]&amp;"]"),ATALI[[#This Row],[//PAJAK]]-1))</f>
        <v/>
      </c>
      <c r="I42" s="1">
        <f ca="1">IF(ATALI[[#This Row],[//PAJAK]]="","",INDEX(PAJAK[SUB T-DISC],ATALI[[#This Row],[//PAJAK]]-1))</f>
        <v>33529798.75</v>
      </c>
      <c r="J42" s="1">
        <f ca="1">IF(ATALI[[#This Row],[//PAJAK]]="","",INDEX(PAJAK[DISC DLL],ATALI[[#This Row],[//PAJAK]]-1))</f>
        <v>0</v>
      </c>
      <c r="K42" s="1">
        <f ca="1">(ATALI[[#This Row],[SUB TOTAL]]-ATALI[[#This Row],[DISKON]])/1.11</f>
        <v>30207025.900900897</v>
      </c>
      <c r="L42" s="1">
        <f ca="1">ATALI[[#This Row],[DPP]]*11%</f>
        <v>3322772.8490990987</v>
      </c>
      <c r="M42" s="1">
        <f ca="1">ATALI[[#This Row],[DPP]]+ATALI[[#This Row],[PPN (11%)]]</f>
        <v>33529798.749999996</v>
      </c>
    </row>
    <row r="43" spans="1:13" x14ac:dyDescent="0.25">
      <c r="A43" s="13">
        <f ca="1">HYPERLINK("[NOTA_.xlsx]NOTA!A"&amp;MATCH(ATALI[[#This Row],[ID]],NOTA[ID],0)+2,IF(ATALI[[#This Row],[//PAJAK]]="","",MATCH(ATALI[[#This Row],[ID]],NOTA[ID],0)+2))</f>
        <v>1116</v>
      </c>
      <c r="B43" s="7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>79</v>
      </c>
      <c r="C43" s="12">
        <f ca="1">HYPERLINK("[NOTA_.xlsx]PAJAK!b"&amp;ATALI[[#This Row],[//PAJAK]],IF(ATALI[[#This Row],[//PAJAK]]="","",INDEX(INDIRECT("PAJAK["&amp;ATALI[#Headers]&amp;"]"),ATALI[[#This Row],[//PAJAK]]-1)))</f>
        <v>185</v>
      </c>
      <c r="D43" s="3" t="str">
        <f ca="1">IF(ATALI[[#This Row],[//PAJAK]]="","",INDEX(INDIRECT("PAJAK["&amp;ATALI[#Headers]&amp;"]"),ATALI[[#This Row],[//PAJAK]]-1))</f>
        <v>PT ATALI MAKMUR</v>
      </c>
      <c r="E43" s="2">
        <f ca="1">IF(ATALI[[#This Row],[//PAJAK]]="","",INDEX(INDIRECT("PAJAK["&amp;ATALI[#Headers]&amp;"]"),ATALI[[#This Row],[//PAJAK]]-1))</f>
        <v>45079</v>
      </c>
      <c r="F43" s="2">
        <f ca="1">IF(ATALI[[#This Row],[//PAJAK]]="","",INDEX(INDIRECT("PAJAK["&amp;ATALI[#Headers]&amp;"]"),ATALI[[#This Row],[//PAJAK]]-1))</f>
        <v>45075</v>
      </c>
      <c r="G43" s="7" t="str">
        <f ca="1">IF(ATALI[[#This Row],[//PAJAK]]="","",INDEX(INDIRECT("PAJAK["&amp;ATALI[#Headers]&amp;"]"),ATALI[[#This Row],[//PAJAK]]-1))</f>
        <v>SA230508542</v>
      </c>
      <c r="H43" s="3" t="str">
        <f ca="1">IF(ATALI[[#This Row],[//PAJAK]]="","",INDEX(INDIRECT("PAJAK["&amp;ATALI[#Headers]&amp;"]"),ATALI[[#This Row],[//PAJAK]]-1))</f>
        <v/>
      </c>
      <c r="I43" s="1">
        <f ca="1">IF(ATALI[[#This Row],[//PAJAK]]="","",INDEX(PAJAK[SUB T-DISC],ATALI[[#This Row],[//PAJAK]]-1))</f>
        <v>8252317.5</v>
      </c>
      <c r="J43" s="1">
        <f ca="1">IF(ATALI[[#This Row],[//PAJAK]]="","",INDEX(PAJAK[DISC DLL],ATALI[[#This Row],[//PAJAK]]-1))</f>
        <v>0</v>
      </c>
      <c r="K43" s="1">
        <f ca="1">(ATALI[[#This Row],[SUB TOTAL]]-ATALI[[#This Row],[DISKON]])/1.11</f>
        <v>7434520.2702702694</v>
      </c>
      <c r="L43" s="1">
        <f ca="1">ATALI[[#This Row],[DPP]]*11%</f>
        <v>817797.22972972959</v>
      </c>
      <c r="M43" s="1">
        <f ca="1">ATALI[[#This Row],[DPP]]+ATALI[[#This Row],[PPN (11%)]]</f>
        <v>8252317.4999999991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B41" sqref="B4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EXP\BARU\2023\05 MEI\[NOTA 05 MEI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45045</v>
      </c>
      <c r="F3" s="2">
        <f ca="1">IF(KENKO[[#This Row],[//PAJAK]]="","",INDEX(INDIRECT("PAJAK["&amp;KENKO[#Headers]&amp;"]"),KENKO[[#This Row],[//PAJAK]]-1))</f>
        <v>45048</v>
      </c>
      <c r="G3" s="9" t="str">
        <f ca="1">IF(KENKO[[#This Row],[//PAJAK]]="","",INDEX(INDIRECT("PAJAK["&amp;KENKO[#Headers]&amp;"]"),KENKO[[#This Row],[//PAJAK]]-1))</f>
        <v>23050037</v>
      </c>
      <c r="H3" s="3" t="str">
        <f ca="1">IF(KENKO[[#This Row],[//PAJAK]]="","",INDEX(INDIRECT("PAJAK["&amp;KENKO[#Headers]&amp;"]"),KENKO[[#This Row],[//PAJAK]]-1))</f>
        <v>SA 41186</v>
      </c>
      <c r="I3" s="1">
        <f ca="1">IF(KENKO[[#This Row],[//PAJAK]]="","",INDEX(INDIRECT("PAJAK["&amp;KENKO[#Headers]&amp;"]"),KENKO[[#This Row],[//PAJAK]]-1))</f>
        <v>152560800</v>
      </c>
      <c r="J3" s="1">
        <f ca="1">IF(KENKO[[#This Row],[//PAJAK]]="","",INDEX(INDIRECT("PAJAK["&amp;KENKO[#Headers]&amp;"]"),KENKO[[#This Row],[//PAJAK]]-1))</f>
        <v>25935336</v>
      </c>
      <c r="K3" s="1">
        <f ca="1">(KENKO[[#This Row],[SUB TOTAL]]-KENKO[[#This Row],[DISKON]])/1.11</f>
        <v>114076994.59459458</v>
      </c>
      <c r="L3" s="1">
        <f ca="1">KENKO[[#This Row],[DPP]]*11%</f>
        <v>12548469.405405404</v>
      </c>
      <c r="M3" s="1">
        <f ca="1">KENKO[[#This Row],[DPP]]+KENKO[[#This Row],[PPN (11%)]]</f>
        <v>126625463.99999999</v>
      </c>
      <c r="N3" s="1" t="str">
        <f ca="1">INDEX(PAJAK[ID_P],MATCH(KENKO[[#This Row],[ID]],PAJAK[ID],0))</f>
        <v>KEN_2904_037-10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14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45052</v>
      </c>
      <c r="F4" s="2">
        <f ca="1">IF(KENKO[[#This Row],[//PAJAK]]="","",INDEX(INDIRECT("PAJAK["&amp;KENKO[#Headers]&amp;"]"),KENKO[[#This Row],[//PAJAK]]-1))</f>
        <v>45049</v>
      </c>
      <c r="G4" s="9" t="str">
        <f ca="1">IF(KENKO[[#This Row],[//PAJAK]]="","",INDEX(INDIRECT("PAJAK["&amp;KENKO[#Headers]&amp;"]"),KENKO[[#This Row],[//PAJAK]]-1))</f>
        <v>23050215</v>
      </c>
      <c r="H4" s="3" t="str">
        <f ca="1">IF(KENKO[[#This Row],[//PAJAK]]="","",INDEX(INDIRECT("PAJAK["&amp;KENKO[#Headers]&amp;"]"),KENKO[[#This Row],[//PAJAK]]-1))</f>
        <v>SA 41261</v>
      </c>
      <c r="I4" s="1">
        <f ca="1">IF(KENKO[[#This Row],[//PAJAK]]="","",INDEX(INDIRECT("PAJAK["&amp;KENKO[#Headers]&amp;"]"),KENKO[[#This Row],[//PAJAK]]-1))</f>
        <v>12166800</v>
      </c>
      <c r="J4" s="1">
        <f ca="1">IF(KENKO[[#This Row],[//PAJAK]]="","",INDEX(INDIRECT("PAJAK["&amp;KENKO[#Headers]&amp;"]"),KENKO[[#This Row],[//PAJAK]]-1))</f>
        <v>2068356</v>
      </c>
      <c r="K4" s="1">
        <f ca="1">(KENKO[[#This Row],[SUB TOTAL]]-KENKO[[#This Row],[DISKON]])/1.11</f>
        <v>9097697.297297297</v>
      </c>
      <c r="L4" s="1">
        <f ca="1">KENKO[[#This Row],[DPP]]*11%</f>
        <v>1000746.7027027027</v>
      </c>
      <c r="M4" s="1">
        <f ca="1">KENKO[[#This Row],[DPP]]+KENKO[[#This Row],[PPN (11%)]]</f>
        <v>10098444</v>
      </c>
      <c r="N4" s="1" t="str">
        <f ca="1">INDEX(PAJAK[ID_P],MATCH(KENKO[[#This Row],[ID]],PAJAK[ID],0))</f>
        <v>KEN_0605_215-8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15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45052</v>
      </c>
      <c r="F5" s="2">
        <f ca="1">IF(KENKO[[#This Row],[//PAJAK]]="","",INDEX(INDIRECT("PAJAK["&amp;KENKO[#Headers]&amp;"]"),KENKO[[#This Row],[//PAJAK]]-1))</f>
        <v>45049</v>
      </c>
      <c r="G5" s="9" t="str">
        <f ca="1">IF(KENKO[[#This Row],[//PAJAK]]="","",INDEX(INDIRECT("PAJAK["&amp;KENKO[#Headers]&amp;"]"),KENKO[[#This Row],[//PAJAK]]-1))</f>
        <v>23050231</v>
      </c>
      <c r="H5" s="3" t="str">
        <f ca="1">IF(KENKO[[#This Row],[//PAJAK]]="","",INDEX(INDIRECT("PAJAK["&amp;KENKO[#Headers]&amp;"]"),KENKO[[#This Row],[//PAJAK]]-1))</f>
        <v>SA 41290</v>
      </c>
      <c r="I5" s="1">
        <f ca="1">IF(KENKO[[#This Row],[//PAJAK]]="","",INDEX(INDIRECT("PAJAK["&amp;KENKO[#Headers]&amp;"]"),KENKO[[#This Row],[//PAJAK]]-1))</f>
        <v>46440000</v>
      </c>
      <c r="J5" s="1">
        <f ca="1">IF(KENKO[[#This Row],[//PAJAK]]="","",INDEX(INDIRECT("PAJAK["&amp;KENKO[#Headers]&amp;"]"),KENKO[[#This Row],[//PAJAK]]-1))</f>
        <v>7894800</v>
      </c>
      <c r="K5" s="1">
        <f ca="1">(KENKO[[#This Row],[SUB TOTAL]]-KENKO[[#This Row],[DISKON]])/1.11</f>
        <v>34725405.405405402</v>
      </c>
      <c r="L5" s="1">
        <f ca="1">KENKO[[#This Row],[DPP]]*11%</f>
        <v>3819794.5945945941</v>
      </c>
      <c r="M5" s="1">
        <f ca="1">KENKO[[#This Row],[DPP]]+KENKO[[#This Row],[PPN (11%)]]</f>
        <v>38545200</v>
      </c>
      <c r="N5" s="1" t="str">
        <f ca="1">INDEX(PAJAK[ID_P],MATCH(KENKO[[#This Row],[ID]],PAJAK[ID],0))</f>
        <v>KEN_0605_231-4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11</v>
      </c>
      <c r="C6" s="7">
        <f ca="1">HYPERLINK("[NOTA_.xlsx]PAJAK!b"&amp;KENKO[[#This Row],[//PAJAK]],IF(KENKO[[#This Row],[//PAJAK]]="","",INDEX(INDIRECT("PAJAK["&amp;KENKO[#Headers]&amp;"]"),KENKO[[#This Row],[//PAJAK]]-1)))</f>
        <v>28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45055</v>
      </c>
      <c r="F6" s="2">
        <f ca="1">IF(KENKO[[#This Row],[//PAJAK]]="","",INDEX(INDIRECT("PAJAK["&amp;KENKO[#Headers]&amp;"]"),KENKO[[#This Row],[//PAJAK]]-1))</f>
        <v>45051</v>
      </c>
      <c r="G6" s="9" t="str">
        <f ca="1">IF(KENKO[[#This Row],[//PAJAK]]="","",INDEX(INDIRECT("PAJAK["&amp;KENKO[#Headers]&amp;"]"),KENKO[[#This Row],[//PAJAK]]-1))</f>
        <v>23050448</v>
      </c>
      <c r="H6" s="3" t="str">
        <f ca="1">IF(KENKO[[#This Row],[//PAJAK]]="","",INDEX(INDIRECT("PAJAK["&amp;KENKO[#Headers]&amp;"]"),KENKO[[#This Row],[//PAJAK]]-1))</f>
        <v>SA 41338</v>
      </c>
      <c r="I6" s="1">
        <f ca="1">IF(KENKO[[#This Row],[//PAJAK]]="","",INDEX(INDIRECT("PAJAK["&amp;KENKO[#Headers]&amp;"]"),KENKO[[#This Row],[//PAJAK]]-1))</f>
        <v>12968400</v>
      </c>
      <c r="J6" s="1">
        <f ca="1">IF(KENKO[[#This Row],[//PAJAK]]="","",INDEX(INDIRECT("PAJAK["&amp;KENKO[#Headers]&amp;"]"),KENKO[[#This Row],[//PAJAK]]-1))</f>
        <v>2204628</v>
      </c>
      <c r="K6" s="1">
        <f ca="1">(KENKO[[#This Row],[SUB TOTAL]]-KENKO[[#This Row],[DISKON]])/1.11</f>
        <v>9697091.8918918911</v>
      </c>
      <c r="L6" s="1">
        <f ca="1">KENKO[[#This Row],[DPP]]*11%</f>
        <v>1066680.1081081079</v>
      </c>
      <c r="M6" s="1">
        <f ca="1">KENKO[[#This Row],[DPP]]+KENKO[[#This Row],[PPN (11%)]]</f>
        <v>10763772</v>
      </c>
      <c r="N6" s="1" t="str">
        <f ca="1">INDEX(PAJAK[ID_P],MATCH(KENKO[[#This Row],[ID]],PAJAK[ID],0))</f>
        <v>KEN_0905_448-3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172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12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45055</v>
      </c>
      <c r="F7" s="2">
        <f ca="1">IF(KENKO[[#This Row],[//PAJAK]]="","",INDEX(INDIRECT("PAJAK["&amp;KENKO[#Headers]&amp;"]"),KENKO[[#This Row],[//PAJAK]]-1))</f>
        <v>45050</v>
      </c>
      <c r="G7" s="9" t="str">
        <f ca="1">IF(KENKO[[#This Row],[//PAJAK]]="","",INDEX(INDIRECT("PAJAK["&amp;KENKO[#Headers]&amp;"]"),KENKO[[#This Row],[//PAJAK]]-1))</f>
        <v>23050306</v>
      </c>
      <c r="H7" s="3" t="str">
        <f ca="1">IF(KENKO[[#This Row],[//PAJAK]]="","",INDEX(INDIRECT("PAJAK["&amp;KENKO[#Headers]&amp;"]"),KENKO[[#This Row],[//PAJAK]]-1))</f>
        <v>SA 41315</v>
      </c>
      <c r="I7" s="1">
        <f ca="1">IF(KENKO[[#This Row],[//PAJAK]]="","",INDEX(INDIRECT("PAJAK["&amp;KENKO[#Headers]&amp;"]"),KENKO[[#This Row],[//PAJAK]]-1))</f>
        <v>6177600</v>
      </c>
      <c r="J7" s="1">
        <f ca="1">IF(KENKO[[#This Row],[//PAJAK]]="","",INDEX(INDIRECT("PAJAK["&amp;KENKO[#Headers]&amp;"]"),KENKO[[#This Row],[//PAJAK]]-1))</f>
        <v>1050192</v>
      </c>
      <c r="K7" s="1">
        <f ca="1">(KENKO[[#This Row],[SUB TOTAL]]-KENKO[[#This Row],[DISKON]])/1.11</f>
        <v>4619286.4864864862</v>
      </c>
      <c r="L7" s="1">
        <f ca="1">KENKO[[#This Row],[DPP]]*11%</f>
        <v>508121.51351351349</v>
      </c>
      <c r="M7" s="1">
        <f ca="1">KENKO[[#This Row],[DPP]]+KENKO[[#This Row],[PPN (11%)]]</f>
        <v>5127408</v>
      </c>
      <c r="N7" s="1" t="str">
        <f ca="1">INDEX(PAJAK[ID_P],MATCH(KENKO[[#This Row],[ID]],PAJAK[ID],0))</f>
        <v>KEN_0905_306-2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15</v>
      </c>
      <c r="C8" s="7">
        <f ca="1">HYPERLINK("[NOTA_.xlsx]PAJAK!b"&amp;KENKO[[#This Row],[//PAJAK]],IF(KENKO[[#This Row],[//PAJAK]]="","",INDEX(INDIRECT("PAJAK["&amp;KENKO[#Headers]&amp;"]"),KENKO[[#This Row],[//PAJAK]]-1)))</f>
        <v>46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45057</v>
      </c>
      <c r="F8" s="2">
        <f ca="1">IF(KENKO[[#This Row],[//PAJAK]]="","",INDEX(INDIRECT("PAJAK["&amp;KENKO[#Headers]&amp;"]"),KENKO[[#This Row],[//PAJAK]]-1))</f>
        <v>45052</v>
      </c>
      <c r="G8" s="9" t="str">
        <f ca="1">IF(KENKO[[#This Row],[//PAJAK]]="","",INDEX(INDIRECT("PAJAK["&amp;KENKO[#Headers]&amp;"]"),KENKO[[#This Row],[//PAJAK]]-1))</f>
        <v>23050594</v>
      </c>
      <c r="H8" s="3" t="str">
        <f ca="1">IF(KENKO[[#This Row],[//PAJAK]]="","",INDEX(INDIRECT("PAJAK["&amp;KENKO[#Headers]&amp;"]"),KENKO[[#This Row],[//PAJAK]]-1))</f>
        <v>SA 41369</v>
      </c>
      <c r="I8" s="1">
        <f ca="1">IF(KENKO[[#This Row],[//PAJAK]]="","",INDEX(INDIRECT("PAJAK["&amp;KENKO[#Headers]&amp;"]"),KENKO[[#This Row],[//PAJAK]]-1))</f>
        <v>46584000</v>
      </c>
      <c r="J8" s="1">
        <f ca="1">IF(KENKO[[#This Row],[//PAJAK]]="","",INDEX(INDIRECT("PAJAK["&amp;KENKO[#Headers]&amp;"]"),KENKO[[#This Row],[//PAJAK]]-1))</f>
        <v>9852516</v>
      </c>
      <c r="K8" s="1">
        <f ca="1">(KENKO[[#This Row],[SUB TOTAL]]-KENKO[[#This Row],[DISKON]])/1.11</f>
        <v>33091427.027027026</v>
      </c>
      <c r="L8" s="1">
        <f ca="1">KENKO[[#This Row],[DPP]]*11%</f>
        <v>3640056.9729729728</v>
      </c>
      <c r="M8" s="1">
        <f ca="1">KENKO[[#This Row],[DPP]]+KENKO[[#This Row],[PPN (11%)]]</f>
        <v>36731484</v>
      </c>
      <c r="N8" s="1" t="str">
        <f ca="1">INDEX(PAJAK[ID_P],MATCH(KENKO[[#This Row],[ID]],PAJAK[ID],0))</f>
        <v>KEN_1105_594-2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262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HYPERLINK("[NOTA_.xlsx]PAJAK!b"&amp;KENKO[[#This Row],[//PAJAK]],IF(KENKO[[#This Row],[//PAJAK]]="","",INDEX(INDIRECT("PAJAK["&amp;KENKO[#Headers]&amp;"]"),KENKO[[#This Row],[//PAJAK]]-1)))</f>
        <v>47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45057</v>
      </c>
      <c r="F9" s="2">
        <f ca="1">IF(KENKO[[#This Row],[//PAJAK]]="","",INDEX(INDIRECT("PAJAK["&amp;KENKO[#Headers]&amp;"]"),KENKO[[#This Row],[//PAJAK]]-1))</f>
        <v>45052</v>
      </c>
      <c r="G9" s="9" t="str">
        <f ca="1">IF(KENKO[[#This Row],[//PAJAK]]="","",INDEX(INDIRECT("PAJAK["&amp;KENKO[#Headers]&amp;"]"),KENKO[[#This Row],[//PAJAK]]-1))</f>
        <v>23050588</v>
      </c>
      <c r="H9" s="3" t="str">
        <f ca="1">IF(KENKO[[#This Row],[//PAJAK]]="","",INDEX(INDIRECT("PAJAK["&amp;KENKO[#Headers]&amp;"]"),KENKO[[#This Row],[//PAJAK]]-1))</f>
        <v>SA 41360</v>
      </c>
      <c r="I9" s="1">
        <f ca="1">IF(KENKO[[#This Row],[//PAJAK]]="","",INDEX(INDIRECT("PAJAK["&amp;KENKO[#Headers]&amp;"]"),KENKO[[#This Row],[//PAJAK]]-1))</f>
        <v>27554400</v>
      </c>
      <c r="J9" s="1">
        <f ca="1">IF(KENKO[[#This Row],[//PAJAK]]="","",INDEX(INDIRECT("PAJAK["&amp;KENKO[#Headers]&amp;"]"),KENKO[[#This Row],[//PAJAK]]-1))</f>
        <v>4684248</v>
      </c>
      <c r="K9" s="1">
        <f ca="1">(KENKO[[#This Row],[SUB TOTAL]]-KENKO[[#This Row],[DISKON]])/1.11</f>
        <v>20603740.540540539</v>
      </c>
      <c r="L9" s="1">
        <f ca="1">KENKO[[#This Row],[DPP]]*11%</f>
        <v>2266411.4594594594</v>
      </c>
      <c r="M9" s="1">
        <f ca="1">KENKO[[#This Row],[DPP]]+KENKO[[#This Row],[PPN (11%)]]</f>
        <v>22870152</v>
      </c>
      <c r="N9" s="1" t="str">
        <f ca="1">INDEX(PAJAK[ID_P],MATCH(KENKO[[#This Row],[ID]],PAJAK[ID],0))</f>
        <v>KEN_1105_588-4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457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28</v>
      </c>
      <c r="C10" s="7">
        <f ca="1">HYPERLINK("[NOTA_.xlsx]PAJAK!b"&amp;KENKO[[#This Row],[//PAJAK]],IF(KENKO[[#This Row],[//PAJAK]]="","",INDEX(INDIRECT("PAJAK["&amp;KENKO[#Headers]&amp;"]"),KENKO[[#This Row],[//PAJAK]]-1)))</f>
        <v>84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45063</v>
      </c>
      <c r="F10" s="2">
        <f ca="1">IF(KENKO[[#This Row],[//PAJAK]]="","",INDEX(INDIRECT("PAJAK["&amp;KENKO[#Headers]&amp;"]"),KENKO[[#This Row],[//PAJAK]]-1))</f>
        <v>45057</v>
      </c>
      <c r="G10" s="9" t="str">
        <f ca="1">IF(KENKO[[#This Row],[//PAJAK]]="","",INDEX(INDIRECT("PAJAK["&amp;KENKO[#Headers]&amp;"]"),KENKO[[#This Row],[//PAJAK]]-1))</f>
        <v>23051117</v>
      </c>
      <c r="H10" s="3" t="str">
        <f ca="1">IF(KENKO[[#This Row],[//PAJAK]]="","",INDEX(INDIRECT("PAJAK["&amp;KENKO[#Headers]&amp;"]"),KENKO[[#This Row],[//PAJAK]]-1))</f>
        <v>SA 41494</v>
      </c>
      <c r="I10" s="1">
        <f ca="1">IF(KENKO[[#This Row],[//PAJAK]]="","",INDEX(INDIRECT("PAJAK["&amp;KENKO[#Headers]&amp;"]"),KENKO[[#This Row],[//PAJAK]]-1))</f>
        <v>24004600</v>
      </c>
      <c r="J10" s="1">
        <f ca="1">IF(KENKO[[#This Row],[//PAJAK]]="","",INDEX(INDIRECT("PAJAK["&amp;KENKO[#Headers]&amp;"]"),KENKO[[#This Row],[//PAJAK]]-1))</f>
        <v>4080782</v>
      </c>
      <c r="K10" s="1">
        <f ca="1">(KENKO[[#This Row],[SUB TOTAL]]-KENKO[[#This Row],[DISKON]])/1.11</f>
        <v>17949385.585585583</v>
      </c>
      <c r="L10" s="1">
        <f ca="1">KENKO[[#This Row],[DPP]]*11%</f>
        <v>1974432.4144144142</v>
      </c>
      <c r="M10" s="1">
        <f ca="1">KENKO[[#This Row],[DPP]]+KENKO[[#This Row],[PPN (11%)]]</f>
        <v>19923817.999999996</v>
      </c>
      <c r="N10" s="1" t="str">
        <f ca="1">INDEX(PAJAK[ID_P],MATCH(KENKO[[#This Row],[ID]],PAJAK[ID],0))</f>
        <v>KEN_1705_117-10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468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29</v>
      </c>
      <c r="C11" s="7">
        <f ca="1">HYPERLINK("[NOTA_.xlsx]PAJAK!b"&amp;KENKO[[#This Row],[//PAJAK]],IF(KENKO[[#This Row],[//PAJAK]]="","",INDEX(INDIRECT("PAJAK["&amp;KENKO[#Headers]&amp;"]"),KENKO[[#This Row],[//PAJAK]]-1)))</f>
        <v>85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45063</v>
      </c>
      <c r="F11" s="2">
        <f ca="1">IF(KENKO[[#This Row],[//PAJAK]]="","",INDEX(INDIRECT("PAJAK["&amp;KENKO[#Headers]&amp;"]"),KENKO[[#This Row],[//PAJAK]]-1))</f>
        <v>45057</v>
      </c>
      <c r="G11" s="9" t="str">
        <f ca="1">IF(KENKO[[#This Row],[//PAJAK]]="","",INDEX(INDIRECT("PAJAK["&amp;KENKO[#Headers]&amp;"]"),KENKO[[#This Row],[//PAJAK]]-1))</f>
        <v>23051113</v>
      </c>
      <c r="H11" s="3" t="str">
        <f ca="1">IF(KENKO[[#This Row],[//PAJAK]]="","",INDEX(INDIRECT("PAJAK["&amp;KENKO[#Headers]&amp;"]"),KENKO[[#This Row],[//PAJAK]]-1))</f>
        <v>SA 41490</v>
      </c>
      <c r="I11" s="1">
        <f ca="1">IF(KENKO[[#This Row],[//PAJAK]]="","",INDEX(INDIRECT("PAJAK["&amp;KENKO[#Headers]&amp;"]"),KENKO[[#This Row],[//PAJAK]]-1))</f>
        <v>29714000</v>
      </c>
      <c r="J11" s="1">
        <f ca="1">IF(KENKO[[#This Row],[//PAJAK]]="","",INDEX(INDIRECT("PAJAK["&amp;KENKO[#Headers]&amp;"]"),KENKO[[#This Row],[//PAJAK]]-1))</f>
        <v>5051380</v>
      </c>
      <c r="K11" s="1">
        <f ca="1">(KENKO[[#This Row],[SUB TOTAL]]-KENKO[[#This Row],[DISKON]])/1.11</f>
        <v>22218576.576576576</v>
      </c>
      <c r="L11" s="1">
        <f ca="1">KENKO[[#This Row],[DPP]]*11%</f>
        <v>2444043.4234234234</v>
      </c>
      <c r="M11" s="1">
        <f ca="1">KENKO[[#This Row],[DPP]]+KENKO[[#This Row],[PPN (11%)]]</f>
        <v>24662620</v>
      </c>
      <c r="N11" s="1" t="str">
        <f ca="1">INDEX(PAJAK[ID_P],MATCH(KENKO[[#This Row],[ID]],PAJAK[ID],0))</f>
        <v>KEN_1705_113-10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479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30</v>
      </c>
      <c r="C12" s="7">
        <f ca="1">HYPERLINK("[NOTA_.xlsx]PAJAK!b"&amp;KENKO[[#This Row],[//PAJAK]],IF(KENKO[[#This Row],[//PAJAK]]="","",INDEX(INDIRECT("PAJAK["&amp;KENKO[#Headers]&amp;"]"),KENKO[[#This Row],[//PAJAK]]-1)))</f>
        <v>86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45063</v>
      </c>
      <c r="F12" s="2">
        <f ca="1">IF(KENKO[[#This Row],[//PAJAK]]="","",INDEX(INDIRECT("PAJAK["&amp;KENKO[#Headers]&amp;"]"),KENKO[[#This Row],[//PAJAK]]-1))</f>
        <v>45057</v>
      </c>
      <c r="G12" s="9" t="str">
        <f ca="1">IF(KENKO[[#This Row],[//PAJAK]]="","",INDEX(INDIRECT("PAJAK["&amp;KENKO[#Headers]&amp;"]"),KENKO[[#This Row],[//PAJAK]]-1))</f>
        <v>23051111</v>
      </c>
      <c r="H12" s="3" t="str">
        <f ca="1">IF(KENKO[[#This Row],[//PAJAK]]="","",INDEX(INDIRECT("PAJAK["&amp;KENKO[#Headers]&amp;"]"),KENKO[[#This Row],[//PAJAK]]-1))</f>
        <v>SA 41488</v>
      </c>
      <c r="I12" s="1">
        <f ca="1">IF(KENKO[[#This Row],[//PAJAK]]="","",INDEX(INDIRECT("PAJAK["&amp;KENKO[#Headers]&amp;"]"),KENKO[[#This Row],[//PAJAK]]-1))</f>
        <v>57340800</v>
      </c>
      <c r="J12" s="1">
        <f ca="1">IF(KENKO[[#This Row],[//PAJAK]]="","",INDEX(INDIRECT("PAJAK["&amp;KENKO[#Headers]&amp;"]"),KENKO[[#This Row],[//PAJAK]]-1))</f>
        <v>9747936</v>
      </c>
      <c r="K12" s="1">
        <f ca="1">(KENKO[[#This Row],[SUB TOTAL]]-KENKO[[#This Row],[DISKON]])/1.11</f>
        <v>42876454.054054052</v>
      </c>
      <c r="L12" s="1">
        <f ca="1">KENKO[[#This Row],[DPP]]*11%</f>
        <v>4716409.9459459456</v>
      </c>
      <c r="M12" s="1">
        <f ca="1">KENKO[[#This Row],[DPP]]+KENKO[[#This Row],[PPN (11%)]]</f>
        <v>47592864</v>
      </c>
      <c r="N12" s="1" t="str">
        <f ca="1">INDEX(PAJAK[ID_P],MATCH(KENKO[[#This Row],[ID]],PAJAK[ID],0))</f>
        <v>KEN_1705_111-4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484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HYPERLINK("[NOTA_.xlsx]PAJAK!b"&amp;KENKO[[#This Row],[//PAJAK]],IF(KENKO[[#This Row],[//PAJAK]]="","",INDEX(INDIRECT("PAJAK["&amp;KENKO[#Headers]&amp;"]"),KENKO[[#This Row],[//PAJAK]]-1)))</f>
        <v>87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45063</v>
      </c>
      <c r="F13" s="2">
        <f ca="1">IF(KENKO[[#This Row],[//PAJAK]]="","",INDEX(INDIRECT("PAJAK["&amp;KENKO[#Headers]&amp;"]"),KENKO[[#This Row],[//PAJAK]]-1))</f>
        <v>45058</v>
      </c>
      <c r="G13" s="6" t="str">
        <f ca="1">IF(KENKO[[#This Row],[//PAJAK]]="","",INDEX(INDIRECT("PAJAK["&amp;KENKO[#Headers]&amp;"]"),KENKO[[#This Row],[//PAJAK]]-1))</f>
        <v>23051240</v>
      </c>
      <c r="H13" t="str">
        <f ca="1">IF(KENKO[[#This Row],[//PAJAK]]="","",INDEX(INDIRECT("PAJAK["&amp;KENKO[#Headers]&amp;"]"),KENKO[[#This Row],[//PAJAK]]-1))</f>
        <v>SA 41536</v>
      </c>
      <c r="I13" s="1">
        <f ca="1">IF(KENKO[[#This Row],[//PAJAK]]="","",INDEX(INDIRECT("PAJAK["&amp;KENKO[#Headers]&amp;"]"),KENKO[[#This Row],[//PAJAK]]-1))</f>
        <v>35891600</v>
      </c>
      <c r="J13" s="1">
        <f ca="1">IF(KENKO[[#This Row],[//PAJAK]]="","",INDEX(INDIRECT("PAJAK["&amp;KENKO[#Headers]&amp;"]"),KENKO[[#This Row],[//PAJAK]]-1))</f>
        <v>6101572</v>
      </c>
      <c r="K13" s="1">
        <f ca="1">(KENKO[[#This Row],[SUB TOTAL]]-KENKO[[#This Row],[DISKON]])/1.11</f>
        <v>26837863.063063059</v>
      </c>
      <c r="L13" s="1">
        <f ca="1">KENKO[[#This Row],[DPP]]*11%</f>
        <v>2952164.9369369363</v>
      </c>
      <c r="M13" s="1">
        <f ca="1">KENKO[[#This Row],[DPP]]+KENKO[[#This Row],[PPN (11%)]]</f>
        <v>29790027.999999996</v>
      </c>
      <c r="N13" s="1" t="str">
        <f ca="1">INDEX(PAJAK[ID_P],MATCH(KENKO[[#This Row],[ID]],PAJAK[ID],0))</f>
        <v>KEN_1705_240-10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495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HYPERLINK("[NOTA_.xlsx]PAJAK!b"&amp;KENKO[[#This Row],[//PAJAK]],IF(KENKO[[#This Row],[//PAJAK]]="","",INDEX(INDIRECT("PAJAK["&amp;KENKO[#Headers]&amp;"]"),KENKO[[#This Row],[//PAJAK]]-1)))</f>
        <v>88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45063</v>
      </c>
      <c r="F14" s="2">
        <f ca="1">IF(KENKO[[#This Row],[//PAJAK]]="","",INDEX(INDIRECT("PAJAK["&amp;KENKO[#Headers]&amp;"]"),KENKO[[#This Row],[//PAJAK]]-1))</f>
        <v>45058</v>
      </c>
      <c r="G14" s="6" t="str">
        <f ca="1">IF(KENKO[[#This Row],[//PAJAK]]="","",INDEX(INDIRECT("PAJAK["&amp;KENKO[#Headers]&amp;"]"),KENKO[[#This Row],[//PAJAK]]-1))</f>
        <v>23051247</v>
      </c>
      <c r="H14" t="str">
        <f ca="1">IF(KENKO[[#This Row],[//PAJAK]]="","",INDEX(INDIRECT("PAJAK["&amp;KENKO[#Headers]&amp;"]"),KENKO[[#This Row],[//PAJAK]]-1))</f>
        <v>SA 41547</v>
      </c>
      <c r="I14" s="1">
        <f ca="1">IF(KENKO[[#This Row],[//PAJAK]]="","",INDEX(INDIRECT("PAJAK["&amp;KENKO[#Headers]&amp;"]"),KENKO[[#This Row],[//PAJAK]]-1))</f>
        <v>74492400</v>
      </c>
      <c r="J14" s="1">
        <f ca="1">IF(KENKO[[#This Row],[//PAJAK]]="","",INDEX(INDIRECT("PAJAK["&amp;KENKO[#Headers]&amp;"]"),KENKO[[#This Row],[//PAJAK]]-1))</f>
        <v>12663708</v>
      </c>
      <c r="K14" s="1">
        <f ca="1">(KENKO[[#This Row],[SUB TOTAL]]-KENKO[[#This Row],[DISKON]])/1.11</f>
        <v>55701524.324324317</v>
      </c>
      <c r="L14" s="1">
        <f ca="1">KENKO[[#This Row],[DPP]]*11%</f>
        <v>6127167.6756756753</v>
      </c>
      <c r="M14" s="1">
        <f ca="1">KENKO[[#This Row],[DPP]]+KENKO[[#This Row],[PPN (11%)]]</f>
        <v>61828691.999999993</v>
      </c>
      <c r="N14" s="1" t="str">
        <f ca="1">INDEX(PAJAK[ID_P],MATCH(KENKO[[#This Row],[ID]],PAJAK[ID],0))</f>
        <v>KEN_1705_247-7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503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89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45063</v>
      </c>
      <c r="F15" s="2">
        <f ca="1">IF(KENKO[[#This Row],[//PAJAK]]="","",INDEX(INDIRECT("PAJAK["&amp;KENKO[#Headers]&amp;"]"),KENKO[[#This Row],[//PAJAK]]-1))</f>
        <v>45059</v>
      </c>
      <c r="G15" s="6" t="str">
        <f ca="1">IF(KENKO[[#This Row],[//PAJAK]]="","",INDEX(INDIRECT("PAJAK["&amp;KENKO[#Headers]&amp;"]"),KENKO[[#This Row],[//PAJAK]]-1))</f>
        <v>23051371</v>
      </c>
      <c r="H15" t="str">
        <f ca="1">IF(KENKO[[#This Row],[//PAJAK]]="","",INDEX(INDIRECT("PAJAK["&amp;KENKO[#Headers]&amp;"]"),KENKO[[#This Row],[//PAJAK]]-1))</f>
        <v>SA 41559</v>
      </c>
      <c r="I15" s="1">
        <f ca="1">IF(KENKO[[#This Row],[//PAJAK]]="","",INDEX(INDIRECT("PAJAK["&amp;KENKO[#Headers]&amp;"]"),KENKO[[#This Row],[//PAJAK]]-1))</f>
        <v>65132000</v>
      </c>
      <c r="J15" s="1">
        <f ca="1">IF(KENKO[[#This Row],[//PAJAK]]="","",INDEX(INDIRECT("PAJAK["&amp;KENKO[#Headers]&amp;"]"),KENKO[[#This Row],[//PAJAK]]-1))</f>
        <v>11072440.000000002</v>
      </c>
      <c r="K15" s="1">
        <f ca="1">(KENKO[[#This Row],[SUB TOTAL]]-KENKO[[#This Row],[DISKON]])/1.11</f>
        <v>48702306.306306303</v>
      </c>
      <c r="L15" s="1">
        <f ca="1">KENKO[[#This Row],[DPP]]*11%</f>
        <v>5357253.6936936937</v>
      </c>
      <c r="M15" s="1">
        <f ca="1">KENKO[[#This Row],[DPP]]+KENKO[[#This Row],[PPN (11%)]]</f>
        <v>54059560</v>
      </c>
      <c r="N15" s="1" t="str">
        <f ca="1">INDEX(PAJAK[ID_P],MATCH(KENKO[[#This Row],[ID]],PAJAK[ID],0))</f>
        <v>KEN_1705_371-10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514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34</v>
      </c>
      <c r="C16" s="7">
        <f ca="1">HYPERLINK("[NOTA_.xlsx]PAJAK!b"&amp;KENKO[[#This Row],[//PAJAK]],IF(KENKO[[#This Row],[//PAJAK]]="","",INDEX(INDIRECT("PAJAK["&amp;KENKO[#Headers]&amp;"]"),KENKO[[#This Row],[//PAJAK]]-1)))</f>
        <v>90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45063</v>
      </c>
      <c r="F16" s="2">
        <f ca="1">IF(KENKO[[#This Row],[//PAJAK]]="","",INDEX(INDIRECT("PAJAK["&amp;KENKO[#Headers]&amp;"]"),KENKO[[#This Row],[//PAJAK]]-1))</f>
        <v>45059</v>
      </c>
      <c r="G16" s="9" t="str">
        <f ca="1">IF(KENKO[[#This Row],[//PAJAK]]="","",INDEX(INDIRECT("PAJAK["&amp;KENKO[#Headers]&amp;"]"),KENKO[[#This Row],[//PAJAK]]-1))</f>
        <v>23051370</v>
      </c>
      <c r="H16" s="3" t="str">
        <f ca="1">IF(KENKO[[#This Row],[//PAJAK]]="","",INDEX(INDIRECT("PAJAK["&amp;KENKO[#Headers]&amp;"]"),KENKO[[#This Row],[//PAJAK]]-1))</f>
        <v>SA 41558</v>
      </c>
      <c r="I16" s="1">
        <f ca="1">IF(KENKO[[#This Row],[//PAJAK]]="","",INDEX(INDIRECT("PAJAK["&amp;KENKO[#Headers]&amp;"]"),KENKO[[#This Row],[//PAJAK]]-1))</f>
        <v>38135600</v>
      </c>
      <c r="J16" s="1">
        <f ca="1">IF(KENKO[[#This Row],[//PAJAK]]="","",INDEX(INDIRECT("PAJAK["&amp;KENKO[#Headers]&amp;"]"),KENKO[[#This Row],[//PAJAK]]-1))</f>
        <v>6483052</v>
      </c>
      <c r="K16" s="1">
        <f ca="1">(KENKO[[#This Row],[SUB TOTAL]]-KENKO[[#This Row],[DISKON]])/1.11</f>
        <v>28515809.009009007</v>
      </c>
      <c r="L16" s="1">
        <f ca="1">KENKO[[#This Row],[DPP]]*11%</f>
        <v>3136738.9909909908</v>
      </c>
      <c r="M16" s="1">
        <f ca="1">KENKO[[#This Row],[DPP]]+KENKO[[#This Row],[PPN (11%)]]</f>
        <v>31652548</v>
      </c>
      <c r="N16" s="1" t="str">
        <f ca="1">INDEX(PAJAK[ID_P],MATCH(KENKO[[#This Row],[ID]],PAJAK[ID],0))</f>
        <v>KEN_1705_370-10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559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36</v>
      </c>
      <c r="C17" s="12">
        <f ca="1">HYPERLINK("[NOTA_.xlsx]PAJAK!b"&amp;KENKO[[#This Row],[//PAJAK]],IF(KENKO[[#This Row],[//PAJAK]]="","",INDEX(INDIRECT("PAJAK["&amp;KENKO[#Headers]&amp;"]"),KENKO[[#This Row],[//PAJAK]]-1)))</f>
        <v>101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45066</v>
      </c>
      <c r="F17" s="2">
        <f ca="1">IF(KENKO[[#This Row],[//PAJAK]]="","",INDEX(INDIRECT("PAJAK["&amp;KENKO[#Headers]&amp;"]"),KENKO[[#This Row],[//PAJAK]]-1))</f>
        <v>45062</v>
      </c>
      <c r="G17" s="6" t="str">
        <f ca="1">IF(KENKO[[#This Row],[//PAJAK]]="","",INDEX(INDIRECT("PAJAK["&amp;KENKO[#Headers]&amp;"]"),KENKO[[#This Row],[//PAJAK]]-1))</f>
        <v>23051565</v>
      </c>
      <c r="H17" t="str">
        <f ca="1">IF(KENKO[[#This Row],[//PAJAK]]="","",INDEX(INDIRECT("PAJAK["&amp;KENKO[#Headers]&amp;"]"),KENKO[[#This Row],[//PAJAK]]-1))</f>
        <v>SA 41614</v>
      </c>
      <c r="I17" s="1">
        <f ca="1">IF(KENKO[[#This Row],[//PAJAK]]="","",INDEX(INDIRECT("PAJAK["&amp;KENKO[#Headers]&amp;"]"),KENKO[[#This Row],[//PAJAK]]-1))</f>
        <v>20096400</v>
      </c>
      <c r="J17" s="1">
        <f ca="1">IF(KENKO[[#This Row],[//PAJAK]]="","",INDEX(INDIRECT("PAJAK["&amp;KENKO[#Headers]&amp;"]"),KENKO[[#This Row],[//PAJAK]]-1))</f>
        <v>3416388</v>
      </c>
      <c r="K17" s="1">
        <f ca="1">(KENKO[[#This Row],[SUB TOTAL]]-KENKO[[#This Row],[DISKON]])/1.11</f>
        <v>15027037.837837836</v>
      </c>
      <c r="L17" s="1">
        <f ca="1">KENKO[[#This Row],[DPP]]*11%</f>
        <v>1652974.1621621619</v>
      </c>
      <c r="M17" s="1">
        <f ca="1">KENKO[[#This Row],[DPP]]+KENKO[[#This Row],[PPN (11%)]]</f>
        <v>16680011.999999998</v>
      </c>
      <c r="N17" s="1" t="str">
        <f ca="1">INDEX(PAJAK[ID_P],MATCH(KENKO[[#This Row],[ID]],PAJAK[ID],0))</f>
        <v>KEN_2005_565-5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640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42</v>
      </c>
      <c r="C18" s="7">
        <f ca="1">HYPERLINK("[NOTA_.xlsx]PAJAK!b"&amp;KENKO[[#This Row],[//PAJAK]],IF(KENKO[[#This Row],[//PAJAK]]="","",INDEX(INDIRECT("PAJAK["&amp;KENKO[#Headers]&amp;"]"),KENKO[[#This Row],[//PAJAK]]-1)))</f>
        <v>115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45069</v>
      </c>
      <c r="F18" s="2">
        <f ca="1">IF(KENKO[[#This Row],[//PAJAK]]="","",INDEX(INDIRECT("PAJAK["&amp;KENKO[#Headers]&amp;"]"),KENKO[[#This Row],[//PAJAK]]-1))</f>
        <v>45066</v>
      </c>
      <c r="G18" s="9" t="str">
        <f ca="1">IF(KENKO[[#This Row],[//PAJAK]]="","",INDEX(INDIRECT("PAJAK["&amp;KENKO[#Headers]&amp;"]"),KENKO[[#This Row],[//PAJAK]]-1))</f>
        <v>23051973</v>
      </c>
      <c r="H18" s="3" t="str">
        <f ca="1">IF(KENKO[[#This Row],[//PAJAK]]="","",INDEX(INDIRECT("PAJAK["&amp;KENKO[#Headers]&amp;"]"),KENKO[[#This Row],[//PAJAK]]-1))</f>
        <v>SA 41698</v>
      </c>
      <c r="I18" s="1">
        <f ca="1">IF(KENKO[[#This Row],[//PAJAK]]="","",INDEX(INDIRECT("PAJAK["&amp;KENKO[#Headers]&amp;"]"),KENKO[[#This Row],[//PAJAK]]-1))</f>
        <v>19652400</v>
      </c>
      <c r="J18" s="1">
        <f ca="1">IF(KENKO[[#This Row],[//PAJAK]]="","",INDEX(INDIRECT("PAJAK["&amp;KENKO[#Headers]&amp;"]"),KENKO[[#This Row],[//PAJAK]]-1))</f>
        <v>3340908</v>
      </c>
      <c r="K18" s="1">
        <f ca="1">(KENKO[[#This Row],[SUB TOTAL]]-KENKO[[#This Row],[DISKON]])/1.11</f>
        <v>14695037.837837836</v>
      </c>
      <c r="L18" s="1">
        <f ca="1">KENKO[[#This Row],[DPP]]*11%</f>
        <v>1616454.1621621619</v>
      </c>
      <c r="M18" s="1">
        <f ca="1">KENKO[[#This Row],[DPP]]+KENKO[[#This Row],[PPN (11%)]]</f>
        <v>16311491.999999998</v>
      </c>
      <c r="N18" s="1" t="str">
        <f ca="1">INDEX(PAJAK[ID_P],MATCH(KENKO[[#This Row],[ID]],PAJAK[ID],0))</f>
        <v>KEN_2305_973-4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645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HYPERLINK("[NOTA_.xlsx]PAJAK!b"&amp;KENKO[[#This Row],[//PAJAK]],IF(KENKO[[#This Row],[//PAJAK]]="","",INDEX(INDIRECT("PAJAK["&amp;KENKO[#Headers]&amp;"]"),KENKO[[#This Row],[//PAJAK]]-1)))</f>
        <v>116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45069</v>
      </c>
      <c r="F19" s="2">
        <f ca="1">IF(KENKO[[#This Row],[//PAJAK]]="","",INDEX(INDIRECT("PAJAK["&amp;KENKO[#Headers]&amp;"]"),KENKO[[#This Row],[//PAJAK]]-1))</f>
        <v>45065</v>
      </c>
      <c r="G19" s="6" t="str">
        <f ca="1">IF(KENKO[[#This Row],[//PAJAK]]="","",INDEX(INDIRECT("PAJAK["&amp;KENKO[#Headers]&amp;"]"),KENKO[[#This Row],[//PAJAK]]-1))</f>
        <v>23051861</v>
      </c>
      <c r="H19" t="str">
        <f ca="1">IF(KENKO[[#This Row],[//PAJAK]]="","",INDEX(INDIRECT("PAJAK["&amp;KENKO[#Headers]&amp;"]"),KENKO[[#This Row],[//PAJAK]]-1))</f>
        <v>SA 41687</v>
      </c>
      <c r="I19" s="1">
        <f ca="1">IF(KENKO[[#This Row],[//PAJAK]]="","",INDEX(INDIRECT("PAJAK["&amp;KENKO[#Headers]&amp;"]"),KENKO[[#This Row],[//PAJAK]]-1))</f>
        <v>12500000</v>
      </c>
      <c r="J19" s="1">
        <f ca="1">IF(KENKO[[#This Row],[//PAJAK]]="","",INDEX(INDIRECT("PAJAK["&amp;KENKO[#Headers]&amp;"]"),KENKO[[#This Row],[//PAJAK]]-1))</f>
        <v>2125000</v>
      </c>
      <c r="K19" s="1">
        <f ca="1">(KENKO[[#This Row],[SUB TOTAL]]-KENKO[[#This Row],[DISKON]])/1.11</f>
        <v>9346846.8468468469</v>
      </c>
      <c r="L19" s="1">
        <f ca="1">KENKO[[#This Row],[DPP]]*11%</f>
        <v>1028153.1531531531</v>
      </c>
      <c r="M19" s="1">
        <f ca="1">KENKO[[#This Row],[DPP]]+KENKO[[#This Row],[PPN (11%)]]</f>
        <v>10375000</v>
      </c>
      <c r="N19" s="1" t="str">
        <f ca="1">INDEX(PAJAK[ID_P],MATCH(KENKO[[#This Row],[ID]],PAJAK[ID],0))</f>
        <v>KEN_2305_861-6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652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44</v>
      </c>
      <c r="C20" s="7">
        <f ca="1">HYPERLINK("[NOTA_.xlsx]PAJAK!b"&amp;KENKO[[#This Row],[//PAJAK]],IF(KENKO[[#This Row],[//PAJAK]]="","",INDEX(INDIRECT("PAJAK["&amp;KENKO[#Headers]&amp;"]"),KENKO[[#This Row],[//PAJAK]]-1)))</f>
        <v>117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45069</v>
      </c>
      <c r="F20" s="2">
        <f ca="1">IF(KENKO[[#This Row],[//PAJAK]]="","",INDEX(INDIRECT("PAJAK["&amp;KENKO[#Headers]&amp;"]"),KENKO[[#This Row],[//PAJAK]]-1))</f>
        <v>45065</v>
      </c>
      <c r="G20" s="9" t="str">
        <f ca="1">IF(KENKO[[#This Row],[//PAJAK]]="","",INDEX(INDIRECT("PAJAK["&amp;KENKO[#Headers]&amp;"]"),KENKO[[#This Row],[//PAJAK]]-1))</f>
        <v>23051895</v>
      </c>
      <c r="H20" s="3" t="str">
        <f ca="1">IF(KENKO[[#This Row],[//PAJAK]]="","",INDEX(INDIRECT("PAJAK["&amp;KENKO[#Headers]&amp;"]"),KENKO[[#This Row],[//PAJAK]]-1))</f>
        <v>SA 41695</v>
      </c>
      <c r="I20" s="1">
        <f ca="1">IF(KENKO[[#This Row],[//PAJAK]]="","",INDEX(INDIRECT("PAJAK["&amp;KENKO[#Headers]&amp;"]"),KENKO[[#This Row],[//PAJAK]]-1))</f>
        <v>6739200</v>
      </c>
      <c r="J20" s="1">
        <f ca="1">IF(KENKO[[#This Row],[//PAJAK]]="","",INDEX(INDIRECT("PAJAK["&amp;KENKO[#Headers]&amp;"]"),KENKO[[#This Row],[//PAJAK]]-1))</f>
        <v>1145664</v>
      </c>
      <c r="K20" s="1">
        <f ca="1">(KENKO[[#This Row],[SUB TOTAL]]-KENKO[[#This Row],[DISKON]])/1.11</f>
        <v>5039221.6216216208</v>
      </c>
      <c r="L20" s="1">
        <f ca="1">KENKO[[#This Row],[DPP]]*11%</f>
        <v>554314.37837837834</v>
      </c>
      <c r="M20" s="1">
        <f ca="1">KENKO[[#This Row],[DPP]]+KENKO[[#This Row],[PPN (11%)]]</f>
        <v>5593535.9999999991</v>
      </c>
      <c r="N20" s="1" t="str">
        <f ca="1">INDEX(PAJAK[ID_P],MATCH(KENKO[[#This Row],[ID]],PAJAK[ID],0))</f>
        <v>KEN_2305_895-1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654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45</v>
      </c>
      <c r="C21" s="7">
        <f ca="1">HYPERLINK("[NOTA_.xlsx]PAJAK!b"&amp;KENKO[[#This Row],[//PAJAK]],IF(KENKO[[#This Row],[//PAJAK]]="","",INDEX(INDIRECT("PAJAK["&amp;KENKO[#Headers]&amp;"]"),KENKO[[#This Row],[//PAJAK]]-1)))</f>
        <v>118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45069</v>
      </c>
      <c r="F21" s="2">
        <f ca="1">IF(KENKO[[#This Row],[//PAJAK]]="","",INDEX(INDIRECT("PAJAK["&amp;KENKO[#Headers]&amp;"]"),KENKO[[#This Row],[//PAJAK]]-1))</f>
        <v>45063</v>
      </c>
      <c r="G21" s="9" t="str">
        <f ca="1">IF(KENKO[[#This Row],[//PAJAK]]="","",INDEX(INDIRECT("PAJAK["&amp;KENKO[#Headers]&amp;"]"),KENKO[[#This Row],[//PAJAK]]-1))</f>
        <v>23051749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34633200</v>
      </c>
      <c r="J21" s="1">
        <f ca="1">IF(KENKO[[#This Row],[//PAJAK]]="","",INDEX(INDIRECT("PAJAK["&amp;KENKO[#Headers]&amp;"]"),KENKO[[#This Row],[//PAJAK]]-1))</f>
        <v>5887644</v>
      </c>
      <c r="K21" s="1">
        <f ca="1">(KENKO[[#This Row],[SUB TOTAL]]-KENKO[[#This Row],[DISKON]])/1.11</f>
        <v>25896897.297297295</v>
      </c>
      <c r="L21" s="1">
        <f ca="1">KENKO[[#This Row],[DPP]]*11%</f>
        <v>2848658.7027027025</v>
      </c>
      <c r="M21" s="1">
        <f ca="1">KENKO[[#This Row],[DPP]]+KENKO[[#This Row],[PPN (11%)]]</f>
        <v>28745555.999999996</v>
      </c>
      <c r="N21" s="1" t="str">
        <f ca="1">INDEX(PAJAK[ID_P],MATCH(KENKO[[#This Row],[ID]],PAJAK[ID],0))</f>
        <v>KEN_2305_749-9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693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48</v>
      </c>
      <c r="C22" s="7">
        <f ca="1">HYPERLINK("[NOTA_.xlsx]PAJAK!b"&amp;KENKO[[#This Row],[//PAJAK]],IF(KENKO[[#This Row],[//PAJAK]]="","",INDEX(INDIRECT("PAJAK["&amp;KENKO[#Headers]&amp;"]"),KENKO[[#This Row],[//PAJAK]]-1)))</f>
        <v>124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45070</v>
      </c>
      <c r="F22" s="2">
        <f ca="1">IF(KENKO[[#This Row],[//PAJAK]]="","",INDEX(INDIRECT("PAJAK["&amp;KENKO[#Headers]&amp;"]"),KENKO[[#This Row],[//PAJAK]]-1))</f>
        <v>45068</v>
      </c>
      <c r="G22" s="9" t="str">
        <f ca="1">IF(KENKO[[#This Row],[//PAJAK]]="","",INDEX(INDIRECT("PAJAK["&amp;KENKO[#Headers]&amp;"]"),KENKO[[#This Row],[//PAJAK]]-1))</f>
        <v>23052092</v>
      </c>
      <c r="H22" s="3" t="str">
        <f ca="1">IF(KENKO[[#This Row],[//PAJAK]]="","",INDEX(INDIRECT("PAJAK["&amp;KENKO[#Headers]&amp;"]"),KENKO[[#This Row],[//PAJAK]]-1))</f>
        <v>SA 41737</v>
      </c>
      <c r="I22" s="1">
        <f ca="1">IF(KENKO[[#This Row],[//PAJAK]]="","",INDEX(INDIRECT("PAJAK["&amp;KENKO[#Headers]&amp;"]"),KENKO[[#This Row],[//PAJAK]]-1))</f>
        <v>8870400</v>
      </c>
      <c r="J22" s="1">
        <f ca="1">IF(KENKO[[#This Row],[//PAJAK]]="","",INDEX(INDIRECT("PAJAK["&amp;KENKO[#Headers]&amp;"]"),KENKO[[#This Row],[//PAJAK]]-1))</f>
        <v>1507968.0000000002</v>
      </c>
      <c r="K22" s="1">
        <f ca="1">(KENKO[[#This Row],[SUB TOTAL]]-KENKO[[#This Row],[DISKON]])/1.11</f>
        <v>6632821.6216216208</v>
      </c>
      <c r="L22" s="1">
        <f ca="1">KENKO[[#This Row],[DPP]]*11%</f>
        <v>729610.37837837834</v>
      </c>
      <c r="M22" s="1">
        <f ca="1">KENKO[[#This Row],[DPP]]+KENKO[[#This Row],[PPN (11%)]]</f>
        <v>7362431.9999999991</v>
      </c>
      <c r="N22" s="1" t="str">
        <f ca="1">INDEX(PAJAK[ID_P],MATCH(KENKO[[#This Row],[ID]],PAJAK[ID],0))</f>
        <v>KEN_2405_092-2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717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49</v>
      </c>
      <c r="C23" s="7">
        <f ca="1">HYPERLINK("[NOTA_.xlsx]PAJAK!b"&amp;KENKO[[#This Row],[//PAJAK]],IF(KENKO[[#This Row],[//PAJAK]]="","",INDEX(INDIRECT("PAJAK["&amp;KENKO[#Headers]&amp;"]"),KENKO[[#This Row],[//PAJAK]]-1)))</f>
        <v>129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45072</v>
      </c>
      <c r="F23" s="2">
        <f ca="1">IF(KENKO[[#This Row],[//PAJAK]]="","",INDEX(INDIRECT("PAJAK["&amp;KENKO[#Headers]&amp;"]"),KENKO[[#This Row],[//PAJAK]]-1))</f>
        <v>45070</v>
      </c>
      <c r="G23" s="9" t="str">
        <f ca="1">IF(KENKO[[#This Row],[//PAJAK]]="","",INDEX(INDIRECT("PAJAK["&amp;KENKO[#Headers]&amp;"]"),KENKO[[#This Row],[//PAJAK]]-1))</f>
        <v>23052274</v>
      </c>
      <c r="H23" s="3" t="str">
        <f ca="1">IF(KENKO[[#This Row],[//PAJAK]]="","",INDEX(INDIRECT("PAJAK["&amp;KENKO[#Headers]&amp;"]"),KENKO[[#This Row],[//PAJAK]]-1))</f>
        <v>SA 41781</v>
      </c>
      <c r="I23" s="1">
        <f ca="1">IF(KENKO[[#This Row],[//PAJAK]]="","",INDEX(INDIRECT("PAJAK["&amp;KENKO[#Headers]&amp;"]"),KENKO[[#This Row],[//PAJAK]]-1))</f>
        <v>9066000</v>
      </c>
      <c r="J23" s="1">
        <f ca="1">IF(KENKO[[#This Row],[//PAJAK]]="","",INDEX(INDIRECT("PAJAK["&amp;KENKO[#Headers]&amp;"]"),KENKO[[#This Row],[//PAJAK]]-1))</f>
        <v>1541220</v>
      </c>
      <c r="K23" s="1">
        <f ca="1">(KENKO[[#This Row],[SUB TOTAL]]-KENKO[[#This Row],[DISKON]])/1.11</f>
        <v>6779081.0810810803</v>
      </c>
      <c r="L23" s="1">
        <f ca="1">KENKO[[#This Row],[DPP]]*11%</f>
        <v>745698.91891891882</v>
      </c>
      <c r="M23" s="1">
        <f ca="1">KENKO[[#This Row],[DPP]]+KENKO[[#This Row],[PPN (11%)]]</f>
        <v>7524779.9999999991</v>
      </c>
      <c r="N23" s="1" t="str">
        <f ca="1">INDEX(PAJAK[ID_P],MATCH(KENKO[[#This Row],[ID]],PAJAK[ID],0))</f>
        <v>KEN_2605_274-3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721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50</v>
      </c>
      <c r="C24" s="7">
        <f ca="1">HYPERLINK("[NOTA_.xlsx]PAJAK!b"&amp;KENKO[[#This Row],[//PAJAK]],IF(KENKO[[#This Row],[//PAJAK]]="","",INDEX(INDIRECT("PAJAK["&amp;KENKO[#Headers]&amp;"]"),KENKO[[#This Row],[//PAJAK]]-1)))</f>
        <v>130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45072</v>
      </c>
      <c r="F24" s="2">
        <f ca="1">IF(KENKO[[#This Row],[//PAJAK]]="","",INDEX(INDIRECT("PAJAK["&amp;KENKO[#Headers]&amp;"]"),KENKO[[#This Row],[//PAJAK]]-1))</f>
        <v>45069</v>
      </c>
      <c r="G24" s="9" t="str">
        <f ca="1">IF(KENKO[[#This Row],[//PAJAK]]="","",INDEX(INDIRECT("PAJAK["&amp;KENKO[#Headers]&amp;"]"),KENKO[[#This Row],[//PAJAK]]-1))</f>
        <v>23052135</v>
      </c>
      <c r="H24" s="3" t="str">
        <f ca="1">IF(KENKO[[#This Row],[//PAJAK]]="","",INDEX(INDIRECT("PAJAK["&amp;KENKO[#Headers]&amp;"]"),KENKO[[#This Row],[//PAJAK]]-1))</f>
        <v>SA 41761</v>
      </c>
      <c r="I24" s="1">
        <f ca="1">IF(KENKO[[#This Row],[//PAJAK]]="","",INDEX(INDIRECT("PAJAK["&amp;KENKO[#Headers]&amp;"]"),KENKO[[#This Row],[//PAJAK]]-1))</f>
        <v>30230400</v>
      </c>
      <c r="J24" s="1">
        <f ca="1">IF(KENKO[[#This Row],[//PAJAK]]="","",INDEX(INDIRECT("PAJAK["&amp;KENKO[#Headers]&amp;"]"),KENKO[[#This Row],[//PAJAK]]-1))</f>
        <v>5139168</v>
      </c>
      <c r="K24" s="1">
        <f ca="1">(KENKO[[#This Row],[SUB TOTAL]]-KENKO[[#This Row],[DISKON]])/1.11</f>
        <v>22604713.513513513</v>
      </c>
      <c r="L24" s="1">
        <f ca="1">KENKO[[#This Row],[DPP]]*11%</f>
        <v>2486518.4864864866</v>
      </c>
      <c r="M24" s="1">
        <f ca="1">KENKO[[#This Row],[DPP]]+KENKO[[#This Row],[PPN (11%)]]</f>
        <v>25091232</v>
      </c>
      <c r="N24" s="1" t="str">
        <f ca="1">INDEX(PAJAK[ID_P],MATCH(KENKO[[#This Row],[ID]],PAJAK[ID],0))</f>
        <v>KEN_2605_135-3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1014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66</v>
      </c>
      <c r="C25" s="7">
        <f ca="1">HYPERLINK("[NOTA_.xlsx]PAJAK!b"&amp;KENKO[[#This Row],[//PAJAK]],IF(KENKO[[#This Row],[//PAJAK]]="","",INDEX(INDIRECT("PAJAK["&amp;KENKO[#Headers]&amp;"]"),KENKO[[#This Row],[//PAJAK]]-1)))</f>
        <v>170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45073</v>
      </c>
      <c r="F25" s="2">
        <f ca="1">IF(KENKO[[#This Row],[//PAJAK]]="","",INDEX(INDIRECT("PAJAK["&amp;KENKO[#Headers]&amp;"]"),KENKO[[#This Row],[//PAJAK]]-1))</f>
        <v>45071</v>
      </c>
      <c r="G25" s="9" t="str">
        <f ca="1">IF(KENKO[[#This Row],[//PAJAK]]="","",INDEX(INDIRECT("PAJAK["&amp;KENKO[#Headers]&amp;"]"),KENKO[[#This Row],[//PAJAK]]-1))</f>
        <v>23052394</v>
      </c>
      <c r="H25" s="3" t="str">
        <f ca="1">IF(KENKO[[#This Row],[//PAJAK]]="","",INDEX(INDIRECT("PAJAK["&amp;KENKO[#Headers]&amp;"]"),KENKO[[#This Row],[//PAJAK]]-1))</f>
        <v>SA 41990</v>
      </c>
      <c r="I25" s="1">
        <f ca="1">IF(KENKO[[#This Row],[//PAJAK]]="","",INDEX(INDIRECT("PAJAK["&amp;KENKO[#Headers]&amp;"]"),KENKO[[#This Row],[//PAJAK]]-1))</f>
        <v>33262200</v>
      </c>
      <c r="J25" s="1">
        <f ca="1">IF(KENKO[[#This Row],[//PAJAK]]="","",INDEX(INDIRECT("PAJAK["&amp;KENKO[#Headers]&amp;"]"),KENKO[[#This Row],[//PAJAK]]-1))</f>
        <v>5654574</v>
      </c>
      <c r="K25" s="1">
        <f ca="1">(KENKO[[#This Row],[SUB TOTAL]]-KENKO[[#This Row],[DISKON]])/1.11</f>
        <v>24871735.135135133</v>
      </c>
      <c r="L25" s="1">
        <f ca="1">KENKO[[#This Row],[DPP]]*11%</f>
        <v>2735890.8648648649</v>
      </c>
      <c r="M25" s="1">
        <f ca="1">KENKO[[#This Row],[DPP]]+KENKO[[#This Row],[PPN (11%)]]</f>
        <v>27607625.999999996</v>
      </c>
      <c r="N25" s="1" t="str">
        <f ca="1">INDEX(PAJAK[ID_P],MATCH(KENKO[[#This Row],[ID]],PAJAK[ID],0))</f>
        <v>KEN_2705_394-10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1025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67</v>
      </c>
      <c r="C26" s="7">
        <f ca="1">HYPERLINK("[NOTA_.xlsx]PAJAK!b"&amp;KENKO[[#This Row],[//PAJAK]],IF(KENKO[[#This Row],[//PAJAK]]="","",INDEX(INDIRECT("PAJAK["&amp;KENKO[#Headers]&amp;"]"),KENKO[[#This Row],[//PAJAK]]-1)))</f>
        <v>171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45075</v>
      </c>
      <c r="F26" s="2">
        <f ca="1">IF(KENKO[[#This Row],[//PAJAK]]="","",INDEX(INDIRECT("PAJAK["&amp;KENKO[#Headers]&amp;"]"),KENKO[[#This Row],[//PAJAK]]-1))</f>
        <v>45072</v>
      </c>
      <c r="G26" s="9" t="str">
        <f ca="1">IF(KENKO[[#This Row],[//PAJAK]]="","",INDEX(INDIRECT("PAJAK["&amp;KENKO[#Headers]&amp;"]"),KENKO[[#This Row],[//PAJAK]]-1))</f>
        <v>23052506</v>
      </c>
      <c r="H26" s="3" t="str">
        <f ca="1">IF(KENKO[[#This Row],[//PAJAK]]="","",INDEX(INDIRECT("PAJAK["&amp;KENKO[#Headers]&amp;"]"),KENKO[[#This Row],[//PAJAK]]-1))</f>
        <v>SA 42011</v>
      </c>
      <c r="I26" s="1">
        <f ca="1">IF(KENKO[[#This Row],[//PAJAK]]="","",INDEX(INDIRECT("PAJAK["&amp;KENKO[#Headers]&amp;"]"),KENKO[[#This Row],[//PAJAK]]-1))</f>
        <v>20947200</v>
      </c>
      <c r="J26" s="1">
        <f ca="1">IF(KENKO[[#This Row],[//PAJAK]]="","",INDEX(INDIRECT("PAJAK["&amp;KENKO[#Headers]&amp;"]"),KENKO[[#This Row],[//PAJAK]]-1))</f>
        <v>3561024</v>
      </c>
      <c r="K26" s="1">
        <f ca="1">(KENKO[[#This Row],[SUB TOTAL]]-KENKO[[#This Row],[DISKON]])/1.11</f>
        <v>15663221.62162162</v>
      </c>
      <c r="L26" s="1">
        <f ca="1">KENKO[[#This Row],[DPP]]*11%</f>
        <v>1722954.3783783782</v>
      </c>
      <c r="M26" s="1">
        <f ca="1">KENKO[[#This Row],[DPP]]+KENKO[[#This Row],[PPN (11%)]]</f>
        <v>17386176</v>
      </c>
      <c r="N26" s="1" t="str">
        <f ca="1">INDEX(PAJAK[ID_P],MATCH(KENKO[[#This Row],[ID]],PAJAK[ID],0))</f>
        <v>KEN_2905_506-9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1035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68</v>
      </c>
      <c r="C27" s="7">
        <f ca="1">HYPERLINK("[NOTA_.xlsx]PAJAK!b"&amp;KENKO[[#This Row],[//PAJAK]],IF(KENKO[[#This Row],[//PAJAK]]="","",INDEX(INDIRECT("PAJAK["&amp;KENKO[#Headers]&amp;"]"),KENKO[[#This Row],[//PAJAK]]-1)))</f>
        <v>172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45075</v>
      </c>
      <c r="F27" s="2">
        <f ca="1">IF(KENKO[[#This Row],[//PAJAK]]="","",INDEX(INDIRECT("PAJAK["&amp;KENKO[#Headers]&amp;"]"),KENKO[[#This Row],[//PAJAK]]-1))</f>
        <v>45072</v>
      </c>
      <c r="G27" s="9" t="str">
        <f ca="1">IF(KENKO[[#This Row],[//PAJAK]]="","",INDEX(INDIRECT("PAJAK["&amp;KENKO[#Headers]&amp;"]"),KENKO[[#This Row],[//PAJAK]]-1))</f>
        <v>23052563</v>
      </c>
      <c r="H27" s="3" t="str">
        <f ca="1">IF(KENKO[[#This Row],[//PAJAK]]="","",INDEX(INDIRECT("PAJAK["&amp;KENKO[#Headers]&amp;"]"),KENKO[[#This Row],[//PAJAK]]-1))</f>
        <v>SA 42041</v>
      </c>
      <c r="I27" s="1">
        <f ca="1">IF(KENKO[[#This Row],[//PAJAK]]="","",INDEX(INDIRECT("PAJAK["&amp;KENKO[#Headers]&amp;"]"),KENKO[[#This Row],[//PAJAK]]-1))</f>
        <v>65734800</v>
      </c>
      <c r="J27" s="1">
        <f ca="1">IF(KENKO[[#This Row],[//PAJAK]]="","",INDEX(INDIRECT("PAJAK["&amp;KENKO[#Headers]&amp;"]"),KENKO[[#This Row],[//PAJAK]]-1))</f>
        <v>11174916</v>
      </c>
      <c r="K27" s="1">
        <f ca="1">(KENKO[[#This Row],[SUB TOTAL]]-KENKO[[#This Row],[DISKON]])/1.11</f>
        <v>49153048.648648642</v>
      </c>
      <c r="L27" s="1">
        <f ca="1">KENKO[[#This Row],[DPP]]*11%</f>
        <v>5406835.3513513505</v>
      </c>
      <c r="M27" s="1">
        <f ca="1">KENKO[[#This Row],[DPP]]+KENKO[[#This Row],[PPN (11%)]]</f>
        <v>54559883.999999993</v>
      </c>
      <c r="N27" s="1" t="str">
        <f ca="1">INDEX(PAJAK[ID_P],MATCH(KENKO[[#This Row],[ID]],PAJAK[ID],0))</f>
        <v>KEN_2905_563-7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1043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69</v>
      </c>
      <c r="C28" s="7">
        <f ca="1">HYPERLINK("[NOTA_.xlsx]PAJAK!b"&amp;KENKO[[#This Row],[//PAJAK]],IF(KENKO[[#This Row],[//PAJAK]]="","",INDEX(INDIRECT("PAJAK["&amp;KENKO[#Headers]&amp;"]"),KENKO[[#This Row],[//PAJAK]]-1)))</f>
        <v>173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45077</v>
      </c>
      <c r="F28" s="2">
        <f ca="1">IF(KENKO[[#This Row],[//PAJAK]]="","",INDEX(INDIRECT("PAJAK["&amp;KENKO[#Headers]&amp;"]"),KENKO[[#This Row],[//PAJAK]]-1))</f>
        <v>45075</v>
      </c>
      <c r="G28" s="9" t="str">
        <f ca="1">IF(KENKO[[#This Row],[//PAJAK]]="","",INDEX(INDIRECT("PAJAK["&amp;KENKO[#Headers]&amp;"]"),KENKO[[#This Row],[//PAJAK]]-1))</f>
        <v>23052797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11211600</v>
      </c>
      <c r="J28" s="1">
        <f ca="1">IF(KENKO[[#This Row],[//PAJAK]]="","",INDEX(INDIRECT("PAJAK["&amp;KENKO[#Headers]&amp;"]"),KENKO[[#This Row],[//PAJAK]]-1))</f>
        <v>1905972</v>
      </c>
      <c r="K28" s="1">
        <f ca="1">(KENKO[[#This Row],[SUB TOTAL]]-KENKO[[#This Row],[DISKON]])/1.11</f>
        <v>8383448.6486486476</v>
      </c>
      <c r="L28" s="1">
        <f ca="1">KENKO[[#This Row],[DPP]]*11%</f>
        <v>922179.35135135124</v>
      </c>
      <c r="M28" s="1">
        <f ca="1">KENKO[[#This Row],[DPP]]+KENKO[[#This Row],[PPN (11%)]]</f>
        <v>9305627.9999999981</v>
      </c>
      <c r="N28" s="1" t="str">
        <f ca="1">INDEX(PAJAK[ID_P],MATCH(KENKO[[#This Row],[ID]],PAJAK[ID],0))</f>
        <v>KEN_3105_797-3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1054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70</v>
      </c>
      <c r="C29" s="7">
        <f ca="1">HYPERLINK("[NOTA_.xlsx]PAJAK!b"&amp;KENKO[[#This Row],[//PAJAK]],IF(KENKO[[#This Row],[//PAJAK]]="","",INDEX(INDIRECT("PAJAK["&amp;KENKO[#Headers]&amp;"]"),KENKO[[#This Row],[//PAJAK]]-1)))</f>
        <v>176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45059</v>
      </c>
      <c r="F29" s="2">
        <f ca="1">IF(KENKO[[#This Row],[//PAJAK]]="","",INDEX(INDIRECT("PAJAK["&amp;KENKO[#Headers]&amp;"]"),KENKO[[#This Row],[//PAJAK]]-1))</f>
        <v>45054</v>
      </c>
      <c r="G29" s="9" t="str">
        <f ca="1">IF(KENKO[[#This Row],[//PAJAK]]="","",INDEX(INDIRECT("PAJAK["&amp;KENKO[#Headers]&amp;"]"),KENKO[[#This Row],[//PAJAK]]-1))</f>
        <v>23050715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78597600</v>
      </c>
      <c r="J29" s="1">
        <f ca="1">IF(KENKO[[#This Row],[//PAJAK]]="","",INDEX(INDIRECT("PAJAK["&amp;KENKO[#Headers]&amp;"]"),KENKO[[#This Row],[//PAJAK]]-1))</f>
        <v>13361592</v>
      </c>
      <c r="K29" s="1">
        <f ca="1">(KENKO[[#This Row],[SUB TOTAL]]-KENKO[[#This Row],[DISKON]])/1.11</f>
        <v>58771178.378378376</v>
      </c>
      <c r="L29" s="1">
        <f ca="1">KENKO[[#This Row],[DPP]]*11%</f>
        <v>6464829.6216216218</v>
      </c>
      <c r="M29" s="1">
        <f ca="1">KENKO[[#This Row],[DPP]]+KENKO[[#This Row],[PPN (11%)]]</f>
        <v>65236008</v>
      </c>
      <c r="N29" s="1" t="str">
        <f ca="1">INDEX(PAJAK[ID_P],MATCH(KENKO[[#This Row],[ID]],PAJAK[ID],0))</f>
        <v>KEN_1305_715-10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1065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71</v>
      </c>
      <c r="C30" s="7">
        <f ca="1">HYPERLINK("[NOTA_.xlsx]PAJAK!b"&amp;KENKO[[#This Row],[//PAJAK]],IF(KENKO[[#This Row],[//PAJAK]]="","",INDEX(INDIRECT("PAJAK["&amp;KENKO[#Headers]&amp;"]"),KENKO[[#This Row],[//PAJAK]]-1)))</f>
        <v>177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45059</v>
      </c>
      <c r="F30" s="2">
        <f ca="1">IF(KENKO[[#This Row],[//PAJAK]]="","",INDEX(INDIRECT("PAJAK["&amp;KENKO[#Headers]&amp;"]"),KENKO[[#This Row],[//PAJAK]]-1))</f>
        <v>45055</v>
      </c>
      <c r="G30" s="9" t="str">
        <f ca="1">IF(KENKO[[#This Row],[//PAJAK]]="","",INDEX(INDIRECT("PAJAK["&amp;KENKO[#Headers]&amp;"]"),KENKO[[#This Row],[//PAJAK]]-1))</f>
        <v>23050786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183157200</v>
      </c>
      <c r="J30" s="1">
        <f ca="1">IF(KENKO[[#This Row],[//PAJAK]]="","",INDEX(INDIRECT("PAJAK["&amp;KENKO[#Headers]&amp;"]"),KENKO[[#This Row],[//PAJAK]]-1))</f>
        <v>31136724</v>
      </c>
      <c r="K30" s="1">
        <f ca="1">(KENKO[[#This Row],[SUB TOTAL]]-KENKO[[#This Row],[DISKON]])/1.11</f>
        <v>136955383.78378376</v>
      </c>
      <c r="L30" s="1">
        <f ca="1">KENKO[[#This Row],[DPP]]*11%</f>
        <v>15065092.216216214</v>
      </c>
      <c r="M30" s="1">
        <f ca="1">KENKO[[#This Row],[DPP]]+KENKO[[#This Row],[PPN (11%)]]</f>
        <v>152020475.99999997</v>
      </c>
      <c r="N30" s="1" t="str">
        <f ca="1">INDEX(PAJAK[ID_P],MATCH(KENKO[[#This Row],[ID]],PAJAK[ID],0))</f>
        <v>KEN_1305_786-8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1074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72</v>
      </c>
      <c r="C31" s="7">
        <f ca="1">HYPERLINK("[NOTA_.xlsx]PAJAK!b"&amp;KENKO[[#This Row],[//PAJAK]],IF(KENKO[[#This Row],[//PAJAK]]="","",INDEX(INDIRECT("PAJAK["&amp;KENKO[#Headers]&amp;"]"),KENKO[[#This Row],[//PAJAK]]-1)))</f>
        <v>178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45059</v>
      </c>
      <c r="F31" s="2">
        <f ca="1">IF(KENKO[[#This Row],[//PAJAK]]="","",INDEX(INDIRECT("PAJAK["&amp;KENKO[#Headers]&amp;"]"),KENKO[[#This Row],[//PAJAK]]-1))</f>
        <v>45055</v>
      </c>
      <c r="G31" s="9" t="str">
        <f ca="1">IF(KENKO[[#This Row],[//PAJAK]]="","",INDEX(INDIRECT("PAJAK["&amp;KENKO[#Headers]&amp;"]"),KENKO[[#This Row],[//PAJAK]]-1))</f>
        <v>23050793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94608000</v>
      </c>
      <c r="J31" s="1">
        <f ca="1">IF(KENKO[[#This Row],[//PAJAK]]="","",INDEX(INDIRECT("PAJAK["&amp;KENKO[#Headers]&amp;"]"),KENKO[[#This Row],[//PAJAK]]-1))</f>
        <v>20009592</v>
      </c>
      <c r="K31" s="1">
        <f ca="1">(KENKO[[#This Row],[SUB TOTAL]]-KENKO[[#This Row],[DISKON]])/1.11</f>
        <v>67205772.972972974</v>
      </c>
      <c r="L31" s="1">
        <f ca="1">KENKO[[#This Row],[DPP]]*11%</f>
        <v>7392635.0270270268</v>
      </c>
      <c r="M31" s="1">
        <f ca="1">KENKO[[#This Row],[DPP]]+KENKO[[#This Row],[PPN (11%)]]</f>
        <v>74598408</v>
      </c>
      <c r="N31" s="1" t="str">
        <f ca="1">INDEX(PAJAK[ID_P],MATCH(KENKO[[#This Row],[ID]],PAJAK[ID],0))</f>
        <v>KEN_1305_793-2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1077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73</v>
      </c>
      <c r="C32" s="7">
        <f ca="1">HYPERLINK("[NOTA_.xlsx]PAJAK!b"&amp;KENKO[[#This Row],[//PAJAK]],IF(KENKO[[#This Row],[//PAJAK]]="","",INDEX(INDIRECT("PAJAK["&amp;KENKO[#Headers]&amp;"]"),KENKO[[#This Row],[//PAJAK]]-1)))</f>
        <v>179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45059</v>
      </c>
      <c r="F32" s="2">
        <f ca="1">IF(KENKO[[#This Row],[//PAJAK]]="","",INDEX(INDIRECT("PAJAK["&amp;KENKO[#Headers]&amp;"]"),KENKO[[#This Row],[//PAJAK]]-1))</f>
        <v>45055</v>
      </c>
      <c r="G32" s="9">
        <f ca="1">IF(KENKO[[#This Row],[//PAJAK]]="","",INDEX(INDIRECT("PAJAK["&amp;KENKO[#Headers]&amp;"]"),KENKO[[#This Row],[//PAJAK]]-1))</f>
        <v>23050811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4500000</v>
      </c>
      <c r="J32" s="1">
        <f ca="1">IF(KENKO[[#This Row],[//PAJAK]]="","",INDEX(INDIRECT("PAJAK["&amp;KENKO[#Headers]&amp;"]"),KENKO[[#This Row],[//PAJAK]]-1))</f>
        <v>765000</v>
      </c>
      <c r="K32" s="1">
        <f ca="1">(KENKO[[#This Row],[SUB TOTAL]]-KENKO[[#This Row],[DISKON]])/1.11</f>
        <v>3364864.8648648644</v>
      </c>
      <c r="L32" s="1">
        <f ca="1">KENKO[[#This Row],[DPP]]*11%</f>
        <v>370135.13513513509</v>
      </c>
      <c r="M32" s="1">
        <f ca="1">KENKO[[#This Row],[DPP]]+KENKO[[#This Row],[PPN (11%)]]</f>
        <v>3734999.9999999995</v>
      </c>
      <c r="N32" s="1" t="str">
        <f ca="1">INDEX(PAJAK[ID_P],MATCH(KENKO[[#This Row],[ID]],PAJAK[ID],0))</f>
        <v>KEN_1305_811-1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1079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74</v>
      </c>
      <c r="C33" s="7">
        <f ca="1">HYPERLINK("[NOTA_.xlsx]PAJAK!b"&amp;KENKO[[#This Row],[//PAJAK]],IF(KENKO[[#This Row],[//PAJAK]]="","",INDEX(INDIRECT("PAJAK["&amp;KENKO[#Headers]&amp;"]"),KENKO[[#This Row],[//PAJAK]]-1)))</f>
        <v>180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45059</v>
      </c>
      <c r="F33" s="2">
        <f ca="1">IF(KENKO[[#This Row],[//PAJAK]]="","",INDEX(INDIRECT("PAJAK["&amp;KENKO[#Headers]&amp;"]"),KENKO[[#This Row],[//PAJAK]]-1))</f>
        <v>45056</v>
      </c>
      <c r="G33" s="9" t="str">
        <f ca="1">IF(KENKO[[#This Row],[//PAJAK]]="","",INDEX(INDIRECT("PAJAK["&amp;KENKO[#Headers]&amp;"]"),KENKO[[#This Row],[//PAJAK]]-1))</f>
        <v>23050951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45666000</v>
      </c>
      <c r="J33" s="1">
        <f ca="1">IF(KENKO[[#This Row],[//PAJAK]]="","",INDEX(INDIRECT("PAJAK["&amp;KENKO[#Headers]&amp;"]"),KENKO[[#This Row],[//PAJAK]]-1))</f>
        <v>7763220.0000000009</v>
      </c>
      <c r="K33" s="1">
        <f ca="1">(KENKO[[#This Row],[SUB TOTAL]]-KENKO[[#This Row],[DISKON]])/1.11</f>
        <v>34146648.648648642</v>
      </c>
      <c r="L33" s="1">
        <f ca="1">KENKO[[#This Row],[DPP]]*11%</f>
        <v>3756131.3513513505</v>
      </c>
      <c r="M33" s="1">
        <f ca="1">KENKO[[#This Row],[DPP]]+KENKO[[#This Row],[PPN (11%)]]</f>
        <v>37902779.999999993</v>
      </c>
      <c r="N33" s="1" t="str">
        <f ca="1">INDEX(PAJAK[ID_P],MATCH(KENKO[[#This Row],[ID]],PAJAK[ID],0))</f>
        <v>KEN_1305_951-4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EXP\BARU\2023\05 MEI\[NOTA 05 MEI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160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HYPERLINK("[NOTA_.xlsx]PAJAK!b"&amp;KALINDO[[#This Row],[//PAJAK]],IF(KALINDO[[#This Row],[//PAJAK]]="","",INDEX(INDIRECT("PAJAK["&amp;KALINDO[#Headers]&amp;"]"),KALINDO[[#This Row],[//PAJAK]]-1)))</f>
        <v>27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45055</v>
      </c>
      <c r="F3" s="2">
        <f ca="1">IF(KALINDO[[#This Row],[//PAJAK]]="","",INDEX(INDIRECT("PAJAK["&amp;KALINDO[#Headers]&amp;"]"),KALINDO[[#This Row],[//PAJAK]]-1))</f>
        <v>45050</v>
      </c>
      <c r="G3" s="7" t="str">
        <f ca="1">IF(KALINDO[[#This Row],[//PAJAK]]="","",INDEX(INDIRECT("PAJAK["&amp;KALINDO[#Headers]&amp;"]"),KALINDO[[#This Row],[//PAJAK]]-1))</f>
        <v>SN23050960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13945468</v>
      </c>
      <c r="J3" s="1">
        <f ca="1">IF(KALINDO[[#This Row],[//PAJAK]]="","",INDEX(PAJAK[DISC DLL],KALINDO[[#This Row],[//PAJAK]]-1))</f>
        <v>1382000</v>
      </c>
      <c r="K3" s="1">
        <f ca="1">(KALINDO[[#This Row],[SUB TOTAL]]-KALINDO[[#This Row],[DISKON]])/1.11</f>
        <v>11318439.639639638</v>
      </c>
      <c r="L3" s="1">
        <f ca="1">KALINDO[[#This Row],[DPP]]*11%</f>
        <v>1245028.3603603602</v>
      </c>
      <c r="M3" s="1">
        <f ca="1">KALINDO[[#This Row],[DPP]]+KALINDO[[#This Row],[PPN (11%)]]</f>
        <v>12563467.999999998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14</v>
      </c>
      <c r="C4" s="12">
        <f ca="1">HYPERLINK("[NOTA_.xlsx]PAJAK!b"&amp;KALINDO[[#This Row],[//PAJAK]],IF(KALINDO[[#This Row],[//PAJAK]]="","",INDEX(INDIRECT("PAJAK["&amp;KALINDO[#Headers]&amp;"]"),KALINDO[[#This Row],[//PAJAK]]-1)))</f>
        <v>45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45058</v>
      </c>
      <c r="F4" s="2">
        <f ca="1">IF(KALINDO[[#This Row],[//PAJAK]]="","",INDEX(INDIRECT("PAJAK["&amp;KALINDO[#Headers]&amp;"]"),KALINDO[[#This Row],[//PAJAK]]-1))</f>
        <v>45054</v>
      </c>
      <c r="G4" s="7" t="str">
        <f ca="1">IF(KALINDO[[#This Row],[//PAJAK]]="","",INDEX(INDIRECT("PAJAK["&amp;KALINDO[#Headers]&amp;"]"),KALINDO[[#This Row],[//PAJAK]]-1))</f>
        <v>SN23051002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11374929.5</v>
      </c>
      <c r="J4" s="1">
        <f ca="1">IF(KALINDO[[#This Row],[//PAJAK]]="","",INDEX(PAJAK[DISC DLL],KALINDO[[#This Row],[//PAJAK]]-1))</f>
        <v>36679.5</v>
      </c>
      <c r="K4" s="1">
        <f ca="1">(KALINDO[[#This Row],[SUB TOTAL]]-KALINDO[[#This Row],[DISKON]])/1.11</f>
        <v>10214639.639639638</v>
      </c>
      <c r="L4" s="1">
        <f ca="1">KALINDO[[#This Row],[DPP]]*11%</f>
        <v>1123610.3603603602</v>
      </c>
      <c r="M4" s="1">
        <f ca="1">KALINDO[[#This Row],[DPP]]+KALINDO[[#This Row],[PPN (11%)]]</f>
        <v>11338249.999999998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D32" sqref="D32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EXP\BARU\2023\05 MEI\[NOTA 05 MEI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1139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80</v>
      </c>
      <c r="C3" s="12">
        <f ca="1">HYPERLINK("[NOTA_.xlsx]PAJAK!b"&amp;J_UTAMA[[#This Row],[//PAJAK]],IF(J_UTAMA[[#This Row],[//PAJAK]]="","",INDEX(INDIRECT("PAJAK["&amp;J_UTAMA[#Headers]&amp;"]"),J_UTAMA[[#This Row],[//PAJAK]]-1)))</f>
        <v>190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45079</v>
      </c>
      <c r="F3" s="2">
        <f ca="1">IF(J_UTAMA[[#This Row],[//PAJAK]]="","",INDEX(INDIRECT("PAJAK["&amp;J_UTAMA[#Headers]&amp;"]"),J_UTAMA[[#This Row],[//PAJAK]]-1))</f>
        <v>45077</v>
      </c>
      <c r="G3" s="15" t="str">
        <f ca="1">IF(J_UTAMA[[#This Row],[//PAJAK]]="","",INDEX(INDIRECT("PAJAK["&amp;J_UTAMA[#Headers]&amp;"]"),J_UTAMA[[#This Row],[//PAJAK]]-1))</f>
        <v>JUE826/23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21024000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18940540.540540539</v>
      </c>
      <c r="L3" s="1">
        <f ca="1">J_UTAMA[[#This Row],[DPP]]*11%</f>
        <v>2083459.4594594592</v>
      </c>
      <c r="M3" s="1">
        <f ca="1">J_UTAMA[[#This Row],[DPP]]+J_UTAMA[[#This Row],[PPN (11%)]]</f>
        <v>21023999.999999996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1148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81</v>
      </c>
      <c r="C4" s="12">
        <f ca="1">HYPERLINK("[NOTA_.xlsx]PAJAK!b"&amp;J_UTAMA[[#This Row],[//PAJAK]],IF(J_UTAMA[[#This Row],[//PAJAK]]="","",INDEX(INDIRECT("PAJAK["&amp;J_UTAMA[#Headers]&amp;"]"),J_UTAMA[[#This Row],[//PAJAK]]-1)))</f>
        <v>191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45079</v>
      </c>
      <c r="F4" s="2">
        <f ca="1">IF(J_UTAMA[[#This Row],[//PAJAK]]="","",INDEX(INDIRECT("PAJAK["&amp;J_UTAMA[#Headers]&amp;"]"),J_UTAMA[[#This Row],[//PAJAK]]-1))</f>
        <v>45077</v>
      </c>
      <c r="G4" t="str">
        <f ca="1">IF(J_UTAMA[[#This Row],[//PAJAK]]="","",INDEX(INDIRECT("PAJAK["&amp;J_UTAMA[#Headers]&amp;"]"),J_UTAMA[[#This Row],[//PAJAK]]-1))</f>
        <v>JUE825/23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30990000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27918918.918918915</v>
      </c>
      <c r="L4" s="1">
        <f ca="1">J_UTAMA[[#This Row],[DPP]]*11%</f>
        <v>3071081.0810810807</v>
      </c>
      <c r="M4" s="1">
        <f ca="1">J_UTAMA[[#This Row],[DPP]]+J_UTAMA[[#This Row],[PPN (11%)]]</f>
        <v>30989999.999999996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149" bestFit="1" customWidth="1"/>
    <col min="9" max="9" width="14" style="149" bestFit="1" customWidth="1"/>
    <col min="10" max="10" width="15.28515625" style="149" bestFit="1" customWidth="1"/>
    <col min="11" max="11" width="16.28515625" style="149" bestFit="1" customWidth="1"/>
    <col min="12" max="12" width="15.28515625" style="14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EXP\BARU\2023\05 MEI\[NOTA 05 MEI 2023.xlsx]SDI</v>
      </c>
      <c r="K1" s="14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50" t="s">
        <v>39</v>
      </c>
      <c r="I2" s="150" t="s">
        <v>40</v>
      </c>
      <c r="J2" s="150" t="s">
        <v>42</v>
      </c>
      <c r="K2" s="150" t="s">
        <v>45</v>
      </c>
      <c r="L2" s="15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48" t="str">
        <f ca="1">IF(SDI[[#This Row],[//PAJAK]]="","",(INDEX(INDIRECT("PAJAK["&amp;SDI[#Headers]&amp;"]"),SDI[[#This Row],[//PAJAK]]-1))-SDI[[#This Row],[H_DISKON]])</f>
        <v/>
      </c>
      <c r="I3" s="148" t="str">
        <f ca="1">IF(SDI[[#This Row],[//PAJAK]]="","",SDI[[#This Row],[H_DISC DLL]])</f>
        <v/>
      </c>
      <c r="J3" s="148" t="e">
        <f ca="1">(SDI[[#This Row],[SUB TOTAL]])/1.11</f>
        <v>#VALUE!</v>
      </c>
      <c r="K3" s="148" t="e">
        <f ca="1">SDI[[#This Row],[DPP]]*11%</f>
        <v>#VALUE!</v>
      </c>
      <c r="L3" s="148" t="e">
        <f ca="1">SDI[[#This Row],[DPP]]+SDI[[#This Row],[PPN (11%)]]</f>
        <v>#VALUE!</v>
      </c>
      <c r="M3" s="148" t="str">
        <f ca="1">IF(SDI[[#This Row],[//PAJAK]]="","",INDEX(PAJAK[DISKON],SDI[[#This Row],[//PAJAK]]-1))</f>
        <v/>
      </c>
      <c r="N3" s="14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49" t="str">
        <f ca="1">IF(SDI[[#This Row],[//PAJAK]]="","",(INDEX(INDIRECT("PAJAK["&amp;SDI[#Headers]&amp;"]"),SDI[[#This Row],[//PAJAK]]-1))-SDI[[#This Row],[H_DISKON]])</f>
        <v/>
      </c>
      <c r="I4" s="149" t="str">
        <f ca="1">IF(SDI[[#This Row],[//PAJAK]]="","",SDI[[#This Row],[H_DISC DLL]])</f>
        <v/>
      </c>
      <c r="J4" s="149" t="e">
        <f ca="1">(SDI[[#This Row],[SUB TOTAL]])/1.11</f>
        <v>#VALUE!</v>
      </c>
      <c r="K4" s="149" t="e">
        <f ca="1">SDI[[#This Row],[DPP]]*11%</f>
        <v>#VALUE!</v>
      </c>
      <c r="L4" s="149" t="e">
        <f ca="1">SDI[[#This Row],[DPP]]+SDI[[#This Row],[PPN (11%)]]</f>
        <v>#VALUE!</v>
      </c>
      <c r="M4" s="149" t="str">
        <f ca="1">IF(SDI[[#This Row],[//PAJAK]]="","",INDEX(PAJAK[DISKON],SDI[[#This Row],[//PAJAK]]-1))</f>
        <v/>
      </c>
      <c r="N4" s="14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49" t="str">
        <f ca="1">IF(SDI[[#This Row],[//PAJAK]]="","",(INDEX(INDIRECT("PAJAK["&amp;SDI[#Headers]&amp;"]"),SDI[[#This Row],[//PAJAK]]-1))-SDI[[#This Row],[H_DISKON]])</f>
        <v/>
      </c>
      <c r="I5" s="149" t="str">
        <f ca="1">IF(SDI[[#This Row],[//PAJAK]]="","",SDI[[#This Row],[H_DISC DLL]])</f>
        <v/>
      </c>
      <c r="J5" s="149" t="e">
        <f ca="1">(SDI[[#This Row],[SUB TOTAL]])/1.11</f>
        <v>#VALUE!</v>
      </c>
      <c r="K5" s="149" t="e">
        <f ca="1">SDI[[#This Row],[DPP]]*11%</f>
        <v>#VALUE!</v>
      </c>
      <c r="L5" s="149" t="e">
        <f ca="1">SDI[[#This Row],[DPP]]+SDI[[#This Row],[PPN (11%)]]</f>
        <v>#VALUE!</v>
      </c>
      <c r="M5" s="149" t="str">
        <f ca="1">IF(SDI[[#This Row],[//PAJAK]]="","",INDEX(PAJAK[DISKON],SDI[[#This Row],[//PAJAK]]-1))</f>
        <v/>
      </c>
      <c r="N5" s="14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49" t="str">
        <f ca="1">IF(SDI[[#This Row],[//PAJAK]]="","",(INDEX(INDIRECT("PAJAK["&amp;SDI[#Headers]&amp;"]"),SDI[[#This Row],[//PAJAK]]-1))-SDI[[#This Row],[H_DISKON]])</f>
        <v/>
      </c>
      <c r="I6" s="149" t="str">
        <f ca="1">IF(SDI[[#This Row],[//PAJAK]]="","",SDI[[#This Row],[H_DISC DLL]])</f>
        <v/>
      </c>
      <c r="J6" s="149" t="e">
        <f ca="1">(SDI[[#This Row],[SUB TOTAL]])/1.11</f>
        <v>#VALUE!</v>
      </c>
      <c r="K6" s="149" t="e">
        <f ca="1">SDI[[#This Row],[DPP]]*11%</f>
        <v>#VALUE!</v>
      </c>
      <c r="L6" s="149" t="e">
        <f ca="1">SDI[[#This Row],[DPP]]+SDI[[#This Row],[PPN (11%)]]</f>
        <v>#VALUE!</v>
      </c>
      <c r="M6" s="149" t="str">
        <f ca="1">IF(SDI[[#This Row],[//PAJAK]]="","",INDEX(PAJAK[DISKON],SDI[[#This Row],[//PAJAK]]-1))</f>
        <v/>
      </c>
      <c r="N6" s="14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49" t="str">
        <f ca="1">IF(SDI[[#This Row],[//PAJAK]]="","",(INDEX(INDIRECT("PAJAK["&amp;SDI[#Headers]&amp;"]"),SDI[[#This Row],[//PAJAK]]-1))-SDI[[#This Row],[H_DISKON]])</f>
        <v/>
      </c>
      <c r="I7" s="149" t="str">
        <f ca="1">IF(SDI[[#This Row],[//PAJAK]]="","",SDI[[#This Row],[H_DISC DLL]])</f>
        <v/>
      </c>
      <c r="J7" s="149" t="e">
        <f ca="1">(SDI[[#This Row],[SUB TOTAL]])/1.11</f>
        <v>#VALUE!</v>
      </c>
      <c r="K7" s="149" t="e">
        <f ca="1">SDI[[#This Row],[DPP]]*11%</f>
        <v>#VALUE!</v>
      </c>
      <c r="L7" s="149" t="e">
        <f ca="1">SDI[[#This Row],[DPP]]+SDI[[#This Row],[PPN (11%)]]</f>
        <v>#VALUE!</v>
      </c>
      <c r="M7" s="149" t="str">
        <f ca="1">IF(SDI[[#This Row],[//PAJAK]]="","",INDEX(PAJAK[DISKON],SDI[[#This Row],[//PAJAK]]-1))</f>
        <v/>
      </c>
      <c r="N7" s="14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49" t="str">
        <f ca="1">IF(SDI[[#This Row],[//PAJAK]]="","",(INDEX(INDIRECT("PAJAK["&amp;SDI[#Headers]&amp;"]"),SDI[[#This Row],[//PAJAK]]-1))-SDI[[#This Row],[H_DISKON]])</f>
        <v/>
      </c>
      <c r="I8" s="149" t="str">
        <f ca="1">IF(SDI[[#This Row],[//PAJAK]]="","",SDI[[#This Row],[H_DISC DLL]])</f>
        <v/>
      </c>
      <c r="J8" s="149" t="e">
        <f ca="1">(SDI[[#This Row],[SUB TOTAL]])/1.11</f>
        <v>#VALUE!</v>
      </c>
      <c r="K8" s="149" t="e">
        <f ca="1">SDI[[#This Row],[DPP]]*11%</f>
        <v>#VALUE!</v>
      </c>
      <c r="L8" s="149" t="e">
        <f ca="1">SDI[[#This Row],[DPP]]+SDI[[#This Row],[PPN (11%)]]</f>
        <v>#VALUE!</v>
      </c>
      <c r="M8" s="149" t="str">
        <f ca="1">IF(SDI[[#This Row],[//PAJAK]]="","",INDEX(PAJAK[DISKON],SDI[[#This Row],[//PAJAK]]-1))</f>
        <v/>
      </c>
      <c r="N8" s="14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49" t="str">
        <f ca="1">IF(SDI[[#This Row],[//PAJAK]]="","",(INDEX(INDIRECT("PAJAK["&amp;SDI[#Headers]&amp;"]"),SDI[[#This Row],[//PAJAK]]-1))-SDI[[#This Row],[H_DISKON]])</f>
        <v/>
      </c>
      <c r="I9" s="149" t="str">
        <f ca="1">IF(SDI[[#This Row],[//PAJAK]]="","",SDI[[#This Row],[H_DISC DLL]])</f>
        <v/>
      </c>
      <c r="J9" s="149" t="e">
        <f ca="1">(SDI[[#This Row],[SUB TOTAL]])/1.11</f>
        <v>#VALUE!</v>
      </c>
      <c r="K9" s="149" t="e">
        <f ca="1">SDI[[#This Row],[DPP]]*11%</f>
        <v>#VALUE!</v>
      </c>
      <c r="L9" s="149" t="e">
        <f ca="1">SDI[[#This Row],[DPP]]+SDI[[#This Row],[PPN (11%)]]</f>
        <v>#VALUE!</v>
      </c>
      <c r="M9" s="149" t="str">
        <f ca="1">IF(SDI[[#This Row],[//PAJAK]]="","",INDEX(PAJAK[DISKON],SDI[[#This Row],[//PAJAK]]-1))</f>
        <v/>
      </c>
      <c r="N9" s="14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49" t="str">
        <f ca="1">IF(SDI[[#This Row],[//PAJAK]]="","",(INDEX(INDIRECT("PAJAK["&amp;SDI[#Headers]&amp;"]"),SDI[[#This Row],[//PAJAK]]-1))-SDI[[#This Row],[H_DISKON]])</f>
        <v/>
      </c>
      <c r="I10" s="149" t="str">
        <f ca="1">IF(SDI[[#This Row],[//PAJAK]]="","",SDI[[#This Row],[H_DISC DLL]])</f>
        <v/>
      </c>
      <c r="J10" s="149" t="e">
        <f ca="1">(SDI[[#This Row],[SUB TOTAL]])/1.11</f>
        <v>#VALUE!</v>
      </c>
      <c r="K10" s="149" t="e">
        <f ca="1">SDI[[#This Row],[DPP]]*11%</f>
        <v>#VALUE!</v>
      </c>
      <c r="L10" s="149" t="e">
        <f ca="1">SDI[[#This Row],[DPP]]+SDI[[#This Row],[PPN (11%)]]</f>
        <v>#VALUE!</v>
      </c>
      <c r="M10" s="149" t="str">
        <f ca="1">IF(SDI[[#This Row],[//PAJAK]]="","",INDEX(PAJAK[DISKON],SDI[[#This Row],[//PAJAK]]-1))</f>
        <v/>
      </c>
      <c r="N10" s="14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49" t="str">
        <f ca="1">IF(SDI[[#This Row],[//PAJAK]]="","",(INDEX(INDIRECT("PAJAK["&amp;SDI[#Headers]&amp;"]"),SDI[[#This Row],[//PAJAK]]-1))-SDI[[#This Row],[H_DISKON]])</f>
        <v/>
      </c>
      <c r="I11" s="149" t="str">
        <f ca="1">IF(SDI[[#This Row],[//PAJAK]]="","",SDI[[#This Row],[H_DISC DLL]])</f>
        <v/>
      </c>
      <c r="J11" s="149" t="e">
        <f ca="1">(SDI[[#This Row],[SUB TOTAL]])/1.11</f>
        <v>#VALUE!</v>
      </c>
      <c r="K11" s="149" t="e">
        <f ca="1">SDI[[#This Row],[DPP]]*11%</f>
        <v>#VALUE!</v>
      </c>
      <c r="L11" s="149" t="e">
        <f ca="1">SDI[[#This Row],[DPP]]+SDI[[#This Row],[PPN (11%)]]</f>
        <v>#VALUE!</v>
      </c>
      <c r="M11" s="149" t="str">
        <f ca="1">IF(SDI[[#This Row],[//PAJAK]]="","",INDEX(PAJAK[DISKON],SDI[[#This Row],[//PAJAK]]-1))</f>
        <v/>
      </c>
      <c r="N11" s="14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EXP\BARU\2023\05 MEI\[NOTA 05 MEI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1084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75</v>
      </c>
      <c r="C3" s="12">
        <f ca="1">HYPERLINK("[NOTA_.xlsx]PAJAK!b"&amp;SAJ[[#This Row],[//PAJAK]],IF(SAJ[[#This Row],[//PAJAK]]="","",INDEX(INDIRECT("PAJAK["&amp;SAJ[#Headers]&amp;"]"),SAJ[[#This Row],[//PAJAK]]-1)))</f>
        <v>181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45080</v>
      </c>
      <c r="F3" s="2">
        <f ca="1">IF(SAJ[[#This Row],[//PAJAK]]="","",INDEX(INDIRECT("PAJAK["&amp;SAJ[#Headers]&amp;"]"),SAJ[[#This Row],[//PAJAK]]-1))</f>
        <v>45072</v>
      </c>
      <c r="G3" s="15" t="str">
        <f ca="1">IF(SAJ[[#This Row],[//PAJAK]]="","",INDEX(INDIRECT("PAJAK["&amp;SAJ[#Headers]&amp;"]"),SAJ[[#This Row],[//PAJAK]]-1))</f>
        <v>JL-52299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17856000</v>
      </c>
      <c r="J3" s="1">
        <f ca="1">IF(SAJ[[#This Row],[//PAJAK]]="","",INDEX(INDIRECT("PAJAK["&amp;SAJ[#Headers]&amp;"]"),SAJ[[#This Row],[//PAJAK]]-1))</f>
        <v>892800</v>
      </c>
      <c r="K3" s="1">
        <f ca="1">(SAJ[[#This Row],[SUB TOTAL]]-SAJ[[#This Row],[DISKON]])/1.11</f>
        <v>15282162.162162161</v>
      </c>
      <c r="L3" s="1">
        <f ca="1">SAJ[[#This Row],[DPP]]*11%</f>
        <v>1681037.8378378376</v>
      </c>
      <c r="M3" s="1">
        <f ca="1">SAJ[[#This Row],[DPP]]+SAJ[[#This Row],[PPN (11%)]]</f>
        <v>16963200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EXP\BARU\2023\05 MEI\[NOTA 05 MEI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557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2">
        <f ca="1">HYPERLINK("[NOTA_.xlsx]PAJAK!b"&amp;MGN[[#This Row],[//PAJAK]],IF(MGN[[#This Row],[//PAJAK]]="","",INDEX(INDIRECT("PAJAK["&amp;MGN[#Headers]&amp;"]"),MGN[[#This Row],[//PAJAK]]-1)))</f>
        <v>100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45066</v>
      </c>
      <c r="F3" s="2">
        <f ca="1">IF(MGN[[#This Row],[//PAJAK]]="","",INDEX(INDIRECT("PAJAK["&amp;MGN[#Headers]&amp;"]"),MGN[[#This Row],[//PAJAK]]-1))</f>
        <v>45062</v>
      </c>
      <c r="G3" s="15" t="str">
        <f ca="1">IF(MGN[[#This Row],[//PAJAK]]="","",INDEX(INDIRECT("PAJAK["&amp;MGN[#Headers]&amp;"]"),MGN[[#This Row],[//PAJAK]]-1))</f>
        <v>L205045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42000000</v>
      </c>
      <c r="J3" s="1">
        <f ca="1">IF(MGN[[#This Row],[//PAJAK]]="","",INDEX(INDIRECT("PAJAK["&amp;MGN[#Headers]&amp;"]"),MGN[[#This Row],[//PAJAK]]-1))</f>
        <v>4200000</v>
      </c>
      <c r="K3" s="1">
        <f ca="1">(MGN[[#This Row],[SUB TOTAL]]-MGN[[#This Row],[DISKON]])/1.11</f>
        <v>34054054.054054052</v>
      </c>
      <c r="L3" s="1">
        <f ca="1">MGN[[#This Row],[DPP]]*11%</f>
        <v>3745945.9459459456</v>
      </c>
      <c r="M3" s="1">
        <f ca="1">MGN[[#This Row],[DPP]]+MGN[[#This Row],[PPN (11%)]]</f>
        <v>37800000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2023-06-03T08:26:00Z</dcterms:modified>
</cp:coreProperties>
</file>