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56" r:id="rId9"/>
  </pivotCaches>
</workbook>
</file>

<file path=xl/calcChain.xml><?xml version="1.0" encoding="utf-8"?>
<calcChain xmlns="http://schemas.openxmlformats.org/spreadsheetml/2006/main">
  <c r="B183" i="1" l="1"/>
  <c r="G183" i="1"/>
  <c r="A183" i="1" s="1"/>
  <c r="AC183" i="1" s="1"/>
  <c r="H183" i="1"/>
  <c r="I183" i="1"/>
  <c r="N183" i="1"/>
  <c r="S183" i="1"/>
  <c r="V183" i="1"/>
  <c r="W183" i="1" s="1"/>
  <c r="X183" i="1"/>
  <c r="Y183" i="1"/>
  <c r="Z183" i="1"/>
  <c r="AA183" i="1"/>
  <c r="AB183" i="1"/>
  <c r="AE183" i="1"/>
  <c r="E21" i="3" l="1"/>
  <c r="B138" i="1" l="1"/>
  <c r="G138" i="1" s="1"/>
  <c r="A138" i="1" s="1"/>
  <c r="AC138" i="1" s="1"/>
  <c r="B139" i="1"/>
  <c r="G139" i="1" s="1"/>
  <c r="A139" i="1" s="1"/>
  <c r="AC139" i="1" s="1"/>
  <c r="H138" i="1"/>
  <c r="H139" i="1"/>
  <c r="I138" i="1"/>
  <c r="I139" i="1"/>
  <c r="N138" i="1"/>
  <c r="N139" i="1"/>
  <c r="V139" i="1"/>
  <c r="W139" i="1" s="1"/>
  <c r="X138" i="1"/>
  <c r="X139" i="1"/>
  <c r="Y139" i="1" s="1"/>
  <c r="Z139" i="1"/>
  <c r="AA139" i="1"/>
  <c r="AB139" i="1"/>
  <c r="S139" i="1" s="1"/>
  <c r="AE138" i="1"/>
  <c r="AE139" i="1"/>
  <c r="Y138" i="1" l="1"/>
  <c r="Z138" i="1"/>
  <c r="AA138" i="1" s="1"/>
  <c r="AB138" i="1" s="1"/>
  <c r="S138" i="1" s="1"/>
  <c r="B129" i="1" l="1"/>
  <c r="G129" i="1" s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Z129" i="1" l="1"/>
  <c r="AA129" i="1" s="1"/>
  <c r="AB129" i="1" s="1"/>
  <c r="S129" i="1" s="1"/>
  <c r="P13" i="1" l="1"/>
  <c r="X13" i="1" s="1"/>
  <c r="J13" i="1"/>
  <c r="B10" i="1"/>
  <c r="B11" i="1"/>
  <c r="B12" i="1"/>
  <c r="B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X11" i="1"/>
  <c r="Y11" i="1" s="1"/>
  <c r="X12" i="1"/>
  <c r="Y10" i="1"/>
  <c r="Y12" i="1"/>
  <c r="AA12" i="1" s="1"/>
  <c r="AB12" i="1" s="1"/>
  <c r="S12" i="1" s="1"/>
  <c r="Z10" i="1"/>
  <c r="Z11" i="1"/>
  <c r="Z12" i="1"/>
  <c r="AA10" i="1"/>
  <c r="AE10" i="1"/>
  <c r="AE11" i="1"/>
  <c r="AE12" i="1"/>
  <c r="AA11" i="1" l="1"/>
  <c r="AB11" i="1" s="1"/>
  <c r="S11" i="1" s="1"/>
  <c r="AB10" i="1"/>
  <c r="S10" i="1" s="1"/>
  <c r="Y13" i="1"/>
  <c r="Z13" i="1"/>
  <c r="AE13" i="1"/>
  <c r="B90" i="1"/>
  <c r="G90" i="1" s="1"/>
  <c r="A90" i="1" s="1"/>
  <c r="AC90" i="1" s="1"/>
  <c r="H90" i="1"/>
  <c r="I90" i="1"/>
  <c r="X90" i="1"/>
  <c r="Y90" i="1" s="1"/>
  <c r="AE90" i="1"/>
  <c r="AA13" i="1" l="1"/>
  <c r="AB13" i="1" s="1"/>
  <c r="S13" i="1" s="1"/>
  <c r="Z90" i="1"/>
  <c r="AA90" i="1" s="1"/>
  <c r="AB90" i="1" s="1"/>
  <c r="S90" i="1" s="1"/>
  <c r="AE64" i="1" l="1"/>
  <c r="AE63" i="1"/>
  <c r="AE62" i="1"/>
  <c r="AE61" i="1"/>
  <c r="AE60" i="1"/>
  <c r="AE59" i="1"/>
  <c r="AE58" i="1"/>
  <c r="AB64" i="1"/>
  <c r="S64" i="1" s="1"/>
  <c r="AB60" i="1"/>
  <c r="S60" i="1" s="1"/>
  <c r="AB58" i="1"/>
  <c r="S58" i="1" s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0" i="1"/>
  <c r="I58" i="1"/>
  <c r="H64" i="1"/>
  <c r="H63" i="1"/>
  <c r="H62" i="1"/>
  <c r="H61" i="1"/>
  <c r="H60" i="1"/>
  <c r="H59" i="1"/>
  <c r="H58" i="1"/>
  <c r="B64" i="1"/>
  <c r="G64" i="1" s="1"/>
  <c r="A64" i="1" s="1"/>
  <c r="AC64" i="1" s="1"/>
  <c r="B63" i="1"/>
  <c r="G63" i="1" s="1"/>
  <c r="A63" i="1" s="1"/>
  <c r="AC63" i="1" s="1"/>
  <c r="B62" i="1"/>
  <c r="G62" i="1" s="1"/>
  <c r="A62" i="1" s="1"/>
  <c r="AC62" i="1" s="1"/>
  <c r="B60" i="1"/>
  <c r="G60" i="1" s="1"/>
  <c r="A60" i="1" s="1"/>
  <c r="AC60" i="1" s="1"/>
  <c r="B58" i="1"/>
  <c r="G58" i="1" s="1"/>
  <c r="A58" i="1" s="1"/>
  <c r="AC58" i="1" s="1"/>
  <c r="A67" i="1"/>
  <c r="AC67" i="1" s="1"/>
  <c r="B67" i="1"/>
  <c r="I67" i="1"/>
  <c r="V67" i="1"/>
  <c r="W67" i="1" s="1"/>
  <c r="X67" i="1"/>
  <c r="Y67" i="1" s="1"/>
  <c r="AA67" i="1"/>
  <c r="AB67" i="1"/>
  <c r="S67" i="1" s="1"/>
  <c r="AE67" i="1"/>
  <c r="E20" i="3"/>
  <c r="Y58" i="1" l="1"/>
  <c r="Y61" i="1"/>
  <c r="AA61" i="1" s="1"/>
  <c r="AB61" i="1" s="1"/>
  <c r="S61" i="1" s="1"/>
  <c r="Y59" i="1"/>
  <c r="AA59" i="1" s="1"/>
  <c r="AB59" i="1" s="1"/>
  <c r="S59" i="1" s="1"/>
  <c r="Y63" i="1"/>
  <c r="AA63" i="1" s="1"/>
  <c r="AB63" i="1" s="1"/>
  <c r="S63" i="1" s="1"/>
  <c r="Z60" i="1"/>
  <c r="Z62" i="1"/>
  <c r="AA62" i="1" s="1"/>
  <c r="AB62" i="1" s="1"/>
  <c r="S62" i="1" s="1"/>
  <c r="Z64" i="1"/>
  <c r="Z67" i="1"/>
  <c r="B14" i="1" l="1"/>
  <c r="G14" i="1" s="1"/>
  <c r="A14" i="1" s="1"/>
  <c r="AC14" i="1" s="1"/>
  <c r="H14" i="1"/>
  <c r="I14" i="1"/>
  <c r="X14" i="1"/>
  <c r="Y14" i="1" s="1"/>
  <c r="AA14" i="1"/>
  <c r="AB14" i="1"/>
  <c r="S14" i="1" s="1"/>
  <c r="AE14" i="1"/>
  <c r="Z14" i="1" l="1"/>
  <c r="H45" i="1"/>
  <c r="B6" i="1" l="1"/>
  <c r="G6" i="1" s="1"/>
  <c r="A6" i="1" s="1"/>
  <c r="AC6" i="1" s="1"/>
  <c r="H6" i="1"/>
  <c r="I6" i="1"/>
  <c r="V6" i="1"/>
  <c r="W6" i="1" s="1"/>
  <c r="X6" i="1"/>
  <c r="Y6" i="1" s="1"/>
  <c r="AA6" i="1"/>
  <c r="AB6" i="1"/>
  <c r="S6" i="1" s="1"/>
  <c r="AE6" i="1"/>
  <c r="Z6" i="1" l="1"/>
  <c r="B41" i="1"/>
  <c r="G41" i="1" s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S40" i="1" s="1"/>
  <c r="Z41" i="1"/>
  <c r="AA41" i="1" s="1"/>
  <c r="AB41" i="1" s="1"/>
  <c r="S41" i="1" s="1"/>
  <c r="I3" i="1"/>
  <c r="I5" i="1"/>
  <c r="I8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9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2" i="1"/>
  <c r="I103" i="1"/>
  <c r="I105" i="1"/>
  <c r="I106" i="1"/>
  <c r="I107" i="1"/>
  <c r="I108" i="1"/>
  <c r="I109" i="1"/>
  <c r="I111" i="1"/>
  <c r="I113" i="1"/>
  <c r="I114" i="1"/>
  <c r="I115" i="1"/>
  <c r="I117" i="1"/>
  <c r="I118" i="1"/>
  <c r="I120" i="1"/>
  <c r="I121" i="1"/>
  <c r="I122" i="1"/>
  <c r="I124" i="1"/>
  <c r="I125" i="1"/>
  <c r="I126" i="1"/>
  <c r="I127" i="1"/>
  <c r="I128" i="1"/>
  <c r="I130" i="1"/>
  <c r="I131" i="1"/>
  <c r="I132" i="1"/>
  <c r="I133" i="1"/>
  <c r="I135" i="1"/>
  <c r="I137" i="1"/>
  <c r="I141" i="1"/>
  <c r="I142" i="1"/>
  <c r="I144" i="1"/>
  <c r="I145" i="1"/>
  <c r="I146" i="1"/>
  <c r="I147" i="1"/>
  <c r="I148" i="1"/>
  <c r="I150" i="1"/>
  <c r="I151" i="1"/>
  <c r="I153" i="1"/>
  <c r="I155" i="1"/>
  <c r="I157" i="1"/>
  <c r="I158" i="1"/>
  <c r="I159" i="1"/>
  <c r="I160" i="1"/>
  <c r="I162" i="1"/>
  <c r="I164" i="1"/>
  <c r="I165" i="1"/>
  <c r="I167" i="1"/>
  <c r="I168" i="1"/>
  <c r="I170" i="1"/>
  <c r="I172" i="1"/>
  <c r="I173" i="1"/>
  <c r="I174" i="1"/>
  <c r="I175" i="1"/>
  <c r="I176" i="1"/>
  <c r="I177" i="1"/>
  <c r="I178" i="1"/>
  <c r="I179" i="1"/>
  <c r="I180" i="1"/>
  <c r="I181" i="1"/>
  <c r="I182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A1" i="1" l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0" i="1"/>
  <c r="AA168" i="1"/>
  <c r="AA142" i="1"/>
  <c r="AA111" i="1"/>
  <c r="AA85" i="1"/>
  <c r="E19" i="3" l="1"/>
  <c r="E18" i="3"/>
  <c r="E17" i="3"/>
  <c r="I53" i="1" s="1"/>
  <c r="E16" i="3"/>
  <c r="E15" i="3"/>
  <c r="E14" i="3"/>
  <c r="I169" i="1" s="1"/>
  <c r="E13" i="3"/>
  <c r="I154" i="1" s="1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D79" i="2"/>
  <c r="J69" i="2"/>
  <c r="J107" i="2" s="1"/>
  <c r="D41" i="2"/>
  <c r="C1" i="2"/>
  <c r="AE227" i="1"/>
  <c r="AB227" i="1"/>
  <c r="S227" i="1" s="1"/>
  <c r="X227" i="1"/>
  <c r="V227" i="1"/>
  <c r="W227" i="1" s="1"/>
  <c r="H227" i="1"/>
  <c r="B227" i="1"/>
  <c r="G227" i="1" s="1"/>
  <c r="A227" i="1" s="1"/>
  <c r="AC227" i="1" s="1"/>
  <c r="AE226" i="1"/>
  <c r="AB226" i="1"/>
  <c r="S226" i="1" s="1"/>
  <c r="X226" i="1"/>
  <c r="V226" i="1"/>
  <c r="W226" i="1" s="1"/>
  <c r="H226" i="1"/>
  <c r="B226" i="1"/>
  <c r="G226" i="1" s="1"/>
  <c r="A226" i="1" s="1"/>
  <c r="AC226" i="1" s="1"/>
  <c r="AE225" i="1"/>
  <c r="AB225" i="1"/>
  <c r="S225" i="1" s="1"/>
  <c r="X225" i="1"/>
  <c r="V225" i="1"/>
  <c r="W225" i="1" s="1"/>
  <c r="H225" i="1"/>
  <c r="B225" i="1"/>
  <c r="G225" i="1" s="1"/>
  <c r="A225" i="1" s="1"/>
  <c r="AC225" i="1" s="1"/>
  <c r="AE224" i="1"/>
  <c r="AB224" i="1"/>
  <c r="S224" i="1" s="1"/>
  <c r="X224" i="1"/>
  <c r="V224" i="1"/>
  <c r="W224" i="1" s="1"/>
  <c r="H224" i="1"/>
  <c r="B224" i="1"/>
  <c r="G224" i="1" s="1"/>
  <c r="A224" i="1" s="1"/>
  <c r="AC224" i="1" s="1"/>
  <c r="AE223" i="1"/>
  <c r="AB223" i="1"/>
  <c r="S223" i="1" s="1"/>
  <c r="X223" i="1"/>
  <c r="V223" i="1"/>
  <c r="W223" i="1" s="1"/>
  <c r="H223" i="1"/>
  <c r="B223" i="1"/>
  <c r="G223" i="1" s="1"/>
  <c r="A223" i="1" s="1"/>
  <c r="AC223" i="1" s="1"/>
  <c r="AE222" i="1"/>
  <c r="AB222" i="1"/>
  <c r="S222" i="1" s="1"/>
  <c r="X222" i="1"/>
  <c r="V222" i="1"/>
  <c r="W222" i="1" s="1"/>
  <c r="H222" i="1"/>
  <c r="B222" i="1"/>
  <c r="G222" i="1" s="1"/>
  <c r="A222" i="1" s="1"/>
  <c r="AC222" i="1" s="1"/>
  <c r="AE221" i="1"/>
  <c r="AB221" i="1"/>
  <c r="S221" i="1" s="1"/>
  <c r="X221" i="1"/>
  <c r="V221" i="1"/>
  <c r="W221" i="1" s="1"/>
  <c r="H221" i="1"/>
  <c r="B221" i="1"/>
  <c r="G221" i="1" s="1"/>
  <c r="A221" i="1" s="1"/>
  <c r="AC221" i="1" s="1"/>
  <c r="AE220" i="1"/>
  <c r="AB220" i="1"/>
  <c r="S220" i="1" s="1"/>
  <c r="X220" i="1"/>
  <c r="V220" i="1"/>
  <c r="W220" i="1" s="1"/>
  <c r="H220" i="1"/>
  <c r="B220" i="1"/>
  <c r="G220" i="1" s="1"/>
  <c r="A220" i="1" s="1"/>
  <c r="AC220" i="1" s="1"/>
  <c r="AE219" i="1"/>
  <c r="AB219" i="1"/>
  <c r="S219" i="1" s="1"/>
  <c r="X219" i="1"/>
  <c r="V219" i="1"/>
  <c r="W219" i="1" s="1"/>
  <c r="H219" i="1"/>
  <c r="B219" i="1"/>
  <c r="G219" i="1" s="1"/>
  <c r="A219" i="1" s="1"/>
  <c r="AC219" i="1" s="1"/>
  <c r="AE218" i="1"/>
  <c r="AB218" i="1"/>
  <c r="S218" i="1" s="1"/>
  <c r="X218" i="1"/>
  <c r="V218" i="1"/>
  <c r="W218" i="1" s="1"/>
  <c r="H218" i="1"/>
  <c r="B218" i="1"/>
  <c r="G218" i="1" s="1"/>
  <c r="A218" i="1" s="1"/>
  <c r="AC218" i="1" s="1"/>
  <c r="AE217" i="1"/>
  <c r="AB217" i="1"/>
  <c r="S217" i="1" s="1"/>
  <c r="X217" i="1"/>
  <c r="V217" i="1"/>
  <c r="W217" i="1" s="1"/>
  <c r="H217" i="1"/>
  <c r="B217" i="1"/>
  <c r="G217" i="1" s="1"/>
  <c r="A217" i="1" s="1"/>
  <c r="AC217" i="1" s="1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AE182" i="1"/>
  <c r="X182" i="1"/>
  <c r="H182" i="1"/>
  <c r="B182" i="1"/>
  <c r="G182" i="1" s="1"/>
  <c r="A182" i="1" s="1"/>
  <c r="AC182" i="1" s="1"/>
  <c r="AE181" i="1"/>
  <c r="X181" i="1"/>
  <c r="V181" i="1"/>
  <c r="H181" i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X179" i="1"/>
  <c r="H179" i="1"/>
  <c r="B179" i="1"/>
  <c r="G179" i="1" s="1"/>
  <c r="A179" i="1" s="1"/>
  <c r="AC179" i="1" s="1"/>
  <c r="AE178" i="1"/>
  <c r="X178" i="1"/>
  <c r="H178" i="1"/>
  <c r="AE177" i="1"/>
  <c r="X177" i="1"/>
  <c r="H177" i="1"/>
  <c r="B177" i="1"/>
  <c r="G177" i="1" s="1"/>
  <c r="A177" i="1" s="1"/>
  <c r="AC177" i="1" s="1"/>
  <c r="AE176" i="1"/>
  <c r="X176" i="1"/>
  <c r="H176" i="1"/>
  <c r="AE175" i="1"/>
  <c r="X175" i="1"/>
  <c r="H175" i="1"/>
  <c r="B175" i="1"/>
  <c r="G175" i="1" s="1"/>
  <c r="A175" i="1" s="1"/>
  <c r="AE174" i="1"/>
  <c r="X174" i="1"/>
  <c r="H174" i="1"/>
  <c r="AE173" i="1"/>
  <c r="X173" i="1"/>
  <c r="H173" i="1"/>
  <c r="B173" i="1"/>
  <c r="G173" i="1" s="1"/>
  <c r="A173" i="1" s="1"/>
  <c r="AC173" i="1" s="1"/>
  <c r="AE172" i="1"/>
  <c r="X172" i="1"/>
  <c r="H172" i="1"/>
  <c r="B172" i="1"/>
  <c r="G172" i="1" s="1"/>
  <c r="A172" i="1" s="1"/>
  <c r="AE171" i="1"/>
  <c r="X171" i="1"/>
  <c r="H171" i="1"/>
  <c r="AE170" i="1"/>
  <c r="X170" i="1"/>
  <c r="H170" i="1"/>
  <c r="B170" i="1"/>
  <c r="G170" i="1" s="1"/>
  <c r="A170" i="1" s="1"/>
  <c r="AC170" i="1" s="1"/>
  <c r="AE169" i="1"/>
  <c r="X169" i="1"/>
  <c r="H169" i="1"/>
  <c r="AE168" i="1"/>
  <c r="AB168" i="1"/>
  <c r="S168" i="1" s="1"/>
  <c r="X168" i="1"/>
  <c r="V168" i="1"/>
  <c r="W168" i="1" s="1"/>
  <c r="H168" i="1"/>
  <c r="B168" i="1"/>
  <c r="G168" i="1" s="1"/>
  <c r="A168" i="1" s="1"/>
  <c r="AC168" i="1" s="1"/>
  <c r="AE167" i="1"/>
  <c r="X167" i="1"/>
  <c r="H167" i="1"/>
  <c r="AE166" i="1"/>
  <c r="X166" i="1"/>
  <c r="H166" i="1"/>
  <c r="AE165" i="1"/>
  <c r="X165" i="1"/>
  <c r="H165" i="1"/>
  <c r="B165" i="1"/>
  <c r="G165" i="1" s="1"/>
  <c r="A165" i="1" s="1"/>
  <c r="AC165" i="1" s="1"/>
  <c r="AE164" i="1"/>
  <c r="X164" i="1"/>
  <c r="H164" i="1"/>
  <c r="B164" i="1"/>
  <c r="G164" i="1" s="1"/>
  <c r="A164" i="1" s="1"/>
  <c r="AC164" i="1" s="1"/>
  <c r="AE163" i="1"/>
  <c r="X163" i="1"/>
  <c r="H163" i="1"/>
  <c r="AE162" i="1"/>
  <c r="X162" i="1"/>
  <c r="H162" i="1"/>
  <c r="AE161" i="1"/>
  <c r="X161" i="1"/>
  <c r="H161" i="1"/>
  <c r="AE160" i="1"/>
  <c r="X160" i="1"/>
  <c r="H160" i="1"/>
  <c r="AE159" i="1"/>
  <c r="X159" i="1"/>
  <c r="H159" i="1"/>
  <c r="B159" i="1"/>
  <c r="G159" i="1" s="1"/>
  <c r="A159" i="1" s="1"/>
  <c r="AC159" i="1" s="1"/>
  <c r="AE158" i="1"/>
  <c r="X158" i="1"/>
  <c r="H158" i="1"/>
  <c r="AE157" i="1"/>
  <c r="X157" i="1"/>
  <c r="H157" i="1"/>
  <c r="B157" i="1"/>
  <c r="G157" i="1" s="1"/>
  <c r="A157" i="1" s="1"/>
  <c r="AC157" i="1" s="1"/>
  <c r="AE156" i="1"/>
  <c r="X156" i="1"/>
  <c r="H156" i="1"/>
  <c r="AE155" i="1"/>
  <c r="X155" i="1"/>
  <c r="H155" i="1"/>
  <c r="B155" i="1"/>
  <c r="G155" i="1" s="1"/>
  <c r="A155" i="1" s="1"/>
  <c r="AC155" i="1" s="1"/>
  <c r="AE154" i="1"/>
  <c r="X154" i="1"/>
  <c r="H154" i="1"/>
  <c r="AE153" i="1"/>
  <c r="X153" i="1"/>
  <c r="H153" i="1"/>
  <c r="AE152" i="1"/>
  <c r="X152" i="1"/>
  <c r="H152" i="1"/>
  <c r="AE151" i="1"/>
  <c r="X151" i="1"/>
  <c r="H151" i="1"/>
  <c r="B151" i="1"/>
  <c r="G151" i="1" s="1"/>
  <c r="A151" i="1" s="1"/>
  <c r="AC151" i="1" s="1"/>
  <c r="AE150" i="1"/>
  <c r="X150" i="1"/>
  <c r="H150" i="1"/>
  <c r="B150" i="1"/>
  <c r="G150" i="1" s="1"/>
  <c r="A150" i="1" s="1"/>
  <c r="AC150" i="1" s="1"/>
  <c r="AE149" i="1"/>
  <c r="X149" i="1"/>
  <c r="H149" i="1"/>
  <c r="AE148" i="1"/>
  <c r="X148" i="1"/>
  <c r="H148" i="1"/>
  <c r="B148" i="1"/>
  <c r="G148" i="1" s="1"/>
  <c r="A148" i="1" s="1"/>
  <c r="AC148" i="1" s="1"/>
  <c r="AE147" i="1"/>
  <c r="X147" i="1"/>
  <c r="H147" i="1"/>
  <c r="AE146" i="1"/>
  <c r="X146" i="1"/>
  <c r="H146" i="1"/>
  <c r="B146" i="1"/>
  <c r="G146" i="1" s="1"/>
  <c r="A146" i="1" s="1"/>
  <c r="AC146" i="1" s="1"/>
  <c r="AE145" i="1"/>
  <c r="X145" i="1"/>
  <c r="H145" i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AE137" i="1"/>
  <c r="X137" i="1"/>
  <c r="H137" i="1"/>
  <c r="B137" i="1"/>
  <c r="G137" i="1" s="1"/>
  <c r="A137" i="1" s="1"/>
  <c r="AC137" i="1" s="1"/>
  <c r="AE136" i="1"/>
  <c r="X136" i="1"/>
  <c r="H136" i="1"/>
  <c r="AE135" i="1"/>
  <c r="X135" i="1"/>
  <c r="H135" i="1"/>
  <c r="B135" i="1"/>
  <c r="G135" i="1" s="1"/>
  <c r="A135" i="1" s="1"/>
  <c r="AC135" i="1" s="1"/>
  <c r="AE134" i="1"/>
  <c r="X134" i="1"/>
  <c r="H134" i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AE122" i="1"/>
  <c r="X122" i="1"/>
  <c r="H122" i="1"/>
  <c r="B122" i="1"/>
  <c r="G122" i="1" s="1"/>
  <c r="A122" i="1" s="1"/>
  <c r="AC122" i="1" s="1"/>
  <c r="AE121" i="1"/>
  <c r="X121" i="1"/>
  <c r="H121" i="1"/>
  <c r="AE120" i="1"/>
  <c r="X120" i="1"/>
  <c r="H120" i="1"/>
  <c r="B120" i="1"/>
  <c r="G120" i="1" s="1"/>
  <c r="A120" i="1" s="1"/>
  <c r="AC120" i="1" s="1"/>
  <c r="AE119" i="1"/>
  <c r="X119" i="1"/>
  <c r="H119" i="1"/>
  <c r="AE118" i="1"/>
  <c r="X118" i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AE115" i="1"/>
  <c r="X115" i="1"/>
  <c r="H115" i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AE111" i="1"/>
  <c r="AB111" i="1"/>
  <c r="S111" i="1" s="1"/>
  <c r="X111" i="1"/>
  <c r="V111" i="1"/>
  <c r="W111" i="1" s="1"/>
  <c r="H111" i="1"/>
  <c r="B111" i="1"/>
  <c r="G111" i="1" s="1"/>
  <c r="A111" i="1" s="1"/>
  <c r="AC111" i="1" s="1"/>
  <c r="AE110" i="1"/>
  <c r="X110" i="1"/>
  <c r="H110" i="1"/>
  <c r="AE109" i="1"/>
  <c r="X109" i="1"/>
  <c r="H109" i="1"/>
  <c r="B109" i="1"/>
  <c r="G109" i="1" s="1"/>
  <c r="A109" i="1" s="1"/>
  <c r="AC109" i="1" s="1"/>
  <c r="AE108" i="1"/>
  <c r="X108" i="1"/>
  <c r="H108" i="1"/>
  <c r="AE107" i="1"/>
  <c r="X107" i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X100" i="1"/>
  <c r="H100" i="1"/>
  <c r="B100" i="1"/>
  <c r="G100" i="1" s="1"/>
  <c r="A100" i="1" s="1"/>
  <c r="AC100" i="1" s="1"/>
  <c r="AE99" i="1"/>
  <c r="X99" i="1"/>
  <c r="H99" i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H91" i="1"/>
  <c r="B91" i="1"/>
  <c r="G91" i="1" s="1"/>
  <c r="A91" i="1" s="1"/>
  <c r="AC91" i="1" s="1"/>
  <c r="AE89" i="1"/>
  <c r="X89" i="1"/>
  <c r="H89" i="1"/>
  <c r="B89" i="1"/>
  <c r="G89" i="1" s="1"/>
  <c r="A89" i="1" s="1"/>
  <c r="AC89" i="1" s="1"/>
  <c r="AE88" i="1"/>
  <c r="X88" i="1"/>
  <c r="H88" i="1"/>
  <c r="AE87" i="1"/>
  <c r="X87" i="1"/>
  <c r="H87" i="1"/>
  <c r="B87" i="1"/>
  <c r="G87" i="1" s="1"/>
  <c r="A87" i="1" s="1"/>
  <c r="AC87" i="1" s="1"/>
  <c r="AE86" i="1"/>
  <c r="X86" i="1"/>
  <c r="H86" i="1"/>
  <c r="AE85" i="1"/>
  <c r="AB85" i="1"/>
  <c r="S85" i="1" s="1"/>
  <c r="X85" i="1"/>
  <c r="V85" i="1"/>
  <c r="W85" i="1" s="1"/>
  <c r="H85" i="1"/>
  <c r="B85" i="1"/>
  <c r="G85" i="1" s="1"/>
  <c r="A85" i="1" s="1"/>
  <c r="AC85" i="1" s="1"/>
  <c r="AE84" i="1"/>
  <c r="X84" i="1"/>
  <c r="H84" i="1"/>
  <c r="B84" i="1"/>
  <c r="G84" i="1" s="1"/>
  <c r="A84" i="1" s="1"/>
  <c r="AC84" i="1" s="1"/>
  <c r="AE83" i="1"/>
  <c r="X83" i="1"/>
  <c r="H83" i="1"/>
  <c r="AE82" i="1"/>
  <c r="X82" i="1"/>
  <c r="H82" i="1"/>
  <c r="B82" i="1"/>
  <c r="G82" i="1" s="1"/>
  <c r="A82" i="1" s="1"/>
  <c r="AC82" i="1" s="1"/>
  <c r="AE81" i="1"/>
  <c r="X81" i="1"/>
  <c r="H81" i="1"/>
  <c r="AE80" i="1"/>
  <c r="X80" i="1"/>
  <c r="H80" i="1"/>
  <c r="AE79" i="1"/>
  <c r="X79" i="1"/>
  <c r="H79" i="1"/>
  <c r="B79" i="1"/>
  <c r="G79" i="1" s="1"/>
  <c r="A79" i="1" s="1"/>
  <c r="AC79" i="1" s="1"/>
  <c r="AE78" i="1"/>
  <c r="X78" i="1"/>
  <c r="H78" i="1"/>
  <c r="AE77" i="1"/>
  <c r="X77" i="1"/>
  <c r="H77" i="1"/>
  <c r="B77" i="1"/>
  <c r="G77" i="1" s="1"/>
  <c r="A77" i="1" s="1"/>
  <c r="AC77" i="1" s="1"/>
  <c r="AE76" i="1"/>
  <c r="X76" i="1"/>
  <c r="H76" i="1"/>
  <c r="B76" i="1"/>
  <c r="G76" i="1" s="1"/>
  <c r="A76" i="1" s="1"/>
  <c r="AC76" i="1" s="1"/>
  <c r="AE75" i="1"/>
  <c r="X75" i="1"/>
  <c r="H75" i="1"/>
  <c r="AE74" i="1"/>
  <c r="X74" i="1"/>
  <c r="H74" i="1"/>
  <c r="B74" i="1"/>
  <c r="G74" i="1" s="1"/>
  <c r="A74" i="1" s="1"/>
  <c r="AC74" i="1" s="1"/>
  <c r="AE73" i="1"/>
  <c r="X73" i="1"/>
  <c r="H73" i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B69" i="1"/>
  <c r="G69" i="1" s="1"/>
  <c r="A69" i="1" s="1"/>
  <c r="AC69" i="1" s="1"/>
  <c r="AE68" i="1"/>
  <c r="X68" i="1"/>
  <c r="H68" i="1"/>
  <c r="AE66" i="1"/>
  <c r="X66" i="1"/>
  <c r="H66" i="1"/>
  <c r="B66" i="1"/>
  <c r="G66" i="1" s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B37" i="1"/>
  <c r="G37" i="1" s="1"/>
  <c r="A37" i="1" s="1"/>
  <c r="AE36" i="1"/>
  <c r="X36" i="1"/>
  <c r="H36" i="1"/>
  <c r="AE35" i="1"/>
  <c r="X35" i="1"/>
  <c r="H35" i="1"/>
  <c r="B35" i="1"/>
  <c r="G35" i="1" s="1"/>
  <c r="A35" i="1" s="1"/>
  <c r="AC35" i="1" s="1"/>
  <c r="AE34" i="1"/>
  <c r="X34" i="1"/>
  <c r="H34" i="1"/>
  <c r="AE33" i="1"/>
  <c r="X33" i="1"/>
  <c r="H33" i="1"/>
  <c r="B33" i="1"/>
  <c r="G33" i="1" s="1"/>
  <c r="A33" i="1" s="1"/>
  <c r="AC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B30" i="1"/>
  <c r="G30" i="1" s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B21" i="1"/>
  <c r="G21" i="1" s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75" i="1"/>
  <c r="V173" i="1"/>
  <c r="V182" i="1"/>
  <c r="I51" i="1" l="1"/>
  <c r="I9" i="1"/>
  <c r="I134" i="1"/>
  <c r="I59" i="1"/>
  <c r="I161" i="1"/>
  <c r="I80" i="1"/>
  <c r="I99" i="1"/>
  <c r="I123" i="1"/>
  <c r="I140" i="1"/>
  <c r="I166" i="1"/>
  <c r="I143" i="1"/>
  <c r="I119" i="1"/>
  <c r="I61" i="1"/>
  <c r="I104" i="1"/>
  <c r="I110" i="1"/>
  <c r="I112" i="1"/>
  <c r="I171" i="1"/>
  <c r="I86" i="1"/>
  <c r="I136" i="1"/>
  <c r="I116" i="1"/>
  <c r="I149" i="1"/>
  <c r="I163" i="1"/>
  <c r="I78" i="1"/>
  <c r="I101" i="1"/>
  <c r="I152" i="1"/>
  <c r="I156" i="1"/>
  <c r="I43" i="1"/>
  <c r="I7" i="1"/>
  <c r="I27" i="1"/>
  <c r="I18" i="1"/>
  <c r="I15" i="1"/>
  <c r="I57" i="1"/>
  <c r="I4" i="1"/>
  <c r="B4" i="1"/>
  <c r="G4" i="1" s="1"/>
  <c r="A4" i="1" s="1"/>
  <c r="V4" i="1" s="1"/>
  <c r="G3" i="1"/>
  <c r="A3" i="1" s="1"/>
  <c r="B38" i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S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Z136" i="1"/>
  <c r="Y136" i="1"/>
  <c r="Z140" i="1"/>
  <c r="Y140" i="1"/>
  <c r="Y143" i="1"/>
  <c r="Z143" i="1"/>
  <c r="Z144" i="1"/>
  <c r="Y144" i="1"/>
  <c r="AA144" i="1" s="1"/>
  <c r="AB144" i="1" s="1"/>
  <c r="S144" i="1" s="1"/>
  <c r="Y147" i="1"/>
  <c r="Z147" i="1"/>
  <c r="Z149" i="1"/>
  <c r="Y149" i="1"/>
  <c r="Y151" i="1"/>
  <c r="Z151" i="1"/>
  <c r="Z152" i="1"/>
  <c r="Y152" i="1"/>
  <c r="Z154" i="1"/>
  <c r="Y154" i="1"/>
  <c r="Z156" i="1"/>
  <c r="Y156" i="1"/>
  <c r="AA156" i="1" s="1"/>
  <c r="Z157" i="1"/>
  <c r="Y157" i="1"/>
  <c r="AA157" i="1" s="1"/>
  <c r="AB157" i="1" s="1"/>
  <c r="S157" i="1" s="1"/>
  <c r="Z160" i="1"/>
  <c r="Y160" i="1"/>
  <c r="AA160" i="1" s="1"/>
  <c r="Z161" i="1"/>
  <c r="Y161" i="1"/>
  <c r="Y163" i="1"/>
  <c r="Z163" i="1"/>
  <c r="AA163" i="1" s="1"/>
  <c r="Y165" i="1"/>
  <c r="Z166" i="1"/>
  <c r="Y166" i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41" i="1"/>
  <c r="Y141" i="1"/>
  <c r="Z142" i="1"/>
  <c r="Y142" i="1"/>
  <c r="Z145" i="1"/>
  <c r="Y145" i="1"/>
  <c r="Z146" i="1"/>
  <c r="Y146" i="1"/>
  <c r="Z148" i="1"/>
  <c r="Y148" i="1"/>
  <c r="AA148" i="1" s="1"/>
  <c r="Z150" i="1"/>
  <c r="Y150" i="1"/>
  <c r="Z153" i="1"/>
  <c r="Y153" i="1"/>
  <c r="AA153" i="1" s="1"/>
  <c r="Y155" i="1"/>
  <c r="Z155" i="1"/>
  <c r="Z158" i="1"/>
  <c r="Y158" i="1"/>
  <c r="Y159" i="1"/>
  <c r="Z159" i="1"/>
  <c r="Y162" i="1"/>
  <c r="Y164" i="1"/>
  <c r="Y167" i="1"/>
  <c r="Z167" i="1"/>
  <c r="Z168" i="1"/>
  <c r="Y168" i="1"/>
  <c r="Z128" i="1"/>
  <c r="Y128" i="1"/>
  <c r="Y170" i="1"/>
  <c r="Z170" i="1"/>
  <c r="Y171" i="1"/>
  <c r="Z171" i="1"/>
  <c r="Z173" i="1"/>
  <c r="Y173" i="1"/>
  <c r="Z175" i="1"/>
  <c r="Y175" i="1"/>
  <c r="AA175" i="1" s="1"/>
  <c r="AB175" i="1" s="1"/>
  <c r="S175" i="1" s="1"/>
  <c r="Y177" i="1"/>
  <c r="Z177" i="1"/>
  <c r="Z179" i="1"/>
  <c r="Y179" i="1"/>
  <c r="Z181" i="1"/>
  <c r="Y181" i="1"/>
  <c r="AA181" i="1" s="1"/>
  <c r="AB181" i="1" s="1"/>
  <c r="S181" i="1" s="1"/>
  <c r="Y184" i="1"/>
  <c r="Z184" i="1"/>
  <c r="Z186" i="1"/>
  <c r="Y186" i="1"/>
  <c r="Z188" i="1"/>
  <c r="Y188" i="1"/>
  <c r="Y190" i="1"/>
  <c r="Z190" i="1"/>
  <c r="Z192" i="1"/>
  <c r="Y192" i="1"/>
  <c r="Y194" i="1"/>
  <c r="Z194" i="1"/>
  <c r="Z196" i="1"/>
  <c r="Y196" i="1"/>
  <c r="Z198" i="1"/>
  <c r="Y198" i="1"/>
  <c r="Y200" i="1"/>
  <c r="Z200" i="1"/>
  <c r="Z202" i="1"/>
  <c r="Y202" i="1"/>
  <c r="Y204" i="1"/>
  <c r="Z204" i="1"/>
  <c r="Z206" i="1"/>
  <c r="Y206" i="1"/>
  <c r="Z208" i="1"/>
  <c r="Y208" i="1"/>
  <c r="Y210" i="1"/>
  <c r="Z210" i="1"/>
  <c r="Z212" i="1"/>
  <c r="Y212" i="1"/>
  <c r="Z214" i="1"/>
  <c r="Y214" i="1"/>
  <c r="Y216" i="1"/>
  <c r="Z216" i="1"/>
  <c r="Z218" i="1"/>
  <c r="Y218" i="1"/>
  <c r="Y220" i="1"/>
  <c r="Z220" i="1"/>
  <c r="Z222" i="1"/>
  <c r="Y222" i="1"/>
  <c r="Y224" i="1"/>
  <c r="Z224" i="1"/>
  <c r="Z226" i="1"/>
  <c r="Y226" i="1"/>
  <c r="Z169" i="1"/>
  <c r="Y169" i="1"/>
  <c r="Y172" i="1"/>
  <c r="Z172" i="1"/>
  <c r="Y174" i="1"/>
  <c r="Z174" i="1"/>
  <c r="Y176" i="1"/>
  <c r="Z176" i="1"/>
  <c r="Y178" i="1"/>
  <c r="Z178" i="1"/>
  <c r="Y180" i="1"/>
  <c r="Z180" i="1"/>
  <c r="Y182" i="1"/>
  <c r="Z182" i="1"/>
  <c r="Y185" i="1"/>
  <c r="Z185" i="1"/>
  <c r="Z187" i="1"/>
  <c r="Y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Y209" i="1"/>
  <c r="Z209" i="1"/>
  <c r="Y211" i="1"/>
  <c r="Z211" i="1"/>
  <c r="Y213" i="1"/>
  <c r="Z213" i="1"/>
  <c r="Y215" i="1"/>
  <c r="Z215" i="1"/>
  <c r="Y217" i="1"/>
  <c r="Z217" i="1"/>
  <c r="Y219" i="1"/>
  <c r="Z219" i="1"/>
  <c r="Z221" i="1"/>
  <c r="Y221" i="1"/>
  <c r="Y223" i="1"/>
  <c r="Z223" i="1"/>
  <c r="Y225" i="1"/>
  <c r="Z225" i="1"/>
  <c r="Y227" i="1"/>
  <c r="Z227" i="1"/>
  <c r="B5" i="1"/>
  <c r="AB50" i="1"/>
  <c r="S50" i="1" s="1"/>
  <c r="AB56" i="1"/>
  <c r="S56" i="1" s="1"/>
  <c r="AB77" i="1"/>
  <c r="S77" i="1" s="1"/>
  <c r="AB79" i="1"/>
  <c r="S79" i="1" s="1"/>
  <c r="AB98" i="1"/>
  <c r="S98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S100" i="1" s="1"/>
  <c r="AB109" i="1"/>
  <c r="S109" i="1" s="1"/>
  <c r="C58" i="5"/>
  <c r="I58" i="5" s="1"/>
  <c r="AB148" i="1"/>
  <c r="S148" i="1" s="1"/>
  <c r="AB156" i="1"/>
  <c r="S156" i="1" s="1"/>
  <c r="AB163" i="1"/>
  <c r="S163" i="1" s="1"/>
  <c r="AB160" i="1"/>
  <c r="S160" i="1" s="1"/>
  <c r="AB153" i="1"/>
  <c r="S153" i="1" s="1"/>
  <c r="C7" i="5"/>
  <c r="I7" i="5" s="1"/>
  <c r="C21" i="5"/>
  <c r="I21" i="5" s="1"/>
  <c r="C6" i="5"/>
  <c r="I6" i="5" s="1"/>
  <c r="C12" i="5"/>
  <c r="I12" i="5" s="1"/>
  <c r="C47" i="5"/>
  <c r="I47" i="5" s="1"/>
  <c r="AB135" i="1"/>
  <c r="S135" i="1" s="1"/>
  <c r="C50" i="5"/>
  <c r="I50" i="5" s="1"/>
  <c r="AB118" i="1"/>
  <c r="S118" i="1" s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177" i="1"/>
  <c r="V3" i="1"/>
  <c r="AA182" i="1" l="1"/>
  <c r="AB182" i="1" s="1"/>
  <c r="S182" i="1" s="1"/>
  <c r="AA169" i="1"/>
  <c r="AB169" i="1" s="1"/>
  <c r="S169" i="1" s="1"/>
  <c r="AA179" i="1"/>
  <c r="AB179" i="1" s="1"/>
  <c r="S179" i="1" s="1"/>
  <c r="AA166" i="1"/>
  <c r="AB166" i="1" s="1"/>
  <c r="S166" i="1" s="1"/>
  <c r="G55" i="5"/>
  <c r="K55" i="5" s="1"/>
  <c r="G51" i="5"/>
  <c r="K51" i="5" s="1"/>
  <c r="J51" i="5" s="1"/>
  <c r="AA174" i="1"/>
  <c r="AB174" i="1" s="1"/>
  <c r="S174" i="1" s="1"/>
  <c r="AA171" i="1"/>
  <c r="AB171" i="1" s="1"/>
  <c r="S171" i="1" s="1"/>
  <c r="AA161" i="1"/>
  <c r="AB161" i="1" s="1"/>
  <c r="S161" i="1" s="1"/>
  <c r="AA159" i="1"/>
  <c r="AB159" i="1" s="1"/>
  <c r="S159" i="1" s="1"/>
  <c r="AA158" i="1"/>
  <c r="AB158" i="1" s="1"/>
  <c r="S158" i="1" s="1"/>
  <c r="AA154" i="1"/>
  <c r="AB154" i="1" s="1"/>
  <c r="S154" i="1" s="1"/>
  <c r="AA152" i="1"/>
  <c r="AB152" i="1" s="1"/>
  <c r="S152" i="1" s="1"/>
  <c r="AA136" i="1"/>
  <c r="AB136" i="1" s="1"/>
  <c r="S136" i="1" s="1"/>
  <c r="AA150" i="1"/>
  <c r="AB150" i="1" s="1"/>
  <c r="S150" i="1" s="1"/>
  <c r="AA141" i="1"/>
  <c r="AB141" i="1" s="1"/>
  <c r="S141" i="1" s="1"/>
  <c r="AA149" i="1"/>
  <c r="AB149" i="1" s="1"/>
  <c r="S149" i="1" s="1"/>
  <c r="AA147" i="1"/>
  <c r="AB147" i="1" s="1"/>
  <c r="S147" i="1" s="1"/>
  <c r="AA146" i="1"/>
  <c r="AB146" i="1" s="1"/>
  <c r="S146" i="1" s="1"/>
  <c r="AA145" i="1"/>
  <c r="AB145" i="1" s="1"/>
  <c r="S145" i="1" s="1"/>
  <c r="AA140" i="1"/>
  <c r="AB140" i="1" s="1"/>
  <c r="S140" i="1" s="1"/>
  <c r="AA134" i="1"/>
  <c r="AB134" i="1" s="1"/>
  <c r="S134" i="1" s="1"/>
  <c r="AA131" i="1"/>
  <c r="AB131" i="1" s="1"/>
  <c r="S131" i="1" s="1"/>
  <c r="AA126" i="1"/>
  <c r="AB126" i="1" s="1"/>
  <c r="S126" i="1" s="1"/>
  <c r="AA116" i="1"/>
  <c r="AB116" i="1" s="1"/>
  <c r="S116" i="1" s="1"/>
  <c r="AA114" i="1"/>
  <c r="AB114" i="1" s="1"/>
  <c r="S114" i="1" s="1"/>
  <c r="AA113" i="1"/>
  <c r="AB113" i="1" s="1"/>
  <c r="S113" i="1" s="1"/>
  <c r="AA110" i="1"/>
  <c r="AB110" i="1" s="1"/>
  <c r="S110" i="1" s="1"/>
  <c r="AA107" i="1"/>
  <c r="AB107" i="1" s="1"/>
  <c r="S107" i="1" s="1"/>
  <c r="AA82" i="1"/>
  <c r="AB82" i="1" s="1"/>
  <c r="S82" i="1" s="1"/>
  <c r="AA132" i="1"/>
  <c r="AB132" i="1" s="1"/>
  <c r="S132" i="1" s="1"/>
  <c r="AA125" i="1"/>
  <c r="AB125" i="1" s="1"/>
  <c r="S125" i="1" s="1"/>
  <c r="AA124" i="1"/>
  <c r="AB124" i="1" s="1"/>
  <c r="S124" i="1" s="1"/>
  <c r="AA130" i="1"/>
  <c r="AB130" i="1" s="1"/>
  <c r="S130" i="1" s="1"/>
  <c r="AA121" i="1"/>
  <c r="AB121" i="1" s="1"/>
  <c r="S121" i="1" s="1"/>
  <c r="AA117" i="1"/>
  <c r="AB117" i="1" s="1"/>
  <c r="S117" i="1" s="1"/>
  <c r="AA108" i="1"/>
  <c r="AB108" i="1" s="1"/>
  <c r="S108" i="1" s="1"/>
  <c r="AA105" i="1"/>
  <c r="AB105" i="1" s="1"/>
  <c r="S105" i="1" s="1"/>
  <c r="AA101" i="1"/>
  <c r="AB101" i="1" s="1"/>
  <c r="S101" i="1" s="1"/>
  <c r="AA106" i="1"/>
  <c r="AB106" i="1" s="1"/>
  <c r="S106" i="1" s="1"/>
  <c r="AA104" i="1"/>
  <c r="AB104" i="1" s="1"/>
  <c r="S104" i="1" s="1"/>
  <c r="AA102" i="1"/>
  <c r="AB102" i="1" s="1"/>
  <c r="S102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2" i="1"/>
  <c r="AB72" i="1" s="1"/>
  <c r="S72" i="1" s="1"/>
  <c r="AA71" i="1"/>
  <c r="AB71" i="1" s="1"/>
  <c r="S71" i="1" s="1"/>
  <c r="AA69" i="1"/>
  <c r="AB69" i="1" s="1"/>
  <c r="S69" i="1" s="1"/>
  <c r="AA65" i="1"/>
  <c r="AB65" i="1" s="1"/>
  <c r="S65" i="1" s="1"/>
  <c r="AA28" i="1"/>
  <c r="AB28" i="1" s="1"/>
  <c r="S28" i="1" s="1"/>
  <c r="AA74" i="1"/>
  <c r="AB74" i="1" s="1"/>
  <c r="S74" i="1" s="1"/>
  <c r="AA76" i="1"/>
  <c r="AB76" i="1" s="1"/>
  <c r="S76" i="1" s="1"/>
  <c r="AA73" i="1"/>
  <c r="AB73" i="1" s="1"/>
  <c r="S73" i="1" s="1"/>
  <c r="AA68" i="1"/>
  <c r="AB68" i="1" s="1"/>
  <c r="S68" i="1" s="1"/>
  <c r="AA66" i="1"/>
  <c r="AB66" i="1" s="1"/>
  <c r="S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S55" i="1" s="1"/>
  <c r="AA23" i="1"/>
  <c r="AB23" i="1" s="1"/>
  <c r="S23" i="1" s="1"/>
  <c r="AA39" i="1"/>
  <c r="AB39" i="1" s="1"/>
  <c r="S39" i="1" s="1"/>
  <c r="AA54" i="1"/>
  <c r="AB54" i="1" s="1"/>
  <c r="S54" i="1" s="1"/>
  <c r="AA35" i="1"/>
  <c r="AB35" i="1" s="1"/>
  <c r="S35" i="1" s="1"/>
  <c r="AA27" i="1"/>
  <c r="AB27" i="1" s="1"/>
  <c r="S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S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21" i="1"/>
  <c r="AB21" i="1" s="1"/>
  <c r="S21" i="1" s="1"/>
  <c r="AA5" i="1"/>
  <c r="AB5" i="1" s="1"/>
  <c r="S5" i="1" s="1"/>
  <c r="AA49" i="1"/>
  <c r="AB49" i="1" s="1"/>
  <c r="S49" i="1" s="1"/>
  <c r="AA48" i="1"/>
  <c r="AB48" i="1" s="1"/>
  <c r="S48" i="1" s="1"/>
  <c r="AA46" i="1"/>
  <c r="AB46" i="1" s="1"/>
  <c r="S46" i="1" s="1"/>
  <c r="AA42" i="1"/>
  <c r="AB42" i="1" s="1"/>
  <c r="S42" i="1" s="1"/>
  <c r="AA47" i="1"/>
  <c r="AB47" i="1" s="1"/>
  <c r="S47" i="1" s="1"/>
  <c r="AA44" i="1"/>
  <c r="AB44" i="1" s="1"/>
  <c r="S44" i="1" s="1"/>
  <c r="AA43" i="1"/>
  <c r="AB43" i="1" s="1"/>
  <c r="S43" i="1" s="1"/>
  <c r="G38" i="1"/>
  <c r="A38" i="1" s="1"/>
  <c r="E19" i="5"/>
  <c r="D19" i="5" s="1"/>
  <c r="G3" i="5"/>
  <c r="K3" i="5" s="1"/>
  <c r="L3" i="5" s="1"/>
  <c r="M3" i="5" s="1"/>
  <c r="AA38" i="1"/>
  <c r="AB38" i="1" s="1"/>
  <c r="S38" i="1" s="1"/>
  <c r="AA37" i="1"/>
  <c r="AB37" i="1" s="1"/>
  <c r="S37" i="1" s="1"/>
  <c r="G23" i="5"/>
  <c r="K23" i="5" s="1"/>
  <c r="J23" i="5" s="1"/>
  <c r="G19" i="5"/>
  <c r="K19" i="5" s="1"/>
  <c r="J19" i="5" s="1"/>
  <c r="AA34" i="1"/>
  <c r="AB34" i="1" s="1"/>
  <c r="S34" i="1" s="1"/>
  <c r="AA31" i="1"/>
  <c r="AB31" i="1" s="1"/>
  <c r="S31" i="1" s="1"/>
  <c r="AA30" i="1"/>
  <c r="AB30" i="1" s="1"/>
  <c r="S30" i="1" s="1"/>
  <c r="AA33" i="1"/>
  <c r="AB33" i="1" s="1"/>
  <c r="S33" i="1" s="1"/>
  <c r="AA29" i="1"/>
  <c r="AB29" i="1" s="1"/>
  <c r="S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S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S24" i="1" s="1"/>
  <c r="G42" i="5"/>
  <c r="K42" i="5" s="1"/>
  <c r="L42" i="5" s="1"/>
  <c r="M42" i="5" s="1"/>
  <c r="Z22" i="1"/>
  <c r="AA22" i="1" s="1"/>
  <c r="AB22" i="1" s="1"/>
  <c r="S22" i="1" s="1"/>
  <c r="AA18" i="1"/>
  <c r="AB18" i="1" s="1"/>
  <c r="S18" i="1" s="1"/>
  <c r="AA17" i="1"/>
  <c r="AB17" i="1" s="1"/>
  <c r="S17" i="1" s="1"/>
  <c r="AA15" i="1"/>
  <c r="AB15" i="1" s="1"/>
  <c r="S15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2" i="1"/>
  <c r="AB172" i="1" s="1"/>
  <c r="S172" i="1" s="1"/>
  <c r="AA167" i="1"/>
  <c r="AB167" i="1" s="1"/>
  <c r="S167" i="1" s="1"/>
  <c r="Z164" i="1"/>
  <c r="AA164" i="1" s="1"/>
  <c r="AB164" i="1" s="1"/>
  <c r="S164" i="1" s="1"/>
  <c r="Z162" i="1"/>
  <c r="AA162" i="1" s="1"/>
  <c r="AB162" i="1" s="1"/>
  <c r="S162" i="1" s="1"/>
  <c r="AA155" i="1"/>
  <c r="AB155" i="1" s="1"/>
  <c r="S155" i="1" s="1"/>
  <c r="AA137" i="1"/>
  <c r="AB137" i="1" s="1"/>
  <c r="S137" i="1" s="1"/>
  <c r="AA133" i="1"/>
  <c r="AB133" i="1" s="1"/>
  <c r="S133" i="1" s="1"/>
  <c r="AA123" i="1"/>
  <c r="AB123" i="1" s="1"/>
  <c r="S123" i="1" s="1"/>
  <c r="AA103" i="1"/>
  <c r="AB103" i="1" s="1"/>
  <c r="S103" i="1" s="1"/>
  <c r="AA99" i="1"/>
  <c r="AB99" i="1" s="1"/>
  <c r="S99" i="1" s="1"/>
  <c r="AA86" i="1"/>
  <c r="AB86" i="1" s="1"/>
  <c r="S86" i="1" s="1"/>
  <c r="AA83" i="1"/>
  <c r="AB83" i="1" s="1"/>
  <c r="S83" i="1" s="1"/>
  <c r="AA75" i="1"/>
  <c r="AB75" i="1" s="1"/>
  <c r="S75" i="1" s="1"/>
  <c r="AA57" i="1"/>
  <c r="AB57" i="1" s="1"/>
  <c r="S57" i="1" s="1"/>
  <c r="AA53" i="1"/>
  <c r="AB53" i="1" s="1"/>
  <c r="S53" i="1" s="1"/>
  <c r="AA45" i="1"/>
  <c r="AB45" i="1" s="1"/>
  <c r="S45" i="1" s="1"/>
  <c r="AA20" i="1"/>
  <c r="AB20" i="1" s="1"/>
  <c r="S20" i="1" s="1"/>
  <c r="AA8" i="1"/>
  <c r="AB8" i="1" s="1"/>
  <c r="S8" i="1" s="1"/>
  <c r="AA32" i="1"/>
  <c r="AB32" i="1" s="1"/>
  <c r="S32" i="1" s="1"/>
  <c r="AA25" i="1"/>
  <c r="AB25" i="1" s="1"/>
  <c r="S25" i="1" s="1"/>
  <c r="AA16" i="1"/>
  <c r="AB16" i="1" s="1"/>
  <c r="S16" i="1" s="1"/>
  <c r="Z165" i="1"/>
  <c r="AA165" i="1" s="1"/>
  <c r="AB165" i="1" s="1"/>
  <c r="S165" i="1" s="1"/>
  <c r="AA151" i="1"/>
  <c r="AB151" i="1" s="1"/>
  <c r="S151" i="1" s="1"/>
  <c r="AA143" i="1"/>
  <c r="AB143" i="1" s="1"/>
  <c r="S143" i="1" s="1"/>
  <c r="AA127" i="1"/>
  <c r="AB127" i="1" s="1"/>
  <c r="S127" i="1" s="1"/>
  <c r="AA119" i="1"/>
  <c r="AB119" i="1" s="1"/>
  <c r="S119" i="1" s="1"/>
  <c r="AA115" i="1"/>
  <c r="AB115" i="1" s="1"/>
  <c r="S115" i="1" s="1"/>
  <c r="AA112" i="1"/>
  <c r="AB112" i="1" s="1"/>
  <c r="S112" i="1" s="1"/>
  <c r="AA95" i="1"/>
  <c r="AB95" i="1" s="1"/>
  <c r="S95" i="1" s="1"/>
  <c r="AA78" i="1"/>
  <c r="AB78" i="1" s="1"/>
  <c r="S78" i="1" s="1"/>
  <c r="AA70" i="1"/>
  <c r="AB70" i="1" s="1"/>
  <c r="S70" i="1" s="1"/>
  <c r="AA52" i="1"/>
  <c r="AB52" i="1" s="1"/>
  <c r="S52" i="1" s="1"/>
  <c r="AA36" i="1"/>
  <c r="AB36" i="1" s="1"/>
  <c r="S36" i="1" s="1"/>
  <c r="AA19" i="1"/>
  <c r="AB19" i="1" s="1"/>
  <c r="S19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8" i="1"/>
  <c r="AB178" i="1" s="1"/>
  <c r="S178" i="1" s="1"/>
  <c r="AA176" i="1"/>
  <c r="AB176" i="1" s="1"/>
  <c r="S176" i="1" s="1"/>
  <c r="AA177" i="1"/>
  <c r="AB177" i="1" s="1"/>
  <c r="S177" i="1" s="1"/>
  <c r="AA128" i="1"/>
  <c r="AB128" i="1" s="1"/>
  <c r="S128" i="1" s="1"/>
  <c r="G48" i="5"/>
  <c r="K48" i="5" s="1"/>
  <c r="L48" i="5" s="1"/>
  <c r="M48" i="5" s="1"/>
  <c r="E34" i="5"/>
  <c r="D34" i="5" s="1"/>
  <c r="AA173" i="1"/>
  <c r="AB173" i="1" s="1"/>
  <c r="S17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0" i="1"/>
  <c r="AB170" i="1" s="1"/>
  <c r="S17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6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B15" i="1"/>
  <c r="G15" i="1" s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B17" i="1"/>
  <c r="G17" i="1" s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 s="1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8" i="1"/>
  <c r="V14" i="1"/>
  <c r="G9" i="1" l="1"/>
  <c r="A9" i="1" s="1"/>
  <c r="V9" i="1" s="1"/>
  <c r="B18" i="1"/>
  <c r="B20" i="1"/>
  <c r="G20" i="1" s="1"/>
  <c r="A20" i="1" s="1"/>
  <c r="B22" i="1"/>
  <c r="B24" i="1" s="1"/>
  <c r="G24" i="1" s="1"/>
  <c r="A24" i="1" s="1"/>
  <c r="B25" i="1"/>
  <c r="G25" i="1" s="1"/>
  <c r="A25" i="1" s="1"/>
  <c r="V17" i="1"/>
  <c r="V10" i="1"/>
  <c r="V11" i="1"/>
  <c r="G18" i="1" l="1"/>
  <c r="A18" i="1" s="1"/>
  <c r="V18" i="1" s="1"/>
  <c r="B19" i="1"/>
  <c r="B26" i="1"/>
  <c r="G26" i="1" s="1"/>
  <c r="A26" i="1" s="1"/>
  <c r="G22" i="1"/>
  <c r="A22" i="1" s="1"/>
  <c r="V26" i="1"/>
  <c r="V15" i="1"/>
  <c r="V16" i="1"/>
  <c r="V12" i="1"/>
  <c r="G19" i="1" l="1"/>
  <c r="A19" i="1" s="1"/>
  <c r="B23" i="1"/>
  <c r="B28" i="1"/>
  <c r="G28" i="1" s="1"/>
  <c r="A28" i="1" s="1"/>
  <c r="B29" i="1"/>
  <c r="V22" i="1"/>
  <c r="V13" i="1"/>
  <c r="V19" i="1"/>
  <c r="G23" i="1" l="1"/>
  <c r="A23" i="1" s="1"/>
  <c r="V23" i="1" s="1"/>
  <c r="B27" i="1"/>
  <c r="G27" i="1" s="1"/>
  <c r="A27" i="1" s="1"/>
  <c r="V27" i="1" s="1"/>
  <c r="G29" i="1"/>
  <c r="A29" i="1" s="1"/>
  <c r="B32" i="1"/>
  <c r="V20" i="1"/>
  <c r="V24" i="1"/>
  <c r="V21" i="1"/>
  <c r="V28" i="1"/>
  <c r="G32" i="1" l="1"/>
  <c r="A32" i="1" s="1"/>
  <c r="B34" i="1"/>
  <c r="V25" i="1"/>
  <c r="V29" i="1"/>
  <c r="G34" i="1" l="1"/>
  <c r="A34" i="1" s="1"/>
  <c r="B36" i="1"/>
  <c r="V30" i="1"/>
  <c r="V31" i="1"/>
  <c r="G36" i="1" l="1"/>
  <c r="A36" i="1" s="1"/>
  <c r="B39" i="1"/>
  <c r="B40" i="1" s="1"/>
  <c r="G40" i="1" s="1"/>
  <c r="A40" i="1" s="1"/>
  <c r="V32" i="1"/>
  <c r="V33" i="1"/>
  <c r="G39" i="1" l="1"/>
  <c r="A39" i="1" s="1"/>
  <c r="B42" i="1"/>
  <c r="V34" i="1"/>
  <c r="V35" i="1"/>
  <c r="B43" i="1" l="1"/>
  <c r="G43" i="1" s="1"/>
  <c r="A43" i="1" s="1"/>
  <c r="G42" i="1"/>
  <c r="A42" i="1" s="1"/>
  <c r="V36" i="1"/>
  <c r="V37" i="1"/>
  <c r="B45" i="1" l="1"/>
  <c r="G45" i="1" s="1"/>
  <c r="A45" i="1" s="1"/>
  <c r="B44" i="1"/>
  <c r="G44" i="1" s="1"/>
  <c r="A44" i="1" s="1"/>
  <c r="V42" i="1"/>
  <c r="V43" i="1"/>
  <c r="V38" i="1"/>
  <c r="V39" i="1"/>
  <c r="B46" i="1" l="1"/>
  <c r="G46" i="1" s="1"/>
  <c r="A46" i="1" s="1"/>
  <c r="B47" i="1"/>
  <c r="G47" i="1" s="1"/>
  <c r="A47" i="1" s="1"/>
  <c r="B48" i="1"/>
  <c r="G48" i="1" s="1"/>
  <c r="A48" i="1" s="1"/>
  <c r="V44" i="1"/>
  <c r="V40" i="1"/>
  <c r="V41" i="1"/>
  <c r="B49" i="1" l="1"/>
  <c r="V45" i="1"/>
  <c r="G49" i="1" l="1"/>
  <c r="A49" i="1" s="1"/>
  <c r="B50" i="1"/>
  <c r="V50" i="1"/>
  <c r="V46" i="1"/>
  <c r="B51" i="1" l="1"/>
  <c r="G50" i="1"/>
  <c r="A50" i="1" s="1"/>
  <c r="B52" i="1"/>
  <c r="G52" i="1" s="1"/>
  <c r="A52" i="1" s="1"/>
  <c r="V52" i="1"/>
  <c r="V47" i="1"/>
  <c r="G51" i="1" l="1"/>
  <c r="A51" i="1" s="1"/>
  <c r="V51" i="1" s="1"/>
  <c r="B53" i="1"/>
  <c r="B73" i="1"/>
  <c r="V48" i="1"/>
  <c r="G53" i="1" l="1"/>
  <c r="A53" i="1" s="1"/>
  <c r="V53" i="1" s="1"/>
  <c r="B54" i="1"/>
  <c r="G73" i="1"/>
  <c r="A73" i="1" s="1"/>
  <c r="B75" i="1"/>
  <c r="V49" i="1"/>
  <c r="V56" i="1" l="1"/>
  <c r="G54" i="1"/>
  <c r="A54" i="1" s="1"/>
  <c r="B55" i="1"/>
  <c r="G75" i="1"/>
  <c r="A75" i="1" s="1"/>
  <c r="B81" i="1"/>
  <c r="V54" i="1"/>
  <c r="G55" i="1" l="1"/>
  <c r="A55" i="1" s="1"/>
  <c r="B56" i="1"/>
  <c r="G81" i="1"/>
  <c r="A81" i="1" s="1"/>
  <c r="B83" i="1"/>
  <c r="V55" i="1"/>
  <c r="G56" i="1" l="1"/>
  <c r="A56" i="1" s="1"/>
  <c r="B57" i="1"/>
  <c r="B59" i="1" s="1"/>
  <c r="G83" i="1"/>
  <c r="A83" i="1" s="1"/>
  <c r="V77" i="1"/>
  <c r="G59" i="1" l="1"/>
  <c r="A59" i="1" s="1"/>
  <c r="V59" i="1" s="1"/>
  <c r="B61" i="1"/>
  <c r="G57" i="1"/>
  <c r="A57" i="1" s="1"/>
  <c r="V57" i="1" s="1"/>
  <c r="B65" i="1"/>
  <c r="B88" i="1"/>
  <c r="G61" i="1" l="1"/>
  <c r="A61" i="1" s="1"/>
  <c r="V61" i="1" s="1"/>
  <c r="G65" i="1"/>
  <c r="A65" i="1" s="1"/>
  <c r="V65" i="1" s="1"/>
  <c r="V79" i="1"/>
  <c r="G88" i="1"/>
  <c r="A88" i="1" s="1"/>
  <c r="B95" i="1"/>
  <c r="V66" i="1"/>
  <c r="V62" i="1"/>
  <c r="G95" i="1" l="1"/>
  <c r="A95" i="1" s="1"/>
  <c r="B97" i="1"/>
  <c r="V63" i="1"/>
  <c r="B68" i="1" l="1"/>
  <c r="G97" i="1"/>
  <c r="A97" i="1" s="1"/>
  <c r="B108" i="1"/>
  <c r="B78" i="1" l="1"/>
  <c r="G68" i="1"/>
  <c r="A68" i="1" s="1"/>
  <c r="V68" i="1" s="1"/>
  <c r="G108" i="1"/>
  <c r="A108" i="1" s="1"/>
  <c r="V98" i="1"/>
  <c r="V69" i="1"/>
  <c r="G78" i="1" l="1"/>
  <c r="A78" i="1" s="1"/>
  <c r="V78" i="1" s="1"/>
  <c r="B80" i="1"/>
  <c r="B115" i="1"/>
  <c r="V109" i="1"/>
  <c r="V70" i="1"/>
  <c r="G80" i="1" l="1"/>
  <c r="A80" i="1" s="1"/>
  <c r="V80" i="1" s="1"/>
  <c r="B86" i="1"/>
  <c r="G115" i="1"/>
  <c r="A115" i="1" s="1"/>
  <c r="B121" i="1"/>
  <c r="V100" i="1"/>
  <c r="V71" i="1"/>
  <c r="V81" i="1"/>
  <c r="G86" i="1" l="1"/>
  <c r="A86" i="1" s="1"/>
  <c r="V86" i="1" s="1"/>
  <c r="B99" i="1"/>
  <c r="G121" i="1"/>
  <c r="A121" i="1" s="1"/>
  <c r="B126" i="1"/>
  <c r="V115" i="1"/>
  <c r="V82" i="1"/>
  <c r="V87" i="1"/>
  <c r="V72" i="1"/>
  <c r="G99" i="1" l="1"/>
  <c r="A99" i="1" s="1"/>
  <c r="V99" i="1" s="1"/>
  <c r="B101" i="1"/>
  <c r="V103" i="1"/>
  <c r="G126" i="1"/>
  <c r="A126" i="1" s="1"/>
  <c r="V122" i="1"/>
  <c r="V83" i="1"/>
  <c r="V73" i="1"/>
  <c r="V88" i="1"/>
  <c r="G101" i="1" l="1"/>
  <c r="A101" i="1" s="1"/>
  <c r="V101" i="1" s="1"/>
  <c r="B104" i="1"/>
  <c r="B145" i="1"/>
  <c r="V118" i="1"/>
  <c r="V84" i="1"/>
  <c r="V89" i="1"/>
  <c r="V102" i="1"/>
  <c r="V74" i="1"/>
  <c r="G104" i="1" l="1"/>
  <c r="A104" i="1" s="1"/>
  <c r="V104" i="1" s="1"/>
  <c r="B110" i="1"/>
  <c r="G110" i="1" s="1"/>
  <c r="A110" i="1" s="1"/>
  <c r="V110" i="1" s="1"/>
  <c r="G145" i="1"/>
  <c r="A145" i="1" s="1"/>
  <c r="B147" i="1"/>
  <c r="V90" i="1"/>
  <c r="V105" i="1"/>
  <c r="V75" i="1"/>
  <c r="B112" i="1" l="1"/>
  <c r="G112" i="1"/>
  <c r="A112" i="1" s="1"/>
  <c r="V112" i="1" s="1"/>
  <c r="G147" i="1"/>
  <c r="A147" i="1" s="1"/>
  <c r="B153" i="1"/>
  <c r="V106" i="1"/>
  <c r="V113" i="1"/>
  <c r="V76" i="1"/>
  <c r="V91" i="1"/>
  <c r="V107" i="1"/>
  <c r="B116" i="1" l="1"/>
  <c r="G116" i="1" s="1"/>
  <c r="A116" i="1" s="1"/>
  <c r="V116" i="1" s="1"/>
  <c r="G153" i="1"/>
  <c r="A153" i="1" s="1"/>
  <c r="B158" i="1"/>
  <c r="V148" i="1"/>
  <c r="V92" i="1"/>
  <c r="V108" i="1"/>
  <c r="V114" i="1"/>
  <c r="V117" i="1"/>
  <c r="B119" i="1" l="1"/>
  <c r="G119" i="1"/>
  <c r="A119" i="1" s="1"/>
  <c r="V119" i="1" s="1"/>
  <c r="B123" i="1"/>
  <c r="V133" i="1"/>
  <c r="G158" i="1"/>
  <c r="A158" i="1" s="1"/>
  <c r="B160" i="1"/>
  <c r="V153" i="1"/>
  <c r="V135" i="1"/>
  <c r="V120" i="1"/>
  <c r="V93" i="1"/>
  <c r="G123" i="1" l="1"/>
  <c r="A123" i="1" s="1"/>
  <c r="V123" i="1" s="1"/>
  <c r="B134" i="1"/>
  <c r="G160" i="1"/>
  <c r="A160" i="1" s="1"/>
  <c r="B162" i="1"/>
  <c r="V155" i="1"/>
  <c r="V124" i="1"/>
  <c r="V121" i="1"/>
  <c r="V94" i="1"/>
  <c r="G134" i="1" l="1"/>
  <c r="A134" i="1" s="1"/>
  <c r="V134" i="1" s="1"/>
  <c r="B136" i="1"/>
  <c r="G162" i="1"/>
  <c r="A162" i="1" s="1"/>
  <c r="B167" i="1"/>
  <c r="V160" i="1"/>
  <c r="V151" i="1"/>
  <c r="V95" i="1"/>
  <c r="V125" i="1"/>
  <c r="G136" i="1" l="1"/>
  <c r="A136" i="1" s="1"/>
  <c r="V136" i="1" s="1"/>
  <c r="B140" i="1"/>
  <c r="G167" i="1"/>
  <c r="A167" i="1" s="1"/>
  <c r="V162" i="1"/>
  <c r="V137" i="1"/>
  <c r="V126" i="1"/>
  <c r="V96" i="1"/>
  <c r="G140" i="1" l="1"/>
  <c r="A140" i="1" s="1"/>
  <c r="V140" i="1" s="1"/>
  <c r="B143" i="1"/>
  <c r="V170" i="1"/>
  <c r="V127" i="1"/>
  <c r="V128" i="1"/>
  <c r="V141" i="1"/>
  <c r="V138" i="1"/>
  <c r="V97" i="1"/>
  <c r="G143" i="1" l="1"/>
  <c r="A143" i="1" s="1"/>
  <c r="B149" i="1"/>
  <c r="V165" i="1"/>
  <c r="V129" i="1"/>
  <c r="G149" i="1" l="1"/>
  <c r="A149" i="1" s="1"/>
  <c r="V149" i="1" s="1"/>
  <c r="B152" i="1"/>
  <c r="V143" i="1"/>
  <c r="W14" i="1"/>
  <c r="AC40" i="1"/>
  <c r="W44" i="1"/>
  <c r="AC37" i="1"/>
  <c r="AC38" i="1"/>
  <c r="AC55" i="1"/>
  <c r="AC49" i="1"/>
  <c r="AC44" i="1"/>
  <c r="AC46" i="1"/>
  <c r="AC56" i="1"/>
  <c r="AC54" i="1"/>
  <c r="AC52" i="1"/>
  <c r="AC48" i="1"/>
  <c r="AC28" i="1"/>
  <c r="W26" i="1"/>
  <c r="AC26" i="1"/>
  <c r="AC24" i="1"/>
  <c r="AC20" i="1"/>
  <c r="AC17" i="1"/>
  <c r="W175" i="1"/>
  <c r="W177" i="1"/>
  <c r="W173" i="1"/>
  <c r="AC172" i="1"/>
  <c r="W162" i="1"/>
  <c r="AC153" i="1"/>
  <c r="AC145" i="1"/>
  <c r="W17" i="1"/>
  <c r="W8" i="1"/>
  <c r="AC19" i="1"/>
  <c r="AC32" i="1"/>
  <c r="AC25" i="1"/>
  <c r="AC16" i="1"/>
  <c r="AC22" i="1"/>
  <c r="AC34" i="1"/>
  <c r="AC36" i="1"/>
  <c r="AC47" i="1"/>
  <c r="W56" i="1"/>
  <c r="W79" i="1"/>
  <c r="W77" i="1"/>
  <c r="AC88" i="1"/>
  <c r="AC97" i="1"/>
  <c r="W100" i="1"/>
  <c r="W103" i="1"/>
  <c r="AC108" i="1"/>
  <c r="AC115" i="1"/>
  <c r="W118" i="1"/>
  <c r="AC121" i="1"/>
  <c r="W122" i="1"/>
  <c r="AC126" i="1"/>
  <c r="W135" i="1"/>
  <c r="AC162" i="1"/>
  <c r="W160" i="1"/>
  <c r="W151" i="1"/>
  <c r="W165" i="1"/>
  <c r="AC175" i="1"/>
  <c r="W170" i="1"/>
  <c r="W148" i="1"/>
  <c r="W153" i="1"/>
  <c r="AC167" i="1"/>
  <c r="AC160" i="1"/>
  <c r="AC5" i="1"/>
  <c r="AC29" i="1"/>
  <c r="W22" i="1"/>
  <c r="W3" i="1"/>
  <c r="AC3" i="1"/>
  <c r="AC42" i="1"/>
  <c r="AC39" i="1"/>
  <c r="W42" i="1"/>
  <c r="W50" i="1"/>
  <c r="AC50" i="1"/>
  <c r="W52" i="1"/>
  <c r="AC73" i="1"/>
  <c r="AC81" i="1"/>
  <c r="AC75" i="1"/>
  <c r="AC83" i="1"/>
  <c r="AC95" i="1"/>
  <c r="W98" i="1"/>
  <c r="W109" i="1"/>
  <c r="W115" i="1"/>
  <c r="AC147" i="1"/>
  <c r="AC158" i="1"/>
  <c r="W133" i="1"/>
  <c r="W155" i="1"/>
  <c r="V144" i="1"/>
  <c r="V150" i="1"/>
  <c r="V130" i="1"/>
  <c r="V131" i="1" s="1"/>
  <c r="G152" i="1" l="1"/>
  <c r="A152" i="1" s="1"/>
  <c r="B154" i="1"/>
  <c r="V132" i="1"/>
  <c r="V145" i="1"/>
  <c r="G154" i="1" l="1"/>
  <c r="A154" i="1" s="1"/>
  <c r="B156" i="1"/>
  <c r="V152" i="1"/>
  <c r="V146" i="1"/>
  <c r="G156" i="1" l="1"/>
  <c r="A156" i="1" s="1"/>
  <c r="B161" i="1"/>
  <c r="V154" i="1"/>
  <c r="V147" i="1"/>
  <c r="G161" i="1" l="1"/>
  <c r="A161" i="1" s="1"/>
  <c r="B163" i="1"/>
  <c r="V156" i="1"/>
  <c r="V157" i="1"/>
  <c r="V158" i="1"/>
  <c r="V159" i="1"/>
  <c r="G163" i="1" l="1"/>
  <c r="A163" i="1" s="1"/>
  <c r="B166" i="1"/>
  <c r="V161" i="1"/>
  <c r="G166" i="1" l="1"/>
  <c r="A166" i="1" s="1"/>
  <c r="B169" i="1"/>
  <c r="V163" i="1"/>
  <c r="V164" i="1"/>
  <c r="V166" i="1" l="1"/>
  <c r="G169" i="1"/>
  <c r="A169" i="1" s="1"/>
  <c r="B171" i="1"/>
  <c r="V167" i="1"/>
  <c r="G171" i="1" l="1"/>
  <c r="A171" i="1" s="1"/>
  <c r="B174" i="1"/>
  <c r="V169" i="1"/>
  <c r="G174" i="1" l="1"/>
  <c r="A174" i="1" s="1"/>
  <c r="B176" i="1"/>
  <c r="V171" i="1"/>
  <c r="V172" i="1"/>
  <c r="V174" i="1" l="1"/>
  <c r="G176" i="1"/>
  <c r="A176" i="1" s="1"/>
  <c r="B178" i="1"/>
  <c r="V176" i="1" l="1"/>
  <c r="G178" i="1"/>
  <c r="A178" i="1" s="1"/>
  <c r="B181" i="1"/>
  <c r="V178" i="1" l="1"/>
  <c r="G181" i="1"/>
  <c r="A181" i="1" s="1"/>
  <c r="B184" i="1"/>
  <c r="G184" i="1" s="1"/>
  <c r="A184" i="1" s="1"/>
  <c r="V179" i="1"/>
  <c r="W182" i="1" l="1"/>
  <c r="W181" i="1"/>
  <c r="W179" i="1"/>
  <c r="W152" i="1"/>
  <c r="W158" i="1"/>
  <c r="AC154" i="1"/>
  <c r="W132" i="1"/>
  <c r="W62" i="1"/>
  <c r="W45" i="1"/>
  <c r="AC110" i="1"/>
  <c r="W48" i="1"/>
  <c r="AC152" i="1"/>
  <c r="W104" i="1"/>
  <c r="W97" i="1"/>
  <c r="W90" i="1"/>
  <c r="W33" i="1"/>
  <c r="W114" i="1"/>
  <c r="W138" i="1"/>
  <c r="W27" i="1"/>
  <c r="W20" i="1"/>
  <c r="W66" i="1"/>
  <c r="W43" i="1"/>
  <c r="W9" i="1"/>
  <c r="W51" i="1"/>
  <c r="W40" i="1"/>
  <c r="W32" i="1"/>
  <c r="W150" i="1"/>
  <c r="AC7" i="1"/>
  <c r="W143" i="1"/>
  <c r="AC51" i="1"/>
  <c r="W31" i="1"/>
  <c r="W106" i="1"/>
  <c r="W38" i="1"/>
  <c r="W99" i="1"/>
  <c r="W19" i="1"/>
  <c r="W4" i="1"/>
  <c r="W83" i="1"/>
  <c r="W136" i="1"/>
  <c r="W121" i="1"/>
  <c r="AC57" i="1"/>
  <c r="W146" i="1"/>
  <c r="W113" i="1"/>
  <c r="AC65" i="1"/>
  <c r="W119" i="1"/>
  <c r="W78" i="1"/>
  <c r="W81" i="1"/>
  <c r="W126" i="1"/>
  <c r="W130" i="1"/>
  <c r="AC61" i="1"/>
  <c r="W76" i="1"/>
  <c r="W70" i="1"/>
  <c r="AC99" i="1"/>
  <c r="W57" i="1"/>
  <c r="W49" i="1"/>
  <c r="AC140" i="1"/>
  <c r="AC119" i="1"/>
  <c r="W18" i="1"/>
  <c r="W123" i="1"/>
  <c r="AC4" i="1"/>
  <c r="AC123" i="1"/>
  <c r="W145" i="1"/>
  <c r="AC134" i="1"/>
  <c r="W68" i="1"/>
  <c r="AC116" i="1"/>
  <c r="W34" i="1"/>
  <c r="W117" i="1"/>
  <c r="W144" i="1"/>
  <c r="W41" i="1"/>
  <c r="W93" i="1"/>
  <c r="W159" i="1"/>
  <c r="AC80" i="1"/>
  <c r="W116" i="1"/>
  <c r="AC53" i="1"/>
  <c r="W127" i="1"/>
  <c r="W110" i="1"/>
  <c r="W12" i="1"/>
  <c r="W71" i="1"/>
  <c r="AC112" i="1"/>
  <c r="W156" i="1"/>
  <c r="W112" i="1"/>
  <c r="W46" i="1"/>
  <c r="W92" i="1"/>
  <c r="W23" i="1"/>
  <c r="W96" i="1"/>
  <c r="AC15" i="1"/>
  <c r="W107" i="1"/>
  <c r="W36" i="1"/>
  <c r="W102" i="1"/>
  <c r="W73" i="1"/>
  <c r="W140" i="1"/>
  <c r="W87" i="1"/>
  <c r="W30" i="1"/>
  <c r="AC143" i="1"/>
  <c r="AC68" i="1"/>
  <c r="W53" i="1"/>
  <c r="W125" i="1"/>
  <c r="W25" i="1"/>
  <c r="AC104" i="1"/>
  <c r="W35" i="1"/>
  <c r="W54" i="1"/>
  <c r="W72" i="1"/>
  <c r="W141" i="1"/>
  <c r="W95" i="1"/>
  <c r="AC45" i="1"/>
  <c r="W88" i="1"/>
  <c r="W129" i="1"/>
  <c r="W89" i="1"/>
  <c r="W65" i="1"/>
  <c r="W21" i="1"/>
  <c r="W29" i="1"/>
  <c r="W137" i="1"/>
  <c r="AC136" i="1"/>
  <c r="W74" i="1"/>
  <c r="W5" i="1"/>
  <c r="W63" i="1"/>
  <c r="AC101" i="1"/>
  <c r="W149" i="1"/>
  <c r="W47" i="1"/>
  <c r="W75" i="1"/>
  <c r="W37" i="1"/>
  <c r="W13" i="1"/>
  <c r="W16" i="1"/>
  <c r="W157" i="1"/>
  <c r="AC149" i="1"/>
  <c r="W28" i="1"/>
  <c r="W59" i="1"/>
  <c r="AC43" i="1"/>
  <c r="W84" i="1"/>
  <c r="W91" i="1"/>
  <c r="W134" i="1"/>
  <c r="W39" i="1"/>
  <c r="W101" i="1"/>
  <c r="W10" i="1"/>
  <c r="W124" i="1"/>
  <c r="W7" i="1"/>
  <c r="W105" i="1"/>
  <c r="W108" i="1"/>
  <c r="W80" i="1"/>
  <c r="W86" i="1"/>
  <c r="W154" i="1"/>
  <c r="AC78" i="1"/>
  <c r="AC86" i="1"/>
  <c r="AC23" i="1"/>
  <c r="W82" i="1"/>
  <c r="W15" i="1"/>
  <c r="W94" i="1"/>
  <c r="W131" i="1"/>
  <c r="W128" i="1"/>
  <c r="W147" i="1"/>
  <c r="W69" i="1"/>
  <c r="AC18" i="1"/>
  <c r="W55" i="1"/>
  <c r="AC27" i="1"/>
  <c r="AC156" i="1"/>
  <c r="AC9" i="1"/>
  <c r="W24" i="1"/>
  <c r="W120" i="1"/>
  <c r="W61" i="1"/>
  <c r="AC59" i="1"/>
  <c r="AC161" i="1"/>
  <c r="W11" i="1"/>
  <c r="W163" i="1"/>
  <c r="AC166" i="1"/>
  <c r="W169" i="1"/>
  <c r="W176" i="1"/>
  <c r="AC169" i="1"/>
  <c r="AC171" i="1"/>
  <c r="W166" i="1"/>
  <c r="W164" i="1"/>
  <c r="AC178" i="1"/>
  <c r="W171" i="1"/>
  <c r="W161" i="1"/>
  <c r="AC174" i="1"/>
  <c r="AC163" i="1"/>
  <c r="AC181" i="1"/>
  <c r="AC184" i="1"/>
  <c r="A1" i="2"/>
  <c r="D1" i="4"/>
  <c r="W178" i="1"/>
  <c r="AC176" i="1"/>
  <c r="W174" i="1"/>
  <c r="W167" i="1"/>
  <c r="W172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G1" i="2"/>
  <c r="E20" i="2" l="1"/>
  <c r="E58" i="2" s="1"/>
  <c r="E96" i="2" s="1"/>
  <c r="K25" i="2"/>
  <c r="K63" i="2" s="1"/>
  <c r="K101" i="2" s="1"/>
  <c r="D19" i="2"/>
  <c r="D57" i="2" s="1"/>
  <c r="D95" i="2" s="1"/>
  <c r="B23" i="2"/>
  <c r="B61" i="2" s="1"/>
  <c r="B99" i="2" s="1"/>
  <c r="I23" i="2"/>
  <c r="I61" i="2" s="1"/>
  <c r="I99" i="2" s="1"/>
  <c r="I21" i="2"/>
  <c r="I59" i="2" s="1"/>
  <c r="I97" i="2" s="1"/>
  <c r="B18" i="2"/>
  <c r="B56" i="2" s="1"/>
  <c r="B94" i="2" s="1"/>
  <c r="E18" i="2"/>
  <c r="E56" i="2" s="1"/>
  <c r="E94" i="2" s="1"/>
  <c r="H17" i="2"/>
  <c r="H55" i="2" s="1"/>
  <c r="H93" i="2" s="1"/>
  <c r="B17" i="2"/>
  <c r="B55" i="2" s="1"/>
  <c r="B93" i="2" s="1"/>
  <c r="C14" i="2"/>
  <c r="C52" i="2" s="1"/>
  <c r="C90" i="2" s="1"/>
  <c r="C15" i="2"/>
  <c r="C53" i="2" s="1"/>
  <c r="C91" i="2" s="1"/>
  <c r="K14" i="2"/>
  <c r="K52" i="2" s="1"/>
  <c r="K90" i="2" s="1"/>
  <c r="B25" i="2"/>
  <c r="B63" i="2" s="1"/>
  <c r="B101" i="2" s="1"/>
  <c r="C22" i="2"/>
  <c r="C60" i="2" s="1"/>
  <c r="C98" i="2" s="1"/>
  <c r="I14" i="2"/>
  <c r="I52" i="2" s="1"/>
  <c r="I90" i="2" s="1"/>
  <c r="J25" i="2"/>
  <c r="J63" i="2" s="1"/>
  <c r="J101" i="2" s="1"/>
  <c r="H19" i="2"/>
  <c r="H57" i="2" s="1"/>
  <c r="H95" i="2" s="1"/>
  <c r="C16" i="2"/>
  <c r="C54" i="2" s="1"/>
  <c r="C92" i="2" s="1"/>
  <c r="J12" i="2"/>
  <c r="J50" i="2" s="1"/>
  <c r="J88" i="2" s="1"/>
  <c r="I17" i="2"/>
  <c r="I55" i="2" s="1"/>
  <c r="I93" i="2" s="1"/>
  <c r="C18" i="2"/>
  <c r="C56" i="2" s="1"/>
  <c r="C94" i="2" s="1"/>
  <c r="E14" i="2"/>
  <c r="E52" i="2" s="1"/>
  <c r="E90" i="2" s="1"/>
  <c r="J16" i="2"/>
  <c r="J54" i="2" s="1"/>
  <c r="J92" i="2" s="1"/>
  <c r="J15" i="2"/>
  <c r="J53" i="2" s="1"/>
  <c r="J91" i="2" s="1"/>
  <c r="I18" i="2"/>
  <c r="I56" i="2" s="1"/>
  <c r="I94" i="2" s="1"/>
  <c r="K23" i="2"/>
  <c r="K61" i="2" s="1"/>
  <c r="K99" i="2" s="1"/>
  <c r="H26" i="2"/>
  <c r="H64" i="2" s="1"/>
  <c r="H102" i="2" s="1"/>
  <c r="D14" i="2"/>
  <c r="D52" i="2" s="1"/>
  <c r="D90" i="2" s="1"/>
  <c r="H24" i="2"/>
  <c r="H62" i="2" s="1"/>
  <c r="H100" i="2" s="1"/>
  <c r="H15" i="2"/>
  <c r="H53" i="2" s="1"/>
  <c r="H91" i="2" s="1"/>
  <c r="D25" i="2"/>
  <c r="D63" i="2" s="1"/>
  <c r="D101" i="2" s="1"/>
  <c r="H20" i="2"/>
  <c r="H58" i="2" s="1"/>
  <c r="H96" i="2" s="1"/>
  <c r="K20" i="2"/>
  <c r="K58" i="2" s="1"/>
  <c r="K96" i="2" s="1"/>
  <c r="J24" i="2"/>
  <c r="J62" i="2" s="1"/>
  <c r="J100" i="2" s="1"/>
  <c r="E23" i="2"/>
  <c r="E61" i="2" s="1"/>
  <c r="E99" i="2" s="1"/>
  <c r="D20" i="2"/>
  <c r="D58" i="2" s="1"/>
  <c r="D96" i="2" s="1"/>
  <c r="H23" i="2"/>
  <c r="H61" i="2" s="1"/>
  <c r="H99" i="2" s="1"/>
  <c r="E25" i="2"/>
  <c r="E63" i="2" s="1"/>
  <c r="E101" i="2" s="1"/>
  <c r="I25" i="2"/>
  <c r="I63" i="2" s="1"/>
  <c r="I101" i="2" s="1"/>
  <c r="J22" i="2"/>
  <c r="J60" i="2" s="1"/>
  <c r="J98" i="2" s="1"/>
  <c r="H16" i="2"/>
  <c r="H54" i="2" s="1"/>
  <c r="H92" i="2" s="1"/>
  <c r="E19" i="2"/>
  <c r="E57" i="2" s="1"/>
  <c r="E95" i="2" s="1"/>
  <c r="J21" i="2"/>
  <c r="J59" i="2" s="1"/>
  <c r="J97" i="2" s="1"/>
  <c r="K13" i="2"/>
  <c r="K51" i="2" s="1"/>
  <c r="K89" i="2" s="1"/>
  <c r="E12" i="2"/>
  <c r="E50" i="2" s="1"/>
  <c r="E88" i="2" s="1"/>
  <c r="K15" i="2"/>
  <c r="K53" i="2" s="1"/>
  <c r="K91" i="2" s="1"/>
  <c r="B16" i="2"/>
  <c r="B54" i="2" s="1"/>
  <c r="B92" i="2" s="1"/>
  <c r="J20" i="2"/>
  <c r="J58" i="2" s="1"/>
  <c r="J96" i="2" s="1"/>
  <c r="J17" i="2"/>
  <c r="J55" i="2" s="1"/>
  <c r="J93" i="2" s="1"/>
  <c r="D18" i="2"/>
  <c r="D56" i="2" s="1"/>
  <c r="D94" i="2" s="1"/>
  <c r="H22" i="2"/>
  <c r="H60" i="2" s="1"/>
  <c r="H98" i="2" s="1"/>
  <c r="E26" i="2"/>
  <c r="E64" i="2" s="1"/>
  <c r="E102" i="2" s="1"/>
  <c r="E17" i="2"/>
  <c r="E55" i="2" s="1"/>
  <c r="E93" i="2" s="1"/>
  <c r="J23" i="2"/>
  <c r="J61" i="2" s="1"/>
  <c r="J99" i="2" s="1"/>
  <c r="D22" i="2"/>
  <c r="D60" i="2" s="1"/>
  <c r="D98" i="2" s="1"/>
  <c r="I15" i="2"/>
  <c r="I53" i="2" s="1"/>
  <c r="I91" i="2" s="1"/>
  <c r="H25" i="2"/>
  <c r="H63" i="2" s="1"/>
  <c r="H101" i="2" s="1"/>
  <c r="C13" i="2"/>
  <c r="C51" i="2" s="1"/>
  <c r="C89" i="2" s="1"/>
  <c r="J13" i="2"/>
  <c r="J51" i="2" s="1"/>
  <c r="J89" i="2" s="1"/>
  <c r="C25" i="2"/>
  <c r="C63" i="2" s="1"/>
  <c r="C101" i="2" s="1"/>
  <c r="E21" i="2"/>
  <c r="E59" i="2" s="1"/>
  <c r="E97" i="2" s="1"/>
  <c r="D21" i="2"/>
  <c r="D59" i="2" s="1"/>
  <c r="D97" i="2" s="1"/>
  <c r="C17" i="2"/>
  <c r="C55" i="2" s="1"/>
  <c r="C93" i="2" s="1"/>
  <c r="E15" i="2"/>
  <c r="E53" i="2" s="1"/>
  <c r="E91" i="2" s="1"/>
  <c r="D23" i="2"/>
  <c r="D61" i="2" s="1"/>
  <c r="D99" i="2" s="1"/>
  <c r="B20" i="2"/>
  <c r="B58" i="2" s="1"/>
  <c r="B96" i="2" s="1"/>
  <c r="I11" i="2"/>
  <c r="I49" i="2" s="1"/>
  <c r="I87" i="2" s="1"/>
  <c r="D13" i="2"/>
  <c r="D51" i="2" s="1"/>
  <c r="D89" i="2" s="1"/>
  <c r="B13" i="2"/>
  <c r="B51" i="2" s="1"/>
  <c r="B89" i="2" s="1"/>
  <c r="K11" i="2"/>
  <c r="K49" i="2" s="1"/>
  <c r="K87" i="2" s="1"/>
  <c r="I24" i="2"/>
  <c r="I62" i="2" s="1"/>
  <c r="I100" i="2" s="1"/>
  <c r="B19" i="2"/>
  <c r="B57" i="2" s="1"/>
  <c r="B95" i="2" s="1"/>
  <c r="H13" i="2"/>
  <c r="H51" i="2" s="1"/>
  <c r="H89" i="2" s="1"/>
  <c r="B14" i="2"/>
  <c r="B52" i="2" s="1"/>
  <c r="B90" i="2" s="1"/>
  <c r="I20" i="2"/>
  <c r="I58" i="2" s="1"/>
  <c r="I96" i="2" s="1"/>
  <c r="B22" i="2"/>
  <c r="B60" i="2" s="1"/>
  <c r="B98" i="2" s="1"/>
  <c r="E11" i="2"/>
  <c r="E49" i="2" s="1"/>
  <c r="E87" i="2" s="1"/>
  <c r="I16" i="2"/>
  <c r="I54" i="2" s="1"/>
  <c r="I92" i="2" s="1"/>
  <c r="C24" i="2"/>
  <c r="C62" i="2" s="1"/>
  <c r="C100" i="2" s="1"/>
  <c r="B15" i="2"/>
  <c r="B53" i="2" s="1"/>
  <c r="B91" i="2" s="1"/>
  <c r="D15" i="2"/>
  <c r="D53" i="2" s="1"/>
  <c r="D91" i="2" s="1"/>
  <c r="H11" i="2"/>
  <c r="H49" i="2" s="1"/>
  <c r="H87" i="2" s="1"/>
  <c r="I26" i="2"/>
  <c r="I64" i="2" s="1"/>
  <c r="I102" i="2" s="1"/>
  <c r="B11" i="2"/>
  <c r="B49" i="2" s="1"/>
  <c r="B87" i="2" s="1"/>
  <c r="K26" i="2"/>
  <c r="K64" i="2" s="1"/>
  <c r="K102" i="2" s="1"/>
  <c r="I19" i="2"/>
  <c r="I57" i="2" s="1"/>
  <c r="I95" i="2" s="1"/>
  <c r="K17" i="2"/>
  <c r="K55" i="2" s="1"/>
  <c r="K93" i="2" s="1"/>
  <c r="B21" i="2"/>
  <c r="B59" i="2" s="1"/>
  <c r="B97" i="2" s="1"/>
  <c r="D17" i="2"/>
  <c r="D55" i="2" s="1"/>
  <c r="D93" i="2" s="1"/>
  <c r="C23" i="2"/>
  <c r="C61" i="2" s="1"/>
  <c r="C99" i="2" s="1"/>
  <c r="H18" i="2"/>
  <c r="H56" i="2" s="1"/>
  <c r="H94" i="2" s="1"/>
  <c r="J11" i="2"/>
  <c r="J49" i="2" s="1"/>
  <c r="J87" i="2" s="1"/>
  <c r="C12" i="2"/>
  <c r="C50" i="2" s="1"/>
  <c r="C88" i="2" s="1"/>
  <c r="C19" i="2"/>
  <c r="C57" i="2" s="1"/>
  <c r="C95" i="2" s="1"/>
  <c r="E16" i="2"/>
  <c r="E54" i="2" s="1"/>
  <c r="E92" i="2" s="1"/>
  <c r="D24" i="2"/>
  <c r="D62" i="2" s="1"/>
  <c r="D100" i="2" s="1"/>
  <c r="K18" i="2"/>
  <c r="K56" i="2" s="1"/>
  <c r="K94" i="2" s="1"/>
  <c r="C20" i="2"/>
  <c r="C58" i="2" s="1"/>
  <c r="C96" i="2" s="1"/>
  <c r="I13" i="2"/>
  <c r="I51" i="2" s="1"/>
  <c r="I89" i="2" s="1"/>
  <c r="K12" i="2"/>
  <c r="K50" i="2" s="1"/>
  <c r="K88" i="2" s="1"/>
  <c r="J19" i="2"/>
  <c r="J57" i="2" s="1"/>
  <c r="J95" i="2" s="1"/>
  <c r="D26" i="2"/>
  <c r="D64" i="2" s="1"/>
  <c r="D102" i="2" s="1"/>
  <c r="H12" i="2"/>
  <c r="H50" i="2" s="1"/>
  <c r="H88" i="2" s="1"/>
  <c r="C11" i="2"/>
  <c r="C49" i="2" s="1"/>
  <c r="C87" i="2" s="1"/>
  <c r="K21" i="2"/>
  <c r="K59" i="2" s="1"/>
  <c r="K97" i="2" s="1"/>
  <c r="J18" i="2"/>
  <c r="J56" i="2" s="1"/>
  <c r="J94" i="2" s="1"/>
  <c r="B12" i="2"/>
  <c r="B50" i="2" s="1"/>
  <c r="B88" i="2" s="1"/>
  <c r="K16" i="2"/>
  <c r="K54" i="2" s="1"/>
  <c r="K92" i="2" s="1"/>
  <c r="D12" i="2"/>
  <c r="D50" i="2" s="1"/>
  <c r="D88" i="2" s="1"/>
  <c r="C26" i="2"/>
  <c r="C64" i="2" s="1"/>
  <c r="C102" i="2" s="1"/>
  <c r="J26" i="2"/>
  <c r="J64" i="2" s="1"/>
  <c r="J102" i="2" s="1"/>
  <c r="B26" i="2"/>
  <c r="B64" i="2" s="1"/>
  <c r="B102" i="2" s="1"/>
  <c r="B24" i="2"/>
  <c r="B62" i="2" s="1"/>
  <c r="B100" i="2" s="1"/>
  <c r="J14" i="2"/>
  <c r="J52" i="2" s="1"/>
  <c r="J90" i="2" s="1"/>
  <c r="C21" i="2"/>
  <c r="C59" i="2" s="1"/>
  <c r="C97" i="2" s="1"/>
  <c r="E22" i="2"/>
  <c r="E60" i="2" s="1"/>
  <c r="E98" i="2" s="1"/>
  <c r="D16" i="2"/>
  <c r="D54" i="2" s="1"/>
  <c r="D92" i="2" s="1"/>
  <c r="H14" i="2"/>
  <c r="H52" i="2" s="1"/>
  <c r="H90" i="2" s="1"/>
  <c r="K24" i="2"/>
  <c r="K62" i="2" s="1"/>
  <c r="K100" i="2" s="1"/>
  <c r="K22" i="2"/>
  <c r="K60" i="2" s="1"/>
  <c r="K98" i="2" s="1"/>
  <c r="H21" i="2"/>
  <c r="H59" i="2" s="1"/>
  <c r="H97" i="2" s="1"/>
  <c r="K19" i="2"/>
  <c r="K57" i="2" s="1"/>
  <c r="K95" i="2" s="1"/>
  <c r="I12" i="2"/>
  <c r="I50" i="2" s="1"/>
  <c r="I88" i="2" s="1"/>
  <c r="E24" i="2"/>
  <c r="E62" i="2" s="1"/>
  <c r="E100" i="2" s="1"/>
  <c r="E13" i="2"/>
  <c r="E51" i="2" s="1"/>
  <c r="E89" i="2" s="1"/>
  <c r="I22" i="2"/>
  <c r="I60" i="2" s="1"/>
  <c r="I98" i="2" s="1"/>
  <c r="D11" i="2"/>
  <c r="D49" i="2" s="1"/>
  <c r="D87" i="2" s="1"/>
  <c r="H6" i="2"/>
  <c r="H44" i="2" s="1"/>
  <c r="H82" i="2" s="1"/>
  <c r="H5" i="2"/>
  <c r="H43" i="2" s="1"/>
  <c r="H81" i="2" s="1"/>
  <c r="H3" i="2"/>
  <c r="H41" i="2" s="1"/>
  <c r="H79" i="2" s="1"/>
  <c r="M9" i="4"/>
  <c r="F9" i="4"/>
  <c r="P9" i="4" s="1"/>
  <c r="G9" i="4"/>
  <c r="D9" i="4"/>
  <c r="N9" i="4"/>
  <c r="E9" i="4"/>
  <c r="H9" i="4"/>
  <c r="I9" i="4"/>
  <c r="J9" i="4"/>
  <c r="L9" i="4" s="1"/>
  <c r="F42" i="4"/>
  <c r="P42" i="4" s="1"/>
  <c r="M42" i="4"/>
  <c r="E42" i="4"/>
  <c r="D42" i="4"/>
  <c r="N42" i="4"/>
  <c r="G42" i="4"/>
  <c r="I42" i="4"/>
  <c r="H42" i="4"/>
  <c r="J42" i="4"/>
  <c r="L42" i="4" s="1"/>
  <c r="T42" i="4" s="1"/>
  <c r="M8" i="4"/>
  <c r="E8" i="4"/>
  <c r="F8" i="4"/>
  <c r="P8" i="4" s="1"/>
  <c r="G8" i="4"/>
  <c r="N8" i="4"/>
  <c r="D8" i="4"/>
  <c r="I8" i="4"/>
  <c r="H8" i="4"/>
  <c r="J8" i="4"/>
  <c r="L8" i="4" s="1"/>
  <c r="T8" i="4" s="1"/>
  <c r="N28" i="4"/>
  <c r="M28" i="4"/>
  <c r="E28" i="4"/>
  <c r="F28" i="4"/>
  <c r="P28" i="4" s="1"/>
  <c r="D28" i="4"/>
  <c r="G28" i="4"/>
  <c r="J28" i="4"/>
  <c r="L28" i="4" s="1"/>
  <c r="H28" i="4"/>
  <c r="I28" i="4"/>
  <c r="E48" i="4"/>
  <c r="N48" i="4"/>
  <c r="J48" i="4"/>
  <c r="L48" i="4" s="1"/>
  <c r="I48" i="4"/>
  <c r="F48" i="4"/>
  <c r="P48" i="4" s="1"/>
  <c r="M48" i="4"/>
  <c r="G48" i="4"/>
  <c r="K48" i="4"/>
  <c r="D48" i="4"/>
  <c r="H48" i="4"/>
  <c r="F21" i="4"/>
  <c r="P21" i="4" s="1"/>
  <c r="E21" i="4"/>
  <c r="G21" i="4"/>
  <c r="M21" i="4"/>
  <c r="D21" i="4"/>
  <c r="N21" i="4"/>
  <c r="I21" i="4"/>
  <c r="H21" i="4"/>
  <c r="J21" i="4"/>
  <c r="L21" i="4" s="1"/>
  <c r="T21" i="4" s="1"/>
  <c r="E5" i="4"/>
  <c r="D5" i="4"/>
  <c r="G5" i="4"/>
  <c r="F5" i="4"/>
  <c r="P5" i="4" s="1"/>
  <c r="N5" i="4"/>
  <c r="M5" i="4"/>
  <c r="I5" i="4"/>
  <c r="H5" i="4"/>
  <c r="J5" i="4"/>
  <c r="L5" i="4" s="1"/>
  <c r="F27" i="4"/>
  <c r="P27" i="4" s="1"/>
  <c r="D27" i="4"/>
  <c r="N27" i="4"/>
  <c r="G27" i="4"/>
  <c r="M27" i="4"/>
  <c r="E27" i="4"/>
  <c r="I27" i="4"/>
  <c r="J27" i="4"/>
  <c r="L27" i="4" s="1"/>
  <c r="H27" i="4"/>
  <c r="K27" i="4"/>
  <c r="M35" i="4"/>
  <c r="D35" i="4"/>
  <c r="N35" i="4"/>
  <c r="F35" i="4"/>
  <c r="P35" i="4" s="1"/>
  <c r="E35" i="4"/>
  <c r="G35" i="4"/>
  <c r="H35" i="4"/>
  <c r="J35" i="4"/>
  <c r="L35" i="4" s="1"/>
  <c r="T35" i="4" s="1"/>
  <c r="I35" i="4"/>
  <c r="K35" i="4"/>
  <c r="G4" i="4"/>
  <c r="N4" i="4"/>
  <c r="D4" i="4"/>
  <c r="M4" i="4"/>
  <c r="F4" i="4"/>
  <c r="P4" i="4" s="1"/>
  <c r="E4" i="4"/>
  <c r="H4" i="4"/>
  <c r="I4" i="4"/>
  <c r="J4" i="4"/>
  <c r="L4" i="4" s="1"/>
  <c r="T4" i="4" s="1"/>
  <c r="N24" i="4"/>
  <c r="D24" i="4"/>
  <c r="E24" i="4"/>
  <c r="G24" i="4"/>
  <c r="M24" i="4"/>
  <c r="F24" i="4"/>
  <c r="P24" i="4" s="1"/>
  <c r="I24" i="4"/>
  <c r="J24" i="4"/>
  <c r="L24" i="4" s="1"/>
  <c r="T24" i="4" s="1"/>
  <c r="H24" i="4"/>
  <c r="K24" i="4"/>
  <c r="G46" i="4"/>
  <c r="D46" i="4"/>
  <c r="E46" i="4"/>
  <c r="N46" i="4"/>
  <c r="M46" i="4"/>
  <c r="F46" i="4"/>
  <c r="P46" i="4" s="1"/>
  <c r="J46" i="4"/>
  <c r="L46" i="4" s="1"/>
  <c r="I46" i="4"/>
  <c r="H46" i="4"/>
  <c r="D19" i="4"/>
  <c r="G19" i="4"/>
  <c r="N19" i="4"/>
  <c r="E19" i="4"/>
  <c r="F19" i="4"/>
  <c r="P19" i="4" s="1"/>
  <c r="M19" i="4"/>
  <c r="H19" i="4"/>
  <c r="I19" i="4"/>
  <c r="J19" i="4"/>
  <c r="L19" i="4" s="1"/>
  <c r="T19" i="4" s="1"/>
  <c r="D13" i="4"/>
  <c r="E13" i="4"/>
  <c r="F13" i="4"/>
  <c r="P13" i="4" s="1"/>
  <c r="G13" i="4"/>
  <c r="M13" i="4"/>
  <c r="N13" i="4"/>
  <c r="H13" i="4"/>
  <c r="I13" i="4"/>
  <c r="J13" i="4"/>
  <c r="L13" i="4" s="1"/>
  <c r="T13" i="4" s="1"/>
  <c r="D40" i="4"/>
  <c r="F40" i="4"/>
  <c r="P40" i="4" s="1"/>
  <c r="G40" i="4"/>
  <c r="N40" i="4"/>
  <c r="M40" i="4"/>
  <c r="E40" i="4"/>
  <c r="H40" i="4"/>
  <c r="I40" i="4"/>
  <c r="J40" i="4"/>
  <c r="L40" i="4" s="1"/>
  <c r="T40" i="4" s="1"/>
  <c r="H55" i="4"/>
  <c r="J55" i="4"/>
  <c r="L55" i="4" s="1"/>
  <c r="K55" i="4"/>
  <c r="F55" i="4"/>
  <c r="P55" i="4" s="1"/>
  <c r="E55" i="4"/>
  <c r="M55" i="4"/>
  <c r="N55" i="4"/>
  <c r="G55" i="4"/>
  <c r="I55" i="4"/>
  <c r="D55" i="4"/>
  <c r="D11" i="4"/>
  <c r="G11" i="4"/>
  <c r="E11" i="4"/>
  <c r="M11" i="4"/>
  <c r="F11" i="4"/>
  <c r="P11" i="4" s="1"/>
  <c r="N11" i="4"/>
  <c r="I11" i="4"/>
  <c r="H11" i="4"/>
  <c r="J11" i="4"/>
  <c r="L11" i="4" s="1"/>
  <c r="T11" i="4" s="1"/>
  <c r="M30" i="4"/>
  <c r="G30" i="4"/>
  <c r="F30" i="4"/>
  <c r="P30" i="4" s="1"/>
  <c r="D30" i="4"/>
  <c r="N30" i="4"/>
  <c r="E30" i="4"/>
  <c r="J30" i="4"/>
  <c r="L30" i="4" s="1"/>
  <c r="T30" i="4" s="1"/>
  <c r="I30" i="4"/>
  <c r="H30" i="4"/>
  <c r="M41" i="4"/>
  <c r="D41" i="4"/>
  <c r="E41" i="4"/>
  <c r="G41" i="4"/>
  <c r="N41" i="4"/>
  <c r="F41" i="4"/>
  <c r="P41" i="4" s="1"/>
  <c r="I41" i="4"/>
  <c r="J41" i="4"/>
  <c r="L41" i="4" s="1"/>
  <c r="T41" i="4" s="1"/>
  <c r="H41" i="4"/>
  <c r="K41" i="4"/>
  <c r="G23" i="4"/>
  <c r="N23" i="4"/>
  <c r="M23" i="4"/>
  <c r="F23" i="4"/>
  <c r="P23" i="4" s="1"/>
  <c r="D23" i="4"/>
  <c r="E23" i="4"/>
  <c r="H23" i="4"/>
  <c r="J23" i="4"/>
  <c r="L23" i="4" s="1"/>
  <c r="T23" i="4" s="1"/>
  <c r="I23" i="4"/>
  <c r="K23" i="4"/>
  <c r="I53" i="4"/>
  <c r="E53" i="4"/>
  <c r="N53" i="4"/>
  <c r="K53" i="4"/>
  <c r="F53" i="4"/>
  <c r="P53" i="4" s="1"/>
  <c r="H53" i="4"/>
  <c r="M53" i="4"/>
  <c r="D53" i="4"/>
  <c r="J53" i="4"/>
  <c r="L53" i="4" s="1"/>
  <c r="G53" i="4"/>
  <c r="N29" i="4"/>
  <c r="E29" i="4"/>
  <c r="G29" i="4"/>
  <c r="D29" i="4"/>
  <c r="F29" i="4"/>
  <c r="P29" i="4" s="1"/>
  <c r="M29" i="4"/>
  <c r="H29" i="4"/>
  <c r="I29" i="4"/>
  <c r="J29" i="4"/>
  <c r="L29" i="4" s="1"/>
  <c r="T29" i="4" s="1"/>
  <c r="D54" i="4"/>
  <c r="J54" i="4"/>
  <c r="L54" i="4" s="1"/>
  <c r="M54" i="4"/>
  <c r="G54" i="4"/>
  <c r="H54" i="4"/>
  <c r="I54" i="4"/>
  <c r="K54" i="4"/>
  <c r="N54" i="4"/>
  <c r="F54" i="4"/>
  <c r="P54" i="4" s="1"/>
  <c r="E54" i="4"/>
  <c r="N18" i="4"/>
  <c r="G18" i="4"/>
  <c r="E18" i="4"/>
  <c r="D18" i="4"/>
  <c r="M18" i="4"/>
  <c r="F18" i="4"/>
  <c r="P18" i="4" s="1"/>
  <c r="J18" i="4"/>
  <c r="L18" i="4" s="1"/>
  <c r="T18" i="4" s="1"/>
  <c r="H18" i="4"/>
  <c r="I18" i="4"/>
  <c r="E36" i="4"/>
  <c r="F36" i="4"/>
  <c r="P36" i="4" s="1"/>
  <c r="M36" i="4"/>
  <c r="N36" i="4"/>
  <c r="G36" i="4"/>
  <c r="D36" i="4"/>
  <c r="I36" i="4"/>
  <c r="H36" i="4"/>
  <c r="J36" i="4"/>
  <c r="L36" i="4" s="1"/>
  <c r="G51" i="4"/>
  <c r="I51" i="4"/>
  <c r="D51" i="4"/>
  <c r="N51" i="4"/>
  <c r="J51" i="4"/>
  <c r="L51" i="4" s="1"/>
  <c r="H51" i="4"/>
  <c r="F51" i="4"/>
  <c r="P51" i="4" s="1"/>
  <c r="M51" i="4"/>
  <c r="K51" i="4"/>
  <c r="E51" i="4"/>
  <c r="N14" i="4"/>
  <c r="G14" i="4"/>
  <c r="E14" i="4"/>
  <c r="D14" i="4"/>
  <c r="F14" i="4"/>
  <c r="P14" i="4" s="1"/>
  <c r="M14" i="4"/>
  <c r="I14" i="4"/>
  <c r="J14" i="4"/>
  <c r="L14" i="4" s="1"/>
  <c r="H14" i="4"/>
  <c r="K14" i="4"/>
  <c r="E31" i="4"/>
  <c r="D31" i="4"/>
  <c r="N31" i="4"/>
  <c r="F31" i="4"/>
  <c r="P31" i="4" s="1"/>
  <c r="M31" i="4"/>
  <c r="G31" i="4"/>
  <c r="I31" i="4"/>
  <c r="J31" i="4"/>
  <c r="L31" i="4" s="1"/>
  <c r="T31" i="4" s="1"/>
  <c r="H31" i="4"/>
  <c r="K31" i="4"/>
  <c r="G43" i="4"/>
  <c r="M43" i="4"/>
  <c r="F43" i="4"/>
  <c r="P43" i="4" s="1"/>
  <c r="D43" i="4"/>
  <c r="E43" i="4"/>
  <c r="N43" i="4"/>
  <c r="I43" i="4"/>
  <c r="H43" i="4"/>
  <c r="J43" i="4"/>
  <c r="L43" i="4" s="1"/>
  <c r="T43" i="4" s="1"/>
  <c r="F20" i="4"/>
  <c r="P20" i="4" s="1"/>
  <c r="E20" i="4"/>
  <c r="N20" i="4"/>
  <c r="D20" i="4"/>
  <c r="M20" i="4"/>
  <c r="G20" i="4"/>
  <c r="H20" i="4"/>
  <c r="J20" i="4"/>
  <c r="L20" i="4" s="1"/>
  <c r="T20" i="4" s="1"/>
  <c r="I20" i="4"/>
  <c r="K20" i="4"/>
  <c r="N37" i="4"/>
  <c r="E37" i="4"/>
  <c r="G37" i="4"/>
  <c r="F37" i="4"/>
  <c r="P37" i="4" s="1"/>
  <c r="M37" i="4"/>
  <c r="D37" i="4"/>
  <c r="I37" i="4"/>
  <c r="J37" i="4"/>
  <c r="L37" i="4" s="1"/>
  <c r="T37" i="4" s="1"/>
  <c r="H37" i="4"/>
  <c r="D7" i="4"/>
  <c r="F7" i="4"/>
  <c r="P7" i="4" s="1"/>
  <c r="E7" i="4"/>
  <c r="G7" i="4"/>
  <c r="M7" i="4"/>
  <c r="N7" i="4"/>
  <c r="H7" i="4"/>
  <c r="I7" i="4"/>
  <c r="J7" i="4"/>
  <c r="L7" i="4" s="1"/>
  <c r="M34" i="4"/>
  <c r="G34" i="4"/>
  <c r="E34" i="4"/>
  <c r="N34" i="4"/>
  <c r="F34" i="4"/>
  <c r="P34" i="4" s="1"/>
  <c r="D34" i="4"/>
  <c r="I34" i="4"/>
  <c r="H34" i="4"/>
  <c r="J34" i="4"/>
  <c r="L34" i="4" s="1"/>
  <c r="D17" i="4"/>
  <c r="E17" i="4"/>
  <c r="F17" i="4"/>
  <c r="P17" i="4" s="1"/>
  <c r="N17" i="4"/>
  <c r="G17" i="4"/>
  <c r="M17" i="4"/>
  <c r="J17" i="4"/>
  <c r="L17" i="4" s="1"/>
  <c r="T17" i="4" s="1"/>
  <c r="H17" i="4"/>
  <c r="I17" i="4"/>
  <c r="N44" i="4"/>
  <c r="G44" i="4"/>
  <c r="D44" i="4"/>
  <c r="E44" i="4"/>
  <c r="F44" i="4"/>
  <c r="P44" i="4" s="1"/>
  <c r="M44" i="4"/>
  <c r="I44" i="4"/>
  <c r="J44" i="4"/>
  <c r="L44" i="4" s="1"/>
  <c r="H44" i="4"/>
  <c r="K44" i="4"/>
  <c r="M50" i="4"/>
  <c r="F50" i="4"/>
  <c r="P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P15" i="4" s="1"/>
  <c r="J15" i="4"/>
  <c r="L15" i="4" s="1"/>
  <c r="I15" i="4"/>
  <c r="H15" i="4"/>
  <c r="D32" i="4"/>
  <c r="M32" i="4"/>
  <c r="N32" i="4"/>
  <c r="F32" i="4"/>
  <c r="P32" i="4" s="1"/>
  <c r="G32" i="4"/>
  <c r="E32" i="4"/>
  <c r="J32" i="4"/>
  <c r="L32" i="4" s="1"/>
  <c r="I32" i="4"/>
  <c r="H32" i="4"/>
  <c r="D45" i="4"/>
  <c r="M45" i="4"/>
  <c r="F45" i="4"/>
  <c r="P45" i="4" s="1"/>
  <c r="G45" i="4"/>
  <c r="E45" i="4"/>
  <c r="N45" i="4"/>
  <c r="H45" i="4"/>
  <c r="J45" i="4"/>
  <c r="L45" i="4" s="1"/>
  <c r="I45" i="4"/>
  <c r="K45" i="4"/>
  <c r="G3" i="4"/>
  <c r="N3" i="4"/>
  <c r="F3" i="4"/>
  <c r="P3" i="4" s="1"/>
  <c r="M3" i="4"/>
  <c r="D3" i="4"/>
  <c r="E3" i="4"/>
  <c r="I3" i="4"/>
  <c r="H3" i="4"/>
  <c r="J3" i="4"/>
  <c r="K3" i="4" s="1"/>
  <c r="N25" i="4"/>
  <c r="E25" i="4"/>
  <c r="D25" i="4"/>
  <c r="M25" i="4"/>
  <c r="G25" i="4"/>
  <c r="F25" i="4"/>
  <c r="P25" i="4" s="1"/>
  <c r="J25" i="4"/>
  <c r="L25" i="4" s="1"/>
  <c r="H25" i="4"/>
  <c r="I25" i="4"/>
  <c r="N49" i="4"/>
  <c r="K49" i="4"/>
  <c r="F49" i="4"/>
  <c r="P49" i="4" s="1"/>
  <c r="J49" i="4"/>
  <c r="L49" i="4" s="1"/>
  <c r="I49" i="4"/>
  <c r="D49" i="4"/>
  <c r="H49" i="4"/>
  <c r="E49" i="4"/>
  <c r="M49" i="4"/>
  <c r="G49" i="4"/>
  <c r="D16" i="4"/>
  <c r="M16" i="4"/>
  <c r="F16" i="4"/>
  <c r="P16" i="4" s="1"/>
  <c r="N16" i="4"/>
  <c r="E16" i="4"/>
  <c r="G16" i="4"/>
  <c r="I16" i="4"/>
  <c r="J16" i="4"/>
  <c r="L16" i="4" s="1"/>
  <c r="H16" i="4"/>
  <c r="K16" i="4"/>
  <c r="F22" i="4"/>
  <c r="P22" i="4" s="1"/>
  <c r="D22" i="4"/>
  <c r="E22" i="4"/>
  <c r="G22" i="4"/>
  <c r="M22" i="4"/>
  <c r="N22" i="4"/>
  <c r="H22" i="4"/>
  <c r="I22" i="4"/>
  <c r="J22" i="4"/>
  <c r="L22" i="4" s="1"/>
  <c r="T22" i="4" s="1"/>
  <c r="D38" i="4"/>
  <c r="G38" i="4"/>
  <c r="N38" i="4"/>
  <c r="F38" i="4"/>
  <c r="P38" i="4" s="1"/>
  <c r="E38" i="4"/>
  <c r="M38" i="4"/>
  <c r="J38" i="4"/>
  <c r="L38" i="4" s="1"/>
  <c r="I38" i="4"/>
  <c r="H38" i="4"/>
  <c r="I52" i="4"/>
  <c r="G52" i="4"/>
  <c r="D52" i="4"/>
  <c r="H52" i="4"/>
  <c r="J52" i="4"/>
  <c r="L52" i="4" s="1"/>
  <c r="M52" i="4"/>
  <c r="E52" i="4"/>
  <c r="K52" i="4"/>
  <c r="F52" i="4"/>
  <c r="P52" i="4" s="1"/>
  <c r="N52" i="4"/>
  <c r="F12" i="4"/>
  <c r="P12" i="4" s="1"/>
  <c r="E12" i="4"/>
  <c r="M12" i="4"/>
  <c r="D12" i="4"/>
  <c r="N12" i="4"/>
  <c r="G12" i="4"/>
  <c r="I12" i="4"/>
  <c r="H12" i="4"/>
  <c r="J12" i="4"/>
  <c r="L12" i="4" s="1"/>
  <c r="T12" i="4" s="1"/>
  <c r="M10" i="4"/>
  <c r="F10" i="4"/>
  <c r="P10" i="4" s="1"/>
  <c r="G10" i="4"/>
  <c r="E10" i="4"/>
  <c r="N10" i="4"/>
  <c r="D10" i="4"/>
  <c r="I10" i="4"/>
  <c r="H10" i="4"/>
  <c r="J10" i="4"/>
  <c r="L10" i="4" s="1"/>
  <c r="F39" i="4"/>
  <c r="P39" i="4" s="1"/>
  <c r="G39" i="4"/>
  <c r="N39" i="4"/>
  <c r="M39" i="4"/>
  <c r="D39" i="4"/>
  <c r="E39" i="4"/>
  <c r="J39" i="4"/>
  <c r="L39" i="4" s="1"/>
  <c r="I39" i="4"/>
  <c r="H39" i="4"/>
  <c r="E6" i="4"/>
  <c r="G6" i="4"/>
  <c r="N6" i="4"/>
  <c r="F6" i="4"/>
  <c r="P6" i="4" s="1"/>
  <c r="M6" i="4"/>
  <c r="D6" i="4"/>
  <c r="H6" i="4"/>
  <c r="J6" i="4"/>
  <c r="L6" i="4" s="1"/>
  <c r="T6" i="4" s="1"/>
  <c r="I6" i="4"/>
  <c r="K6" i="4"/>
  <c r="G26" i="4"/>
  <c r="M26" i="4"/>
  <c r="E26" i="4"/>
  <c r="F26" i="4"/>
  <c r="P26" i="4" s="1"/>
  <c r="D26" i="4"/>
  <c r="N26" i="4"/>
  <c r="H26" i="4"/>
  <c r="J26" i="4"/>
  <c r="L26" i="4" s="1"/>
  <c r="I26" i="4"/>
  <c r="K26" i="4"/>
  <c r="N33" i="4"/>
  <c r="E33" i="4"/>
  <c r="G33" i="4"/>
  <c r="M33" i="4"/>
  <c r="F33" i="4"/>
  <c r="P33" i="4" s="1"/>
  <c r="D33" i="4"/>
  <c r="J33" i="4"/>
  <c r="L33" i="4" s="1"/>
  <c r="T33" i="4" s="1"/>
  <c r="H33" i="4"/>
  <c r="I33" i="4"/>
  <c r="F47" i="4"/>
  <c r="P47" i="4" s="1"/>
  <c r="E47" i="4"/>
  <c r="D47" i="4"/>
  <c r="M47" i="4"/>
  <c r="G47" i="4"/>
  <c r="N47" i="4"/>
  <c r="I47" i="4"/>
  <c r="H47" i="4"/>
  <c r="J47" i="4"/>
  <c r="L47" i="4" s="1"/>
  <c r="K35" i="2" s="1"/>
  <c r="K73" i="2" s="1"/>
  <c r="K111" i="2" s="1"/>
  <c r="J38" i="2" l="1"/>
  <c r="J37" i="2"/>
  <c r="J75" i="2" s="1"/>
  <c r="J113" i="2" s="1"/>
  <c r="T15" i="4"/>
  <c r="K37" i="4"/>
  <c r="T26" i="4"/>
  <c r="T39" i="4"/>
  <c r="T9" i="4"/>
  <c r="T10" i="4"/>
  <c r="T38" i="4"/>
  <c r="T16" i="4"/>
  <c r="T25" i="4"/>
  <c r="T45" i="4"/>
  <c r="T32" i="4"/>
  <c r="T44" i="4"/>
  <c r="T7" i="4"/>
  <c r="T14" i="4"/>
  <c r="T36" i="4"/>
  <c r="T46" i="4"/>
  <c r="T27" i="4"/>
  <c r="T5" i="4"/>
  <c r="T28" i="4"/>
  <c r="T47" i="4"/>
  <c r="J29" i="2"/>
  <c r="I56" i="4"/>
  <c r="K47" i="4"/>
  <c r="K33" i="4"/>
  <c r="K39" i="4"/>
  <c r="K10" i="4"/>
  <c r="K12" i="4"/>
  <c r="K38" i="4"/>
  <c r="K22" i="4"/>
  <c r="K25" i="4"/>
  <c r="H56" i="4"/>
  <c r="K32" i="4"/>
  <c r="K15" i="4"/>
  <c r="K17" i="4"/>
  <c r="K34" i="4"/>
  <c r="K7" i="4"/>
  <c r="K43" i="4"/>
  <c r="K36" i="4"/>
  <c r="K18" i="4"/>
  <c r="K29" i="4"/>
  <c r="K30" i="4"/>
  <c r="K11" i="4"/>
  <c r="K40" i="4"/>
  <c r="K13" i="4"/>
  <c r="K19" i="4"/>
  <c r="K46" i="4"/>
  <c r="K4" i="4"/>
  <c r="K5" i="4"/>
  <c r="K21" i="4"/>
  <c r="K28" i="4"/>
  <c r="K8" i="4"/>
  <c r="K42" i="4"/>
  <c r="K9" i="4"/>
  <c r="Q47" i="4"/>
  <c r="S47" i="4"/>
  <c r="R47" i="4"/>
  <c r="U47" i="4"/>
  <c r="S33" i="4"/>
  <c r="R33" i="4"/>
  <c r="U33" i="4"/>
  <c r="Q33" i="4"/>
  <c r="R26" i="4"/>
  <c r="S26" i="4"/>
  <c r="U26" i="4"/>
  <c r="Q26" i="4"/>
  <c r="R6" i="4"/>
  <c r="Q6" i="4"/>
  <c r="U6" i="4"/>
  <c r="S6" i="4"/>
  <c r="Q39" i="4"/>
  <c r="S39" i="4"/>
  <c r="U39" i="4"/>
  <c r="R39" i="4"/>
  <c r="S10" i="4"/>
  <c r="U10" i="4"/>
  <c r="Q10" i="4"/>
  <c r="R10" i="4"/>
  <c r="R12" i="4"/>
  <c r="S12" i="4"/>
  <c r="U12" i="4"/>
  <c r="Q12" i="4"/>
  <c r="U52" i="4"/>
  <c r="R52" i="4"/>
  <c r="T52" i="4"/>
  <c r="S52" i="4"/>
  <c r="Q52" i="4"/>
  <c r="S38" i="4"/>
  <c r="R38" i="4"/>
  <c r="U38" i="4"/>
  <c r="Q38" i="4"/>
  <c r="R22" i="4"/>
  <c r="Q22" i="4"/>
  <c r="S22" i="4"/>
  <c r="U22" i="4"/>
  <c r="R16" i="4"/>
  <c r="Q16" i="4"/>
  <c r="S16" i="4"/>
  <c r="U16" i="4"/>
  <c r="T49" i="4"/>
  <c r="U49" i="4"/>
  <c r="R49" i="4"/>
  <c r="Q49" i="4"/>
  <c r="S49" i="4"/>
  <c r="R25" i="4"/>
  <c r="Q25" i="4"/>
  <c r="S25" i="4"/>
  <c r="U25" i="4"/>
  <c r="L3" i="4"/>
  <c r="J56" i="4"/>
  <c r="U3" i="4"/>
  <c r="Q3" i="4"/>
  <c r="R3" i="4"/>
  <c r="S3" i="4"/>
  <c r="T3" i="4"/>
  <c r="Q45" i="4"/>
  <c r="R45" i="4"/>
  <c r="S45" i="4"/>
  <c r="U45" i="4"/>
  <c r="R32" i="4"/>
  <c r="S32" i="4"/>
  <c r="U32" i="4"/>
  <c r="Q32" i="4"/>
  <c r="R15" i="4"/>
  <c r="S15" i="4"/>
  <c r="U15" i="4"/>
  <c r="Q15" i="4"/>
  <c r="S50" i="4"/>
  <c r="Q50" i="4"/>
  <c r="U50" i="4"/>
  <c r="T50" i="4"/>
  <c r="R50" i="4"/>
  <c r="R44" i="4"/>
  <c r="S44" i="4"/>
  <c r="U44" i="4"/>
  <c r="Q44" i="4"/>
  <c r="R17" i="4"/>
  <c r="Q17" i="4"/>
  <c r="U17" i="4"/>
  <c r="S17" i="4"/>
  <c r="S34" i="4"/>
  <c r="Q34" i="4"/>
  <c r="U34" i="4"/>
  <c r="R34" i="4"/>
  <c r="T34" i="4"/>
  <c r="U7" i="4"/>
  <c r="Q7" i="4"/>
  <c r="S7" i="4"/>
  <c r="R7" i="4"/>
  <c r="R37" i="4"/>
  <c r="U37" i="4"/>
  <c r="S37" i="4"/>
  <c r="Q37" i="4"/>
  <c r="R20" i="4"/>
  <c r="Q20" i="4"/>
  <c r="S20" i="4"/>
  <c r="U20" i="4"/>
  <c r="R43" i="4"/>
  <c r="U43" i="4"/>
  <c r="S43" i="4"/>
  <c r="Q43" i="4"/>
  <c r="S31" i="4"/>
  <c r="R31" i="4"/>
  <c r="Q31" i="4"/>
  <c r="U31" i="4"/>
  <c r="R14" i="4"/>
  <c r="S14" i="4"/>
  <c r="U14" i="4"/>
  <c r="Q14" i="4"/>
  <c r="R51" i="4"/>
  <c r="Q51" i="4"/>
  <c r="U51" i="4"/>
  <c r="T51" i="4"/>
  <c r="S51" i="4"/>
  <c r="U36" i="4"/>
  <c r="Q36" i="4"/>
  <c r="R36" i="4"/>
  <c r="S36" i="4"/>
  <c r="R18" i="4"/>
  <c r="S18" i="4"/>
  <c r="Q18" i="4"/>
  <c r="U18" i="4"/>
  <c r="R54" i="4"/>
  <c r="T54" i="4"/>
  <c r="S54" i="4"/>
  <c r="U54" i="4"/>
  <c r="Q54" i="4"/>
  <c r="U29" i="4"/>
  <c r="Q29" i="4"/>
  <c r="R29" i="4"/>
  <c r="S29" i="4"/>
  <c r="S53" i="4"/>
  <c r="T53" i="4"/>
  <c r="R53" i="4"/>
  <c r="U53" i="4"/>
  <c r="Q53" i="4"/>
  <c r="R23" i="4"/>
  <c r="Q23" i="4"/>
  <c r="U23" i="4"/>
  <c r="S23" i="4"/>
  <c r="U41" i="4"/>
  <c r="Q41" i="4"/>
  <c r="S41" i="4"/>
  <c r="R41" i="4"/>
  <c r="R30" i="4"/>
  <c r="S30" i="4"/>
  <c r="U30" i="4"/>
  <c r="Q30" i="4"/>
  <c r="S11" i="4"/>
  <c r="U11" i="4"/>
  <c r="R11" i="4"/>
  <c r="Q11" i="4"/>
  <c r="T55" i="4"/>
  <c r="S55" i="4"/>
  <c r="R55" i="4"/>
  <c r="Q55" i="4"/>
  <c r="U55" i="4"/>
  <c r="Q40" i="4"/>
  <c r="S40" i="4"/>
  <c r="R40" i="4"/>
  <c r="U40" i="4"/>
  <c r="S13" i="4"/>
  <c r="U13" i="4"/>
  <c r="R13" i="4"/>
  <c r="Q13" i="4"/>
  <c r="R19" i="4"/>
  <c r="S19" i="4"/>
  <c r="U19" i="4"/>
  <c r="Q19" i="4"/>
  <c r="U46" i="4"/>
  <c r="R46" i="4"/>
  <c r="S46" i="4"/>
  <c r="Q46" i="4"/>
  <c r="R24" i="4"/>
  <c r="S24" i="4"/>
  <c r="U24" i="4"/>
  <c r="Q24" i="4"/>
  <c r="R4" i="4"/>
  <c r="Q4" i="4"/>
  <c r="S4" i="4"/>
  <c r="U4" i="4"/>
  <c r="R35" i="4"/>
  <c r="S35" i="4"/>
  <c r="U35" i="4"/>
  <c r="Q35" i="4"/>
  <c r="R27" i="4"/>
  <c r="U27" i="4"/>
  <c r="Q27" i="4"/>
  <c r="S27" i="4"/>
  <c r="R5" i="4"/>
  <c r="S5" i="4"/>
  <c r="U5" i="4"/>
  <c r="Q5" i="4"/>
  <c r="U21" i="4"/>
  <c r="S21" i="4"/>
  <c r="Q21" i="4"/>
  <c r="R21" i="4"/>
  <c r="Q48" i="4"/>
  <c r="U48" i="4"/>
  <c r="T48" i="4"/>
  <c r="R48" i="4"/>
  <c r="S48" i="4"/>
  <c r="U28" i="4"/>
  <c r="R28" i="4"/>
  <c r="S28" i="4"/>
  <c r="Q28" i="4"/>
  <c r="R8" i="4"/>
  <c r="S8" i="4"/>
  <c r="U8" i="4"/>
  <c r="Q8" i="4"/>
  <c r="R42" i="4"/>
  <c r="U42" i="4"/>
  <c r="Q42" i="4"/>
  <c r="S42" i="4"/>
  <c r="R9" i="4"/>
  <c r="S9" i="4"/>
  <c r="U9" i="4"/>
  <c r="Q9" i="4"/>
  <c r="X3" i="4" l="1"/>
  <c r="J33" i="2"/>
  <c r="J71" i="2" s="1"/>
  <c r="J109" i="2" s="1"/>
  <c r="K56" i="4"/>
  <c r="J67" i="2"/>
  <c r="J105" i="2" s="1"/>
  <c r="K31" i="2"/>
  <c r="K69" i="2" s="1"/>
  <c r="K107" i="2" s="1"/>
  <c r="X2" i="4"/>
  <c r="X4" i="4" s="1"/>
  <c r="L56" i="4"/>
</calcChain>
</file>

<file path=xl/sharedStrings.xml><?xml version="1.0" encoding="utf-8"?>
<sst xmlns="http://schemas.openxmlformats.org/spreadsheetml/2006/main" count="896" uniqueCount="494">
  <si>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</si>
  <si>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</si>
  <si>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</si>
  <si>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</si>
  <si>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</si>
  <si>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</si>
  <si>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</si>
  <si>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</si>
  <si>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</si>
  <si>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</si>
  <si>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</si>
  <si>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</si>
  <si>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</si>
  <si>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</si>
  <si>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</si>
  <si>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</si>
  <si>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</si>
  <si>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</si>
  <si>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</si>
  <si>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</si>
  <si>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</si>
  <si>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</si>
  <si>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</si>
  <si>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</si>
  <si>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</si>
  <si>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</si>
  <si>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</si>
  <si>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</si>
  <si>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</si>
  <si>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</si>
  <si>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</si>
  <si>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</si>
  <si>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</si>
  <si>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</si>
  <si>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</si>
  <si>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</si>
  <si>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</si>
  <si>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</si>
  <si>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</si>
  <si>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</si>
  <si>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</si>
  <si>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</si>
  <si>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</si>
  <si>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</si>
  <si>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</si>
  <si>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</si>
  <si>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</si>
  <si>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</si>
  <si>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</si>
  <si>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</si>
  <si>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</si>
  <si>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</si>
  <si>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</si>
  <si>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</si>
  <si>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</si>
  <si>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</si>
  <si>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</si>
  <si>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</si>
  <si>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</si>
  <si>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</si>
  <si>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</si>
  <si>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</si>
  <si>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</si>
  <si>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</si>
  <si>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</si>
  <si>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</si>
  <si>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</si>
  <si>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</si>
  <si>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</si>
  <si>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</si>
  <si>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</si>
  <si>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</si>
  <si>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</si>
  <si>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</si>
  <si>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</si>
  <si>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</si>
  <si>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</si>
  <si>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</si>
  <si>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</si>
  <si>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</si>
  <si>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</si>
  <si>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</si>
  <si>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</si>
  <si>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</si>
  <si>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</si>
  <si>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</si>
  <si>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</si>
  <si>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</si>
  <si>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</si>
  <si>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</si>
  <si>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</si>
  <si>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</si>
  <si>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</si>
  <si>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</si>
  <si>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</si>
  <si>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</si>
  <si>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</si>
  <si>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</si>
  <si>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</si>
  <si>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</si>
  <si>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</si>
  <si>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</si>
  <si>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</si>
  <si>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</si>
  <si>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</si>
  <si>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</si>
  <si>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</si>
  <si>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</si>
  <si>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</si>
  <si>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</si>
  <si>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</si>
  <si>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</si>
  <si>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</si>
  <si>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</si>
  <si>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</si>
  <si>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</si>
  <si>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</si>
  <si>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</si>
  <si>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</si>
  <si>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</si>
  <si>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</si>
  <si>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</si>
  <si>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</si>
  <si>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</si>
  <si>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</si>
  <si>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</si>
  <si>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</si>
  <si>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</si>
  <si>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</si>
  <si>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</si>
  <si>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</si>
  <si>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</si>
  <si>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</si>
  <si>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</si>
  <si>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</si>
  <si>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</si>
  <si>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</si>
  <si>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</si>
  <si>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</si>
  <si>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</si>
  <si>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</si>
  <si>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</si>
  <si>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</si>
  <si>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</si>
  <si>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</si>
  <si>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</si>
  <si>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</si>
  <si>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</si>
  <si>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</si>
  <si>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</si>
  <si>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</si>
  <si>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</si>
  <si>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</si>
  <si>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</si>
  <si>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</si>
  <si>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</si>
  <si>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</si>
  <si>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</si>
  <si>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</si>
  <si>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</si>
  <si>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</si>
  <si>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</si>
  <si>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</si>
  <si>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</si>
  <si>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</si>
  <si>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</si>
  <si>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</si>
  <si>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</si>
  <si>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</si>
  <si>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</si>
  <si>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</si>
  <si>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</si>
  <si>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</si>
  <si>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</si>
  <si>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</si>
  <si>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</si>
  <si>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</si>
  <si>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</si>
  <si>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</si>
  <si>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</si>
  <si>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</si>
  <si>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</si>
  <si>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</si>
  <si>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</si>
  <si>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</si>
  <si>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</si>
  <si>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</si>
  <si>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</si>
  <si>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</si>
  <si>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</si>
  <si>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</si>
  <si>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</si>
  <si>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</si>
  <si>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</si>
  <si>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</si>
  <si>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</si>
  <si>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</si>
  <si>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</si>
  <si>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</si>
  <si>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</si>
  <si>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</si>
  <si>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</si>
  <si>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</si>
  <si>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</si>
  <si>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</si>
  <si>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</si>
  <si>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</si>
  <si>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</si>
  <si>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</si>
  <si>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</si>
  <si>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</si>
  <si>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</si>
  <si>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</si>
  <si>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</si>
  <si>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</si>
  <si>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</si>
  <si>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</si>
  <si>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</si>
  <si>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</si>
  <si>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</si>
  <si>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</si>
  <si>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</si>
  <si>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</si>
  <si>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</si>
  <si>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</si>
  <si>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</si>
  <si>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</si>
  <si>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</si>
  <si>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</si>
  <si>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</si>
  <si>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</si>
  <si>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</si>
  <si>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</si>
  <si>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</si>
  <si>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</si>
  <si>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</si>
  <si>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</si>
  <si>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</si>
  <si>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</si>
  <si>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</si>
  <si>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</si>
  <si>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</si>
  <si>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</si>
  <si>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</si>
  <si>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</si>
  <si>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</si>
  <si>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</si>
  <si>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</si>
  <si>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</si>
  <si>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</si>
  <si>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</si>
  <si>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</si>
  <si>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</si>
  <si>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</si>
  <si>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</si>
  <si>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</si>
  <si>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</si>
  <si>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</si>
  <si>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</si>
  <si>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</si>
  <si>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</si>
  <si>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</si>
  <si>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</si>
  <si>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</si>
  <si>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</si>
  <si>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</si>
  <si>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</si>
  <si>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</si>
  <si>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</si>
  <si>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</si>
  <si>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</si>
  <si>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</si>
  <si>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</si>
  <si>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</si>
  <si>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</si>
  <si>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</si>
  <si>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</si>
  <si>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</si>
  <si>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</si>
  <si>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</si>
  <si>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</si>
  <si>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</si>
  <si>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</si>
  <si>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</si>
  <si>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</si>
  <si>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</si>
  <si>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</si>
  <si>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</si>
  <si>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</si>
  <si>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</si>
  <si>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</si>
  <si>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</si>
  <si>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</si>
  <si>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</si>
  <si>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</si>
  <si>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</si>
  <si>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</si>
  <si>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</si>
  <si>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</si>
  <si>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</si>
  <si>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</si>
  <si>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</si>
  <si>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</si>
  <si>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</si>
  <si>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</si>
  <si>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</si>
  <si>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</si>
  <si>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</si>
  <si>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</si>
  <si>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</si>
  <si>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</si>
  <si>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</si>
  <si>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</si>
  <si>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</si>
  <si>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</si>
  <si>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</si>
  <si>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</si>
  <si>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</si>
  <si>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</si>
  <si>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</si>
  <si>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</si>
  <si>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</si>
  <si>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</si>
  <si>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</si>
  <si>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</si>
  <si>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</si>
  <si>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</si>
  <si>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</si>
  <si>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</si>
  <si>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</si>
  <si>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</si>
  <si>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</si>
  <si>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</si>
  <si>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</si>
  <si>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</si>
  <si>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</si>
  <si>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</si>
  <si>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</si>
  <si>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</si>
  <si>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</si>
  <si>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</si>
  <si>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</si>
  <si>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</si>
  <si>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</si>
  <si>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</si>
  <si>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</si>
  <si>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</si>
  <si>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</si>
  <si>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</si>
  <si>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</si>
  <si>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</si>
  <si>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</si>
  <si>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</si>
  <si>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</si>
  <si>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</si>
  <si>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</si>
  <si>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</si>
  <si>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</si>
  <si>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</si>
  <si>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</si>
  <si>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</si>
  <si>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</si>
  <si>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</si>
  <si>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</si>
  <si>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</si>
  <si>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</si>
  <si>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</si>
  <si>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</si>
  <si>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</si>
  <si>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</si>
  <si>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</si>
  <si>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</si>
  <si>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</si>
  <si>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</si>
  <si>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</si>
  <si>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</si>
  <si>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</si>
  <si>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</si>
  <si>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</si>
  <si>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</si>
  <si>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</si>
  <si>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</si>
  <si>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</si>
  <si>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</si>
  <si>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</si>
  <si>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</si>
  <si>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</si>
  <si>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</si>
  <si>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</si>
  <si>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</si>
  <si>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</si>
  <si>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</si>
  <si>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</si>
  <si>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</si>
  <si>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</si>
  <si>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</si>
  <si>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</si>
  <si>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</si>
  <si>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</si>
  <si>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</si>
  <si>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</si>
  <si>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</si>
  <si>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</si>
  <si>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</si>
  <si>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</si>
  <si>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</si>
  <si>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</si>
  <si>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</si>
  <si>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</si>
  <si>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</si>
  <si>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</si>
  <si>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</si>
  <si>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</si>
  <si>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</si>
  <si>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</si>
  <si>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</si>
  <si>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</si>
  <si>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</si>
  <si>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</si>
  <si>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</si>
  <si>
    <t>PAPER JUMBO CLIP KENKO NO. 5PAK43000</t>
  </si>
  <si>
    <t>4224</t>
  </si>
  <si>
    <t>4238</t>
  </si>
  <si>
    <t>JANJKMS25</t>
  </si>
  <si>
    <t>JANJKMS55</t>
  </si>
  <si>
    <t>JANGKA (MATH SET) JOYKO MS-25</t>
  </si>
  <si>
    <t>JANGKA (MATH SET) JOYKO MS-55</t>
  </si>
  <si>
    <t>JANGKA (MATH SET) JOYKO MS-25LSN89400</t>
  </si>
  <si>
    <t>JANGKA (MATH SET) JOYKO MS-55LSN89400</t>
  </si>
  <si>
    <t>4236</t>
  </si>
  <si>
    <t>tipkenke107</t>
  </si>
  <si>
    <t>lemken8gr</t>
  </si>
  <si>
    <t>lemkenlg35</t>
  </si>
  <si>
    <t>llkena550</t>
  </si>
  <si>
    <t>CORRECTION FLUID KENKO KE-107M</t>
  </si>
  <si>
    <t>LEM CAIR 35 ML KENKO LG-35</t>
  </si>
  <si>
    <t>LOOSE LEAF KENKO A5-LL 50-2070</t>
  </si>
  <si>
    <t>LLKENA5100</t>
  </si>
  <si>
    <t>LOOSE LEAF KENKO A5-LL 100-2070</t>
  </si>
  <si>
    <t>4253</t>
  </si>
  <si>
    <t>CORRECTION FLUID KENKO KE-107MLSN55800</t>
  </si>
  <si>
    <t>LEM CAIR 35 ML KENKO LG-35LSN19800</t>
  </si>
  <si>
    <t>LOOSE LEAF KENKO A5-LL 100-2070PAK8350</t>
  </si>
  <si>
    <t>LOOSE LEAF KENKO A5-LL 50-2070PAK4400</t>
  </si>
  <si>
    <t>4235</t>
  </si>
  <si>
    <t>PENCIL CASE JOYKO PC-0719AC-36A/F (Animal Calender)</t>
  </si>
  <si>
    <t>PENCIL CASE JOYKO PC-0719TV-33A/F (TRAVEL)</t>
  </si>
  <si>
    <t>PENCIL CASE JOYKO PC-0719GZ-34A/F (GOZZY)</t>
  </si>
  <si>
    <t>PENCIL CASE JOYKO PC-0719AC-36A/F (Animal Calender)PC4800</t>
  </si>
  <si>
    <t>PENCIL CASE JOYKO PC-0719GZ-34A/F (GOZZY)PC4800</t>
  </si>
  <si>
    <t>PENCIL CASE JOYKO PC-0719TV-33A/F (TRAVEL)PC4800</t>
  </si>
  <si>
    <t>4258</t>
  </si>
  <si>
    <t>4036</t>
  </si>
  <si>
    <t>PENKENKE303</t>
  </si>
  <si>
    <t>GEL PEN KENKO KE-303 T-GEL TRIANGULAR</t>
  </si>
  <si>
    <t>GEL PEN KENKO KE-303 T-GEL TRIANGULARLSN21600</t>
  </si>
  <si>
    <t>4263</t>
  </si>
  <si>
    <t>ISIJKPL11</t>
  </si>
  <si>
    <t>LABJK1LINEPUTIH</t>
  </si>
  <si>
    <t>LABEL HARGA JOYKO LB-2RL (1 LINE PUTIH)</t>
  </si>
  <si>
    <t>ISI PENSIL 2B 2.0 MM JOYKO PL-11</t>
  </si>
  <si>
    <t>LABEL HARGA JOYKO LB-2RL (1 LINE PUTIH)PCS2050</t>
  </si>
  <si>
    <t>GEL INK TIANJIAO TZ-501</t>
  </si>
  <si>
    <t>pentz501</t>
  </si>
  <si>
    <t>4401</t>
  </si>
  <si>
    <t>GEL INK TIANJIAO TZ-501LSN28500</t>
  </si>
  <si>
    <t>ISI PENSIL 2B 2.0 MM JOYKO PL-11LSN37200</t>
  </si>
  <si>
    <t>1273</t>
  </si>
  <si>
    <t>PENKENHITECH028HITAM</t>
  </si>
  <si>
    <t>GEL PEN KENKO HI-TECH-H 0.28 MM HITAMLSN39000</t>
  </si>
  <si>
    <t>4403</t>
  </si>
  <si>
    <t>4404</t>
  </si>
  <si>
    <t>bendan</t>
  </si>
  <si>
    <t>4332</t>
  </si>
  <si>
    <t>STIP / PENGHAPUS JOYKO 526-B20 PUTIHBOX34100</t>
  </si>
  <si>
    <t>STIP / PENGHAPUS JOYKO 526-B40P PUTIHBOX28300</t>
  </si>
  <si>
    <t>SETIAWAN BUDIONO</t>
  </si>
  <si>
    <t>( PRIMA )</t>
  </si>
  <si>
    <t>4503</t>
  </si>
  <si>
    <t>PRIMA</t>
  </si>
  <si>
    <t>HIGHLIGHTER / STABILLO JOYKO HL-1/2/3/4/5 (Kn/Hj/Br/Pink/Or)</t>
  </si>
  <si>
    <t>HIGHLIGHTER / STABILLO JOYKO HL-1/2/3/4/5 (Kn/Hj/Br/Pink/Or)PCS3700</t>
  </si>
  <si>
    <t>4426</t>
  </si>
  <si>
    <t>LABJKLB3</t>
  </si>
  <si>
    <t>LABEL HARGA JOYKO LB-3 (2 LINE KUNING FLUOR)</t>
  </si>
  <si>
    <t>LABEL HARGA JOYKO LB-3 (2 LINE KUNING FLUOR)PCS4300</t>
  </si>
  <si>
    <t>4429</t>
  </si>
  <si>
    <t>STIP / PENGHAPUS JOYKO 526-B40BL HITAMBOX28300</t>
  </si>
  <si>
    <t>0</t>
  </si>
  <si>
    <t>4442</t>
  </si>
  <si>
    <t>PWJK12WPENDEK</t>
  </si>
  <si>
    <t>PENSIL WARNA JOYKO CP-S12 MINI (PENDEK)</t>
  </si>
  <si>
    <t>PENSIL WARNA JOYKO CP-12PB (PANJANG)SET10600</t>
  </si>
  <si>
    <t>PENSIL WARNA JOYKO CP-S12 MINI (PENDEK)SET6700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</si>
</sst>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0">
    <dxf>
      <alignment horizontal="left" readingOrder="0"/>
    </dxf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23050001</v>
          </cell>
        </row>
        <row r="4">
          <cell r="D4">
            <v>45049</v>
          </cell>
        </row>
        <row r="6">
          <cell r="D6" t="str">
            <v>G 4061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1</v>
          </cell>
          <cell r="E10" t="str">
            <v>CORRECTION TAPE JOYKO CT-507</v>
          </cell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K11">
            <v>2583000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5481000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543162.16216216213</v>
          </cell>
        </row>
        <row r="34">
          <cell r="K34">
            <v>5481000</v>
          </cell>
        </row>
        <row r="36">
          <cell r="J36" t="str">
            <v>RISMA / CONDRO</v>
          </cell>
        </row>
        <row r="40">
          <cell r="D40" t="str">
            <v>AM</v>
          </cell>
          <cell r="E40">
            <v>23050001</v>
          </cell>
        </row>
        <row r="42">
          <cell r="D42">
            <v>45049</v>
          </cell>
        </row>
        <row r="44">
          <cell r="D44" t="str">
            <v>G 4061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5481000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543162.16216216213</v>
          </cell>
        </row>
        <row r="72">
          <cell r="K72">
            <v>5481000</v>
          </cell>
        </row>
        <row r="74">
          <cell r="J74" t="str">
            <v>RISMA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23050001</v>
          </cell>
        </row>
        <row r="80">
          <cell r="D80">
            <v>45049</v>
          </cell>
        </row>
        <row r="82">
          <cell r="D82" t="str">
            <v>G 4061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5481000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543162.16216216213</v>
          </cell>
        </row>
        <row r="110">
          <cell r="K110">
            <v>5481000</v>
          </cell>
        </row>
        <row r="112">
          <cell r="J112" t="str">
            <v>RISMA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23050002</v>
          </cell>
        </row>
        <row r="118">
          <cell r="D118">
            <v>45049</v>
          </cell>
        </row>
        <row r="120">
          <cell r="D120" t="str">
            <v>KO 4064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HIGHLIGHTER / STABILO KENKO HL-100 KUNING</v>
          </cell>
          <cell r="K124">
            <v>1266360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1266360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125495.13513513513</v>
          </cell>
        </row>
        <row r="148">
          <cell r="K148">
            <v>1266360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23050002</v>
          </cell>
        </row>
        <row r="156">
          <cell r="D156">
            <v>45049</v>
          </cell>
        </row>
        <row r="158">
          <cell r="D158" t="str">
            <v>KO 4064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1266360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125495.13513513513</v>
          </cell>
        </row>
        <row r="186">
          <cell r="K186">
            <v>1266360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23050002</v>
          </cell>
        </row>
        <row r="194">
          <cell r="D194">
            <v>45049</v>
          </cell>
        </row>
        <row r="196">
          <cell r="D196" t="str">
            <v>KO 4064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1266360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125495.13513513513</v>
          </cell>
        </row>
        <row r="224">
          <cell r="K224">
            <v>1266360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23050003</v>
          </cell>
        </row>
        <row r="232">
          <cell r="D232">
            <v>45059</v>
          </cell>
        </row>
        <row r="234">
          <cell r="D234" t="str">
            <v>KO 4302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1</v>
          </cell>
          <cell r="E238" t="str">
            <v>BINDER CLIP JOYKO 105</v>
          </cell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K242">
            <v>631800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5124600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507843.2432432432</v>
          </cell>
        </row>
        <row r="262">
          <cell r="K262">
            <v>5124600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23050003</v>
          </cell>
        </row>
        <row r="270">
          <cell r="D270">
            <v>45059</v>
          </cell>
        </row>
        <row r="272">
          <cell r="D272" t="str">
            <v>KO 4302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5124600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507843.2432432432</v>
          </cell>
        </row>
        <row r="300">
          <cell r="K300">
            <v>5124600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23050003</v>
          </cell>
        </row>
        <row r="308">
          <cell r="D308">
            <v>45059</v>
          </cell>
        </row>
        <row r="310">
          <cell r="D310" t="str">
            <v>KO 4302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5124600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507843.2432432432</v>
          </cell>
        </row>
        <row r="338">
          <cell r="K338">
            <v>5124600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23050004</v>
          </cell>
        </row>
        <row r="346">
          <cell r="D346">
            <v>45051</v>
          </cell>
        </row>
        <row r="348">
          <cell r="D348" t="str">
            <v>G 4040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4</v>
          </cell>
          <cell r="E352" t="str">
            <v>GEL PEN KENKO HI-TECH-H 0.28 MM HITAM</v>
          </cell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K353">
            <v>4914000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24570000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2434864.8648648649</v>
          </cell>
        </row>
        <row r="376">
          <cell r="K376">
            <v>24570000</v>
          </cell>
        </row>
        <row r="378">
          <cell r="J378" t="str">
            <v>NOVI / YO</v>
          </cell>
        </row>
        <row r="382">
          <cell r="D382" t="str">
            <v>AM</v>
          </cell>
          <cell r="E382">
            <v>23050004</v>
          </cell>
        </row>
        <row r="384">
          <cell r="D384">
            <v>45051</v>
          </cell>
        </row>
        <row r="386">
          <cell r="D386" t="str">
            <v>G 4040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24570000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2434864.8648648649</v>
          </cell>
        </row>
        <row r="414">
          <cell r="K414">
            <v>24570000</v>
          </cell>
        </row>
        <row r="416">
          <cell r="J416" t="str">
            <v>NOVI / YO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23050004</v>
          </cell>
        </row>
        <row r="422">
          <cell r="D422">
            <v>45051</v>
          </cell>
        </row>
        <row r="424">
          <cell r="D424" t="str">
            <v>G 4040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24570000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2434864.8648648649</v>
          </cell>
        </row>
        <row r="452">
          <cell r="K452">
            <v>24570000</v>
          </cell>
        </row>
        <row r="454">
          <cell r="J454" t="str">
            <v>NOVI / YO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23050005</v>
          </cell>
        </row>
        <row r="460">
          <cell r="D460">
            <v>45051</v>
          </cell>
        </row>
        <row r="462">
          <cell r="D462" t="str">
            <v>KO 4042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1</v>
          </cell>
          <cell r="E466" t="str">
            <v>CRAYON / OIL PASTEL JOYKO OP-12S PP CASE SEA WORLD</v>
          </cell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K469">
            <v>7037280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11348640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1124640</v>
          </cell>
        </row>
        <row r="490">
          <cell r="K490">
            <v>11348640</v>
          </cell>
        </row>
        <row r="492">
          <cell r="J492" t="str">
            <v>NOVI / YO</v>
          </cell>
        </row>
        <row r="496">
          <cell r="D496" t="str">
            <v>AM</v>
          </cell>
          <cell r="E496">
            <v>23050005</v>
          </cell>
        </row>
        <row r="498">
          <cell r="D498">
            <v>45051</v>
          </cell>
        </row>
        <row r="500">
          <cell r="D500" t="str">
            <v>KO 4042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11348640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1124640</v>
          </cell>
        </row>
        <row r="528">
          <cell r="K528">
            <v>11348640</v>
          </cell>
        </row>
        <row r="530">
          <cell r="J530" t="str">
            <v>NOVI / YO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23050005</v>
          </cell>
        </row>
        <row r="536">
          <cell r="D536">
            <v>45051</v>
          </cell>
        </row>
        <row r="538">
          <cell r="D538" t="str">
            <v>KO 4042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11348640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1124640</v>
          </cell>
        </row>
        <row r="566">
          <cell r="K566">
            <v>11348640</v>
          </cell>
        </row>
        <row r="568">
          <cell r="J568" t="str">
            <v>NOVI / YO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23050006</v>
          </cell>
        </row>
        <row r="574">
          <cell r="D574">
            <v>45054</v>
          </cell>
        </row>
        <row r="576">
          <cell r="D576" t="str">
            <v>KO 4063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 t="str">
            <v/>
          </cell>
          <cell r="E580" t="str">
            <v>GEL PEN KENKO K-1 HITAM</v>
          </cell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K582">
            <v>1036800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2864160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283835.67567567568</v>
          </cell>
        </row>
        <row r="604">
          <cell r="K604">
            <v>2864160</v>
          </cell>
        </row>
        <row r="606">
          <cell r="J606" t="str">
            <v>RISMA / CONDRO</v>
          </cell>
        </row>
        <row r="610">
          <cell r="D610" t="str">
            <v>AM</v>
          </cell>
          <cell r="E610">
            <v>23050006</v>
          </cell>
        </row>
        <row r="612">
          <cell r="D612">
            <v>45054</v>
          </cell>
        </row>
        <row r="614">
          <cell r="D614" t="str">
            <v>KO 4063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2864160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283835.67567567568</v>
          </cell>
        </row>
        <row r="642">
          <cell r="K642">
            <v>2864160</v>
          </cell>
        </row>
        <row r="644">
          <cell r="J644" t="str">
            <v>RISMA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23050006</v>
          </cell>
        </row>
        <row r="650">
          <cell r="D650">
            <v>45054</v>
          </cell>
        </row>
        <row r="652">
          <cell r="D652" t="str">
            <v>KO 4063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2864160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283835.67567567568</v>
          </cell>
        </row>
        <row r="680">
          <cell r="K680">
            <v>2864160</v>
          </cell>
        </row>
        <row r="682">
          <cell r="J682" t="str">
            <v>RISMA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23050007</v>
          </cell>
        </row>
        <row r="688">
          <cell r="D688">
            <v>45051</v>
          </cell>
        </row>
        <row r="690">
          <cell r="D690" t="str">
            <v>KO 4076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 t="str">
            <v/>
          </cell>
          <cell r="E694" t="str">
            <v>GEL PEN KENKO HI-TECH-H 0.28 MM FUN COLOR</v>
          </cell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K695">
            <v>50000</v>
          </cell>
        </row>
        <row r="696">
          <cell r="D696" t="str">
            <v/>
          </cell>
          <cell r="E696" t="str">
            <v>GEL INK TIANJIAO TZ-501</v>
          </cell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K707">
            <v>360000</v>
          </cell>
        </row>
        <row r="708">
          <cell r="D708" t="str">
            <v/>
          </cell>
          <cell r="E708" t="str">
            <v>PENCIL CASE / TEMPAT PENSIL MAGNET OGGY O-022</v>
          </cell>
          <cell r="K708">
            <v>250000</v>
          </cell>
        </row>
        <row r="709">
          <cell r="K709">
            <v>0</v>
          </cell>
        </row>
        <row r="712">
          <cell r="J712">
            <v>3496740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346523.78378378373</v>
          </cell>
        </row>
        <row r="718">
          <cell r="K718">
            <v>3496740</v>
          </cell>
        </row>
        <row r="720">
          <cell r="J720" t="str">
            <v>RISMA / CONDRO</v>
          </cell>
        </row>
        <row r="724">
          <cell r="D724" t="str">
            <v>AM</v>
          </cell>
          <cell r="E724">
            <v>23050007</v>
          </cell>
        </row>
        <row r="726">
          <cell r="D726">
            <v>45051</v>
          </cell>
        </row>
        <row r="728">
          <cell r="D728" t="str">
            <v>KO 4076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INK TIANJIAO TZ-501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MAGNET OGGY O-022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3496740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346523.78378378373</v>
          </cell>
        </row>
        <row r="756">
          <cell r="K756">
            <v>3496740</v>
          </cell>
        </row>
        <row r="758">
          <cell r="J758" t="str">
            <v>RISMA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23050007</v>
          </cell>
        </row>
        <row r="764">
          <cell r="D764">
            <v>45051</v>
          </cell>
        </row>
        <row r="766">
          <cell r="D766" t="str">
            <v>KO 4076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INK TIANJIAO TZ-501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MAGNET OGGY O-022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3496740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346523.78378378373</v>
          </cell>
        </row>
        <row r="794">
          <cell r="K794">
            <v>3496740</v>
          </cell>
        </row>
        <row r="796">
          <cell r="J796" t="str">
            <v>RISMA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23050008</v>
          </cell>
        </row>
        <row r="802">
          <cell r="D802">
            <v>45054</v>
          </cell>
        </row>
        <row r="804">
          <cell r="D804" t="str">
            <v>KO 4050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3</v>
          </cell>
          <cell r="E808" t="str">
            <v>ISI CUTTER 18 MM KENKO L-150 (BESAR)</v>
          </cell>
          <cell r="K808">
            <v>10089360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10089360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999846.48648648639</v>
          </cell>
        </row>
        <row r="832">
          <cell r="K832">
            <v>10089360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23050008</v>
          </cell>
        </row>
        <row r="840">
          <cell r="D840">
            <v>45054</v>
          </cell>
        </row>
        <row r="842">
          <cell r="D842" t="str">
            <v>KO 4050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10089360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999846.48648648639</v>
          </cell>
        </row>
        <row r="870">
          <cell r="K870">
            <v>10089360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23050008</v>
          </cell>
        </row>
        <row r="878">
          <cell r="D878">
            <v>45054</v>
          </cell>
        </row>
        <row r="880">
          <cell r="D880" t="str">
            <v>KO 4050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10089360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999846.48648648639</v>
          </cell>
        </row>
        <row r="908">
          <cell r="K908">
            <v>10089360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23050009</v>
          </cell>
        </row>
        <row r="916">
          <cell r="D916">
            <v>45054</v>
          </cell>
        </row>
        <row r="918">
          <cell r="D918" t="str">
            <v>KO 4054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 t="str">
            <v/>
          </cell>
          <cell r="E922" t="str">
            <v>GEL PEN KENKO EASY GEL HITAM</v>
          </cell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K926">
            <v>168480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2391120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236957.83783783781</v>
          </cell>
        </row>
        <row r="946">
          <cell r="K946">
            <v>2391120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23050009</v>
          </cell>
        </row>
        <row r="954">
          <cell r="D954">
            <v>45054</v>
          </cell>
        </row>
        <row r="956">
          <cell r="D956" t="str">
            <v>KO 4054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2391120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236957.83783783781</v>
          </cell>
        </row>
        <row r="984">
          <cell r="K984">
            <v>2391120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23050009</v>
          </cell>
        </row>
        <row r="992">
          <cell r="D992">
            <v>45054</v>
          </cell>
        </row>
        <row r="994">
          <cell r="D994" t="str">
            <v>KO 4054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2391120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236957.83783783781</v>
          </cell>
        </row>
        <row r="1022">
          <cell r="K1022">
            <v>2391120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23050010</v>
          </cell>
        </row>
        <row r="1030">
          <cell r="D1030">
            <v>45054</v>
          </cell>
        </row>
        <row r="1032">
          <cell r="D1032" t="str">
            <v>KO 4068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 t="str">
            <v/>
          </cell>
          <cell r="E1036" t="str">
            <v>ISI CUTTER 18 MM KENKO L-150 (BESAR)</v>
          </cell>
          <cell r="K1036">
            <v>699840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699840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69353.513513513506</v>
          </cell>
        </row>
        <row r="1060">
          <cell r="K1060">
            <v>699840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23050010</v>
          </cell>
        </row>
        <row r="1068">
          <cell r="D1068">
            <v>45054</v>
          </cell>
        </row>
        <row r="1070">
          <cell r="D1070" t="str">
            <v>KO 4068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699840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69353.513513513506</v>
          </cell>
        </row>
        <row r="1098">
          <cell r="K1098">
            <v>699840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23050010</v>
          </cell>
        </row>
        <row r="1106">
          <cell r="D1106">
            <v>45054</v>
          </cell>
        </row>
        <row r="1108">
          <cell r="D1108" t="str">
            <v>KO 4068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699840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69353.513513513506</v>
          </cell>
        </row>
        <row r="1136">
          <cell r="K1136">
            <v>699840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23050011</v>
          </cell>
        </row>
        <row r="1144">
          <cell r="D1144">
            <v>45054</v>
          </cell>
        </row>
        <row r="1146">
          <cell r="D1146" t="str">
            <v>KO 4072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CT-905 (12M x 5MM)</v>
          </cell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K1152">
            <v>567000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5009274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496414.54054054053</v>
          </cell>
        </row>
        <row r="1174">
          <cell r="K1174">
            <v>5009274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23050011</v>
          </cell>
        </row>
        <row r="1182">
          <cell r="D1182">
            <v>45054</v>
          </cell>
        </row>
        <row r="1184">
          <cell r="D1184" t="str">
            <v>KO 4072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5009274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496414.54054054053</v>
          </cell>
        </row>
        <row r="1212">
          <cell r="K1212">
            <v>5009274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23050011</v>
          </cell>
        </row>
        <row r="1220">
          <cell r="D1220">
            <v>45054</v>
          </cell>
        </row>
        <row r="1222">
          <cell r="D1222" t="str">
            <v>KO 4072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5009274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496414.54054054053</v>
          </cell>
        </row>
        <row r="1250">
          <cell r="K1250">
            <v>5009274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23050012</v>
          </cell>
        </row>
        <row r="1258">
          <cell r="D1258">
            <v>45056</v>
          </cell>
        </row>
        <row r="1260">
          <cell r="D1260" t="str">
            <v>G 4170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2</v>
          </cell>
          <cell r="E1264" t="str">
            <v>STIP / PENGHAPUS JOYKO ER-B20BL HITAM</v>
          </cell>
          <cell r="K1264">
            <v>2983750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2983750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295686.93693693692</v>
          </cell>
        </row>
        <row r="1288">
          <cell r="K1288">
            <v>2983750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23050012</v>
          </cell>
        </row>
        <row r="1296">
          <cell r="D1296">
            <v>45056</v>
          </cell>
        </row>
        <row r="1298">
          <cell r="D1298" t="str">
            <v>G 4170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2983750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295686.93693693692</v>
          </cell>
        </row>
        <row r="1326">
          <cell r="K1326">
            <v>2983750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23050012</v>
          </cell>
        </row>
        <row r="1334">
          <cell r="D1334">
            <v>45056</v>
          </cell>
        </row>
        <row r="1336">
          <cell r="D1336" t="str">
            <v>G 4170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2983750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295686.93693693692</v>
          </cell>
        </row>
        <row r="1364">
          <cell r="K1364">
            <v>2983750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23050013</v>
          </cell>
        </row>
        <row r="1372">
          <cell r="D1372">
            <v>45057</v>
          </cell>
        </row>
        <row r="1374">
          <cell r="D1374" t="str">
            <v>KO 4176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5</v>
          </cell>
          <cell r="E1378" t="str">
            <v>PENSIL WARNA KENKO CP-12F CLASSIC (PANJANG)</v>
          </cell>
          <cell r="K1378">
            <v>12891960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12891960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1277581.6216216215</v>
          </cell>
        </row>
        <row r="1402">
          <cell r="K1402">
            <v>12891960</v>
          </cell>
        </row>
        <row r="1404">
          <cell r="J1404" t="str">
            <v>NOVI / YO</v>
          </cell>
        </row>
        <row r="1408">
          <cell r="D1408" t="str">
            <v>AM</v>
          </cell>
          <cell r="E1408">
            <v>23050013</v>
          </cell>
        </row>
        <row r="1410">
          <cell r="D1410">
            <v>45057</v>
          </cell>
        </row>
        <row r="1412">
          <cell r="D1412" t="str">
            <v>KO 4176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12891960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1277581.6216216215</v>
          </cell>
        </row>
        <row r="1440">
          <cell r="K1440">
            <v>12891960</v>
          </cell>
        </row>
        <row r="1442">
          <cell r="J1442" t="str">
            <v>NOVI / YO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23050013</v>
          </cell>
        </row>
        <row r="1448">
          <cell r="D1448">
            <v>45057</v>
          </cell>
        </row>
        <row r="1450">
          <cell r="D1450" t="str">
            <v>KO 4176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12891960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1277581.6216216215</v>
          </cell>
        </row>
        <row r="1478">
          <cell r="K1478">
            <v>12891960</v>
          </cell>
        </row>
        <row r="1480">
          <cell r="J1480" t="str">
            <v>NOVI / YO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23050014</v>
          </cell>
        </row>
        <row r="1486">
          <cell r="D1486">
            <v>45057</v>
          </cell>
        </row>
        <row r="1488">
          <cell r="D1488" t="str">
            <v>G 4086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>
            <v>1</v>
          </cell>
          <cell r="E1492" t="str">
            <v>CUTTER 9 MM KENKO A-300 (KECIL)</v>
          </cell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K1494">
            <v>2583000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7046550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698306.75675675669</v>
          </cell>
        </row>
        <row r="1516">
          <cell r="K1516">
            <v>7046550</v>
          </cell>
        </row>
        <row r="1518">
          <cell r="J1518" t="str">
            <v>LENA / YO</v>
          </cell>
        </row>
        <row r="1522">
          <cell r="D1522" t="str">
            <v>AM</v>
          </cell>
          <cell r="E1522">
            <v>23050014</v>
          </cell>
        </row>
        <row r="1524">
          <cell r="D1524">
            <v>45057</v>
          </cell>
        </row>
        <row r="1526">
          <cell r="D1526" t="str">
            <v>G 4086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7046550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698306.75675675669</v>
          </cell>
        </row>
        <row r="1554">
          <cell r="K1554">
            <v>7046550</v>
          </cell>
        </row>
        <row r="1556">
          <cell r="J1556" t="str">
            <v>LENA / YO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23050014</v>
          </cell>
        </row>
        <row r="1562">
          <cell r="D1562">
            <v>45057</v>
          </cell>
        </row>
        <row r="1564">
          <cell r="D1564" t="str">
            <v>G 4086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7046550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698306.75675675669</v>
          </cell>
        </row>
        <row r="1592">
          <cell r="K1592">
            <v>7046550</v>
          </cell>
        </row>
        <row r="1594">
          <cell r="J1594" t="str">
            <v>LENA / YO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23050015</v>
          </cell>
        </row>
        <row r="1600">
          <cell r="D1600">
            <v>45056</v>
          </cell>
        </row>
        <row r="1602">
          <cell r="D1602" t="str">
            <v>KO 4173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KARTU STOCK KWARTO PUTIH</v>
          </cell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K1607">
            <v>187500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282500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27995.495495495492</v>
          </cell>
        </row>
        <row r="1630">
          <cell r="K1630">
            <v>282500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23050015</v>
          </cell>
        </row>
        <row r="1638">
          <cell r="D1638">
            <v>45056</v>
          </cell>
        </row>
        <row r="1640">
          <cell r="D1640" t="str">
            <v>KO 4173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282500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27995.495495495492</v>
          </cell>
        </row>
        <row r="1668">
          <cell r="K1668">
            <v>282500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23050015</v>
          </cell>
        </row>
        <row r="1676">
          <cell r="D1676">
            <v>45056</v>
          </cell>
        </row>
        <row r="1678">
          <cell r="D1678" t="str">
            <v>KO 4173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282500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27995.495495495492</v>
          </cell>
        </row>
        <row r="1706">
          <cell r="K1706">
            <v>282500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23050016</v>
          </cell>
        </row>
        <row r="1714">
          <cell r="D1714">
            <v>45058</v>
          </cell>
        </row>
        <row r="1716">
          <cell r="D1716" t="str">
            <v>KO 1016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 t="str">
            <v/>
          </cell>
          <cell r="E1720" t="str">
            <v>STAND PEN SPIRAL KENKO STP-300SG</v>
          </cell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K1728">
            <v>264708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3731049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369743.59459459456</v>
          </cell>
        </row>
        <row r="1744">
          <cell r="K1744">
            <v>3731049</v>
          </cell>
        </row>
        <row r="1746">
          <cell r="J1746" t="str">
            <v>NOVI/ CONDRO</v>
          </cell>
        </row>
        <row r="1750">
          <cell r="D1750" t="str">
            <v>AM</v>
          </cell>
          <cell r="E1750">
            <v>23050016</v>
          </cell>
        </row>
        <row r="1752">
          <cell r="D1752">
            <v>45058</v>
          </cell>
        </row>
        <row r="1754">
          <cell r="D1754" t="str">
            <v>KO 1016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3731049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369743.59459459456</v>
          </cell>
        </row>
        <row r="1782">
          <cell r="K1782">
            <v>3731049</v>
          </cell>
        </row>
        <row r="1784">
          <cell r="J1784" t="str">
            <v>NOVI/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23050016</v>
          </cell>
        </row>
        <row r="1790">
          <cell r="D1790">
            <v>45058</v>
          </cell>
        </row>
        <row r="1792">
          <cell r="D1792" t="str">
            <v>KO 1016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3731049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369743.59459459456</v>
          </cell>
        </row>
        <row r="1820">
          <cell r="K1820">
            <v>3731049</v>
          </cell>
        </row>
        <row r="1822">
          <cell r="J1822" t="str">
            <v>NOVI/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23050017</v>
          </cell>
        </row>
        <row r="1828">
          <cell r="D1828">
            <v>45058</v>
          </cell>
        </row>
        <row r="1830">
          <cell r="D1830" t="str">
            <v>KO 1045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3</v>
          </cell>
          <cell r="E1834" t="str">
            <v>STIP / PENGHAPUS JOYKO 526-B20 PUTIH</v>
          </cell>
          <cell r="K1834">
            <v>4475625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4475625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443530.40540540533</v>
          </cell>
        </row>
        <row r="1858">
          <cell r="K1858">
            <v>4475625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23050017</v>
          </cell>
        </row>
        <row r="1866">
          <cell r="D1866">
            <v>45058</v>
          </cell>
        </row>
        <row r="1868">
          <cell r="D1868" t="str">
            <v>KO 1045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4475625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443530.40540540533</v>
          </cell>
        </row>
        <row r="1896">
          <cell r="K1896">
            <v>4475625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23050017</v>
          </cell>
        </row>
        <row r="1904">
          <cell r="D1904">
            <v>45058</v>
          </cell>
        </row>
        <row r="1906">
          <cell r="D1906" t="str">
            <v>KO 1045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4475625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443530.40540540533</v>
          </cell>
        </row>
        <row r="1934">
          <cell r="K1934">
            <v>4475625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23050018</v>
          </cell>
        </row>
        <row r="1942">
          <cell r="D1942">
            <v>45058</v>
          </cell>
        </row>
        <row r="1944">
          <cell r="D1944" t="str">
            <v>KO 4100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5</v>
          </cell>
          <cell r="E1948" t="str">
            <v>CORRECTION FLUID KENKO KE-01</v>
          </cell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K1952">
            <v>1479150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25561961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2533167.3063063058</v>
          </cell>
        </row>
        <row r="1972">
          <cell r="K1972">
            <v>25561961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23050018</v>
          </cell>
        </row>
        <row r="1980">
          <cell r="D1980">
            <v>45058</v>
          </cell>
        </row>
        <row r="1982">
          <cell r="D1982" t="str">
            <v>KO 4100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25561961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2533167.3063063058</v>
          </cell>
        </row>
        <row r="2010">
          <cell r="K2010">
            <v>25561961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23050018</v>
          </cell>
        </row>
        <row r="2018">
          <cell r="D2018">
            <v>45058</v>
          </cell>
        </row>
        <row r="2020">
          <cell r="D2020" t="str">
            <v>KO 4100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25561961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2533167.3063063058</v>
          </cell>
        </row>
        <row r="2048">
          <cell r="K2048">
            <v>25561961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23050019</v>
          </cell>
        </row>
        <row r="2056">
          <cell r="D2056">
            <v>45058</v>
          </cell>
        </row>
        <row r="2058">
          <cell r="D2058" t="str">
            <v>G 4093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2</v>
          </cell>
          <cell r="E2062" t="str">
            <v>GEL PEN JOYKO GP-237 X-TECH</v>
          </cell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K2073">
            <v>8951250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59314325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5877996.1711711707</v>
          </cell>
        </row>
        <row r="2086">
          <cell r="K2086">
            <v>59314325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23050019</v>
          </cell>
        </row>
        <row r="2094">
          <cell r="D2094">
            <v>45058</v>
          </cell>
        </row>
        <row r="2096">
          <cell r="D2096" t="str">
            <v>G 4093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59314325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5877996.1711711707</v>
          </cell>
        </row>
        <row r="2124">
          <cell r="K2124">
            <v>59314325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23050019</v>
          </cell>
        </row>
        <row r="2132">
          <cell r="D2132">
            <v>45058</v>
          </cell>
        </row>
        <row r="2134">
          <cell r="D2134" t="str">
            <v>G 4093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59314325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5877996.1711711707</v>
          </cell>
        </row>
        <row r="2162">
          <cell r="K2162">
            <v>59314325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23050020</v>
          </cell>
        </row>
        <row r="2170">
          <cell r="D2170">
            <v>45059</v>
          </cell>
        </row>
        <row r="2172">
          <cell r="D2172" t="str">
            <v>KO 4184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STAPLER KENKO HD-10</v>
          </cell>
          <cell r="K2176">
            <v>16089000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16089000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1594405.4054054054</v>
          </cell>
        </row>
        <row r="2200">
          <cell r="K2200">
            <v>16089000</v>
          </cell>
        </row>
        <row r="2202">
          <cell r="J2202" t="str">
            <v>NOVI / CONDRO</v>
          </cell>
        </row>
        <row r="2206">
          <cell r="D2206" t="str">
            <v>AM</v>
          </cell>
          <cell r="E2206">
            <v>23050020</v>
          </cell>
        </row>
        <row r="2208">
          <cell r="D2208">
            <v>45059</v>
          </cell>
        </row>
        <row r="2210">
          <cell r="D2210" t="str">
            <v>KO 4184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16089000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1594405.4054054054</v>
          </cell>
        </row>
        <row r="2238">
          <cell r="K2238">
            <v>16089000</v>
          </cell>
        </row>
        <row r="2240">
          <cell r="J2240" t="str">
            <v>NOVI / CONDRO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23050020</v>
          </cell>
        </row>
        <row r="2246">
          <cell r="D2246">
            <v>45059</v>
          </cell>
        </row>
        <row r="2248">
          <cell r="D2248" t="str">
            <v>KO 4184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16089000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1594405.4054054054</v>
          </cell>
        </row>
        <row r="2276">
          <cell r="K2276">
            <v>16089000</v>
          </cell>
        </row>
        <row r="2278">
          <cell r="J2278" t="str">
            <v>NOVI / CONDRO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23050021</v>
          </cell>
        </row>
        <row r="2284">
          <cell r="D2284">
            <v>45059</v>
          </cell>
        </row>
        <row r="2286">
          <cell r="D2286" t="str">
            <v>KO 1048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2</v>
          </cell>
          <cell r="E2290" t="str">
            <v>PENSIL JOYKO 2B P-88</v>
          </cell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K2291">
            <v>9072000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14553000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1442189.1891891891</v>
          </cell>
        </row>
        <row r="2314">
          <cell r="K2314">
            <v>14553000</v>
          </cell>
        </row>
        <row r="2316">
          <cell r="J2316" t="str">
            <v>NOVI / CONDRO</v>
          </cell>
        </row>
        <row r="2320">
          <cell r="D2320" t="str">
            <v>AM</v>
          </cell>
          <cell r="E2320">
            <v>23050021</v>
          </cell>
        </row>
        <row r="2322">
          <cell r="D2322">
            <v>45059</v>
          </cell>
        </row>
        <row r="2324">
          <cell r="D2324" t="str">
            <v>KO 1048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14553000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1442189.1891891891</v>
          </cell>
        </row>
        <row r="2352">
          <cell r="K2352">
            <v>14553000</v>
          </cell>
        </row>
        <row r="2354">
          <cell r="J2354" t="str">
            <v>NOVI / CONDRO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23050021</v>
          </cell>
        </row>
        <row r="2360">
          <cell r="D2360">
            <v>45059</v>
          </cell>
        </row>
        <row r="2362">
          <cell r="D2362" t="str">
            <v>KO 1048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14553000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1442189.1891891891</v>
          </cell>
        </row>
        <row r="2390">
          <cell r="K2390">
            <v>14553000</v>
          </cell>
        </row>
        <row r="2392">
          <cell r="J2392" t="str">
            <v>NOVI / CONDRO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23050022</v>
          </cell>
        </row>
        <row r="2398">
          <cell r="D2398">
            <v>45058</v>
          </cell>
        </row>
        <row r="2400">
          <cell r="D2400" t="str">
            <v>G 4205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D2404">
            <v>3</v>
          </cell>
          <cell r="E2404" t="str">
            <v>GUNTING JOYKO SC-828</v>
          </cell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K2408">
            <v>9072000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38348100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3800262.1621621624</v>
          </cell>
        </row>
        <row r="2428">
          <cell r="K2428">
            <v>38348100</v>
          </cell>
        </row>
        <row r="2430">
          <cell r="J2430" t="str">
            <v>NOVI / CONDRO</v>
          </cell>
        </row>
        <row r="2434">
          <cell r="D2434" t="str">
            <v>AM</v>
          </cell>
          <cell r="E2434">
            <v>23050022</v>
          </cell>
        </row>
        <row r="2436">
          <cell r="D2436">
            <v>45058</v>
          </cell>
        </row>
        <row r="2438">
          <cell r="D2438" t="str">
            <v>G 4205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38348100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3800262.1621621624</v>
          </cell>
        </row>
        <row r="2466">
          <cell r="K2466">
            <v>38348100</v>
          </cell>
        </row>
        <row r="2468">
          <cell r="J2468" t="str">
            <v>NOVI / CONDRO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23050022</v>
          </cell>
        </row>
        <row r="2474">
          <cell r="D2474">
            <v>45058</v>
          </cell>
        </row>
        <row r="2476">
          <cell r="D2476" t="str">
            <v>G 4205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38348100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3800262.1621621624</v>
          </cell>
        </row>
        <row r="2504">
          <cell r="K2504">
            <v>38348100</v>
          </cell>
        </row>
        <row r="2506">
          <cell r="J2506" t="str">
            <v>NOVI / CONDRO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23050023</v>
          </cell>
        </row>
        <row r="2512">
          <cell r="D2512">
            <v>45061</v>
          </cell>
        </row>
        <row r="2514">
          <cell r="D2514" t="str">
            <v>G 4209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D2518">
            <v>8</v>
          </cell>
          <cell r="E2518" t="str">
            <v>CORRECTION TAPE JOYKO CT-522 PTL</v>
          </cell>
          <cell r="K2518">
            <v>24192000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24192000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2397405.4054054054</v>
          </cell>
        </row>
        <row r="2542">
          <cell r="K2542">
            <v>24192000</v>
          </cell>
        </row>
        <row r="2544">
          <cell r="J2544" t="str">
            <v>NOVI / CONDRO</v>
          </cell>
        </row>
        <row r="2548">
          <cell r="D2548" t="str">
            <v>AM</v>
          </cell>
          <cell r="E2548">
            <v>23050023</v>
          </cell>
        </row>
        <row r="2550">
          <cell r="D2550">
            <v>45061</v>
          </cell>
        </row>
        <row r="2552">
          <cell r="D2552" t="str">
            <v>G 4209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24192000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2397405.4054054054</v>
          </cell>
        </row>
        <row r="2580">
          <cell r="K2580">
            <v>24192000</v>
          </cell>
        </row>
        <row r="2582">
          <cell r="J2582" t="str">
            <v>NOVI / CONDRO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23050023</v>
          </cell>
        </row>
        <row r="2588">
          <cell r="D2588">
            <v>45061</v>
          </cell>
        </row>
        <row r="2590">
          <cell r="D2590" t="str">
            <v>G 4209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24192000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2397405.4054054054</v>
          </cell>
        </row>
        <row r="2618">
          <cell r="K2618">
            <v>24192000</v>
          </cell>
        </row>
        <row r="2620">
          <cell r="J2620" t="str">
            <v>NOVI / CONDRO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23050024</v>
          </cell>
        </row>
        <row r="2626">
          <cell r="D2626">
            <v>45061</v>
          </cell>
        </row>
        <row r="2628">
          <cell r="D2628" t="str">
            <v>G 4210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D2632">
            <v>4</v>
          </cell>
          <cell r="E2632" t="str">
            <v>PENCIL CASE KENKO PC-0719</v>
          </cell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K2634">
            <v>2154600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11468625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1136530.4054054054</v>
          </cell>
        </row>
        <row r="2656">
          <cell r="K2656">
            <v>11468625</v>
          </cell>
        </row>
        <row r="2658">
          <cell r="J2658" t="str">
            <v>NOVI / CONDRO</v>
          </cell>
        </row>
        <row r="2662">
          <cell r="D2662" t="str">
            <v>AM</v>
          </cell>
          <cell r="E2662">
            <v>23050024</v>
          </cell>
        </row>
        <row r="2664">
          <cell r="D2664">
            <v>45061</v>
          </cell>
        </row>
        <row r="2666">
          <cell r="D2666" t="str">
            <v>G 4210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11468625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1136530.4054054054</v>
          </cell>
        </row>
        <row r="2694">
          <cell r="K2694">
            <v>11468625</v>
          </cell>
        </row>
        <row r="2696">
          <cell r="J2696" t="str">
            <v>NOVI / CONDRO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23050024</v>
          </cell>
        </row>
        <row r="2702">
          <cell r="D2702">
            <v>45061</v>
          </cell>
        </row>
        <row r="2704">
          <cell r="D2704" t="str">
            <v>G 4210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11468625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1136530.4054054054</v>
          </cell>
        </row>
        <row r="2732">
          <cell r="K2732">
            <v>11468625</v>
          </cell>
        </row>
        <row r="2734">
          <cell r="J2734" t="str">
            <v>NOVI / CONDRO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23050025</v>
          </cell>
        </row>
        <row r="2740">
          <cell r="D2740">
            <v>45062</v>
          </cell>
        </row>
        <row r="2742">
          <cell r="D2742" t="str">
            <v>KO 1269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D2746">
            <v>2</v>
          </cell>
          <cell r="E2746" t="str">
            <v>PENSIL WARNA JOYKO CP-12PB (PANJANG)</v>
          </cell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K2747">
            <v>9828000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12499200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1238659.4594594592</v>
          </cell>
        </row>
        <row r="2770">
          <cell r="K2770">
            <v>12499200</v>
          </cell>
        </row>
        <row r="2772">
          <cell r="J2772" t="str">
            <v>NOVI / CONDRO</v>
          </cell>
        </row>
        <row r="2776">
          <cell r="D2776" t="str">
            <v>AM</v>
          </cell>
          <cell r="E2776">
            <v>23050025</v>
          </cell>
        </row>
        <row r="2778">
          <cell r="D2778">
            <v>45062</v>
          </cell>
        </row>
        <row r="2780">
          <cell r="D2780" t="str">
            <v>KO 1269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12499200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1238659.4594594592</v>
          </cell>
        </row>
        <row r="2808">
          <cell r="K2808">
            <v>12499200</v>
          </cell>
        </row>
        <row r="2810">
          <cell r="J2810" t="str">
            <v>NOVI / CONDRO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23050025</v>
          </cell>
        </row>
        <row r="2816">
          <cell r="D2816">
            <v>45062</v>
          </cell>
        </row>
        <row r="2818">
          <cell r="D2818" t="str">
            <v>KO 1269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12499200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1238659.4594594592</v>
          </cell>
        </row>
        <row r="2846">
          <cell r="K2846">
            <v>12499200</v>
          </cell>
        </row>
        <row r="2848">
          <cell r="J2848" t="str">
            <v>NOVI / CONDRO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23050026</v>
          </cell>
        </row>
        <row r="2854">
          <cell r="D2854">
            <v>45062</v>
          </cell>
        </row>
        <row r="2856">
          <cell r="D2856" t="str">
            <v>KO 4217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D2860">
            <v>1</v>
          </cell>
          <cell r="E2860" t="str">
            <v>CRAYON / OIL PASTEL JOYKO OP-36S PP CASE SEA WORLD</v>
          </cell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K2862">
            <v>306900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2079180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206044.86486486485</v>
          </cell>
        </row>
        <row r="2884">
          <cell r="K2884">
            <v>2079180</v>
          </cell>
        </row>
        <row r="2886">
          <cell r="J2886" t="str">
            <v>NOVI / CONDRO</v>
          </cell>
        </row>
        <row r="2890">
          <cell r="D2890" t="str">
            <v>AM</v>
          </cell>
          <cell r="E2890">
            <v>23050026</v>
          </cell>
        </row>
        <row r="2892">
          <cell r="D2892">
            <v>45062</v>
          </cell>
        </row>
        <row r="2894">
          <cell r="D2894" t="str">
            <v>KO 4217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2079180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206044.86486486485</v>
          </cell>
        </row>
        <row r="2922">
          <cell r="K2922">
            <v>2079180</v>
          </cell>
        </row>
        <row r="2924">
          <cell r="J2924" t="str">
            <v>NOVI / CONDRO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23050026</v>
          </cell>
        </row>
        <row r="2930">
          <cell r="D2930">
            <v>45062</v>
          </cell>
        </row>
        <row r="2932">
          <cell r="D2932" t="str">
            <v>KO 4217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2079180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206044.86486486485</v>
          </cell>
        </row>
        <row r="2960">
          <cell r="K2960">
            <v>2079180</v>
          </cell>
        </row>
        <row r="2962">
          <cell r="J2962" t="str">
            <v>NOVI / CONDRO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23050027</v>
          </cell>
        </row>
        <row r="2968">
          <cell r="D2968">
            <v>45063</v>
          </cell>
        </row>
        <row r="2970">
          <cell r="D2970" t="str">
            <v>KO 4223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D2974">
            <v>1</v>
          </cell>
          <cell r="E2974" t="str">
            <v>PUSH PIN KENKO PN-30 TRANSPARAN</v>
          </cell>
          <cell r="K2974">
            <v>1370160</v>
          </cell>
        </row>
        <row r="2975">
          <cell r="D2975">
            <v>1</v>
          </cell>
          <cell r="E2975" t="str">
            <v>PAPER CLIP WARNA KENKO 3100</v>
          </cell>
          <cell r="K2975">
            <v>1718928</v>
          </cell>
        </row>
        <row r="2976">
          <cell r="D2976">
            <v>1</v>
          </cell>
          <cell r="E2976" t="str">
            <v>LEM STICK KENKO 8 GR (KECIL) isi 30 pc</v>
          </cell>
          <cell r="K2976">
            <v>2055240</v>
          </cell>
        </row>
        <row r="2977">
          <cell r="D2977">
            <v>1</v>
          </cell>
          <cell r="E2977" t="str">
            <v>LEM STICK KENKO 15 GR (TANGGUNG) isi 20 pc</v>
          </cell>
          <cell r="K2977">
            <v>2242080</v>
          </cell>
        </row>
        <row r="2978">
          <cell r="D2978">
            <v>3</v>
          </cell>
          <cell r="E2978" t="str">
            <v>PAPER TRIGONAL CLIP KENKO NO. 1</v>
          </cell>
          <cell r="K2978">
            <v>2205750</v>
          </cell>
        </row>
        <row r="2979">
          <cell r="D2979">
            <v>3</v>
          </cell>
          <cell r="E2979" t="str">
            <v>PAPER TRIGONAL CLIP KENKO NO. 3</v>
          </cell>
          <cell r="K2979">
            <v>2076000</v>
          </cell>
        </row>
        <row r="2980">
          <cell r="D2980">
            <v>2</v>
          </cell>
          <cell r="E2980" t="str">
            <v>PAPER JUMBO CLIP KENKO NO. 5</v>
          </cell>
          <cell r="K2980">
            <v>1487800</v>
          </cell>
        </row>
        <row r="2981">
          <cell r="D2981">
            <v>1</v>
          </cell>
          <cell r="E2981" t="str">
            <v>STIP / PENGHAPUS KENKO ERW-20SQ PUTIH</v>
          </cell>
          <cell r="K2981">
            <v>1297500</v>
          </cell>
        </row>
        <row r="2982">
          <cell r="D2982">
            <v>2</v>
          </cell>
          <cell r="E2982" t="str">
            <v>STIP / PENGHAPUS KENKO ERW-40SQ PUTIH</v>
          </cell>
          <cell r="K2982">
            <v>2378750</v>
          </cell>
        </row>
        <row r="2983">
          <cell r="D2983">
            <v>4</v>
          </cell>
          <cell r="E2983" t="str">
            <v>GEL PEN KENKO EASY GEL</v>
          </cell>
          <cell r="K2983">
            <v>13004064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29836272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2956747.6756756753</v>
          </cell>
        </row>
        <row r="2998">
          <cell r="K2998">
            <v>29836272</v>
          </cell>
        </row>
        <row r="3000">
          <cell r="J3000" t="str">
            <v>NOVI / CONDRO</v>
          </cell>
        </row>
        <row r="3004">
          <cell r="D3004" t="str">
            <v>AM</v>
          </cell>
          <cell r="E3004">
            <v>23050027</v>
          </cell>
        </row>
        <row r="3006">
          <cell r="D3006">
            <v>45063</v>
          </cell>
        </row>
        <row r="3008">
          <cell r="D3008" t="str">
            <v>KO 4223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1</v>
          </cell>
          <cell r="E3012" t="str">
            <v>PUSH PIN KENKO PN-30 TRANSPARAN</v>
          </cell>
          <cell r="J3012">
            <v>0</v>
          </cell>
          <cell r="K3012">
            <v>1370160</v>
          </cell>
        </row>
        <row r="3013">
          <cell r="D3013">
            <v>1</v>
          </cell>
          <cell r="E3013" t="str">
            <v>PAPER CLIP WARNA KENKO 3100</v>
          </cell>
          <cell r="J3013">
            <v>0</v>
          </cell>
          <cell r="K3013">
            <v>1718928</v>
          </cell>
        </row>
        <row r="3014">
          <cell r="D3014">
            <v>1</v>
          </cell>
          <cell r="E3014" t="str">
            <v>LEM STICK KENKO 8 GR (KECIL) isi 30 pc</v>
          </cell>
          <cell r="J3014">
            <v>0</v>
          </cell>
          <cell r="K3014">
            <v>2055240</v>
          </cell>
        </row>
        <row r="3015">
          <cell r="D3015">
            <v>1</v>
          </cell>
          <cell r="E3015" t="str">
            <v>LEM STICK KENKO 15 GR (TANGGUNG) isi 20 pc</v>
          </cell>
          <cell r="J3015">
            <v>0</v>
          </cell>
          <cell r="K3015">
            <v>2242080</v>
          </cell>
        </row>
        <row r="3016">
          <cell r="D3016">
            <v>3</v>
          </cell>
          <cell r="E3016" t="str">
            <v>PAPER TRIGONAL CLIP KENKO NO. 1</v>
          </cell>
          <cell r="J3016">
            <v>0</v>
          </cell>
          <cell r="K3016">
            <v>2205750</v>
          </cell>
        </row>
        <row r="3017">
          <cell r="D3017">
            <v>3</v>
          </cell>
          <cell r="E3017" t="str">
            <v>PAPER TRIGONAL CLIP KENKO NO. 3</v>
          </cell>
          <cell r="J3017">
            <v>0</v>
          </cell>
          <cell r="K3017">
            <v>2076000</v>
          </cell>
        </row>
        <row r="3018">
          <cell r="D3018">
            <v>2</v>
          </cell>
          <cell r="E3018" t="str">
            <v>PAPER JUMBO CLIP KENKO NO. 5</v>
          </cell>
          <cell r="J3018">
            <v>0</v>
          </cell>
          <cell r="K3018">
            <v>1487800</v>
          </cell>
        </row>
        <row r="3019">
          <cell r="D3019">
            <v>1</v>
          </cell>
          <cell r="E3019" t="str">
            <v>STIP / PENGHAPUS KENKO ERW-20SQ PUTIH</v>
          </cell>
          <cell r="J3019">
            <v>0</v>
          </cell>
          <cell r="K3019">
            <v>1297500</v>
          </cell>
        </row>
        <row r="3020">
          <cell r="D3020">
            <v>2</v>
          </cell>
          <cell r="E3020" t="str">
            <v>STIP / PENGHAPUS KENKO ERW-40SQ PUTIH</v>
          </cell>
          <cell r="J3020">
            <v>0</v>
          </cell>
          <cell r="K3020">
            <v>2378750</v>
          </cell>
        </row>
        <row r="3021">
          <cell r="D3021">
            <v>4</v>
          </cell>
          <cell r="E3021" t="str">
            <v>GEL PEN KENKO EASY GEL</v>
          </cell>
          <cell r="J3021">
            <v>0</v>
          </cell>
          <cell r="K3021">
            <v>13004064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29836272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2956747.6756756753</v>
          </cell>
        </row>
        <row r="3036">
          <cell r="K3036">
            <v>29836272</v>
          </cell>
        </row>
        <row r="3038">
          <cell r="J3038" t="str">
            <v>NOVI / CONDRO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23050027</v>
          </cell>
        </row>
        <row r="3044">
          <cell r="D3044">
            <v>45063</v>
          </cell>
        </row>
        <row r="3046">
          <cell r="D3046" t="str">
            <v>KO 4223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1</v>
          </cell>
          <cell r="E3050" t="str">
            <v>PUSH PIN KENKO PN-30 TRANSPARAN</v>
          </cell>
          <cell r="J3050">
            <v>0</v>
          </cell>
          <cell r="K3050">
            <v>1370160</v>
          </cell>
        </row>
        <row r="3051">
          <cell r="D3051">
            <v>1</v>
          </cell>
          <cell r="E3051" t="str">
            <v>PAPER CLIP WARNA KENKO 3100</v>
          </cell>
          <cell r="J3051">
            <v>0</v>
          </cell>
          <cell r="K3051">
            <v>1718928</v>
          </cell>
        </row>
        <row r="3052">
          <cell r="D3052">
            <v>1</v>
          </cell>
          <cell r="E3052" t="str">
            <v>LEM STICK KENKO 8 GR (KECIL) isi 30 pc</v>
          </cell>
          <cell r="J3052">
            <v>0</v>
          </cell>
          <cell r="K3052">
            <v>2055240</v>
          </cell>
        </row>
        <row r="3053">
          <cell r="D3053">
            <v>1</v>
          </cell>
          <cell r="E3053" t="str">
            <v>LEM STICK KENKO 15 GR (TANGGUNG) isi 20 pc</v>
          </cell>
          <cell r="J3053">
            <v>0</v>
          </cell>
          <cell r="K3053">
            <v>2242080</v>
          </cell>
        </row>
        <row r="3054">
          <cell r="D3054">
            <v>3</v>
          </cell>
          <cell r="E3054" t="str">
            <v>PAPER TRIGONAL CLIP KENKO NO. 1</v>
          </cell>
          <cell r="J3054">
            <v>0</v>
          </cell>
          <cell r="K3054">
            <v>2205750</v>
          </cell>
        </row>
        <row r="3055">
          <cell r="D3055">
            <v>3</v>
          </cell>
          <cell r="E3055" t="str">
            <v>PAPER TRIGONAL CLIP KENKO NO. 3</v>
          </cell>
          <cell r="J3055">
            <v>0</v>
          </cell>
          <cell r="K3055">
            <v>2076000</v>
          </cell>
        </row>
        <row r="3056">
          <cell r="D3056">
            <v>2</v>
          </cell>
          <cell r="E3056" t="str">
            <v>PAPER JUMBO CLIP KENKO NO. 5</v>
          </cell>
          <cell r="J3056">
            <v>0</v>
          </cell>
          <cell r="K3056">
            <v>1487800</v>
          </cell>
        </row>
        <row r="3057">
          <cell r="D3057">
            <v>1</v>
          </cell>
          <cell r="E3057" t="str">
            <v>STIP / PENGHAPUS KENKO ERW-20SQ PUTIH</v>
          </cell>
          <cell r="J3057">
            <v>0</v>
          </cell>
          <cell r="K3057">
            <v>1297500</v>
          </cell>
        </row>
        <row r="3058">
          <cell r="D3058">
            <v>2</v>
          </cell>
          <cell r="E3058" t="str">
            <v>STIP / PENGHAPUS KENKO ERW-40SQ PUTIH</v>
          </cell>
          <cell r="J3058">
            <v>0</v>
          </cell>
          <cell r="K3058">
            <v>2378750</v>
          </cell>
        </row>
        <row r="3059">
          <cell r="D3059">
            <v>4</v>
          </cell>
          <cell r="E3059" t="str">
            <v>GEL PEN KENKO EASY GEL</v>
          </cell>
          <cell r="J3059">
            <v>0</v>
          </cell>
          <cell r="K3059">
            <v>13004064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29836272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2956747.6756756753</v>
          </cell>
        </row>
        <row r="3074">
          <cell r="K3074">
            <v>29836272</v>
          </cell>
        </row>
        <row r="3076">
          <cell r="J3076" t="str">
            <v>NOVI / CONDRO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23050028</v>
          </cell>
        </row>
        <row r="3082">
          <cell r="D3082">
            <v>45063</v>
          </cell>
        </row>
        <row r="3084">
          <cell r="D3084" t="str">
            <v>KO 4224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D3088">
            <v>1</v>
          </cell>
          <cell r="E3088" t="str">
            <v>PAPER JUMBO CLIP KENKO NO. 5</v>
          </cell>
          <cell r="K3088">
            <v>774000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774000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76702.702702702707</v>
          </cell>
        </row>
        <row r="3112">
          <cell r="K3112">
            <v>774000</v>
          </cell>
        </row>
        <row r="3114">
          <cell r="J3114" t="str">
            <v>NOVI / CONDRO</v>
          </cell>
        </row>
        <row r="3118">
          <cell r="D3118" t="str">
            <v>AM</v>
          </cell>
          <cell r="E3118">
            <v>23050028</v>
          </cell>
        </row>
        <row r="3120">
          <cell r="D3120">
            <v>45063</v>
          </cell>
        </row>
        <row r="3122">
          <cell r="D3122" t="str">
            <v>KO 4224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1</v>
          </cell>
          <cell r="E3126" t="str">
            <v>PAPER JUMBO CLIP KENKO NO. 5</v>
          </cell>
          <cell r="J3126">
            <v>0</v>
          </cell>
          <cell r="K3126">
            <v>774000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774000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76702.702702702707</v>
          </cell>
        </row>
        <row r="3150">
          <cell r="K3150">
            <v>774000</v>
          </cell>
        </row>
        <row r="3152">
          <cell r="J3152" t="str">
            <v>NOVI / CONDRO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23050028</v>
          </cell>
        </row>
        <row r="3158">
          <cell r="D3158">
            <v>45063</v>
          </cell>
        </row>
        <row r="3160">
          <cell r="D3160" t="str">
            <v>KO 4224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1</v>
          </cell>
          <cell r="E3164" t="str">
            <v>PAPER JUMBO CLIP KENKO NO. 5</v>
          </cell>
          <cell r="J3164">
            <v>0</v>
          </cell>
          <cell r="K3164">
            <v>774000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774000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76702.702702702707</v>
          </cell>
        </row>
        <row r="3188">
          <cell r="K3188">
            <v>774000</v>
          </cell>
        </row>
        <row r="3190">
          <cell r="J3190" t="str">
            <v>NOVI / CONDRO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23050029</v>
          </cell>
        </row>
        <row r="3196">
          <cell r="D3196">
            <v>45065</v>
          </cell>
        </row>
        <row r="3198">
          <cell r="D3198" t="str">
            <v>G 4235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D3202">
            <v>1</v>
          </cell>
          <cell r="E3202" t="str">
            <v>PENCIL CASE JOYKO PC-0719AC-36A/F (Animal Calender)</v>
          </cell>
          <cell r="K3202">
            <v>1209600</v>
          </cell>
        </row>
        <row r="3203">
          <cell r="D3203">
            <v>1</v>
          </cell>
          <cell r="E3203" t="str">
            <v>PENCIL CASE JOYKO PC-0719TV-33A/F (TRAVEL)</v>
          </cell>
          <cell r="K3203">
            <v>1209600</v>
          </cell>
        </row>
        <row r="3204">
          <cell r="D3204">
            <v>1</v>
          </cell>
          <cell r="E3204" t="str">
            <v>PENCIL CASE JOYKO PC-0719GZ-34A/F (GOZZY)</v>
          </cell>
          <cell r="K3204">
            <v>1209600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3628800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359610.81081081083</v>
          </cell>
        </row>
        <row r="3226">
          <cell r="K3226">
            <v>3628800</v>
          </cell>
        </row>
        <row r="3228">
          <cell r="J3228" t="str">
            <v>LENA / YO</v>
          </cell>
        </row>
        <row r="3232">
          <cell r="D3232" t="str">
            <v>AM</v>
          </cell>
          <cell r="E3232">
            <v>23050029</v>
          </cell>
        </row>
        <row r="3234">
          <cell r="D3234">
            <v>45065</v>
          </cell>
        </row>
        <row r="3236">
          <cell r="D3236" t="str">
            <v>G 4235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1</v>
          </cell>
          <cell r="E3240" t="str">
            <v>PENCIL CASE JOYKO PC-0719AC-36A/F (Animal Calender)</v>
          </cell>
          <cell r="J3240">
            <v>0</v>
          </cell>
          <cell r="K3240">
            <v>1209600</v>
          </cell>
        </row>
        <row r="3241">
          <cell r="D3241">
            <v>1</v>
          </cell>
          <cell r="E3241" t="str">
            <v>PENCIL CASE JOYKO PC-0719TV-33A/F (TRAVEL)</v>
          </cell>
          <cell r="J3241">
            <v>0</v>
          </cell>
          <cell r="K3241">
            <v>1209600</v>
          </cell>
        </row>
        <row r="3242">
          <cell r="D3242">
            <v>1</v>
          </cell>
          <cell r="E3242" t="str">
            <v>PENCIL CASE JOYKO PC-0719GZ-34A/F (GOZZY)</v>
          </cell>
          <cell r="J3242">
            <v>0</v>
          </cell>
          <cell r="K3242">
            <v>1209600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3628800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359610.81081081083</v>
          </cell>
        </row>
        <row r="3264">
          <cell r="K3264">
            <v>3628800</v>
          </cell>
        </row>
        <row r="3266">
          <cell r="J3266" t="str">
            <v>LENA / YO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23050029</v>
          </cell>
        </row>
        <row r="3272">
          <cell r="D3272">
            <v>45065</v>
          </cell>
        </row>
        <row r="3274">
          <cell r="D3274" t="str">
            <v>G 4235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1</v>
          </cell>
          <cell r="E3278" t="str">
            <v>PENCIL CASE JOYKO PC-0719AC-36A/F (Animal Calender)</v>
          </cell>
          <cell r="J3278">
            <v>0</v>
          </cell>
          <cell r="K3278">
            <v>1209600</v>
          </cell>
        </row>
        <row r="3279">
          <cell r="D3279">
            <v>1</v>
          </cell>
          <cell r="E3279" t="str">
            <v>PENCIL CASE JOYKO PC-0719TV-33A/F (TRAVEL)</v>
          </cell>
          <cell r="J3279">
            <v>0</v>
          </cell>
          <cell r="K3279">
            <v>1209600</v>
          </cell>
        </row>
        <row r="3280">
          <cell r="D3280">
            <v>1</v>
          </cell>
          <cell r="E3280" t="str">
            <v>PENCIL CASE JOYKO PC-0719GZ-34A/F (GOZZY)</v>
          </cell>
          <cell r="J3280">
            <v>0</v>
          </cell>
          <cell r="K3280">
            <v>1209600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3628800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359610.81081081083</v>
          </cell>
        </row>
        <row r="3302">
          <cell r="K3302">
            <v>3628800</v>
          </cell>
        </row>
        <row r="3304">
          <cell r="J3304" t="str">
            <v>LENA / YO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23050030</v>
          </cell>
        </row>
        <row r="3310">
          <cell r="D3310">
            <v>45065</v>
          </cell>
        </row>
        <row r="3312">
          <cell r="D3312" t="str">
            <v>KO 4238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D3316">
            <v>2</v>
          </cell>
          <cell r="E3316" t="str">
            <v>JANGKA (MATH SET) JOYKO MS-25</v>
          </cell>
          <cell r="K3316">
            <v>3711888</v>
          </cell>
        </row>
        <row r="3317">
          <cell r="D3317">
            <v>3</v>
          </cell>
          <cell r="E3317" t="str">
            <v>JANGKA (MATH SET) JOYKO MS-55</v>
          </cell>
          <cell r="K3317">
            <v>5567832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9279720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919611.89189189172</v>
          </cell>
        </row>
        <row r="3340">
          <cell r="K3340">
            <v>9279720</v>
          </cell>
        </row>
        <row r="3342">
          <cell r="J3342" t="str">
            <v>NOVI / CONDRO</v>
          </cell>
        </row>
        <row r="3346">
          <cell r="D3346" t="str">
            <v>AM</v>
          </cell>
          <cell r="E3346">
            <v>23050030</v>
          </cell>
        </row>
        <row r="3348">
          <cell r="D3348">
            <v>45065</v>
          </cell>
        </row>
        <row r="3350">
          <cell r="D3350" t="str">
            <v>KO 4238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2</v>
          </cell>
          <cell r="E3354" t="str">
            <v>JANGKA (MATH SET) JOYKO MS-25</v>
          </cell>
          <cell r="J3354">
            <v>0</v>
          </cell>
          <cell r="K3354">
            <v>3711888</v>
          </cell>
        </row>
        <row r="3355">
          <cell r="D3355">
            <v>3</v>
          </cell>
          <cell r="E3355" t="str">
            <v>JANGKA (MATH SET) JOYKO MS-55</v>
          </cell>
          <cell r="J3355">
            <v>0</v>
          </cell>
          <cell r="K3355">
            <v>5567832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9279720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919611.89189189172</v>
          </cell>
        </row>
        <row r="3378">
          <cell r="K3378">
            <v>9279720</v>
          </cell>
        </row>
        <row r="3380">
          <cell r="J3380" t="str">
            <v>NOVI / CONDRO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23050030</v>
          </cell>
        </row>
        <row r="3386">
          <cell r="D3386">
            <v>45065</v>
          </cell>
        </row>
        <row r="3388">
          <cell r="D3388" t="str">
            <v>KO 4238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2</v>
          </cell>
          <cell r="E3392" t="str">
            <v>JANGKA (MATH SET) JOYKO MS-25</v>
          </cell>
          <cell r="J3392">
            <v>0</v>
          </cell>
          <cell r="K3392">
            <v>3711888</v>
          </cell>
        </row>
        <row r="3393">
          <cell r="D3393">
            <v>3</v>
          </cell>
          <cell r="E3393" t="str">
            <v>JANGKA (MATH SET) JOYKO MS-55</v>
          </cell>
          <cell r="J3393">
            <v>0</v>
          </cell>
          <cell r="K3393">
            <v>5567832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9279720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919611.89189189172</v>
          </cell>
        </row>
        <row r="3416">
          <cell r="K3416">
            <v>9279720</v>
          </cell>
        </row>
        <row r="3418">
          <cell r="J3418" t="str">
            <v>NOVI / CONDRO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23050031</v>
          </cell>
        </row>
        <row r="3424">
          <cell r="D3424">
            <v>45065</v>
          </cell>
        </row>
        <row r="3426">
          <cell r="D3426" t="str">
            <v>KO 4236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D3430" t="str">
            <v/>
          </cell>
          <cell r="E3430" t="str">
            <v>CORRECTION FLUID KENKO KE-107M</v>
          </cell>
          <cell r="K3430">
            <v>1807920</v>
          </cell>
        </row>
        <row r="3431">
          <cell r="D3431" t="str">
            <v/>
          </cell>
          <cell r="E3431" t="str">
            <v>LEM STICK KENKO 8 GR (KECIL) isi 30 pc</v>
          </cell>
          <cell r="K3431">
            <v>118800</v>
          </cell>
        </row>
        <row r="3432">
          <cell r="D3432" t="str">
            <v/>
          </cell>
          <cell r="E3432" t="str">
            <v>LEM CAIR 35 ML KENKO LG-35</v>
          </cell>
          <cell r="K3432">
            <v>35640</v>
          </cell>
        </row>
        <row r="3433">
          <cell r="D3433" t="str">
            <v/>
          </cell>
          <cell r="E3433" t="str">
            <v>LOOSE LEAF KENKO A5-LL 50-2070</v>
          </cell>
          <cell r="K3433">
            <v>198000</v>
          </cell>
        </row>
        <row r="3434">
          <cell r="D3434" t="str">
            <v/>
          </cell>
          <cell r="E3434" t="str">
            <v>LOOSE LEAF KENKO A5-LL 100-2070</v>
          </cell>
          <cell r="K3434">
            <v>375750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2536110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251326.21621621621</v>
          </cell>
        </row>
        <row r="3454">
          <cell r="K3454">
            <v>2536110</v>
          </cell>
        </row>
        <row r="3456">
          <cell r="J3456" t="str">
            <v>NOVI / CONDRO</v>
          </cell>
        </row>
        <row r="3460">
          <cell r="D3460" t="str">
            <v>AM</v>
          </cell>
          <cell r="E3460">
            <v>23050031</v>
          </cell>
        </row>
        <row r="3462">
          <cell r="D3462">
            <v>45065</v>
          </cell>
        </row>
        <row r="3464">
          <cell r="D3464" t="str">
            <v>KO 4236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 t="str">
            <v/>
          </cell>
          <cell r="E3468" t="str">
            <v>CORRECTION FLUID KENKO KE-107M</v>
          </cell>
          <cell r="J3468">
            <v>0</v>
          </cell>
          <cell r="K3468">
            <v>1807920</v>
          </cell>
        </row>
        <row r="3469">
          <cell r="D3469" t="str">
            <v/>
          </cell>
          <cell r="E3469" t="str">
            <v>LEM STICK KENKO 8 GR (KECIL) isi 30 pc</v>
          </cell>
          <cell r="J3469">
            <v>0</v>
          </cell>
          <cell r="K3469">
            <v>118800</v>
          </cell>
        </row>
        <row r="3470">
          <cell r="D3470" t="str">
            <v/>
          </cell>
          <cell r="E3470" t="str">
            <v>LEM CAIR 35 ML KENKO LG-35</v>
          </cell>
          <cell r="J3470">
            <v>0</v>
          </cell>
          <cell r="K3470">
            <v>35640</v>
          </cell>
        </row>
        <row r="3471">
          <cell r="D3471" t="str">
            <v/>
          </cell>
          <cell r="E3471" t="str">
            <v>LOOSE LEAF KENKO A5-LL 50-2070</v>
          </cell>
          <cell r="J3471">
            <v>0</v>
          </cell>
          <cell r="K3471">
            <v>198000</v>
          </cell>
        </row>
        <row r="3472">
          <cell r="D3472" t="str">
            <v/>
          </cell>
          <cell r="E3472" t="str">
            <v>LOOSE LEAF KENKO A5-LL 100-2070</v>
          </cell>
          <cell r="J3472">
            <v>0</v>
          </cell>
          <cell r="K3472">
            <v>375750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2536110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251326.21621621621</v>
          </cell>
        </row>
        <row r="3492">
          <cell r="K3492">
            <v>2536110</v>
          </cell>
        </row>
        <row r="3494">
          <cell r="J3494" t="str">
            <v>NOVI / CONDRO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23050031</v>
          </cell>
        </row>
        <row r="3500">
          <cell r="D3500">
            <v>45065</v>
          </cell>
        </row>
        <row r="3502">
          <cell r="D3502" t="str">
            <v>KO 4236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 t="str">
            <v/>
          </cell>
          <cell r="E3506" t="str">
            <v>CORRECTION FLUID KENKO KE-107M</v>
          </cell>
          <cell r="J3506">
            <v>0</v>
          </cell>
          <cell r="K3506">
            <v>1807920</v>
          </cell>
        </row>
        <row r="3507">
          <cell r="D3507" t="str">
            <v/>
          </cell>
          <cell r="E3507" t="str">
            <v>LEM STICK KENKO 8 GR (KECIL) isi 30 pc</v>
          </cell>
          <cell r="J3507">
            <v>0</v>
          </cell>
          <cell r="K3507">
            <v>118800</v>
          </cell>
        </row>
        <row r="3508">
          <cell r="D3508" t="str">
            <v/>
          </cell>
          <cell r="E3508" t="str">
            <v>LEM CAIR 35 ML KENKO LG-35</v>
          </cell>
          <cell r="J3508">
            <v>0</v>
          </cell>
          <cell r="K3508">
            <v>35640</v>
          </cell>
        </row>
        <row r="3509">
          <cell r="D3509" t="str">
            <v/>
          </cell>
          <cell r="E3509" t="str">
            <v>LOOSE LEAF KENKO A5-LL 50-2070</v>
          </cell>
          <cell r="J3509">
            <v>0</v>
          </cell>
          <cell r="K3509">
            <v>198000</v>
          </cell>
        </row>
        <row r="3510">
          <cell r="D3510" t="str">
            <v/>
          </cell>
          <cell r="E3510" t="str">
            <v>LOOSE LEAF KENKO A5-LL 100-2070</v>
          </cell>
          <cell r="J3510">
            <v>0</v>
          </cell>
          <cell r="K3510">
            <v>375750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2536110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251326.21621621621</v>
          </cell>
        </row>
        <row r="3530">
          <cell r="K3530">
            <v>2536110</v>
          </cell>
        </row>
        <row r="3532">
          <cell r="J3532" t="str">
            <v>NOVI / CONDRO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23050032</v>
          </cell>
        </row>
        <row r="3538">
          <cell r="D3538">
            <v>45065</v>
          </cell>
        </row>
        <row r="3540">
          <cell r="D3540" t="str">
            <v>KO 4253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D3544">
            <v>1</v>
          </cell>
          <cell r="E3544" t="str">
            <v>CORRECTION TAPE JOYKO CT-522 PTL</v>
          </cell>
          <cell r="K3544">
            <v>3024000</v>
          </cell>
        </row>
        <row r="3545">
          <cell r="D3545">
            <v>1</v>
          </cell>
          <cell r="E3545" t="str">
            <v>JANGKA (MATH SET) JOYKO MS-55</v>
          </cell>
          <cell r="K3545">
            <v>1877400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4901400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485724.32432432426</v>
          </cell>
        </row>
        <row r="3568">
          <cell r="K3568">
            <v>4901400</v>
          </cell>
        </row>
        <row r="3570">
          <cell r="J3570" t="str">
            <v>NOVI / CONDRO</v>
          </cell>
        </row>
        <row r="3574">
          <cell r="D3574" t="str">
            <v>AM</v>
          </cell>
          <cell r="E3574">
            <v>23050032</v>
          </cell>
        </row>
        <row r="3576">
          <cell r="D3576">
            <v>45065</v>
          </cell>
        </row>
        <row r="3578">
          <cell r="D3578" t="str">
            <v>KO 4253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1</v>
          </cell>
          <cell r="E3582" t="str">
            <v>CORRECTION TAPE JOYKO CT-522 PTL</v>
          </cell>
          <cell r="J3582">
            <v>0</v>
          </cell>
          <cell r="K3582">
            <v>3024000</v>
          </cell>
        </row>
        <row r="3583">
          <cell r="D3583">
            <v>1</v>
          </cell>
          <cell r="E3583" t="str">
            <v>JANGKA (MATH SET) JOYKO MS-55</v>
          </cell>
          <cell r="J3583">
            <v>0</v>
          </cell>
          <cell r="K3583">
            <v>1877400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4901400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485724.32432432426</v>
          </cell>
        </row>
        <row r="3606">
          <cell r="K3606">
            <v>4901400</v>
          </cell>
        </row>
        <row r="3608">
          <cell r="J3608" t="str">
            <v>NOVI / CONDRO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23050032</v>
          </cell>
        </row>
        <row r="3614">
          <cell r="D3614">
            <v>45065</v>
          </cell>
        </row>
        <row r="3616">
          <cell r="D3616" t="str">
            <v>KO 4253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1</v>
          </cell>
          <cell r="E3620" t="str">
            <v>CORRECTION TAPE JOYKO CT-522 PTL</v>
          </cell>
          <cell r="J3620">
            <v>0</v>
          </cell>
          <cell r="K3620">
            <v>3024000</v>
          </cell>
        </row>
        <row r="3621">
          <cell r="D3621">
            <v>1</v>
          </cell>
          <cell r="E3621" t="str">
            <v>JANGKA (MATH SET) JOYKO MS-55</v>
          </cell>
          <cell r="J3621">
            <v>0</v>
          </cell>
          <cell r="K3621">
            <v>1877400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4901400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485724.32432432426</v>
          </cell>
        </row>
        <row r="3644">
          <cell r="K3644">
            <v>4901400</v>
          </cell>
        </row>
        <row r="3646">
          <cell r="J3646" t="str">
            <v>NOVI / CONDRO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23050033</v>
          </cell>
        </row>
        <row r="3652">
          <cell r="D3652">
            <v>45066</v>
          </cell>
        </row>
        <row r="3654">
          <cell r="D3654" t="str">
            <v>KO 4258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D3658">
            <v>4</v>
          </cell>
          <cell r="E3658" t="str">
            <v>CORRECTION TAPE JOYKO CT-522</v>
          </cell>
          <cell r="K3658">
            <v>12096000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12096000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1198702.7027027027</v>
          </cell>
        </row>
        <row r="3682">
          <cell r="K3682">
            <v>12096000</v>
          </cell>
        </row>
        <row r="3684">
          <cell r="J3684" t="str">
            <v>NOVI / CONDRO</v>
          </cell>
        </row>
        <row r="3688">
          <cell r="D3688" t="str">
            <v>AM</v>
          </cell>
          <cell r="E3688">
            <v>23050033</v>
          </cell>
        </row>
        <row r="3690">
          <cell r="D3690">
            <v>45066</v>
          </cell>
        </row>
        <row r="3692">
          <cell r="D3692" t="str">
            <v>KO 4258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4</v>
          </cell>
          <cell r="E3696" t="str">
            <v>CORRECTION TAPE JOYKO CT-522</v>
          </cell>
          <cell r="J3696">
            <v>0</v>
          </cell>
          <cell r="K3696">
            <v>12096000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12096000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1198702.7027027027</v>
          </cell>
        </row>
        <row r="3720">
          <cell r="K3720">
            <v>12096000</v>
          </cell>
        </row>
        <row r="3722">
          <cell r="J3722" t="str">
            <v>NOVI / CONDRO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23050033</v>
          </cell>
        </row>
        <row r="3728">
          <cell r="D3728">
            <v>45066</v>
          </cell>
        </row>
        <row r="3730">
          <cell r="D3730" t="str">
            <v>KO 4258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4</v>
          </cell>
          <cell r="E3734" t="str">
            <v>CORRECTION TAPE JOYKO CT-522</v>
          </cell>
          <cell r="J3734">
            <v>0</v>
          </cell>
          <cell r="K3734">
            <v>12096000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12096000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1198702.7027027027</v>
          </cell>
        </row>
        <row r="3758">
          <cell r="K3758">
            <v>12096000</v>
          </cell>
        </row>
        <row r="3760">
          <cell r="J3760" t="str">
            <v>NOVI / CONDRO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23050034</v>
          </cell>
        </row>
        <row r="3766">
          <cell r="D3766">
            <v>45068</v>
          </cell>
        </row>
        <row r="3768">
          <cell r="D3768" t="str">
            <v>G 4036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D3772">
            <v>2</v>
          </cell>
          <cell r="E3772" t="str">
            <v>GEL PEN KENKO KE-303 T-GEL TRIANGULAR</v>
          </cell>
          <cell r="K3772">
            <v>5443200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5443200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539416.21621621621</v>
          </cell>
        </row>
        <row r="3796">
          <cell r="K3796">
            <v>5443200</v>
          </cell>
        </row>
        <row r="3798">
          <cell r="J3798" t="str">
            <v>NOVI / CONDRO</v>
          </cell>
        </row>
        <row r="3802">
          <cell r="D3802" t="str">
            <v>AM</v>
          </cell>
          <cell r="E3802">
            <v>23050034</v>
          </cell>
        </row>
        <row r="3804">
          <cell r="D3804">
            <v>45068</v>
          </cell>
        </row>
        <row r="3806">
          <cell r="D3806" t="str">
            <v>G 4036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2</v>
          </cell>
          <cell r="E3810" t="str">
            <v>GEL PEN KENKO KE-303 T-GEL TRIANGULAR</v>
          </cell>
          <cell r="J3810">
            <v>0</v>
          </cell>
          <cell r="K3810">
            <v>5443200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5443200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539416.21621621621</v>
          </cell>
        </row>
        <row r="3834">
          <cell r="K3834">
            <v>5443200</v>
          </cell>
        </row>
        <row r="3836">
          <cell r="J3836" t="str">
            <v>NOVI / CONDRO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23050034</v>
          </cell>
        </row>
        <row r="3842">
          <cell r="D3842">
            <v>45068</v>
          </cell>
        </row>
        <row r="3844">
          <cell r="D3844" t="str">
            <v>G 4036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2</v>
          </cell>
          <cell r="E3848" t="str">
            <v>GEL PEN KENKO KE-303 T-GEL TRIANGULAR</v>
          </cell>
          <cell r="J3848">
            <v>0</v>
          </cell>
          <cell r="K3848">
            <v>5443200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5443200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539416.21621621621</v>
          </cell>
        </row>
        <row r="3872">
          <cell r="K3872">
            <v>5443200</v>
          </cell>
        </row>
        <row r="3874">
          <cell r="J3874" t="str">
            <v>NOVI / CONDRO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23050035</v>
          </cell>
        </row>
        <row r="3880">
          <cell r="D3880">
            <v>45069</v>
          </cell>
        </row>
        <row r="3882">
          <cell r="D3882" t="str">
            <v>KO 4263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D3886">
            <v>2</v>
          </cell>
          <cell r="E3886" t="str">
            <v>GUNTING JOYKO SC-828</v>
          </cell>
          <cell r="K3886">
            <v>2192400</v>
          </cell>
        </row>
        <row r="3887">
          <cell r="D3887">
            <v>2</v>
          </cell>
          <cell r="E3887" t="str">
            <v>GUNTING JOYKO SC-838</v>
          </cell>
          <cell r="K3887">
            <v>3276000</v>
          </cell>
        </row>
        <row r="3888">
          <cell r="D3888">
            <v>2</v>
          </cell>
          <cell r="E3888" t="str">
            <v>LABEL HARGA JOYKO LB-2RL (1 LINE PUTIH)</v>
          </cell>
          <cell r="K3888">
            <v>3587500</v>
          </cell>
        </row>
        <row r="3889">
          <cell r="D3889">
            <v>1</v>
          </cell>
          <cell r="E3889" t="str">
            <v>ISI PENSIL 2B 2.0 MM JOYKO PL-11</v>
          </cell>
          <cell r="K3889">
            <v>2343600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11399500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1129680.1801801801</v>
          </cell>
        </row>
        <row r="3910">
          <cell r="K3910">
            <v>11399500</v>
          </cell>
        </row>
        <row r="3912">
          <cell r="J3912" t="str">
            <v>NOVI / CONDRO</v>
          </cell>
        </row>
        <row r="3916">
          <cell r="D3916" t="str">
            <v>AM</v>
          </cell>
          <cell r="E3916">
            <v>23050035</v>
          </cell>
        </row>
        <row r="3918">
          <cell r="D3918">
            <v>45069</v>
          </cell>
        </row>
        <row r="3920">
          <cell r="D3920" t="str">
            <v>KO 4263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2</v>
          </cell>
          <cell r="E3924" t="str">
            <v>GUNTING JOYKO SC-828</v>
          </cell>
          <cell r="J3924">
            <v>0</v>
          </cell>
          <cell r="K3924">
            <v>2192400</v>
          </cell>
        </row>
        <row r="3925">
          <cell r="D3925">
            <v>2</v>
          </cell>
          <cell r="E3925" t="str">
            <v>GUNTING JOYKO SC-838</v>
          </cell>
          <cell r="J3925">
            <v>0</v>
          </cell>
          <cell r="K3925">
            <v>3276000</v>
          </cell>
        </row>
        <row r="3926">
          <cell r="D3926">
            <v>2</v>
          </cell>
          <cell r="E3926" t="str">
            <v>LABEL HARGA JOYKO LB-2RL (1 LINE PUTIH)</v>
          </cell>
          <cell r="J3926">
            <v>0</v>
          </cell>
          <cell r="K3926">
            <v>3587500</v>
          </cell>
        </row>
        <row r="3927">
          <cell r="D3927">
            <v>1</v>
          </cell>
          <cell r="E3927" t="str">
            <v>ISI PENSIL 2B 2.0 MM JOYKO PL-11</v>
          </cell>
          <cell r="J3927">
            <v>0</v>
          </cell>
          <cell r="K3927">
            <v>2343600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11399500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1129680.1801801801</v>
          </cell>
        </row>
        <row r="3948">
          <cell r="K3948">
            <v>11399500</v>
          </cell>
        </row>
        <row r="3950">
          <cell r="J3950" t="str">
            <v>NOVI / CONDRO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23050035</v>
          </cell>
        </row>
        <row r="3956">
          <cell r="D3956">
            <v>45069</v>
          </cell>
        </row>
        <row r="3958">
          <cell r="D3958" t="str">
            <v>KO 4263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2</v>
          </cell>
          <cell r="E3962" t="str">
            <v>GUNTING JOYKO SC-828</v>
          </cell>
          <cell r="J3962">
            <v>0</v>
          </cell>
          <cell r="K3962">
            <v>2192400</v>
          </cell>
        </row>
        <row r="3963">
          <cell r="D3963">
            <v>2</v>
          </cell>
          <cell r="E3963" t="str">
            <v>GUNTING JOYKO SC-838</v>
          </cell>
          <cell r="J3963">
            <v>0</v>
          </cell>
          <cell r="K3963">
            <v>3276000</v>
          </cell>
        </row>
        <row r="3964">
          <cell r="D3964">
            <v>2</v>
          </cell>
          <cell r="E3964" t="str">
            <v>LABEL HARGA JOYKO LB-2RL (1 LINE PUTIH)</v>
          </cell>
          <cell r="J3964">
            <v>0</v>
          </cell>
          <cell r="K3964">
            <v>3587500</v>
          </cell>
        </row>
        <row r="3965">
          <cell r="D3965">
            <v>1</v>
          </cell>
          <cell r="E3965" t="str">
            <v>ISI PENSIL 2B 2.0 MM JOYKO PL-11</v>
          </cell>
          <cell r="J3965">
            <v>0</v>
          </cell>
          <cell r="K3965">
            <v>2343600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11399500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1129680.1801801801</v>
          </cell>
        </row>
        <row r="3986">
          <cell r="K3986">
            <v>11399500</v>
          </cell>
        </row>
        <row r="3988">
          <cell r="J3988" t="str">
            <v>NOVI / CONDRO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23050036</v>
          </cell>
        </row>
        <row r="3994">
          <cell r="D3994">
            <v>45069</v>
          </cell>
        </row>
        <row r="3996">
          <cell r="D3996" t="str">
            <v>KO 4401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D4000">
            <v>2</v>
          </cell>
          <cell r="E4000" t="str">
            <v>JANGKA (MATH SET) JOYKO MS-55</v>
          </cell>
          <cell r="K4000">
            <v>3711888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3711888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367844.75675675675</v>
          </cell>
        </row>
        <row r="4024">
          <cell r="K4024">
            <v>3711888</v>
          </cell>
        </row>
        <row r="4026">
          <cell r="J4026" t="str">
            <v>NOVI / CONDRO</v>
          </cell>
        </row>
        <row r="4030">
          <cell r="D4030" t="str">
            <v>AM</v>
          </cell>
          <cell r="E4030">
            <v>23050036</v>
          </cell>
        </row>
        <row r="4032">
          <cell r="D4032">
            <v>45069</v>
          </cell>
        </row>
        <row r="4034">
          <cell r="D4034" t="str">
            <v>KO 4401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2</v>
          </cell>
          <cell r="E4038" t="str">
            <v>JANGKA (MATH SET) JOYKO MS-55</v>
          </cell>
          <cell r="J4038">
            <v>0</v>
          </cell>
          <cell r="K4038">
            <v>3711888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3711888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367844.75675675675</v>
          </cell>
        </row>
        <row r="4062">
          <cell r="K4062">
            <v>3711888</v>
          </cell>
        </row>
        <row r="4064">
          <cell r="J4064" t="str">
            <v>NOVI / CONDRO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23050036</v>
          </cell>
        </row>
        <row r="4070">
          <cell r="D4070">
            <v>45069</v>
          </cell>
        </row>
        <row r="4072">
          <cell r="D4072" t="str">
            <v>KO 4401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2</v>
          </cell>
          <cell r="E4076" t="str">
            <v>JANGKA (MATH SET) JOYKO MS-55</v>
          </cell>
          <cell r="J4076">
            <v>0</v>
          </cell>
          <cell r="K4076">
            <v>3711888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3711888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367844.75675675675</v>
          </cell>
        </row>
        <row r="4100">
          <cell r="K4100">
            <v>3711888</v>
          </cell>
        </row>
        <row r="4102">
          <cell r="J4102" t="str">
            <v>NOVI / CONDRO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23050037</v>
          </cell>
        </row>
        <row r="4108">
          <cell r="D4108">
            <v>45069</v>
          </cell>
        </row>
        <row r="4110">
          <cell r="D4110" t="str">
            <v>KO 1273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D4114">
            <v>2</v>
          </cell>
          <cell r="E4114" t="str">
            <v>GEL PEN KENKO HI-TECH-H 0.28 MM HITAM</v>
          </cell>
          <cell r="K4114">
            <v>9828000</v>
          </cell>
        </row>
        <row r="4115">
          <cell r="D4115">
            <v>5</v>
          </cell>
          <cell r="E4115" t="str">
            <v>CORRECTION TAPE JOYKO CT-522</v>
          </cell>
          <cell r="K4115">
            <v>15120000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24948000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2472324.3243243243</v>
          </cell>
        </row>
        <row r="4138">
          <cell r="K4138">
            <v>24948000</v>
          </cell>
        </row>
        <row r="4140">
          <cell r="J4140" t="str">
            <v>NOVI / CONDRO</v>
          </cell>
        </row>
        <row r="4144">
          <cell r="D4144" t="str">
            <v>AM</v>
          </cell>
          <cell r="E4144">
            <v>23050037</v>
          </cell>
        </row>
        <row r="4146">
          <cell r="D4146">
            <v>45069</v>
          </cell>
        </row>
        <row r="4148">
          <cell r="D4148" t="str">
            <v>KO 1273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2</v>
          </cell>
          <cell r="E4152" t="str">
            <v>GEL PEN KENKO HI-TECH-H 0.28 MM HITAM</v>
          </cell>
          <cell r="J4152">
            <v>0</v>
          </cell>
          <cell r="K4152">
            <v>9828000</v>
          </cell>
        </row>
        <row r="4153">
          <cell r="D4153">
            <v>5</v>
          </cell>
          <cell r="E4153" t="str">
            <v>CORRECTION TAPE JOYKO CT-522</v>
          </cell>
          <cell r="J4153">
            <v>0</v>
          </cell>
          <cell r="K4153">
            <v>15120000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24948000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2472324.3243243243</v>
          </cell>
        </row>
        <row r="4176">
          <cell r="K4176">
            <v>24948000</v>
          </cell>
        </row>
        <row r="4178">
          <cell r="J4178" t="str">
            <v>NOVI / CONDRO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23050037</v>
          </cell>
        </row>
        <row r="4184">
          <cell r="D4184">
            <v>45069</v>
          </cell>
        </row>
        <row r="4186">
          <cell r="D4186" t="str">
            <v>KO 1273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2</v>
          </cell>
          <cell r="E4190" t="str">
            <v>GEL PEN KENKO HI-TECH-H 0.28 MM HITAM</v>
          </cell>
          <cell r="J4190">
            <v>0</v>
          </cell>
          <cell r="K4190">
            <v>9828000</v>
          </cell>
        </row>
        <row r="4191">
          <cell r="D4191">
            <v>5</v>
          </cell>
          <cell r="E4191" t="str">
            <v>CORRECTION TAPE JOYKO CT-522</v>
          </cell>
          <cell r="J4191">
            <v>0</v>
          </cell>
          <cell r="K4191">
            <v>15120000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24948000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2472324.3243243243</v>
          </cell>
        </row>
        <row r="4214">
          <cell r="K4214">
            <v>24948000</v>
          </cell>
        </row>
        <row r="4216">
          <cell r="J4216" t="str">
            <v>NOVI / CONDRO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23050038</v>
          </cell>
        </row>
        <row r="4222">
          <cell r="D4222">
            <v>45069</v>
          </cell>
        </row>
        <row r="4224">
          <cell r="D4224" t="str">
            <v>KO 4403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D4228">
            <v>1</v>
          </cell>
          <cell r="E4228" t="str">
            <v>PAPER JUMBO CLIP KENKO NO. 5</v>
          </cell>
          <cell r="K4228">
            <v>743900</v>
          </cell>
        </row>
        <row r="4229">
          <cell r="D4229">
            <v>1</v>
          </cell>
          <cell r="E4229" t="str">
            <v>CUTTER 9 MM KENKO A-300 (KECIL)</v>
          </cell>
          <cell r="K4229">
            <v>1479150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2223050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220302.25225225222</v>
          </cell>
        </row>
        <row r="4252">
          <cell r="K4252">
            <v>2223050</v>
          </cell>
        </row>
        <row r="4254">
          <cell r="J4254" t="str">
            <v>NOVI / CONDRO</v>
          </cell>
        </row>
        <row r="4258">
          <cell r="D4258" t="str">
            <v>AM</v>
          </cell>
          <cell r="E4258">
            <v>23050038</v>
          </cell>
        </row>
        <row r="4260">
          <cell r="D4260">
            <v>45069</v>
          </cell>
        </row>
        <row r="4262">
          <cell r="D4262" t="str">
            <v>KO 4403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1</v>
          </cell>
          <cell r="E4266" t="str">
            <v>PAPER JUMBO CLIP KENKO NO. 5</v>
          </cell>
          <cell r="J4266">
            <v>0</v>
          </cell>
          <cell r="K4266">
            <v>743900</v>
          </cell>
        </row>
        <row r="4267">
          <cell r="D4267">
            <v>1</v>
          </cell>
          <cell r="E4267" t="str">
            <v>CUTTER 9 MM KENKO A-300 (KECIL)</v>
          </cell>
          <cell r="J4267">
            <v>0</v>
          </cell>
          <cell r="K4267">
            <v>1479150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2223050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220302.25225225222</v>
          </cell>
        </row>
        <row r="4290">
          <cell r="K4290">
            <v>2223050</v>
          </cell>
        </row>
        <row r="4292">
          <cell r="J4292" t="str">
            <v>NOVI / CONDRO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23050038</v>
          </cell>
        </row>
        <row r="4298">
          <cell r="D4298">
            <v>45069</v>
          </cell>
        </row>
        <row r="4300">
          <cell r="D4300" t="str">
            <v>KO 4403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1</v>
          </cell>
          <cell r="E4304" t="str">
            <v>PAPER JUMBO CLIP KENKO NO. 5</v>
          </cell>
          <cell r="J4304">
            <v>0</v>
          </cell>
          <cell r="K4304">
            <v>743900</v>
          </cell>
        </row>
        <row r="4305">
          <cell r="D4305">
            <v>1</v>
          </cell>
          <cell r="E4305" t="str">
            <v>CUTTER 9 MM KENKO A-300 (KECIL)</v>
          </cell>
          <cell r="J4305">
            <v>0</v>
          </cell>
          <cell r="K4305">
            <v>1479150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2223050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220302.25225225222</v>
          </cell>
        </row>
        <row r="4328">
          <cell r="K4328">
            <v>2223050</v>
          </cell>
        </row>
        <row r="4330">
          <cell r="J4330" t="str">
            <v>NOVI / CONDRO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23050039</v>
          </cell>
        </row>
        <row r="4336">
          <cell r="D4336">
            <v>45069</v>
          </cell>
        </row>
        <row r="4338">
          <cell r="D4338" t="str">
            <v>KO 4404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D4342">
            <v>1</v>
          </cell>
          <cell r="E4342" t="str">
            <v>GUNTING KENKO SC-838N</v>
          </cell>
          <cell r="K4342">
            <v>1715700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1715700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170024.32432432432</v>
          </cell>
        </row>
        <row r="4366">
          <cell r="K4366">
            <v>1715700</v>
          </cell>
        </row>
        <row r="4368">
          <cell r="J4368" t="str">
            <v>NOVI / CONDRO</v>
          </cell>
        </row>
        <row r="4372">
          <cell r="D4372" t="str">
            <v>AM</v>
          </cell>
          <cell r="E4372">
            <v>23050039</v>
          </cell>
        </row>
        <row r="4374">
          <cell r="D4374">
            <v>45069</v>
          </cell>
        </row>
        <row r="4376">
          <cell r="D4376" t="str">
            <v>KO 4404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1</v>
          </cell>
          <cell r="E4380" t="str">
            <v>GUNTING KENKO SC-838N</v>
          </cell>
          <cell r="J4380">
            <v>0</v>
          </cell>
          <cell r="K4380">
            <v>1715700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1715700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170024.32432432432</v>
          </cell>
        </row>
        <row r="4404">
          <cell r="K4404">
            <v>1715700</v>
          </cell>
        </row>
        <row r="4406">
          <cell r="J4406" t="str">
            <v>NOVI / CONDRO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23050039</v>
          </cell>
        </row>
        <row r="4412">
          <cell r="D4412">
            <v>45069</v>
          </cell>
        </row>
        <row r="4414">
          <cell r="D4414" t="str">
            <v>KO 4404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1</v>
          </cell>
          <cell r="E4418" t="str">
            <v>GUNTING KENKO SC-838N</v>
          </cell>
          <cell r="J4418">
            <v>0</v>
          </cell>
          <cell r="K4418">
            <v>1715700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1715700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170024.32432432432</v>
          </cell>
        </row>
        <row r="4442">
          <cell r="K4442">
            <v>1715700</v>
          </cell>
        </row>
        <row r="4444">
          <cell r="J4444" t="str">
            <v>NOVI / CONDRO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23050040</v>
          </cell>
        </row>
        <row r="4450">
          <cell r="D4450">
            <v>45070</v>
          </cell>
        </row>
        <row r="4452">
          <cell r="D4452" t="str">
            <v>G 4332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D4456">
            <v>3</v>
          </cell>
          <cell r="E4456" t="str">
            <v>STIP / PENGHAPUS JOYKO 526-B40P PUTIH</v>
          </cell>
          <cell r="K4456">
            <v>3714375</v>
          </cell>
        </row>
        <row r="4457">
          <cell r="D4457">
            <v>1</v>
          </cell>
          <cell r="E4457" t="str">
            <v>STIP / PENGHAPUS JOYKO 526-B20 PUTIH</v>
          </cell>
          <cell r="K4457">
            <v>1491875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5206250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515934.68468468462</v>
          </cell>
        </row>
        <row r="4480">
          <cell r="K4480">
            <v>5206250</v>
          </cell>
        </row>
        <row r="4482">
          <cell r="J4482" t="str">
            <v>NOVI / CONDRO</v>
          </cell>
        </row>
        <row r="4486">
          <cell r="D4486" t="str">
            <v>AM</v>
          </cell>
          <cell r="E4486">
            <v>23050040</v>
          </cell>
        </row>
        <row r="4488">
          <cell r="D4488">
            <v>45070</v>
          </cell>
        </row>
        <row r="4490">
          <cell r="D4490" t="str">
            <v>G 4332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3</v>
          </cell>
          <cell r="E4494" t="str">
            <v>STIP / PENGHAPUS JOYKO 526-B40P PUTIH</v>
          </cell>
          <cell r="J4494">
            <v>0</v>
          </cell>
          <cell r="K4494">
            <v>3714375</v>
          </cell>
        </row>
        <row r="4495">
          <cell r="D4495">
            <v>1</v>
          </cell>
          <cell r="E4495" t="str">
            <v>STIP / PENGHAPUS JOYKO 526-B20 PUTIH</v>
          </cell>
          <cell r="J4495">
            <v>0</v>
          </cell>
          <cell r="K4495">
            <v>1491875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5206250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515934.68468468462</v>
          </cell>
        </row>
        <row r="4518">
          <cell r="K4518">
            <v>5206250</v>
          </cell>
        </row>
        <row r="4520">
          <cell r="J4520" t="str">
            <v>NOVI / CONDRO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23050040</v>
          </cell>
        </row>
        <row r="4526">
          <cell r="D4526">
            <v>45070</v>
          </cell>
        </row>
        <row r="4528">
          <cell r="D4528" t="str">
            <v>G 4332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3</v>
          </cell>
          <cell r="E4532" t="str">
            <v>STIP / PENGHAPUS JOYKO 526-B40P PUTIH</v>
          </cell>
          <cell r="J4532">
            <v>0</v>
          </cell>
          <cell r="K4532">
            <v>3714375</v>
          </cell>
        </row>
        <row r="4533">
          <cell r="D4533">
            <v>1</v>
          </cell>
          <cell r="E4533" t="str">
            <v>STIP / PENGHAPUS JOYKO 526-B20 PUTIH</v>
          </cell>
          <cell r="J4533">
            <v>0</v>
          </cell>
          <cell r="K4533">
            <v>1491875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5206250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515934.68468468462</v>
          </cell>
        </row>
        <row r="4556">
          <cell r="K4556">
            <v>5206250</v>
          </cell>
        </row>
        <row r="4558">
          <cell r="J4558" t="str">
            <v>NOVI / CONDRO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23050041</v>
          </cell>
        </row>
        <row r="4564">
          <cell r="D4564">
            <v>45073</v>
          </cell>
        </row>
        <row r="4566">
          <cell r="D4566" t="str">
            <v>KO 4503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E4570" t="str">
            <v>HIGHLIGHTER / STABILLO JOYKO HL-1/2/3/4/5 (Kn/Hj/Br/Pink/Or)</v>
          </cell>
          <cell r="K4570">
            <v>1618750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1618750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160416.66666666666</v>
          </cell>
        </row>
        <row r="4594">
          <cell r="K4594">
            <v>1618750</v>
          </cell>
        </row>
        <row r="4596">
          <cell r="J4596" t="str">
            <v>NOVI / YO</v>
          </cell>
        </row>
        <row r="4600">
          <cell r="D4600" t="str">
            <v>AM</v>
          </cell>
          <cell r="E4600">
            <v>23050041</v>
          </cell>
        </row>
        <row r="4602">
          <cell r="D4602">
            <v>45073</v>
          </cell>
        </row>
        <row r="4604">
          <cell r="D4604" t="str">
            <v>KO 4503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 t="str">
            <v>HIGHLIGHTER / STABILLO JOYKO HL-1/2/3/4/5 (Kn/Hj/Br/Pink/Or)</v>
          </cell>
          <cell r="J4608">
            <v>0</v>
          </cell>
          <cell r="K4608">
            <v>1618750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1618750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160416.66666666666</v>
          </cell>
        </row>
        <row r="4632">
          <cell r="K4632">
            <v>1618750</v>
          </cell>
        </row>
        <row r="4634">
          <cell r="J4634" t="str">
            <v>NOVI / YO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23050041</v>
          </cell>
        </row>
        <row r="4640">
          <cell r="D4640">
            <v>45073</v>
          </cell>
        </row>
        <row r="4642">
          <cell r="D4642" t="str">
            <v>KO 4503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 t="str">
            <v>HIGHLIGHTER / STABILLO JOYKO HL-1/2/3/4/5 (Kn/Hj/Br/Pink/Or)</v>
          </cell>
          <cell r="J4646">
            <v>0</v>
          </cell>
          <cell r="K4646">
            <v>1618750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1618750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160416.66666666666</v>
          </cell>
        </row>
        <row r="4670">
          <cell r="K4670">
            <v>1618750</v>
          </cell>
        </row>
        <row r="4672">
          <cell r="J4672" t="str">
            <v>NOVI / YO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23050042</v>
          </cell>
        </row>
        <row r="4678">
          <cell r="D4678">
            <v>45075</v>
          </cell>
        </row>
        <row r="4680">
          <cell r="D4680" t="str">
            <v>KO 4426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D4684">
            <v>2</v>
          </cell>
          <cell r="E4684" t="str">
            <v>LABEL HARGA JOYKO LB-3 (2 LINE KUNING FLUOR)</v>
          </cell>
          <cell r="K4684">
            <v>3719500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3719500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368599.09909909911</v>
          </cell>
        </row>
        <row r="4708">
          <cell r="K4708">
            <v>3719500</v>
          </cell>
        </row>
        <row r="4710">
          <cell r="J4710" t="str">
            <v>NOVI / CONDRO</v>
          </cell>
        </row>
        <row r="4714">
          <cell r="D4714" t="str">
            <v>AM</v>
          </cell>
          <cell r="E4714">
            <v>23050042</v>
          </cell>
        </row>
        <row r="4716">
          <cell r="D4716">
            <v>45075</v>
          </cell>
        </row>
        <row r="4718">
          <cell r="D4718" t="str">
            <v>KO 4426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2</v>
          </cell>
          <cell r="E4722" t="str">
            <v>LABEL HARGA JOYKO LB-3 (2 LINE KUNING FLUOR)</v>
          </cell>
          <cell r="J4722">
            <v>0</v>
          </cell>
          <cell r="K4722">
            <v>3719500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3719500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368599.09909909911</v>
          </cell>
        </row>
        <row r="4746">
          <cell r="K4746">
            <v>3719500</v>
          </cell>
        </row>
        <row r="4748">
          <cell r="J4748" t="str">
            <v>NOVI / CONDRO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23050042</v>
          </cell>
        </row>
        <row r="4754">
          <cell r="D4754">
            <v>45075</v>
          </cell>
        </row>
        <row r="4756">
          <cell r="D4756" t="str">
            <v>KO 4426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2</v>
          </cell>
          <cell r="E4760" t="str">
            <v>LABEL HARGA JOYKO LB-3 (2 LINE KUNING FLUOR)</v>
          </cell>
          <cell r="J4760">
            <v>0</v>
          </cell>
          <cell r="K4760">
            <v>3719500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3719500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368599.09909909911</v>
          </cell>
        </row>
        <row r="4784">
          <cell r="K4784">
            <v>3719500</v>
          </cell>
        </row>
        <row r="4786">
          <cell r="J4786" t="str">
            <v>NOVI / CONDRO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23050043</v>
          </cell>
        </row>
        <row r="4792">
          <cell r="D4792">
            <v>45076</v>
          </cell>
        </row>
        <row r="4794">
          <cell r="D4794" t="str">
            <v>G 4429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D4798">
            <v>2</v>
          </cell>
          <cell r="E4798" t="str">
            <v>STIP / PENGHAPUS JOYKO 526-B40P PUTIH</v>
          </cell>
          <cell r="K4798">
            <v>2476250</v>
          </cell>
        </row>
        <row r="4799">
          <cell r="D4799">
            <v>1</v>
          </cell>
          <cell r="E4799" t="str">
            <v>STIP / PENGHAPUS JOYKO 526-B40BL HITAM</v>
          </cell>
          <cell r="K4799">
            <v>1238125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3714375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368091.21621621621</v>
          </cell>
        </row>
        <row r="4822">
          <cell r="K4822">
            <v>3714375</v>
          </cell>
        </row>
        <row r="4824">
          <cell r="J4824" t="str">
            <v>NOVI / CONDRO</v>
          </cell>
        </row>
        <row r="4828">
          <cell r="D4828" t="str">
            <v>AM</v>
          </cell>
          <cell r="E4828">
            <v>23050043</v>
          </cell>
        </row>
        <row r="4830">
          <cell r="D4830">
            <v>45076</v>
          </cell>
        </row>
        <row r="4832">
          <cell r="D4832" t="str">
            <v>G 4429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2</v>
          </cell>
          <cell r="E4836" t="str">
            <v>STIP / PENGHAPUS JOYKO 526-B40P PUTIH</v>
          </cell>
          <cell r="J4836">
            <v>0</v>
          </cell>
          <cell r="K4836">
            <v>2476250</v>
          </cell>
        </row>
        <row r="4837">
          <cell r="D4837">
            <v>1</v>
          </cell>
          <cell r="E4837" t="str">
            <v>STIP / PENGHAPUS JOYKO 526-B40BL HITAM</v>
          </cell>
          <cell r="J4837">
            <v>0</v>
          </cell>
          <cell r="K4837">
            <v>1238125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3714375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368091.21621621621</v>
          </cell>
        </row>
        <row r="4860">
          <cell r="K4860">
            <v>3714375</v>
          </cell>
        </row>
        <row r="4862">
          <cell r="J4862" t="str">
            <v>NOVI / CONDRO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23050043</v>
          </cell>
        </row>
        <row r="4868">
          <cell r="D4868">
            <v>45076</v>
          </cell>
        </row>
        <row r="4870">
          <cell r="D4870" t="str">
            <v>G 4429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2</v>
          </cell>
          <cell r="E4874" t="str">
            <v>STIP / PENGHAPUS JOYKO 526-B40P PUTIH</v>
          </cell>
          <cell r="J4874">
            <v>0</v>
          </cell>
          <cell r="K4874">
            <v>2476250</v>
          </cell>
        </row>
        <row r="4875">
          <cell r="D4875">
            <v>1</v>
          </cell>
          <cell r="E4875" t="str">
            <v>STIP / PENGHAPUS JOYKO 526-B40BL HITAM</v>
          </cell>
          <cell r="J4875">
            <v>0</v>
          </cell>
          <cell r="K4875">
            <v>1238125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3714375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368091.21621621621</v>
          </cell>
        </row>
        <row r="4898">
          <cell r="K4898">
            <v>3714375</v>
          </cell>
        </row>
        <row r="4900">
          <cell r="J4900" t="str">
            <v>NOVI / CONDRO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23050044</v>
          </cell>
        </row>
        <row r="4906">
          <cell r="D4906">
            <v>45077</v>
          </cell>
        </row>
        <row r="4908">
          <cell r="D4908" t="str">
            <v>KO 4442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D4912">
            <v>3</v>
          </cell>
          <cell r="E4912" t="str">
            <v>PENSIL WARNA JOYKO CP-12PB (PANJANG)</v>
          </cell>
          <cell r="K4912">
            <v>3961008</v>
          </cell>
        </row>
        <row r="4913">
          <cell r="D4913">
            <v>2</v>
          </cell>
          <cell r="E4913" t="str">
            <v>PENSIL WARNA JOYKO CP-S12 MINI (PENDEK)</v>
          </cell>
          <cell r="K4913">
            <v>1669104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5630112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557939.02702702698</v>
          </cell>
        </row>
        <row r="4936">
          <cell r="K4936">
            <v>5630112</v>
          </cell>
        </row>
        <row r="4938">
          <cell r="J4938" t="str">
            <v>NOVI / CONDRO</v>
          </cell>
        </row>
        <row r="4942">
          <cell r="D4942" t="str">
            <v>AM</v>
          </cell>
          <cell r="E4942">
            <v>23050044</v>
          </cell>
        </row>
        <row r="4944">
          <cell r="D4944">
            <v>45077</v>
          </cell>
        </row>
        <row r="4946">
          <cell r="D4946" t="str">
            <v>KO 4442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3</v>
          </cell>
          <cell r="E4950" t="str">
            <v>PENSIL WARNA JOYKO CP-12PB (PANJANG)</v>
          </cell>
          <cell r="J4950">
            <v>0</v>
          </cell>
          <cell r="K4950">
            <v>3961008</v>
          </cell>
        </row>
        <row r="4951">
          <cell r="D4951">
            <v>2</v>
          </cell>
          <cell r="E4951" t="str">
            <v>PENSIL WARNA JOYKO CP-S12 MINI (PENDEK)</v>
          </cell>
          <cell r="J4951">
            <v>0</v>
          </cell>
          <cell r="K4951">
            <v>1669104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5630112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557939.02702702698</v>
          </cell>
        </row>
        <row r="4974">
          <cell r="K4974">
            <v>5630112</v>
          </cell>
        </row>
        <row r="4976">
          <cell r="J4976" t="str">
            <v>NOVI / CONDRO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23050044</v>
          </cell>
        </row>
        <row r="4982">
          <cell r="D4982">
            <v>45077</v>
          </cell>
        </row>
        <row r="4984">
          <cell r="D4984" t="str">
            <v>KO 4442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3</v>
          </cell>
          <cell r="E4988" t="str">
            <v>PENSIL WARNA JOYKO CP-12PB (PANJANG)</v>
          </cell>
          <cell r="J4988">
            <v>0</v>
          </cell>
          <cell r="K4988">
            <v>3961008</v>
          </cell>
        </row>
        <row r="4989">
          <cell r="D4989">
            <v>2</v>
          </cell>
          <cell r="E4989" t="str">
            <v>PENSIL WARNA JOYKO CP-S12 MINI (PENDEK)</v>
          </cell>
          <cell r="J4989">
            <v>0</v>
          </cell>
          <cell r="K4989">
            <v>1669104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5630112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557939.02702702698</v>
          </cell>
        </row>
        <row r="5012">
          <cell r="K5012">
            <v>5630112</v>
          </cell>
        </row>
        <row r="5014">
          <cell r="J5014" t="str">
            <v>NOVI / CONDRO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23050045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23050045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23050045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23050046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23050046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23050046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23050047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23050047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23050047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23050048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23050048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23050048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23050049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23050049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23050049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23050050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23050050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23050050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79.674188541663" createdVersion="5" refreshedVersion="5" minRefreshableVersion="3" recordCount="225">
  <cacheSource type="worksheet">
    <worksheetSource name="Table1" r:id="rId2"/>
  </cacheSource>
  <cacheFields count="31">
    <cacheField name="//" numFmtId="0">
      <sharedItems containsMixedTypes="1" containsNumber="1" containsInteger="1" minValue="4" maxValue="184" count="88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34"/>
        <n v="136"/>
        <n v="140"/>
        <n v="143"/>
        <n v="149"/>
        <n v="152"/>
        <n v="154"/>
        <n v="156"/>
        <n v="161"/>
        <n v="163"/>
        <n v="166"/>
        <n v="169"/>
        <n v="171"/>
        <n v="174"/>
        <n v="176"/>
        <n v="178"/>
        <n v="181"/>
        <n v="184"/>
        <n v="100" u="1"/>
        <n v="13" u="1"/>
        <n v="14" u="1"/>
        <n v="63" u="1"/>
        <n v="138" u="1"/>
        <n v="95" u="1"/>
        <n v="183" u="1"/>
        <n v="74" u="1"/>
        <n v="141" u="1"/>
        <n v="16" u="1"/>
        <n v="82" u="1"/>
        <n v="111" u="1"/>
        <n v="144" u="1"/>
        <n v="19" u="1"/>
        <n v="90" u="1"/>
        <n v="69" u="1"/>
        <n v="56" u="1"/>
        <n v="73" u="1"/>
        <n v="21" u="1"/>
        <n v="98" u="1"/>
        <n v="58" u="1"/>
        <n v="35" u="1"/>
        <n v="77" u="1"/>
        <n v="147" u="1"/>
        <n v="39" u="1"/>
        <n v="64" u="1"/>
        <n v="41" u="1"/>
        <n v="25" u="1"/>
        <n v="150" u="1"/>
        <n v="97" u="1"/>
        <n v="76" u="1"/>
        <n v="47" u="1"/>
        <n v="49" u="1"/>
        <n v="153" u="1"/>
        <n v="11" u="1"/>
        <n v="30" u="1"/>
        <n v="113" u="1"/>
        <n v="67" u="1"/>
        <n v="92" u="1"/>
        <n v="12" u="1"/>
        <n v="55" u="1"/>
        <n v="71" u="1"/>
      </sharedItems>
    </cacheField>
    <cacheField name="h_No. Invoice :" numFmtId="0">
      <sharedItems containsMixedTypes="1" containsNumber="1" containsInteger="1" minValue="23050001" maxValue="23050045"/>
    </cacheField>
    <cacheField name="Tgl Invoice :" numFmtId="164">
      <sharedItems containsNonDate="0" containsDate="1" containsString="0" containsBlank="1" minDate="1899-12-30T00:00:00" maxDate="2023-06-01T00:00:00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 containsMixedTypes="1" containsNumber="1" containsInteger="1" minValue="0" maxValue="0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81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5640" maxValue="24192000"/>
    </cacheField>
    <cacheField name="Total Invoice" numFmtId="43">
      <sharedItems containsMixedTypes="1" containsNumber="1" containsInteger="1" minValue="0" maxValue="59314325"/>
    </cacheField>
    <cacheField name="KETERANGAN" numFmtId="43">
      <sharedItems containsNonDate="0" containsString="0" containsBlank="1"/>
    </cacheField>
    <cacheField name="H_A1" numFmtId="43">
      <sharedItems count="120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INK TIANJIAO TZ-501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PAPER JUMBO CLIP KENKO NO. 5PAK43000"/>
        <s v="STIP / PENGHAPUS KENKO ERW-20SQ PUTIHPAK30000"/>
        <s v="STIP / PENGHAPUS KENKO ERW-40SQ PUTIHPAK27500"/>
        <s v="PENCIL CASE JOYKO PC-0719AC-36A/F (Animal Calender)PC4800"/>
        <s v="PENCIL CASE JOYKO PC-0719TV-33A/F (TRAVEL)PC4800"/>
        <s v="PENCIL CASE JOYKO PC-0719GZ-34A/F (GOZZY)PC4800"/>
        <s v="JANGKA (MATH SET) JOYKO MS-25LSN89400"/>
        <s v="JANGKA (MATH SET) JOYKO MS-55LSN89400"/>
        <s v="CORRECTION FLUID KENKO KE-107MLSN55800"/>
        <s v="LEM CAIR 35 ML KENKO LG-35LSN19800"/>
        <s v="LOOSE LEAF KENKO A5-LL 50-2070PAK4400"/>
        <s v="LOOSE LEAF KENKO A5-LL 100-2070PAK8350"/>
        <s v="GEL PEN KENKO KE-303 T-GEL TRIANGULARLSN21600"/>
        <s v="LABEL HARGA JOYKO LB-2RL (1 LINE PUTIH)PCS2050"/>
        <s v="ISI PENSIL 2B 2.0 MM JOYKO PL-11LSN37200"/>
        <s v="GEL PEN KENKO HI-TECH-H 0.28 MM HITAMLSN39000"/>
        <s v="STIP / PENGHAPUS JOYKO 526-B40P PUTIHBOX28300"/>
        <s v="STIP / PENGHAPUS JOYKO 526-B20 PUTIHBOX34100"/>
        <s v="HIGHLIGHTER / STABILLO JOYKO HL-1/2/3/4/5 (Kn/Hj/Br/Pink/Or)PCS3700"/>
        <s v="LABEL HARGA JOYKO LB-3 (2 LINE KUNING FLUOR)PCS4300"/>
        <s v="STIP / PENGHAPUS JOYKO 526-B40BL HITAMBOX28300"/>
        <s v="PENSIL WARNA JOYKO CP-12PB (PANJANG)SET10600"/>
        <s v="PENSIL WARNA JOYKO CP-S12 MINI (PENDEK)SET6700"/>
        <s v="BINDER NOTE JOYKO A5 (FANCY)PCS20700" u="1"/>
        <s v="JANGKA (COMPASS SET) KENKO C-201121000" u="1"/>
        <s v="PUSH PIN KENKO PN-30 TRANSPARAN2750" u="1"/>
        <s v="DATE STAMP KENKO D-3 (Cap Tanggal 5 Mm)6450" u="1"/>
        <s v="GEL PEN TIZO TG-501 HITAMLSN28500" u="1"/>
        <s v="BINDER CLIP JOYKO 105 PTLLSN57600" u="1"/>
        <s v="DATE STAMP KENKO D-4 (Cap Tanggal 4 Mm)6200" u="1"/>
        <s v="STAMP PLATE DATER KENKO S-68 (Cap Lunas)8300" u="1"/>
        <s v="STAMP PLATE NUMBER KENKO N-38 (Cap Nomer)7000" u="1"/>
        <s v="ISI PENSIL 2B 2.0 MM JOYKO PL-11LSN" u="1"/>
        <s v="000" u="1"/>
        <s v="CORRECTION TAPE JOYKO CT-522LSN5600" u="1"/>
        <s v="DESK SET KENKO K-8312 ORGANIZER29000" u="1"/>
        <s v="PENSIL WARNA KENKO CP-12HALF CLASSIC (PENDEK)66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5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z501"/>
    <s v="GEL INK TIANJIAO TZ-501"/>
    <s v="GEL INK TIANJIAO TZ-501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10"/>
    <n v="1584000"/>
    <n v="213840"/>
    <n v="0"/>
    <n v="213840"/>
    <n v="1370160"/>
    <n v="298362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10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10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10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10"/>
    <n v="2550000"/>
    <n v="344250"/>
    <n v="0"/>
    <n v="344250"/>
    <n v="2205750"/>
    <s v=""/>
    <m/>
    <x v="81"/>
  </r>
  <r>
    <x v="0"/>
    <s v=""/>
    <m/>
    <m/>
    <m/>
    <m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123"/>
    <n v="10"/>
    <n v="2400000"/>
    <n v="324000"/>
    <n v="0"/>
    <n v="324000"/>
    <n v="2076000"/>
    <s v=""/>
    <m/>
    <x v="82"/>
  </r>
  <r>
    <x v="0"/>
    <s v=""/>
    <m/>
    <m/>
    <m/>
    <m/>
    <s v=""/>
    <s v=" "/>
    <s v=""/>
    <n v="40"/>
    <s v="PAK"/>
    <n v="2"/>
    <s v="CLIKEN5"/>
    <s v="PAPER JUMBO CLIP KENKO NO. 5"/>
    <s v="PAPER JUMBO CLIP KENKO NO. 5"/>
    <n v="43000"/>
    <n v="0.13500000000000001"/>
    <m/>
    <n v="1487800"/>
    <m/>
    <m/>
    <n v="123"/>
    <n v="10"/>
    <n v="1720000"/>
    <n v="232200.00000000003"/>
    <n v="0"/>
    <n v="232200.00000000003"/>
    <n v="1487800"/>
    <s v=""/>
    <m/>
    <x v="83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10"/>
    <n v="1500000"/>
    <n v="202500"/>
    <n v="0"/>
    <n v="202500"/>
    <n v="1297500"/>
    <s v=""/>
    <m/>
    <x v="84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10"/>
    <n v="2750000"/>
    <n v="371250"/>
    <n v="0"/>
    <n v="371250"/>
    <n v="2378750"/>
    <s v=""/>
    <m/>
    <x v="85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10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8"/>
    <n v="23050028"/>
    <d v="2023-05-17T00:00:00"/>
    <s v="ko"/>
    <s v="4224"/>
    <s v="wisuda"/>
    <s v="AM 23050028"/>
    <s v="KO 4224"/>
    <s v="CV  WISUDA PURWOKERTO"/>
    <n v="20"/>
    <s v="PAK"/>
    <n v="1"/>
    <s v="CLIKEN5"/>
    <s v="PAPER JUMBO CLIP KENKO NO. 5"/>
    <s v="PAPER JUMBO CLIP KENKO NO. 5"/>
    <n v="43000"/>
    <n v="0.1"/>
    <m/>
    <n v="774000"/>
    <s v="NOVI / CONDRO"/>
    <m/>
    <n v="134"/>
    <n v="1"/>
    <n v="860000"/>
    <n v="86000"/>
    <n v="0"/>
    <n v="86000"/>
    <n v="774000"/>
    <n v="774000"/>
    <m/>
    <x v="8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9"/>
    <n v="23050029"/>
    <d v="2023-05-19T00:00:00"/>
    <s v="g"/>
    <s v="4235"/>
    <s v="rejoagung"/>
    <s v="AM 23050029"/>
    <s v="G 4235"/>
    <s v="LILY JULIAWATI (REJO AGUNG) JOMBANG"/>
    <n v="288"/>
    <s v="PC"/>
    <n v="1"/>
    <m/>
    <s v=""/>
    <s v="PENCIL CASE JOYKO PC-0719AC-36A/F (Animal Calender)"/>
    <n v="4800"/>
    <n v="0.125"/>
    <m/>
    <n v="1209600"/>
    <s v="LENA / YO"/>
    <m/>
    <n v="136"/>
    <n v="3"/>
    <n v="1382400"/>
    <n v="172800"/>
    <n v="0"/>
    <n v="172800"/>
    <n v="1209600"/>
    <n v="3628800"/>
    <m/>
    <x v="86"/>
  </r>
  <r>
    <x v="0"/>
    <s v=""/>
    <m/>
    <m/>
    <m/>
    <m/>
    <s v=""/>
    <s v=" "/>
    <s v=""/>
    <n v="288"/>
    <s v="PC"/>
    <n v="1"/>
    <m/>
    <s v=""/>
    <s v="PENCIL CASE JOYKO PC-0719TV-33A/F (TRAVEL)"/>
    <n v="4800"/>
    <n v="0.125"/>
    <m/>
    <n v="1209600"/>
    <m/>
    <m/>
    <n v="136"/>
    <n v="3"/>
    <n v="1382400"/>
    <n v="172800"/>
    <n v="0"/>
    <n v="172800"/>
    <n v="1209600"/>
    <s v=""/>
    <m/>
    <x v="87"/>
  </r>
  <r>
    <x v="0"/>
    <s v=""/>
    <m/>
    <m/>
    <m/>
    <m/>
    <s v=""/>
    <s v=" "/>
    <s v=""/>
    <n v="288"/>
    <s v="PC"/>
    <n v="1"/>
    <m/>
    <s v=""/>
    <s v="PENCIL CASE JOYKO PC-0719GZ-34A/F (GOZZY)"/>
    <n v="4800"/>
    <n v="0.125"/>
    <m/>
    <n v="1209600"/>
    <m/>
    <m/>
    <n v="136"/>
    <n v="3"/>
    <n v="1382400"/>
    <n v="172800"/>
    <n v="0"/>
    <n v="172800"/>
    <n v="1209600"/>
    <s v=""/>
    <m/>
    <x v="8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0"/>
    <n v="23050030"/>
    <d v="2023-05-19T00:00:00"/>
    <s v="ko"/>
    <s v="4238"/>
    <s v="anugerah"/>
    <s v="AM 23050030"/>
    <s v="KO 4238"/>
    <s v="CV PELITA JAYA (ANUGERAH SEJAHTERA) PURWOKERTO"/>
    <n v="48"/>
    <s v="LSN"/>
    <n v="2"/>
    <s v="JANJKMS25"/>
    <s v="JANGKA (MATH SET) JOYKO MS-25"/>
    <s v="JANGKA (MATH SET) JOYKO MS-25"/>
    <n v="89400"/>
    <n v="0.13500000000000001"/>
    <m/>
    <n v="3711888"/>
    <s v="NOVI / CONDRO"/>
    <m/>
    <n v="140"/>
    <n v="2"/>
    <n v="4291200"/>
    <n v="579312"/>
    <n v="0"/>
    <n v="579312"/>
    <n v="3711888"/>
    <n v="9279720"/>
    <m/>
    <x v="89"/>
  </r>
  <r>
    <x v="0"/>
    <s v=""/>
    <m/>
    <m/>
    <m/>
    <m/>
    <s v=""/>
    <s v=" "/>
    <s v=""/>
    <n v="72"/>
    <s v="LSN"/>
    <n v="3"/>
    <s v="JANJKMS55"/>
    <s v="JANGKA (MATH SET) JOYKO MS-55"/>
    <s v="JANGKA (MATH SET) JOYKO MS-55"/>
    <n v="89400"/>
    <n v="0.13500000000000001"/>
    <m/>
    <n v="5567832"/>
    <m/>
    <m/>
    <n v="140"/>
    <n v="2"/>
    <n v="6436800"/>
    <n v="868968"/>
    <n v="0"/>
    <n v="868968"/>
    <n v="5567832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1"/>
    <n v="23050031"/>
    <d v="2023-05-19T00:00:00"/>
    <s v="ko"/>
    <s v="4236"/>
    <s v="nirmala"/>
    <s v="AM 23050031"/>
    <s v="KO 4236"/>
    <s v="CV SINAR CAHAYA NIRMALA BREBES"/>
    <n v="36"/>
    <s v="LSN"/>
    <m/>
    <s v="tipkenke107"/>
    <s v="CORRECTION FLUID KENKO KE-107M"/>
    <s v="CORRECTION FLUID KENKO KE-107M"/>
    <n v="55800"/>
    <n v="0.1"/>
    <m/>
    <n v="1807920"/>
    <s v="NOVI / CONDRO"/>
    <m/>
    <n v="143"/>
    <n v="5"/>
    <n v="2008800"/>
    <n v="200880"/>
    <n v="0"/>
    <n v="200880"/>
    <n v="1807920"/>
    <n v="2536110"/>
    <m/>
    <x v="91"/>
  </r>
  <r>
    <x v="0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143"/>
    <n v="5"/>
    <n v="132000"/>
    <n v="13200"/>
    <n v="0"/>
    <n v="13200"/>
    <n v="118800"/>
    <s v=""/>
    <m/>
    <x v="79"/>
  </r>
  <r>
    <x v="0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3"/>
    <n v="5"/>
    <n v="39600"/>
    <n v="3960"/>
    <n v="0"/>
    <n v="3960"/>
    <n v="35640"/>
    <s v=""/>
    <m/>
    <x v="92"/>
  </r>
  <r>
    <x v="0"/>
    <s v=""/>
    <m/>
    <m/>
    <m/>
    <m/>
    <s v=""/>
    <s v=" "/>
    <s v=""/>
    <n v="50"/>
    <s v="PAK"/>
    <m/>
    <s v="llkena550"/>
    <s v="LOOSE LEAF KENKO A5-LL 50-2070"/>
    <s v="LOOSE LEAF KENKO A5-LL 50-2070"/>
    <n v="4400"/>
    <n v="0.1"/>
    <m/>
    <n v="198000"/>
    <m/>
    <m/>
    <n v="143"/>
    <n v="5"/>
    <n v="220000"/>
    <n v="22000"/>
    <n v="0"/>
    <n v="22000"/>
    <n v="198000"/>
    <s v=""/>
    <m/>
    <x v="93"/>
  </r>
  <r>
    <x v="0"/>
    <s v=""/>
    <m/>
    <m/>
    <m/>
    <m/>
    <s v=""/>
    <s v=" "/>
    <s v=""/>
    <n v="50"/>
    <s v="PAK"/>
    <m/>
    <s v="LLKENA5100"/>
    <s v="LOOSE LEAF KENKO A5-LL 100-2070"/>
    <s v="LOOSE LEAF KENKO A5-LL 100-2070"/>
    <n v="8350"/>
    <n v="0.1"/>
    <m/>
    <n v="375750"/>
    <m/>
    <m/>
    <n v="143"/>
    <n v="5"/>
    <n v="417500"/>
    <n v="41750"/>
    <n v="0"/>
    <n v="41750"/>
    <n v="375750"/>
    <s v=""/>
    <m/>
    <x v="9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2"/>
    <n v="23050032"/>
    <d v="2023-05-19T00:00:00"/>
    <s v="ko"/>
    <s v="4253"/>
    <s v="LANCAR"/>
    <s v="AM 23050032"/>
    <s v="KO 4253"/>
    <s v="SOEYANTO LOPULUSI ( LANCAR ) MALANG"/>
    <n v="60"/>
    <s v="LSN"/>
    <n v="1"/>
    <s v="TIPJKCT522PTL"/>
    <s v="CORRECTION TAPE JOYKO CT-522 PTL"/>
    <s v="CORRECTION TAPE JOYKO CT-522 PTL"/>
    <n v="57600"/>
    <n v="0.125"/>
    <m/>
    <n v="3024000"/>
    <s v="NOVI / CONDRO"/>
    <m/>
    <n v="149"/>
    <n v="2"/>
    <n v="3456000"/>
    <n v="432000"/>
    <n v="0"/>
    <n v="432000"/>
    <n v="3024000"/>
    <n v="4901400"/>
    <m/>
    <x v="70"/>
  </r>
  <r>
    <x v="0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49"/>
    <n v="2"/>
    <n v="2145600"/>
    <n v="268200"/>
    <n v="0"/>
    <n v="268200"/>
    <n v="1877400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3"/>
    <n v="23050033"/>
    <d v="2023-05-20T00:00:00"/>
    <s v="ko"/>
    <s v="4258"/>
    <s v="LANCAR"/>
    <s v="AM 23050033"/>
    <s v="KO 4258"/>
    <s v="SOEYANTO LOPULUSI ( LANCAR )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52"/>
    <n v="1"/>
    <n v="13824000"/>
    <n v="1728000"/>
    <n v="0"/>
    <n v="1728000"/>
    <n v="12096000"/>
    <n v="12096000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4"/>
    <n v="23050034"/>
    <d v="2023-05-22T00:00:00"/>
    <s v="g"/>
    <s v="4036"/>
    <s v="UTAMA"/>
    <s v="AM 23050034"/>
    <s v="G 403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154"/>
    <n v="1"/>
    <n v="6220800"/>
    <n v="777600"/>
    <n v="0"/>
    <n v="777600"/>
    <n v="5443200"/>
    <n v="5443200"/>
    <m/>
    <x v="9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5"/>
    <n v="23050035"/>
    <d v="2023-05-23T00:00:00"/>
    <s v="ko"/>
    <s v="4263"/>
    <s v="LANCAR"/>
    <s v="AM 23050035"/>
    <s v="KO 4263"/>
    <s v="SOEYANTO LOPULUSI ( LANCAR ) MALANG"/>
    <n v="576"/>
    <s v="PCS"/>
    <n v="2"/>
    <s v="GUNJKSC828"/>
    <s v="GUNTING JOYKO SC-828"/>
    <s v="GUNTING JOYKO SC-828"/>
    <n v="4350"/>
    <n v="0.125"/>
    <m/>
    <n v="2192400"/>
    <s v="NOVI / CONDRO"/>
    <m/>
    <n v="156"/>
    <n v="4"/>
    <n v="2505600"/>
    <n v="313200"/>
    <n v="0"/>
    <n v="313200"/>
    <n v="2192400"/>
    <n v="11399500"/>
    <m/>
    <x v="67"/>
  </r>
  <r>
    <x v="0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156"/>
    <n v="4"/>
    <n v="3744000"/>
    <n v="468000"/>
    <n v="0"/>
    <n v="468000"/>
    <n v="3276000"/>
    <s v=""/>
    <m/>
    <x v="68"/>
  </r>
  <r>
    <x v="0"/>
    <s v=""/>
    <m/>
    <m/>
    <m/>
    <m/>
    <s v=""/>
    <s v=" "/>
    <s v=""/>
    <n v="2000"/>
    <s v="PCS"/>
    <n v="2"/>
    <s v="LABJK1LINEPUTIH"/>
    <s v="LABEL HARGA JOYKO LB-2RL (1 LINE PUTIH)"/>
    <s v="LABEL HARGA JOYKO LB-2RL (1 LINE PUTIH)"/>
    <n v="2050"/>
    <n v="0.125"/>
    <m/>
    <n v="3587500"/>
    <m/>
    <m/>
    <n v="156"/>
    <n v="4"/>
    <n v="4100000"/>
    <n v="512500"/>
    <n v="0"/>
    <n v="512500"/>
    <n v="3587500"/>
    <s v=""/>
    <m/>
    <x v="96"/>
  </r>
  <r>
    <x v="0"/>
    <s v=""/>
    <m/>
    <m/>
    <m/>
    <m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156"/>
    <n v="4"/>
    <n v="2678400"/>
    <n v="334800"/>
    <n v="0"/>
    <n v="334800"/>
    <n v="2343600"/>
    <s v=""/>
    <m/>
    <x v="9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6"/>
    <n v="23050036"/>
    <d v="2023-05-23T00:00:00"/>
    <s v="ko"/>
    <s v="4401"/>
    <s v="anugerah"/>
    <s v="AM 23050036"/>
    <s v="KO 4401"/>
    <s v="CV PELITA JAYA (ANUGERAH SEJAHTERA) PURWOKERTO"/>
    <n v="48"/>
    <s v="LSN"/>
    <n v="2"/>
    <s v="JANJKMS55"/>
    <s v="JANGKA (MATH SET) JOYKO MS-55"/>
    <s v="JANGKA (MATH SET) JOYKO MS-55"/>
    <n v="89400"/>
    <n v="0.13500000000000001"/>
    <m/>
    <n v="3711888"/>
    <s v="NOVI / CONDRO"/>
    <m/>
    <n v="161"/>
    <n v="1"/>
    <n v="4291200"/>
    <n v="579312"/>
    <n v="0"/>
    <n v="579312"/>
    <n v="3711888"/>
    <n v="3711888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7"/>
    <n v="23050037"/>
    <d v="2023-05-23T00:00:00"/>
    <s v="ko"/>
    <s v="1273"/>
    <s v="LANCAR"/>
    <s v="AM 23050037"/>
    <s v="KO 1273"/>
    <s v="SOEYANTO LOPULUSI ( LANCAR ) MALANG"/>
    <n v="288"/>
    <s v="LSN"/>
    <n v="2"/>
    <s v="PENKENHITECH028HITAM"/>
    <s v="GEL PEN KENKO HI-TECH-H 0.28 MM HITAM"/>
    <s v="GEL PEN KENKO HI-TECH-H 0.28 MM HITAM"/>
    <n v="39000"/>
    <n v="0.125"/>
    <m/>
    <n v="9828000"/>
    <s v="NOVI / CONDRO"/>
    <m/>
    <n v="163"/>
    <n v="2"/>
    <n v="11232000"/>
    <n v="1404000"/>
    <n v="0"/>
    <n v="1404000"/>
    <n v="9828000"/>
    <n v="24948000"/>
    <m/>
    <x v="98"/>
  </r>
  <r>
    <x v="0"/>
    <s v=""/>
    <m/>
    <m/>
    <m/>
    <m/>
    <s v=""/>
    <s v=" "/>
    <s v=""/>
    <n v="300"/>
    <s v="LSN"/>
    <n v="5"/>
    <s v="TIPJKCT522"/>
    <s v="CORRECTION TAPE JOYKO CT-522"/>
    <s v="CORRECTION TAPE JOYKO CT-522"/>
    <n v="57600"/>
    <n v="0.125"/>
    <m/>
    <n v="15120000"/>
    <m/>
    <m/>
    <n v="163"/>
    <n v="2"/>
    <n v="17280000"/>
    <n v="2160000"/>
    <n v="0"/>
    <n v="2160000"/>
    <n v="15120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8"/>
    <n v="23050038"/>
    <d v="2023-05-23T00:00:00"/>
    <s v="ko"/>
    <s v="4403"/>
    <s v="anugerah"/>
    <s v="AM 23050038"/>
    <s v="KO 4403"/>
    <s v="CV PELITA JAYA (ANUGERAH SEJAHTERA) PURWOKERTO"/>
    <n v="20"/>
    <s v="PAK"/>
    <n v="1"/>
    <s v="CLIKEN5"/>
    <s v="PAPER JUMBO CLIP KENKO NO. 5"/>
    <s v="PAPER JUMBO CLIP KENKO NO. 5"/>
    <n v="43000"/>
    <n v="0.13500000000000001"/>
    <m/>
    <n v="743900"/>
    <s v="NOVI / CONDRO"/>
    <m/>
    <n v="166"/>
    <n v="2"/>
    <n v="860000"/>
    <n v="116100.00000000001"/>
    <n v="0"/>
    <n v="116100.00000000001"/>
    <n v="743900"/>
    <n v="2223050"/>
    <m/>
    <x v="83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166"/>
    <n v="2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9"/>
    <n v="23050039"/>
    <d v="2023-05-23T00:00:00"/>
    <s v="ko"/>
    <s v="4404"/>
    <s v="bendan"/>
    <s v="AM 23050039"/>
    <s v="KO 4404"/>
    <s v="HARNOYO (BENDAN) PEKALONGAN"/>
    <n v="25"/>
    <s v="LSN"/>
    <n v="1"/>
    <s v="GUNKENSC838N"/>
    <s v="GUNTING KENKO SC-838N"/>
    <s v="GUNTING KENKO SC-838N"/>
    <n v="79800"/>
    <n v="0.14000000000000001"/>
    <m/>
    <n v="1715700"/>
    <s v="NOVI / CONDRO"/>
    <m/>
    <n v="169"/>
    <n v="1"/>
    <n v="1995000"/>
    <n v="279300"/>
    <n v="0"/>
    <n v="279300"/>
    <n v="1715700"/>
    <n v="1715700"/>
    <m/>
    <x v="2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0"/>
    <n v="23050040"/>
    <d v="2023-05-24T00:00:00"/>
    <s v="g"/>
    <s v="4332"/>
    <s v="rejoagung"/>
    <s v="AM 23050040"/>
    <s v="G 4332"/>
    <s v="LILY JULIAWATI (REJO AGUNG) JOMBANG"/>
    <n v="150"/>
    <s v="BOX"/>
    <n v="3"/>
    <s v="STIJK40PUTIH"/>
    <s v="STIP / PENGHAPUS JOYKO 526-B40P PUTIH"/>
    <s v="STIP / PENGHAPUS JOYKO 526-B40P PUTIH"/>
    <n v="28300"/>
    <n v="0.125"/>
    <m/>
    <n v="3714375"/>
    <s v="NOVI / CONDRO"/>
    <m/>
    <n v="171"/>
    <n v="2"/>
    <n v="4245000"/>
    <n v="530625"/>
    <n v="0"/>
    <n v="530625"/>
    <n v="3714375"/>
    <n v="5206250"/>
    <m/>
    <x v="99"/>
  </r>
  <r>
    <x v="0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25"/>
    <m/>
    <n v="1491875"/>
    <m/>
    <m/>
    <n v="171"/>
    <n v="2"/>
    <n v="1705000"/>
    <n v="213125"/>
    <n v="0"/>
    <n v="213125"/>
    <n v="1491875"/>
    <s v=""/>
    <m/>
    <x v="10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1"/>
    <n v="23050041"/>
    <d v="2023-05-27T00:00:00"/>
    <s v="ko"/>
    <s v="4503"/>
    <s v="PRIMA"/>
    <s v="AM 23050041"/>
    <s v="KO 4503"/>
    <s v="SETIAWAN BUDIONO ( PRIMA ) PEKALONGAN"/>
    <n v="500"/>
    <s v="PCS"/>
    <m/>
    <m/>
    <s v=""/>
    <s v="HIGHLIGHTER / STABILLO JOYKO HL-1/2/3/4/5 (Kn/Hj/Br/Pink/Or)"/>
    <n v="3700"/>
    <n v="0.125"/>
    <m/>
    <n v="1618750"/>
    <s v="NOVI / YO"/>
    <m/>
    <n v="174"/>
    <n v="1"/>
    <n v="1850000"/>
    <n v="231250"/>
    <n v="0"/>
    <n v="231250"/>
    <n v="1618750"/>
    <n v="1618750"/>
    <m/>
    <x v="10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2"/>
    <n v="23050042"/>
    <d v="2023-05-29T00:00:00"/>
    <s v="ko"/>
    <s v="4426"/>
    <s v="anugerah"/>
    <s v="AM 23050042"/>
    <s v="KO 4426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176"/>
    <n v="1"/>
    <n v="4300000"/>
    <n v="580500"/>
    <n v="0"/>
    <n v="580500"/>
    <n v="3719500"/>
    <n v="3719500"/>
    <m/>
    <x v="10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3"/>
    <n v="23050043"/>
    <d v="2023-05-30T00:00:00"/>
    <s v="g"/>
    <s v="4429"/>
    <s v="rejoagung"/>
    <s v="AM 23050043"/>
    <s v="G 4429"/>
    <s v="LILY JULIAWATI (REJO AGUNG) JOMBANG"/>
    <n v="100"/>
    <s v="BOX"/>
    <n v="2"/>
    <s v="STIJK40PUTIH"/>
    <s v="STIP / PENGHAPUS JOYKO 526-B40P PUTIH"/>
    <s v="STIP / PENGHAPUS JOYKO 526-B40P PUTIH"/>
    <n v="28300"/>
    <n v="0.125"/>
    <m/>
    <n v="2476250"/>
    <s v="NOVI / CONDRO"/>
    <m/>
    <n v="178"/>
    <n v="2"/>
    <n v="2830000"/>
    <n v="353750"/>
    <n v="0"/>
    <n v="353750"/>
    <n v="2476250"/>
    <n v="3714375"/>
    <m/>
    <x v="99"/>
  </r>
  <r>
    <x v="0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178"/>
    <n v="2"/>
    <n v="1415000"/>
    <n v="176875"/>
    <n v="0"/>
    <n v="176875"/>
    <n v="1238125"/>
    <s v=""/>
    <m/>
    <x v="10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4"/>
    <n v="23050044"/>
    <d v="2023-05-31T00:00:00"/>
    <s v="ko"/>
    <s v="4442"/>
    <s v="anugerah"/>
    <s v="AM 23050044"/>
    <s v="KO 4442"/>
    <s v="CV PELITA JAYA (ANUGERAH SEJAHTERA) PURWOKERTO"/>
    <n v="432"/>
    <s v="SET"/>
    <n v="3"/>
    <s v="PWJK12WPANJANG"/>
    <s v="PENSIL WARNA JOYKO CP-12PB (PANJANG)"/>
    <s v="PENSIL WARNA JOYKO CP-12PB (PANJANG)"/>
    <n v="10600"/>
    <n v="0.13500000000000001"/>
    <m/>
    <n v="3961008"/>
    <s v="NOVI / CONDRO"/>
    <m/>
    <n v="181"/>
    <n v="2"/>
    <n v="4579200"/>
    <n v="618192"/>
    <n v="0"/>
    <n v="618192"/>
    <n v="3961008"/>
    <n v="5630112"/>
    <m/>
    <x v="104"/>
  </r>
  <r>
    <x v="0"/>
    <s v=""/>
    <m/>
    <m/>
    <m/>
    <m/>
    <s v=""/>
    <s v=" "/>
    <s v=""/>
    <n v="288"/>
    <s v="SET"/>
    <n v="2"/>
    <s v="PWJK12WPENDEK"/>
    <s v="PENSIL WARNA JOYKO CP-S12 MINI (PENDEK)"/>
    <s v="PENSIL WARNA JOYKO CP-S12 MINI (PENDEK)"/>
    <n v="6700"/>
    <n v="0.13500000000000001"/>
    <m/>
    <n v="1669104"/>
    <m/>
    <m/>
    <n v="181"/>
    <n v="2"/>
    <n v="1929600"/>
    <n v="260496.00000000003"/>
    <n v="0"/>
    <n v="260496.00000000003"/>
    <n v="1669104"/>
    <s v=""/>
    <m/>
    <x v="10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5"/>
    <n v="23050045"/>
    <d v="1899-12-30T00:00:00"/>
    <n v="0"/>
    <s v="0"/>
    <n v="0"/>
    <s v="AM 23050045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9" firstHeaderRow="1" firstDataRow="1" firstDataCol="1"/>
  <pivotFields count="31">
    <pivotField axis="axisRow" showAll="0" sortType="ascending">
      <items count="89">
        <item x="1"/>
        <item x="2"/>
        <item x="3"/>
        <item m="1" x="80"/>
        <item m="1" x="85"/>
        <item m="1" x="47"/>
        <item m="1" x="48"/>
        <item x="4"/>
        <item m="1" x="55"/>
        <item x="5"/>
        <item m="1" x="59"/>
        <item m="1" x="64"/>
        <item x="6"/>
        <item m="1" x="73"/>
        <item x="7"/>
        <item m="1" x="81"/>
        <item m="1" x="67"/>
        <item m="1" x="70"/>
        <item m="1" x="72"/>
        <item x="8"/>
        <item x="9"/>
        <item m="1" x="77"/>
        <item m="1" x="78"/>
        <item x="10"/>
        <item x="11"/>
        <item m="1" x="86"/>
        <item m="1" x="62"/>
        <item x="12"/>
        <item m="1" x="66"/>
        <item x="13"/>
        <item x="14"/>
        <item m="1" x="49"/>
        <item m="1" x="71"/>
        <item x="15"/>
        <item m="1" x="83"/>
        <item x="16"/>
        <item m="1" x="61"/>
        <item m="1" x="87"/>
        <item m="1" x="63"/>
        <item m="1" x="53"/>
        <item m="1" x="76"/>
        <item m="1" x="68"/>
        <item x="17"/>
        <item x="18"/>
        <item m="1" x="56"/>
        <item x="19"/>
        <item m="1" x="60"/>
        <item m="1" x="84"/>
        <item m="1" x="51"/>
        <item m="1" x="75"/>
        <item m="1" x="65"/>
        <item x="20"/>
        <item m="1" x="46"/>
        <item x="21"/>
        <item x="22"/>
        <item x="23"/>
        <item m="1" x="57"/>
        <item x="24"/>
        <item m="1" x="82"/>
        <item x="25"/>
        <item x="26"/>
        <item x="27"/>
        <item x="28"/>
        <item x="29"/>
        <item m="1" x="50"/>
        <item x="30"/>
        <item m="1" x="54"/>
        <item x="31"/>
        <item m="1" x="58"/>
        <item m="1" x="69"/>
        <item x="32"/>
        <item m="1" x="74"/>
        <item x="33"/>
        <item m="1" x="79"/>
        <item x="34"/>
        <item x="35"/>
        <item x="36"/>
        <item x="37"/>
        <item x="38"/>
        <item x="39"/>
        <item x="40"/>
        <item x="41"/>
        <item x="42"/>
        <item x="43"/>
        <item x="44"/>
        <item m="1" x="52"/>
        <item x="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>
      <x v="63"/>
    </i>
    <i>
      <x v="65"/>
    </i>
    <i>
      <x v="67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6"/>
    </i>
    <i>
      <x v="87"/>
    </i>
    <i t="grand">
      <x/>
    </i>
  </rowItems>
  <colItems count="1">
    <i/>
  </colItems>
  <formats count="1">
    <format dxfId="75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8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20">
        <item x="0"/>
        <item m="1" x="116"/>
        <item x="29"/>
        <item m="1" x="111"/>
        <item x="4"/>
        <item x="5"/>
        <item x="6"/>
        <item x="34"/>
        <item x="57"/>
        <item x="58"/>
        <item m="1" x="106"/>
        <item x="59"/>
        <item x="27"/>
        <item x="26"/>
        <item x="60"/>
        <item x="62"/>
        <item x="61"/>
        <item x="72"/>
        <item x="14"/>
        <item x="52"/>
        <item x="91"/>
        <item x="39"/>
        <item x="23"/>
        <item x="25"/>
        <item x="1"/>
        <item x="70"/>
        <item m="1" x="117"/>
        <item x="66"/>
        <item x="36"/>
        <item x="35"/>
        <item x="11"/>
        <item x="12"/>
        <item x="13"/>
        <item x="74"/>
        <item x="2"/>
        <item x="38"/>
        <item x="28"/>
        <item m="1" x="109"/>
        <item x="50"/>
        <item m="1" x="112"/>
        <item x="48"/>
        <item m="1" x="118"/>
        <item x="45"/>
        <item x="20"/>
        <item x="55"/>
        <item x="22"/>
        <item x="33"/>
        <item x="53"/>
        <item x="10"/>
        <item x="18"/>
        <item x="9"/>
        <item x="98"/>
        <item x="15"/>
        <item x="95"/>
        <item m="1" x="110"/>
        <item x="67"/>
        <item x="68"/>
        <item x="69"/>
        <item x="24"/>
        <item x="101"/>
        <item x="30"/>
        <item x="19"/>
        <item x="3"/>
        <item x="16"/>
        <item m="1" x="115"/>
        <item x="97"/>
        <item m="1" x="107"/>
        <item x="43"/>
        <item x="89"/>
        <item x="90"/>
        <item x="41"/>
        <item x="40"/>
        <item x="96"/>
        <item x="102"/>
        <item x="7"/>
        <item x="92"/>
        <item x="80"/>
        <item x="79"/>
        <item x="94"/>
        <item x="93"/>
        <item x="78"/>
        <item x="83"/>
        <item x="81"/>
        <item x="82"/>
        <item x="32"/>
        <item x="31"/>
        <item x="86"/>
        <item x="88"/>
        <item x="56"/>
        <item x="87"/>
        <item x="71"/>
        <item x="65"/>
        <item x="73"/>
        <item x="104"/>
        <item x="105"/>
        <item x="21"/>
        <item m="1" x="119"/>
        <item x="75"/>
        <item x="44"/>
        <item x="8"/>
        <item x="17"/>
        <item m="1" x="108"/>
        <item x="77"/>
        <item x="46"/>
        <item m="1" x="113"/>
        <item x="49"/>
        <item m="1" x="114"/>
        <item x="47"/>
        <item x="42"/>
        <item x="64"/>
        <item x="100"/>
        <item x="51"/>
        <item x="103"/>
        <item x="63"/>
        <item x="99"/>
        <item x="54"/>
        <item x="37"/>
        <item x="76"/>
        <item x="84"/>
        <item x="85"/>
      </items>
    </pivotField>
  </pivotFields>
  <rowFields count="1">
    <field x="30"/>
  </rowFields>
  <rowItems count="107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2"/>
    </i>
    <i>
      <x v="103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8" totalsRowCount="1" headerRowDxfId="108" dataDxfId="107">
  <autoFilter ref="A2:AE227"/>
  <tableColumns count="31">
    <tableColumn id="16" name="//" dataDxfId="106" totalsRowDxfId="32">
      <calculatedColumnFormula>IF(Table1[[#This Row],[No. Invoice :]]="","",ROW())</calculatedColumnFormula>
    </tableColumn>
    <tableColumn id="18" name="h_No. Invoice :" dataDxfId="105" totalsRowDxfId="31">
      <calculatedColumnFormula>IF(Table1[h_Kode Sales :_1]="","",B$1+COUNT(B$2:B2))</calculatedColumnFormula>
    </tableColumn>
    <tableColumn id="2" name="Tgl Invoice :" dataDxfId="104" totalsRowDxfId="30"/>
    <tableColumn id="17" name="h_Kode Sales :_1" dataDxfId="103" totalsRowDxfId="29"/>
    <tableColumn id="19" name="h_Kode Sales :_2" dataDxfId="102" totalsRowDxfId="28"/>
    <tableColumn id="20" name="h_toko" dataDxfId="101" totalsRowDxfId="27"/>
    <tableColumn id="1" name="No. Invoice :" dataDxfId="100" totalsRowDxfId="26">
      <calculatedColumnFormula>IF(Table1[[#This Row],[h_No. Invoice :]]="","",CONCATENATE("AM"," ",Table1[[#This Row],[h_No. Invoice :]]))</calculatedColumnFormula>
    </tableColumn>
    <tableColumn id="3" name="Kode Sales :" dataDxfId="99" totalsRowDxfId="25">
      <calculatedColumnFormula>CONCATENATE(UPPER(Table1[[#This Row],[h_Kode Sales :_1]])," ",Table1[[#This Row],[h_Kode Sales :_2]])</calculatedColumnFormula>
    </tableColumn>
    <tableColumn id="4" name="Toko" dataDxfId="98" totalsRowDxfId="24">
      <calculatedColumnFormula>IF(Table1[[#This Row],[h_toko]]="","",INDEX(Table2[e],IF(Table1[[#This Row],[h_toko]]="","",MATCH(Table1[[#This Row],[h_toko]],Table2[a],0)),))</calculatedColumnFormula>
    </tableColumn>
    <tableColumn id="5" name="Qty" dataDxfId="97" totalsRowDxfId="23"/>
    <tableColumn id="6" name="Unit" dataDxfId="96" totalsRowDxfId="22"/>
    <tableColumn id="7" name="C" dataDxfId="95" totalsRowDxfId="21"/>
    <tableColumn id="8" name="h_Item Description" dataDxfId="94" totalsRowDxfId="20"/>
    <tableColumn id="10" name="Column1" dataDxfId="93" totalsRowDxfId="19">
      <calculatedColumnFormula>IF(Table1[[#This Row],[h_Item Description]]="","",INDEX([1]!db[NB PAJAK],MATCH(Table1[[#This Row],[h_Item Description]],[1]!db[kode],0)))</calculatedColumnFormula>
    </tableColumn>
    <tableColumn id="9" name="Item Description" dataDxfId="92" totalsRowDxfId="18"/>
    <tableColumn id="11" name="Unit Price" dataDxfId="91" totalsRowDxfId="17"/>
    <tableColumn id="12" name="Disc 1" dataDxfId="90" totalsRowDxfId="16"/>
    <tableColumn id="13" name="Disc 2" dataDxfId="89" totalsRowDxfId="15"/>
    <tableColumn id="23" name="Amount" dataDxfId="88" totalsRowDxfId="14">
      <calculatedColumnFormula>Table1[[#This Row],[h_hargasetelahdiskon]]</calculatedColumnFormula>
    </tableColumn>
    <tableColumn id="14" name="pembuat nota :" dataDxfId="87" totalsRowDxfId="13"/>
    <tableColumn id="15" name="edited :" dataDxfId="86" totalsRowDxfId="12"/>
    <tableColumn id="21" name="h_id" dataDxfId="85" totalsRowDxfId="1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4" totalsRowDxfId="10">
      <calculatedColumnFormula>IF(Table1[[#This Row],[h_id]]="","",COUNTIF(Table1[h_id],Table1[[#This Row],[h_id]]))</calculatedColumnFormula>
    </tableColumn>
    <tableColumn id="24" name="h_hargasebelumdiskon" dataDxfId="83" totalsRowDxfId="9">
      <calculatedColumnFormula>IF(Table1[Item Description]="","",Table1[[#This Row],[Qty]]*Table1[[#This Row],[Unit Price]])</calculatedColumnFormula>
    </tableColumn>
    <tableColumn id="31" name="h_disc 1" dataDxfId="82" totalsRowDxfId="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1" totalsRowDxfId="7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0" totalsRowDxfId="6">
      <calculatedColumnFormula>IF(Table1[Item Description]="","",Table1[[#This Row],[h_disc 1]]+Table1[[#This Row],[h_disc 2]])</calculatedColumnFormula>
    </tableColumn>
    <tableColumn id="26" name="h_hargasetelahdiskon" dataDxfId="79" totalsRowDxfId="5">
      <calculatedColumnFormula>IF(Table1[Item Description]="","",Table1[[#This Row],[h_hargasebelumdiskon]]-Table1[[#This Row],[h_diskon]])</calculatedColumnFormula>
    </tableColumn>
    <tableColumn id="27" name="Total Invoice" dataDxfId="78" totalsRowDxfId="4">
      <calculatedColumnFormula>IF(Table1[//]="","",SUMIF(Table1[h_id],Table1[h_id],Table1[h_hargasetelahdiskon]))</calculatedColumnFormula>
    </tableColumn>
    <tableColumn id="28" name="KETERANGAN" dataDxfId="77" totalsRowDxfId="3"/>
    <tableColumn id="29" name="H_A1" dataDxfId="76" totalsRowDxfId="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4">
  <autoFilter ref="C2:N55"/>
  <tableColumns count="12">
    <tableColumn id="1" name="//" totalsRowLabel="Total" dataDxfId="73">
      <calculatedColumnFormula>IF(ROW()-2&lt;=jNota,A3,"")</calculatedColumnFormula>
    </tableColumn>
    <tableColumn id="2" name="No. Invoice :" dataDxfId="72">
      <calculatedColumnFormula>IF(pajak[[#This Row],[//]]="","",INDEX(Table1[No. Invoice :],pajak[//]-offset))</calculatedColumnFormula>
    </tableColumn>
    <tableColumn id="3" name="Tgl Invoice :" dataDxfId="71">
      <calculatedColumnFormula>IF(pajak[[#This Row],[//]]="","",INDEX(Table1[Tgl Invoice :],pajak[//]-offset))</calculatedColumnFormula>
    </tableColumn>
    <tableColumn id="4" name="Kode Sales :" dataDxfId="70">
      <calculatedColumnFormula>IF(pajak[[#This Row],[//]]="","",INDEX(Table1[Kode Sales :],pajak[//]-offset))</calculatedColumnFormula>
    </tableColumn>
    <tableColumn id="5" name="Toko" dataDxfId="69">
      <calculatedColumnFormula>IF(pajak[[#This Row],[//]]="","",INDEX(Table1[Toko],pajak[//]-offset))</calculatedColumnFormula>
    </tableColumn>
    <tableColumn id="6" name="Total" totalsRowFunction="sum" dataDxfId="68" totalsRowDxfId="67">
      <calculatedColumnFormula>IF(pajak[[#This Row],[//]]="","",SUMIF(Table1[h_id],pajak[[#This Row],[//]],Table1[h_hargasebelumdiskon]))</calculatedColumnFormula>
    </tableColumn>
    <tableColumn id="7" name="Diskon" totalsRowFunction="sum" dataDxfId="66" totalsRowDxfId="65">
      <calculatedColumnFormula>IF(pajak[[#This Row],[//]]="","",SUMIF(Table1[h_id],pajak[[#This Row],[//]],Table1[h_diskon]))</calculatedColumnFormula>
    </tableColumn>
    <tableColumn id="8" name="Sub Total" totalsRowFunction="sum" dataDxfId="64" totalsRowDxfId="63">
      <calculatedColumnFormula>IF(pajak[[#This Row],[//]]="","",SUMIF(Table1[h_id],pajak[[#This Row],[//]],Table1[h_hargasetelahdiskon]))</calculatedColumnFormula>
    </tableColumn>
    <tableColumn id="9" name="PPN 11%" totalsRowFunction="sum" dataDxfId="62" totalsRowDxfId="61">
      <calculatedColumnFormula>IF(pajak[//]="","",pajak[[#This Row],[Sub Total]]/1.11*11%)</calculatedColumnFormula>
    </tableColumn>
    <tableColumn id="10" name="Total Invoice" totalsRowFunction="sum" dataDxfId="60" totalsRowDxfId="59">
      <calculatedColumnFormula>pajak[[#This Row],[Sub Total]]</calculatedColumnFormula>
    </tableColumn>
    <tableColumn id="14" name="pembuat nota" dataDxfId="58">
      <calculatedColumnFormula>IF(pajak[[#This Row],[//]]="","",INDEX(Table1[pembuat nota :],pajak[//]-offset))</calculatedColumnFormula>
    </tableColumn>
    <tableColumn id="15" name="edited" dataDxfId="5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6">
  <autoFilter ref="P2:U55"/>
  <tableColumns count="6">
    <tableColumn id="1" name="cek_ppn" dataDxfId="55">
      <calculatedColumnFormula>IF(pajak[[#This Row],[Kode Sales :]]="","",MATCH(pajak[[#This Row],[Kode Sales :]],[3]Invoice!$D:$D,0))</calculatedColumnFormula>
    </tableColumn>
    <tableColumn id="7" name="NO INVOICE" dataDxfId="54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3">
      <calculatedColumnFormula>IF((INDEX([3]Invoice!$D:$D,Table4[[#This Row],[cek_ppn]]-2))=pajak[[#This Row],[Tgl Invoice :]],1)</calculatedColumnFormula>
    </tableColumn>
    <tableColumn id="5" name="KODE SALES" dataDxfId="52">
      <calculatedColumnFormula>IF((INDEX([3]Invoice!$D:$D,Table4[[#This Row],[cek_ppn]]))=pajak[[#This Row],[Kode Sales :]],1)</calculatedColumnFormula>
    </tableColumn>
    <tableColumn id="4" name="TOTAL INVOICE" dataDxfId="51">
      <calculatedColumnFormula>IF((INDEX([3]Invoice!$K:$K,Table4[[#This Row],[cek_ppn]]+28))=pajak[[#This Row],[Total Invoice]],1)</calculatedColumnFormula>
    </tableColumn>
    <tableColumn id="3" name="PEMBUAT NOTA" dataDxfId="50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9">
      <calculatedColumnFormula>MATCH(A2,Table1[H_A1],0)</calculatedColumnFormula>
    </tableColumn>
    <tableColumn id="7" name="//DB" dataDxfId="48">
      <calculatedColumnFormula>MATCH(Table5[[#This Row],[NAMA]],[1]!db[NB PAJAK],0)</calculatedColumnFormula>
    </tableColumn>
    <tableColumn id="2" name="NAMA" dataDxfId="47">
      <calculatedColumnFormula>INDEX(Table1[Item Description],Table5[[#This Row],[//NOTA]])</calculatedColumnFormula>
    </tableColumn>
    <tableColumn id="3" name="QTY" dataDxfId="46">
      <calculatedColumnFormula>SUMIF(Table1[H_A1],Sheet5!A2,Table1[Qty])</calculatedColumnFormula>
    </tableColumn>
    <tableColumn id="4" name="UNIT" dataDxfId="45">
      <calculatedColumnFormula>INDEX(Table1[Unit],Table5[[#This Row],[//NOTA]])</calculatedColumnFormula>
    </tableColumn>
    <tableColumn id="5" name="C" dataDxfId="44">
      <calculatedColumnFormula>SUMIF(Table1[H_A1],Sheet5!A2,Table1[C])</calculatedColumnFormula>
    </tableColumn>
    <tableColumn id="6" name="Unit Price" dataDxfId="43">
      <calculatedColumnFormula>INDEX(Table1[Unit Price],Table5[[#This Row],[//NOTA]])</calculatedColumnFormula>
    </tableColumn>
    <tableColumn id="8" name="a1" dataDxfId="42">
      <calculatedColumnFormula>IF(Table5[[#This Row],[a2]]="","",Table5[[#This Row],[QTY]]*12)</calculatedColumnFormula>
    </tableColumn>
    <tableColumn id="9" name="a2" dataDxfId="41">
      <calculatedColumnFormula>IF(Table5[[#This Row],[UNIT]]="grs","LSN",IF(Table5[[#This Row],[UNIT]]="LSN","PCS",""))</calculatedColumnFormula>
    </tableColumn>
    <tableColumn id="10" name="b1" dataDxfId="40">
      <calculatedColumnFormula>IF(Table5[[#This Row],[a2]]="LSN",Table5[[#This Row],[a1]]*12,"")</calculatedColumnFormula>
    </tableColumn>
    <tableColumn id="11" name="b2" dataDxfId="39">
      <calculatedColumnFormula>IF(Table5[[#This Row],[b1]]="","","PCS")</calculatedColumnFormula>
    </tableColumn>
    <tableColumn id="12" name="c1" dataDxfId="38"/>
    <tableColumn id="13" name="c2" dataDxfId="3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6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8"/>
  <sheetViews>
    <sheetView tabSelected="1" topLeftCell="J149" zoomScale="85" zoomScaleNormal="85" workbookViewId="0">
      <selection activeCell="O180" sqref="O180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359</v>
      </c>
      <c r="F9" s="92" t="s">
        <v>360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228</v>
      </c>
      <c r="L9" s="92">
        <v>1</v>
      </c>
      <c r="M9" s="92" t="s">
        <v>361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365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228</v>
      </c>
      <c r="L10" s="92">
        <v>1</v>
      </c>
      <c r="M10" s="92" t="s">
        <v>229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232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228</v>
      </c>
      <c r="L11" s="92">
        <v>1</v>
      </c>
      <c r="M11" s="92" t="s">
        <v>362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366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191</v>
      </c>
      <c r="M12" s="92" t="s">
        <v>363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367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364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368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:_1]="","",B$1+COUNT(B$2:B9))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196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200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201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463</v>
      </c>
      <c r="N29" s="95" t="str">
        <f>IF(Table1[[#This Row],[h_Item Description]]="","",INDEX([1]!db[NB PAJAK],MATCH(Table1[[#This Row],[h_Item Description]],[1]!db[kode],0)))</f>
        <v>GEL INK TIANJIAO TZ-501</v>
      </c>
      <c r="O29" s="92" t="s">
        <v>462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INK TIANJIAO TZ-501LSN28500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184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202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197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203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185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204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186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205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187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206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188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207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189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208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190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209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191</v>
      </c>
      <c r="M38" s="92" t="s">
        <v>192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210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191</v>
      </c>
      <c r="M39" s="92" t="s">
        <v>193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211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194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198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195</v>
      </c>
      <c r="N41" s="95" t="e">
        <f>IF(Table1[[#This Row],[h_Item Description]]="","",INDEX([1]!db[NB PAJAK],MATCH(Table1[[#This Row],[h_Item Description]],[1]!db[kode],0)))</f>
        <v>#N/A</v>
      </c>
      <c r="O41" s="92" t="s">
        <v>199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226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:_1]="","",B$1+COUNT(B$2:B43))</f>
        <v>23050009</v>
      </c>
      <c r="C45" s="98">
        <v>45054</v>
      </c>
      <c r="D45" s="92" t="s">
        <v>181</v>
      </c>
      <c r="E45" s="97" t="s">
        <v>227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231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234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228</v>
      </c>
      <c r="M47" s="92" t="s">
        <v>229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232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228</v>
      </c>
      <c r="M48" s="92" t="s">
        <v>230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233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238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239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240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242</v>
      </c>
      <c r="E57" s="198" t="s">
        <v>243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244</v>
      </c>
      <c r="L57" s="92">
        <v>2</v>
      </c>
      <c r="M57" s="92" t="s">
        <v>245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246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293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202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242</v>
      </c>
      <c r="E61" s="97" t="s">
        <v>294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295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297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296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248</v>
      </c>
      <c r="F65" s="305" t="s">
        <v>249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191</v>
      </c>
      <c r="M65" s="305" t="s">
        <v>250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252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191</v>
      </c>
      <c r="M66" s="305" t="s">
        <v>251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253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256</v>
      </c>
      <c r="F68" s="92" t="s">
        <v>257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265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269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278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280</v>
      </c>
      <c r="M69" s="92" t="s">
        <v>260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270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280</v>
      </c>
      <c r="M70" s="92" t="s">
        <v>268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271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266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272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267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273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261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274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262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275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263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276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264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277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281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191</v>
      </c>
      <c r="L78" s="92">
        <v>3</v>
      </c>
      <c r="M78" s="92" t="s">
        <v>282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283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300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301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231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304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191</v>
      </c>
      <c r="L82" s="92">
        <v>1</v>
      </c>
      <c r="M82" s="92" t="s">
        <v>282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283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191</v>
      </c>
      <c r="L83" s="92">
        <v>2</v>
      </c>
      <c r="M83" s="92" t="s">
        <v>302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305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303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295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242</v>
      </c>
      <c r="E86" s="97" t="s">
        <v>309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310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326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311</v>
      </c>
      <c r="N87" s="196" t="e">
        <f>IF(Table1[[#This Row],[h_Item Description]]="","",INDEX([1]!db[NB PAJAK],MATCH(Table1[[#This Row],[h_Item Description]],[1]!db[kode],0)))</f>
        <v>#N/A</v>
      </c>
      <c r="O87" s="92" t="s">
        <v>319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312</v>
      </c>
      <c r="N88" s="196" t="e">
        <f>IF(Table1[[#This Row],[h_Item Description]]="","",INDEX([1]!db[NB PAJAK],MATCH(Table1[[#This Row],[h_Item Description]],[1]!db[kode],0)))</f>
        <v>#N/A</v>
      </c>
      <c r="O88" s="92" t="s">
        <v>320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313</v>
      </c>
      <c r="N89" s="196" t="e">
        <f>IF(Table1[[#This Row],[h_Item Description]]="","",INDEX([1]!db[NB PAJAK],MATCH(Table1[[#This Row],[h_Item Description]],[1]!db[kode],0)))</f>
        <v>#N/A</v>
      </c>
      <c r="O89" s="92" t="s">
        <v>321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334</v>
      </c>
      <c r="N90" s="196" t="e">
        <f>IF(Table1[[#This Row],[h_Item Description]]="","",INDEX([1]!db[NB PAJAK],MATCH(Table1[[#This Row],[h_Item Description]],[1]!db[kode],0)))</f>
        <v>#N/A</v>
      </c>
      <c r="O90" s="92" t="s">
        <v>335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:_1]="","",B$1+COUNT(B$2:B89))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314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296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315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322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316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323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317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324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191</v>
      </c>
      <c r="L95" s="92">
        <v>1</v>
      </c>
      <c r="M95" s="92" t="s">
        <v>318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325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191</v>
      </c>
      <c r="L96" s="92">
        <v>6</v>
      </c>
      <c r="M96" s="92" t="s">
        <v>302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305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191</v>
      </c>
      <c r="L97" s="92">
        <v>6</v>
      </c>
      <c r="M97" s="92" t="s">
        <v>282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283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336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337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338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342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228</v>
      </c>
      <c r="L101" s="92">
        <v>2</v>
      </c>
      <c r="M101" s="92" t="s">
        <v>343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345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344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346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242</v>
      </c>
      <c r="E104" s="97" t="s">
        <v>349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350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353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351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354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352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355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228</v>
      </c>
      <c r="L107" s="92">
        <v>5</v>
      </c>
      <c r="M107" s="92" t="s">
        <v>343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345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344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346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242</v>
      </c>
      <c r="E110" s="97" t="s">
        <v>373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374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375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242</v>
      </c>
      <c r="E112" s="97" t="s">
        <v>377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379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381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191</v>
      </c>
      <c r="L113" s="92">
        <v>3</v>
      </c>
      <c r="M113" s="92" t="s">
        <v>282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283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378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380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384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385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386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196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200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388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389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390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268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271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191</v>
      </c>
      <c r="M121" s="92" t="s">
        <v>245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246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394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267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273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395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403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244</v>
      </c>
      <c r="L125" s="92">
        <v>1</v>
      </c>
      <c r="M125" s="92" t="s">
        <v>396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404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397</v>
      </c>
      <c r="L126" s="92">
        <v>1</v>
      </c>
      <c r="M126" s="92" t="s">
        <v>398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405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191</v>
      </c>
      <c r="L127" s="92">
        <v>3</v>
      </c>
      <c r="M127" s="92" t="s">
        <v>400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406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191</v>
      </c>
      <c r="L128" s="92">
        <v>3</v>
      </c>
      <c r="M128" s="92" t="s">
        <v>399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407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191</v>
      </c>
      <c r="L129" s="92">
        <v>2</v>
      </c>
      <c r="M129" s="92" t="s">
        <v>418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419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:_1]="","",B$1+COUNT(B$2:B128))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191</v>
      </c>
      <c r="L130" s="92">
        <v>1</v>
      </c>
      <c r="M130" s="92" t="s">
        <v>401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408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191</v>
      </c>
      <c r="L131" s="92">
        <v>2</v>
      </c>
      <c r="M131" s="92" t="s">
        <v>402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409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231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304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23050028</v>
      </c>
      <c r="C134" s="98">
        <v>45063</v>
      </c>
      <c r="D134" s="92" t="s">
        <v>181</v>
      </c>
      <c r="E134" s="97" t="s">
        <v>421</v>
      </c>
      <c r="F134" s="92" t="s">
        <v>95</v>
      </c>
      <c r="G134" s="95" t="str">
        <f>IF(Table1[[#This Row],[h_No. Invoice :]]="","",CONCATENATE("AM"," ",Table1[[#This Row],[h_No. Invoice :]]))</f>
        <v>AM 23050028</v>
      </c>
      <c r="H134" s="96" t="str">
        <f>CONCATENATE(UPPER(Table1[[#This Row],[h_Kode Sales :_1]])," ",Table1[[#This Row],[h_Kode Sales :_2]])</f>
        <v>KO 4224</v>
      </c>
      <c r="I134" s="95" t="str">
        <f>IF(Table1[[#This Row],[h_toko]]="","",INDEX(Table2[e],IF(Table1[[#This Row],[h_toko]]="","",MATCH(Table1[[#This Row],[h_toko]],Table2[a],0)),))</f>
        <v>CV  WISUDA PURWOKERTO</v>
      </c>
      <c r="J134" s="92">
        <v>20</v>
      </c>
      <c r="K134" s="92" t="s">
        <v>191</v>
      </c>
      <c r="L134" s="92">
        <v>1</v>
      </c>
      <c r="M134" s="92" t="s">
        <v>418</v>
      </c>
      <c r="N134" s="291" t="str">
        <f>IF(Table1[[#This Row],[h_Item Description]]="","",INDEX([1]!db[NB PAJAK],MATCH(Table1[[#This Row],[h_Item Description]],[1]!db[kode],0)))</f>
        <v>PAPER JUMBO CLIP KENKO NO. 5</v>
      </c>
      <c r="O134" s="92" t="s">
        <v>419</v>
      </c>
      <c r="P134" s="93">
        <v>43000</v>
      </c>
      <c r="Q134" s="94">
        <v>0.1</v>
      </c>
      <c r="S134" s="294">
        <f>Table1[[#This Row],[h_hargasetelahdiskon]]</f>
        <v>774000</v>
      </c>
      <c r="T134" s="93" t="s">
        <v>146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860000</v>
      </c>
      <c r="Y134" s="93">
        <f>IF(Table1[[#This Row],[h_hargasebelumdiskon]]="","",IF(Table1[[#This Row],[Disc 1]]="",0,Table1[[#This Row],[h_hargasebelumdiskon]]*Table1[[#This Row],[Disc 1]]))</f>
        <v>86000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86000</v>
      </c>
      <c r="AB134" s="93">
        <f>IF(Table1[Item Description]="","",Table1[[#This Row],[h_hargasebelumdiskon]]-Table1[[#This Row],[h_diskon]])</f>
        <v>774000</v>
      </c>
      <c r="AC134" s="93">
        <f ca="1">IF(Table1[//]="","",SUMIF(Table1[h_id],Table1[h_id],Table1[h_hargasetelahdiskon]))</f>
        <v>774000</v>
      </c>
      <c r="AD134" s="93"/>
      <c r="AE134" s="93" t="str">
        <f>Table1[[#This Row],[Item Description]]&amp;Table1[[#This Row],[Unit]]&amp;Table1[[#This Row],[Unit Price]]</f>
        <v>PAPER JUMBO CLIP KENKO NO. 5PAK43000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23050029</v>
      </c>
      <c r="C136" s="98">
        <v>45065</v>
      </c>
      <c r="D136" s="92" t="s">
        <v>129</v>
      </c>
      <c r="E136" s="97" t="s">
        <v>444</v>
      </c>
      <c r="F136" s="92" t="s">
        <v>131</v>
      </c>
      <c r="G136" s="95" t="str">
        <f>IF(Table1[[#This Row],[h_No. Invoice :]]="","",CONCATENATE("AM"," ",Table1[[#This Row],[h_No. Invoice :]]))</f>
        <v>AM 23050029</v>
      </c>
      <c r="H136" s="96" t="str">
        <f>CONCATENATE(UPPER(Table1[[#This Row],[h_Kode Sales :_1]])," ",Table1[[#This Row],[h_Kode Sales :_2]])</f>
        <v>G 4235</v>
      </c>
      <c r="I136" s="95" t="str">
        <f>IF(Table1[[#This Row],[h_toko]]="","",INDEX(Table2[e],IF(Table1[[#This Row],[h_toko]]="","",MATCH(Table1[[#This Row],[h_toko]],Table2[a],0)),))</f>
        <v>LILY JULIAWATI (REJO AGUNG) JOMBANG</v>
      </c>
      <c r="J136" s="92">
        <v>288</v>
      </c>
      <c r="K136" s="92" t="s">
        <v>159</v>
      </c>
      <c r="L136" s="92">
        <v>1</v>
      </c>
      <c r="N136" s="291" t="str">
        <f>IF(Table1[[#This Row],[h_Item Description]]="","",INDEX([1]!db[NB PAJAK],MATCH(Table1[[#This Row],[h_Item Description]],[1]!db[kode],0)))</f>
        <v/>
      </c>
      <c r="O136" s="92" t="s">
        <v>445</v>
      </c>
      <c r="P136" s="93">
        <v>4800</v>
      </c>
      <c r="Q136" s="94">
        <v>0.125</v>
      </c>
      <c r="S136" s="93">
        <f>Table1[[#This Row],[h_hargasetelahdiskon]]</f>
        <v>1209600</v>
      </c>
      <c r="T136" s="93" t="s">
        <v>297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3</v>
      </c>
      <c r="X136" s="93">
        <f>IF(Table1[Item Description]="","",Table1[[#This Row],[Qty]]*Table1[[#This Row],[Unit Price]])</f>
        <v>1382400</v>
      </c>
      <c r="Y136" s="93">
        <f>IF(Table1[[#This Row],[h_hargasebelumdiskon]]="","",IF(Table1[[#This Row],[Disc 1]]="",0,Table1[[#This Row],[h_hargasebelumdiskon]]*Table1[[#This Row],[Disc 1]]))</f>
        <v>172800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172800</v>
      </c>
      <c r="AB136" s="93">
        <f>IF(Table1[Item Description]="","",Table1[[#This Row],[h_hargasebelumdiskon]]-Table1[[#This Row],[h_diskon]])</f>
        <v>1209600</v>
      </c>
      <c r="AC136" s="93">
        <f ca="1">IF(Table1[//]="","",SUMIF(Table1[h_id],Table1[h_id],Table1[h_hargasetelahdiskon]))</f>
        <v>3628800</v>
      </c>
      <c r="AD136" s="93"/>
      <c r="AE136" s="93" t="str">
        <f>Table1[[#This Row],[Item Description]]&amp;Table1[[#This Row],[Unit]]&amp;Table1[[#This Row],[Unit Price]]</f>
        <v>PENCIL CASE JOYKO PC-0719AC-36A/F (Animal Calender)PC4800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288</v>
      </c>
      <c r="K137" s="92" t="s">
        <v>159</v>
      </c>
      <c r="L137" s="92">
        <v>1</v>
      </c>
      <c r="N137" s="291" t="str">
        <f>IF(Table1[[#This Row],[h_Item Description]]="","",INDEX([1]!db[NB PAJAK],MATCH(Table1[[#This Row],[h_Item Description]],[1]!db[kode],0)))</f>
        <v/>
      </c>
      <c r="O137" s="92" t="s">
        <v>446</v>
      </c>
      <c r="P137" s="93">
        <v>4800</v>
      </c>
      <c r="Q137" s="94">
        <v>0.125</v>
      </c>
      <c r="S137" s="93">
        <f>Table1[[#This Row],[h_hargasetelahdiskon]]</f>
        <v>1209600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3</v>
      </c>
      <c r="X137" s="93">
        <f>IF(Table1[Item Description]="","",Table1[[#This Row],[Qty]]*Table1[[#This Row],[Unit Price]])</f>
        <v>1382400</v>
      </c>
      <c r="Y137" s="93">
        <f>IF(Table1[[#This Row],[h_hargasebelumdiskon]]="","",IF(Table1[[#This Row],[Disc 1]]="",0,Table1[[#This Row],[h_hargasebelumdiskon]]*Table1[[#This Row],[Disc 1]]))</f>
        <v>172800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172800</v>
      </c>
      <c r="AB137" s="93">
        <f>IF(Table1[Item Description]="","",Table1[[#This Row],[h_hargasebelumdiskon]]-Table1[[#This Row],[h_diskon]])</f>
        <v>1209600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PENCIL CASE JOYKO PC-0719TV-33A/F (TRAVEL)PC4800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288</v>
      </c>
      <c r="K138" s="92" t="s">
        <v>159</v>
      </c>
      <c r="L138" s="92">
        <v>1</v>
      </c>
      <c r="N138" s="291" t="str">
        <f>IF(Table1[[#This Row],[h_Item Description]]="","",INDEX([1]!db[NB PAJAK],MATCH(Table1[[#This Row],[h_Item Description]],[1]!db[kode],0)))</f>
        <v/>
      </c>
      <c r="O138" s="92" t="s">
        <v>447</v>
      </c>
      <c r="P138" s="93">
        <v>4800</v>
      </c>
      <c r="Q138" s="94">
        <v>0.125</v>
      </c>
      <c r="S138" s="93">
        <f>Table1[[#This Row],[h_hargasetelahdiskon]]</f>
        <v>1209600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3</v>
      </c>
      <c r="X138" s="93">
        <f>IF(Table1[Item Description]="","",Table1[[#This Row],[Qty]]*Table1[[#This Row],[Unit Price]])</f>
        <v>1382400</v>
      </c>
      <c r="Y138" s="93">
        <f>IF(Table1[[#This Row],[h_hargasebelumdiskon]]="","",IF(Table1[[#This Row],[Disc 1]]="",0,Table1[[#This Row],[h_hargasebelumdiskon]]*Table1[[#This Row],[Disc 1]]))</f>
        <v>172800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172800</v>
      </c>
      <c r="AB138" s="93">
        <f>IF(Table1[Item Description]="","",Table1[[#This Row],[h_hargasebelumdiskon]]-Table1[[#This Row],[h_diskon]])</f>
        <v>1209600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PENCIL CASE JOYKO PC-0719GZ-34A/F (GOZZY)PC4800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>
        <f>IF(Table1[[#This Row],[No. Invoice :]]="","",ROW())</f>
        <v>140</v>
      </c>
      <c r="B140" s="291">
        <f>IF(Table1[h_Kode Sales :_1]="","",B$1+COUNT(B$2:B137))</f>
        <v>23050030</v>
      </c>
      <c r="C140" s="98">
        <v>45065</v>
      </c>
      <c r="D140" s="92" t="s">
        <v>181</v>
      </c>
      <c r="E140" s="97" t="s">
        <v>422</v>
      </c>
      <c r="F140" s="92" t="s">
        <v>142</v>
      </c>
      <c r="G140" s="95" t="str">
        <f>IF(Table1[[#This Row],[h_No. Invoice :]]="","",CONCATENATE("AM"," ",Table1[[#This Row],[h_No. Invoice :]]))</f>
        <v>AM 23050030</v>
      </c>
      <c r="H140" s="96" t="str">
        <f>CONCATENATE(UPPER(Table1[[#This Row],[h_Kode Sales :_1]])," ",Table1[[#This Row],[h_Kode Sales :_2]])</f>
        <v>KO 4238</v>
      </c>
      <c r="I140" s="95" t="str">
        <f>IF(Table1[[#This Row],[h_toko]]="","",INDEX(Table2[e],IF(Table1[[#This Row],[h_toko]]="","",MATCH(Table1[[#This Row],[h_toko]],Table2[a],0)),))</f>
        <v>CV PELITA JAYA (ANUGERAH SEJAHTERA) PURWOKERTO</v>
      </c>
      <c r="J140" s="92">
        <v>48</v>
      </c>
      <c r="K140" s="92" t="s">
        <v>132</v>
      </c>
      <c r="L140" s="92">
        <v>2</v>
      </c>
      <c r="M140" s="92" t="s">
        <v>423</v>
      </c>
      <c r="N140" s="291" t="str">
        <f>IF(Table1[[#This Row],[h_Item Description]]="","",INDEX([1]!db[NB PAJAK],MATCH(Table1[[#This Row],[h_Item Description]],[1]!db[kode],0)))</f>
        <v>JANGKA (MATH SET) JOYKO MS-25</v>
      </c>
      <c r="O140" s="92" t="s">
        <v>425</v>
      </c>
      <c r="P140" s="93">
        <v>89400</v>
      </c>
      <c r="Q140" s="94">
        <v>0.13500000000000001</v>
      </c>
      <c r="S140" s="294">
        <f>Table1[[#This Row],[h_hargasetelahdiskon]]</f>
        <v>3711888</v>
      </c>
      <c r="T140" s="93" t="s">
        <v>146</v>
      </c>
      <c r="V140" s="95">
        <f ca="1">IF(Table1[[#This Row],[Item Description]]="","",IF(Table1[[#This Row],[//]]="",INDIRECT(ADDRESS(ROW()-1,COLUMN())),Table1[[#This Row],[//]]))</f>
        <v>140</v>
      </c>
      <c r="W140" s="95">
        <f ca="1">IF(Table1[[#This Row],[h_id]]="","",COUNTIF(Table1[h_id],Table1[[#This Row],[h_id]]))</f>
        <v>2</v>
      </c>
      <c r="X140" s="93">
        <f>IF(Table1[Item Description]="","",Table1[[#This Row],[Qty]]*Table1[[#This Row],[Unit Price]])</f>
        <v>4291200</v>
      </c>
      <c r="Y140" s="93">
        <f>IF(Table1[[#This Row],[h_hargasebelumdiskon]]="","",IF(Table1[[#This Row],[Disc 1]]="",0,Table1[[#This Row],[h_hargasebelumdiskon]]*Table1[[#This Row],[Disc 1]]))</f>
        <v>579312</v>
      </c>
      <c r="Z140" s="93">
        <f>IF(Table1[[#This Row],[h_hargasebelumdiskon]]="","",IF(Table1[[#This Row],[Disc 2]]="",0,(Table1[[#This Row],[h_hargasebelumdiskon]]-Table1[[#This Row],[h_disc 1]])*Table1[[#This Row],[Disc 2]]))</f>
        <v>0</v>
      </c>
      <c r="AA140" s="93">
        <f>IF(Table1[Item Description]="","",Table1[[#This Row],[h_disc 1]]+Table1[[#This Row],[h_disc 2]])</f>
        <v>579312</v>
      </c>
      <c r="AB140" s="93">
        <f>IF(Table1[Item Description]="","",Table1[[#This Row],[h_hargasebelumdiskon]]-Table1[[#This Row],[h_diskon]])</f>
        <v>3711888</v>
      </c>
      <c r="AC140" s="93">
        <f ca="1">IF(Table1[//]="","",SUMIF(Table1[h_id],Table1[h_id],Table1[h_hargasetelahdiskon]))</f>
        <v>9279720</v>
      </c>
      <c r="AD140" s="93"/>
      <c r="AE140" s="93" t="str">
        <f>Table1[[#This Row],[Item Description]]&amp;Table1[[#This Row],[Unit]]&amp;Table1[[#This Row],[Unit Price]]</f>
        <v>JANGKA (MATH SET) JOYKO MS-25LSN89400</v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72</v>
      </c>
      <c r="K141" s="92" t="s">
        <v>132</v>
      </c>
      <c r="L141" s="92">
        <v>3</v>
      </c>
      <c r="M141" s="92" t="s">
        <v>424</v>
      </c>
      <c r="N141" s="291" t="str">
        <f>IF(Table1[[#This Row],[h_Item Description]]="","",INDEX([1]!db[NB PAJAK],MATCH(Table1[[#This Row],[h_Item Description]],[1]!db[kode],0)))</f>
        <v>JANGKA (MATH SET) JOYKO MS-55</v>
      </c>
      <c r="O141" s="92" t="s">
        <v>426</v>
      </c>
      <c r="P141" s="93">
        <v>89400</v>
      </c>
      <c r="Q141" s="94">
        <v>0.13500000000000001</v>
      </c>
      <c r="S141" s="294">
        <f>Table1[[#This Row],[h_hargasetelahdiskon]]</f>
        <v>5567832</v>
      </c>
      <c r="V141" s="95">
        <f ca="1">IF(Table1[[#This Row],[Item Description]]="","",IF(Table1[[#This Row],[//]]="",INDIRECT(ADDRESS(ROW()-1,COLUMN())),Table1[[#This Row],[//]]))</f>
        <v>140</v>
      </c>
      <c r="W141" s="95">
        <f ca="1">IF(Table1[[#This Row],[h_id]]="","",COUNTIF(Table1[h_id],Table1[[#This Row],[h_id]]))</f>
        <v>2</v>
      </c>
      <c r="X141" s="93">
        <f>IF(Table1[Item Description]="","",Table1[[#This Row],[Qty]]*Table1[[#This Row],[Unit Price]])</f>
        <v>6436800</v>
      </c>
      <c r="Y141" s="93">
        <f>IF(Table1[[#This Row],[h_hargasebelumdiskon]]="","",IF(Table1[[#This Row],[Disc 1]]="",0,Table1[[#This Row],[h_hargasebelumdiskon]]*Table1[[#This Row],[Disc 1]]))</f>
        <v>868968</v>
      </c>
      <c r="Z141" s="93">
        <f>IF(Table1[[#This Row],[h_hargasebelumdiskon]]="","",IF(Table1[[#This Row],[Disc 2]]="",0,(Table1[[#This Row],[h_hargasebelumdiskon]]-Table1[[#This Row],[h_disc 1]])*Table1[[#This Row],[Disc 2]]))</f>
        <v>0</v>
      </c>
      <c r="AA141" s="93">
        <f>IF(Table1[Item Description]="","",Table1[[#This Row],[h_disc 1]]+Table1[[#This Row],[h_disc 2]])</f>
        <v>868968</v>
      </c>
      <c r="AB141" s="93">
        <f>IF(Table1[Item Description]="","",Table1[[#This Row],[h_hargasebelumdiskon]]-Table1[[#This Row],[h_diskon]])</f>
        <v>5567832</v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>JANGKA (MATH SET) JOYKO MS-55LSN89400</v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>
        <f>IF(Table1[[#This Row],[No. Invoice :]]="","",ROW())</f>
        <v>143</v>
      </c>
      <c r="B143" s="291">
        <f>IF(Table1[h_Kode Sales :_1]="","",B$1+COUNT(B$2:B142))</f>
        <v>23050031</v>
      </c>
      <c r="C143" s="98">
        <v>45065</v>
      </c>
      <c r="D143" s="92" t="s">
        <v>140</v>
      </c>
      <c r="E143" s="97" t="s">
        <v>429</v>
      </c>
      <c r="F143" s="92" t="s">
        <v>78</v>
      </c>
      <c r="G143" s="95" t="str">
        <f>IF(Table1[[#This Row],[h_No. Invoice :]]="","",CONCATENATE("AM"," ",Table1[[#This Row],[h_No. Invoice :]]))</f>
        <v>AM 23050031</v>
      </c>
      <c r="H143" s="96" t="str">
        <f>CONCATENATE(UPPER(Table1[[#This Row],[h_Kode Sales :_1]])," ",Table1[[#This Row],[h_Kode Sales :_2]])</f>
        <v>KO 4236</v>
      </c>
      <c r="I143" s="95" t="str">
        <f>IF(Table1[[#This Row],[h_toko]]="","",INDEX(Table2[e],IF(Table1[[#This Row],[h_toko]]="","",MATCH(Table1[[#This Row],[h_toko]],Table2[a],0)),))</f>
        <v>CV SINAR CAHAYA NIRMALA BREBES</v>
      </c>
      <c r="J143" s="92">
        <v>36</v>
      </c>
      <c r="K143" s="92" t="s">
        <v>132</v>
      </c>
      <c r="M143" s="92" t="s">
        <v>430</v>
      </c>
      <c r="N143" s="291" t="str">
        <f>IF(Table1[[#This Row],[h_Item Description]]="","",INDEX([1]!db[NB PAJAK],MATCH(Table1[[#This Row],[h_Item Description]],[1]!db[kode],0)))</f>
        <v>CORRECTION FLUID KENKO KE-107M</v>
      </c>
      <c r="O143" s="92" t="s">
        <v>434</v>
      </c>
      <c r="P143" s="93">
        <v>55800</v>
      </c>
      <c r="Q143" s="94">
        <v>0.1</v>
      </c>
      <c r="S143" s="294">
        <f>Table1[[#This Row],[h_hargasetelahdiskon]]</f>
        <v>1807920</v>
      </c>
      <c r="T143" s="93" t="s">
        <v>146</v>
      </c>
      <c r="V143" s="95">
        <f ca="1">IF(Table1[[#This Row],[Item Description]]="","",IF(Table1[[#This Row],[//]]="",INDIRECT(ADDRESS(ROW()-1,COLUMN())),Table1[[#This Row],[//]]))</f>
        <v>143</v>
      </c>
      <c r="W143" s="95">
        <f ca="1">IF(Table1[[#This Row],[h_id]]="","",COUNTIF(Table1[h_id],Table1[[#This Row],[h_id]]))</f>
        <v>5</v>
      </c>
      <c r="X143" s="93">
        <f>IF(Table1[Item Description]="","",Table1[[#This Row],[Qty]]*Table1[[#This Row],[Unit Price]])</f>
        <v>2008800</v>
      </c>
      <c r="Y143" s="93">
        <f>IF(Table1[[#This Row],[h_hargasebelumdiskon]]="","",IF(Table1[[#This Row],[Disc 1]]="",0,Table1[[#This Row],[h_hargasebelumdiskon]]*Table1[[#This Row],[Disc 1]]))</f>
        <v>200880</v>
      </c>
      <c r="Z143" s="93">
        <f>IF(Table1[[#This Row],[h_hargasebelumdiskon]]="","",IF(Table1[[#This Row],[Disc 2]]="",0,(Table1[[#This Row],[h_hargasebelumdiskon]]-Table1[[#This Row],[h_disc 1]])*Table1[[#This Row],[Disc 2]]))</f>
        <v>0</v>
      </c>
      <c r="AA143" s="93">
        <f>IF(Table1[Item Description]="","",Table1[[#This Row],[h_disc 1]]+Table1[[#This Row],[h_disc 2]])</f>
        <v>200880</v>
      </c>
      <c r="AB143" s="93">
        <f>IF(Table1[Item Description]="","",Table1[[#This Row],[h_hargasebelumdiskon]]-Table1[[#This Row],[h_diskon]])</f>
        <v>1807920</v>
      </c>
      <c r="AC143" s="93">
        <f ca="1">IF(Table1[//]="","",SUMIF(Table1[h_id],Table1[h_id],Table1[h_hargasetelahdiskon]))</f>
        <v>2536110</v>
      </c>
      <c r="AD143" s="93"/>
      <c r="AE143" s="93" t="str">
        <f>Table1[[#This Row],[Item Description]]&amp;Table1[[#This Row],[Unit]]&amp;Table1[[#This Row],[Unit Price]]</f>
        <v>CORRECTION FLUID KENKO KE-107MLSN55800</v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J144" s="92">
        <v>2</v>
      </c>
      <c r="K144" s="92" t="s">
        <v>244</v>
      </c>
      <c r="M144" s="92" t="s">
        <v>431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404</v>
      </c>
      <c r="P144" s="93">
        <v>66000</v>
      </c>
      <c r="Q144" s="94">
        <v>0.1</v>
      </c>
      <c r="S144" s="294">
        <f>Table1[[#This Row],[h_hargasetelahdiskon]]</f>
        <v>118800</v>
      </c>
      <c r="V144" s="95">
        <f ca="1">IF(Table1[[#This Row],[Item Description]]="","",IF(Table1[[#This Row],[//]]="",INDIRECT(ADDRESS(ROW()-1,COLUMN())),Table1[[#This Row],[//]]))</f>
        <v>143</v>
      </c>
      <c r="W144" s="95">
        <f ca="1">IF(Table1[[#This Row],[h_id]]="","",COUNTIF(Table1[h_id],Table1[[#This Row],[h_id]]))</f>
        <v>5</v>
      </c>
      <c r="X144" s="93">
        <f>IF(Table1[Item Description]="","",Table1[[#This Row],[Qty]]*Table1[[#This Row],[Unit Price]])</f>
        <v>132000</v>
      </c>
      <c r="Y144" s="93">
        <f>IF(Table1[[#This Row],[h_hargasebelumdiskon]]="","",IF(Table1[[#This Row],[Disc 1]]="",0,Table1[[#This Row],[h_hargasebelumdiskon]]*Table1[[#This Row],[Disc 1]]))</f>
        <v>13200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13200</v>
      </c>
      <c r="AB144" s="93">
        <f>IF(Table1[Item Description]="","",Table1[[#This Row],[h_hargasebelumdiskon]]-Table1[[#This Row],[h_diskon]])</f>
        <v>118800</v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>LEM STICK KENKO 8 GR (KECIL) isi 30 pcBOX66000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2</v>
      </c>
      <c r="K145" s="92" t="s">
        <v>132</v>
      </c>
      <c r="M145" s="92" t="s">
        <v>432</v>
      </c>
      <c r="N145" s="291" t="str">
        <f>IF(Table1[[#This Row],[h_Item Description]]="","",INDEX([1]!db[NB PAJAK],MATCH(Table1[[#This Row],[h_Item Description]],[1]!db[kode],0)))</f>
        <v>LEM CAIR 35 ML KENKO LG-35</v>
      </c>
      <c r="O145" s="92" t="s">
        <v>435</v>
      </c>
      <c r="P145" s="93">
        <v>19800</v>
      </c>
      <c r="Q145" s="94">
        <v>0.1</v>
      </c>
      <c r="S145" s="294">
        <f>Table1[[#This Row],[h_hargasetelahdiskon]]</f>
        <v>35640</v>
      </c>
      <c r="V145" s="95">
        <f ca="1">IF(Table1[[#This Row],[Item Description]]="","",IF(Table1[[#This Row],[//]]="",INDIRECT(ADDRESS(ROW()-1,COLUMN())),Table1[[#This Row],[//]]))</f>
        <v>143</v>
      </c>
      <c r="W145" s="95">
        <f ca="1">IF(Table1[[#This Row],[h_id]]="","",COUNTIF(Table1[h_id],Table1[[#This Row],[h_id]]))</f>
        <v>5</v>
      </c>
      <c r="X145" s="93">
        <f>IF(Table1[Item Description]="","",Table1[[#This Row],[Qty]]*Table1[[#This Row],[Unit Price]])</f>
        <v>39600</v>
      </c>
      <c r="Y145" s="93">
        <f>IF(Table1[[#This Row],[h_hargasebelumdiskon]]="","",IF(Table1[[#This Row],[Disc 1]]="",0,Table1[[#This Row],[h_hargasebelumdiskon]]*Table1[[#This Row],[Disc 1]]))</f>
        <v>3960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3960</v>
      </c>
      <c r="AB145" s="93">
        <f>IF(Table1[Item Description]="","",Table1[[#This Row],[h_hargasebelumdiskon]]-Table1[[#This Row],[h_diskon]])</f>
        <v>35640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LEM CAIR 35 ML KENKO LG-35LSN19800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J146" s="92">
        <v>50</v>
      </c>
      <c r="K146" s="92" t="s">
        <v>191</v>
      </c>
      <c r="M146" s="92" t="s">
        <v>433</v>
      </c>
      <c r="N146" s="291" t="str">
        <f>IF(Table1[[#This Row],[h_Item Description]]="","",INDEX([1]!db[NB PAJAK],MATCH(Table1[[#This Row],[h_Item Description]],[1]!db[kode],0)))</f>
        <v>LOOSE LEAF KENKO A5-LL 50-2070</v>
      </c>
      <c r="O146" s="92" t="s">
        <v>436</v>
      </c>
      <c r="P146" s="93">
        <v>4400</v>
      </c>
      <c r="Q146" s="94">
        <v>0.1</v>
      </c>
      <c r="S146" s="294">
        <f>Table1[[#This Row],[h_hargasetelahdiskon]]</f>
        <v>198000</v>
      </c>
      <c r="V146" s="95">
        <f ca="1">IF(Table1[[#This Row],[Item Description]]="","",IF(Table1[[#This Row],[//]]="",INDIRECT(ADDRESS(ROW()-1,COLUMN())),Table1[[#This Row],[//]]))</f>
        <v>143</v>
      </c>
      <c r="W146" s="95">
        <f ca="1">IF(Table1[[#This Row],[h_id]]="","",COUNTIF(Table1[h_id],Table1[[#This Row],[h_id]]))</f>
        <v>5</v>
      </c>
      <c r="X146" s="93">
        <f>IF(Table1[Item Description]="","",Table1[[#This Row],[Qty]]*Table1[[#This Row],[Unit Price]])</f>
        <v>220000</v>
      </c>
      <c r="Y146" s="93">
        <f>IF(Table1[[#This Row],[h_hargasebelumdiskon]]="","",IF(Table1[[#This Row],[Disc 1]]="",0,Table1[[#This Row],[h_hargasebelumdiskon]]*Table1[[#This Row],[Disc 1]]))</f>
        <v>22000</v>
      </c>
      <c r="Z146" s="93">
        <f>IF(Table1[[#This Row],[h_hargasebelumdiskon]]="","",IF(Table1[[#This Row],[Disc 2]]="",0,(Table1[[#This Row],[h_hargasebelumdiskon]]-Table1[[#This Row],[h_disc 1]])*Table1[[#This Row],[Disc 2]]))</f>
        <v>0</v>
      </c>
      <c r="AA146" s="93">
        <f>IF(Table1[Item Description]="","",Table1[[#This Row],[h_disc 1]]+Table1[[#This Row],[h_disc 2]])</f>
        <v>22000</v>
      </c>
      <c r="AB146" s="93">
        <f>IF(Table1[Item Description]="","",Table1[[#This Row],[h_hargasebelumdiskon]]-Table1[[#This Row],[h_diskon]])</f>
        <v>198000</v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>LOOSE LEAF KENKO A5-LL 50-2070PAK4400</v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J147" s="92">
        <v>50</v>
      </c>
      <c r="K147" s="92" t="s">
        <v>191</v>
      </c>
      <c r="M147" s="92" t="s">
        <v>437</v>
      </c>
      <c r="N147" s="291" t="str">
        <f>IF(Table1[[#This Row],[h_Item Description]]="","",INDEX([1]!db[NB PAJAK],MATCH(Table1[[#This Row],[h_Item Description]],[1]!db[kode],0)))</f>
        <v>LOOSE LEAF KENKO A5-LL 100-2070</v>
      </c>
      <c r="O147" s="92" t="s">
        <v>438</v>
      </c>
      <c r="P147" s="93">
        <v>8350</v>
      </c>
      <c r="Q147" s="94">
        <v>0.1</v>
      </c>
      <c r="S147" s="294">
        <f>Table1[[#This Row],[h_hargasetelahdiskon]]</f>
        <v>375750</v>
      </c>
      <c r="V147" s="95">
        <f ca="1">IF(Table1[[#This Row],[Item Description]]="","",IF(Table1[[#This Row],[//]]="",INDIRECT(ADDRESS(ROW()-1,COLUMN())),Table1[[#This Row],[//]]))</f>
        <v>143</v>
      </c>
      <c r="W147" s="95">
        <f ca="1">IF(Table1[[#This Row],[h_id]]="","",COUNTIF(Table1[h_id],Table1[[#This Row],[h_id]]))</f>
        <v>5</v>
      </c>
      <c r="X147" s="93">
        <f>IF(Table1[Item Description]="","",Table1[[#This Row],[Qty]]*Table1[[#This Row],[Unit Price]])</f>
        <v>417500</v>
      </c>
      <c r="Y147" s="93">
        <f>IF(Table1[[#This Row],[h_hargasebelumdiskon]]="","",IF(Table1[[#This Row],[Disc 1]]="",0,Table1[[#This Row],[h_hargasebelumdiskon]]*Table1[[#This Row],[Disc 1]]))</f>
        <v>41750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41750</v>
      </c>
      <c r="AB147" s="93">
        <f>IF(Table1[Item Description]="","",Table1[[#This Row],[h_hargasebelumdiskon]]-Table1[[#This Row],[h_diskon]])</f>
        <v>375750</v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>LOOSE LEAF KENKO A5-LL 100-2070PAK8350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>
        <f>IF(Table1[[#This Row],[No. Invoice :]]="","",ROW())</f>
        <v>149</v>
      </c>
      <c r="B149" s="291">
        <f>IF(Table1[h_Kode Sales :_1]="","",B$1+COUNT(B$2:B148))</f>
        <v>23050032</v>
      </c>
      <c r="C149" s="98">
        <v>45065</v>
      </c>
      <c r="D149" s="92" t="s">
        <v>181</v>
      </c>
      <c r="E149" s="97" t="s">
        <v>439</v>
      </c>
      <c r="F149" s="92" t="s">
        <v>98</v>
      </c>
      <c r="G149" s="95" t="str">
        <f>IF(Table1[[#This Row],[h_No. Invoice :]]="","",CONCATENATE("AM"," ",Table1[[#This Row],[h_No. Invoice :]]))</f>
        <v>AM 23050032</v>
      </c>
      <c r="H149" s="96" t="str">
        <f>CONCATENATE(UPPER(Table1[[#This Row],[h_Kode Sales :_1]])," ",Table1[[#This Row],[h_Kode Sales :_2]])</f>
        <v>KO 4253</v>
      </c>
      <c r="I149" s="95" t="str">
        <f>IF(Table1[[#This Row],[h_toko]]="","",INDEX(Table2[e],IF(Table1[[#This Row],[h_toko]]="","",MATCH(Table1[[#This Row],[h_toko]],Table2[a],0)),))</f>
        <v>SOEYANTO LOPULUSI ( LANCAR ) MALANG</v>
      </c>
      <c r="J149" s="92">
        <v>60</v>
      </c>
      <c r="K149" s="92" t="s">
        <v>132</v>
      </c>
      <c r="L149" s="92">
        <v>1</v>
      </c>
      <c r="M149" s="92" t="s">
        <v>374</v>
      </c>
      <c r="N149" s="291" t="str">
        <f>IF(Table1[[#This Row],[h_Item Description]]="","",INDEX([1]!db[NB PAJAK],MATCH(Table1[[#This Row],[h_Item Description]],[1]!db[kode],0)))</f>
        <v>CORRECTION TAPE JOYKO CT-522 PTL</v>
      </c>
      <c r="O149" s="92" t="s">
        <v>375</v>
      </c>
      <c r="P149" s="93">
        <v>57600</v>
      </c>
      <c r="Q149" s="94">
        <v>0.125</v>
      </c>
      <c r="S149" s="294">
        <f>Table1[[#This Row],[h_hargasetelahdiskon]]</f>
        <v>3024000</v>
      </c>
      <c r="T149" s="93" t="s">
        <v>146</v>
      </c>
      <c r="V149" s="95">
        <f ca="1">IF(Table1[[#This Row],[Item Description]]="","",IF(Table1[[#This Row],[//]]="",INDIRECT(ADDRESS(ROW()-1,COLUMN())),Table1[[#This Row],[//]]))</f>
        <v>149</v>
      </c>
      <c r="W149" s="95">
        <f ca="1">IF(Table1[[#This Row],[h_id]]="","",COUNTIF(Table1[h_id],Table1[[#This Row],[h_id]]))</f>
        <v>2</v>
      </c>
      <c r="X149" s="93">
        <f>IF(Table1[Item Description]="","",Table1[[#This Row],[Qty]]*Table1[[#This Row],[Unit Price]])</f>
        <v>3456000</v>
      </c>
      <c r="Y149" s="93">
        <f>IF(Table1[[#This Row],[h_hargasebelumdiskon]]="","",IF(Table1[[#This Row],[Disc 1]]="",0,Table1[[#This Row],[h_hargasebelumdiskon]]*Table1[[#This Row],[Disc 1]]))</f>
        <v>432000</v>
      </c>
      <c r="Z149" s="93">
        <f>IF(Table1[[#This Row],[h_hargasebelumdiskon]]="","",IF(Table1[[#This Row],[Disc 2]]="",0,(Table1[[#This Row],[h_hargasebelumdiskon]]-Table1[[#This Row],[h_disc 1]])*Table1[[#This Row],[Disc 2]]))</f>
        <v>0</v>
      </c>
      <c r="AA149" s="93">
        <f>IF(Table1[Item Description]="","",Table1[[#This Row],[h_disc 1]]+Table1[[#This Row],[h_disc 2]])</f>
        <v>432000</v>
      </c>
      <c r="AB149" s="93">
        <f>IF(Table1[Item Description]="","",Table1[[#This Row],[h_hargasebelumdiskon]]-Table1[[#This Row],[h_diskon]])</f>
        <v>3024000</v>
      </c>
      <c r="AC149" s="93">
        <f ca="1">IF(Table1[//]="","",SUMIF(Table1[h_id],Table1[h_id],Table1[h_hargasetelahdiskon]))</f>
        <v>4901400</v>
      </c>
      <c r="AD149" s="93"/>
      <c r="AE149" s="93" t="str">
        <f>Table1[[#This Row],[Item Description]]&amp;Table1[[#This Row],[Unit]]&amp;Table1[[#This Row],[Unit Price]]</f>
        <v>CORRECTION TAPE JOYKO CT-522 PTLLSN57600</v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J150" s="92">
        <v>24</v>
      </c>
      <c r="K150" s="92" t="s">
        <v>132</v>
      </c>
      <c r="L150" s="92">
        <v>1</v>
      </c>
      <c r="M150" s="92" t="s">
        <v>424</v>
      </c>
      <c r="N150" s="291" t="str">
        <f>IF(Table1[[#This Row],[h_Item Description]]="","",INDEX([1]!db[NB PAJAK],MATCH(Table1[[#This Row],[h_Item Description]],[1]!db[kode],0)))</f>
        <v>JANGKA (MATH SET) JOYKO MS-55</v>
      </c>
      <c r="O150" s="92" t="s">
        <v>426</v>
      </c>
      <c r="P150" s="93">
        <v>89400</v>
      </c>
      <c r="Q150" s="94">
        <v>0.125</v>
      </c>
      <c r="S150" s="294">
        <f>Table1[[#This Row],[h_hargasetelahdiskon]]</f>
        <v>1877400</v>
      </c>
      <c r="V150" s="95">
        <f ca="1">IF(Table1[[#This Row],[Item Description]]="","",IF(Table1[[#This Row],[//]]="",INDIRECT(ADDRESS(ROW()-1,COLUMN())),Table1[[#This Row],[//]]))</f>
        <v>149</v>
      </c>
      <c r="W150" s="95">
        <f ca="1">IF(Table1[[#This Row],[h_id]]="","",COUNTIF(Table1[h_id],Table1[[#This Row],[h_id]]))</f>
        <v>2</v>
      </c>
      <c r="X150" s="93">
        <f>IF(Table1[Item Description]="","",Table1[[#This Row],[Qty]]*Table1[[#This Row],[Unit Price]])</f>
        <v>2145600</v>
      </c>
      <c r="Y150" s="93">
        <f>IF(Table1[[#This Row],[h_hargasebelumdiskon]]="","",IF(Table1[[#This Row],[Disc 1]]="",0,Table1[[#This Row],[h_hargasebelumdiskon]]*Table1[[#This Row],[Disc 1]]))</f>
        <v>268200</v>
      </c>
      <c r="Z150" s="93">
        <f>IF(Table1[[#This Row],[h_hargasebelumdiskon]]="","",IF(Table1[[#This Row],[Disc 2]]="",0,(Table1[[#This Row],[h_hargasebelumdiskon]]-Table1[[#This Row],[h_disc 1]])*Table1[[#This Row],[Disc 2]]))</f>
        <v>0</v>
      </c>
      <c r="AA150" s="93">
        <f>IF(Table1[Item Description]="","",Table1[[#This Row],[h_disc 1]]+Table1[[#This Row],[h_disc 2]])</f>
        <v>268200</v>
      </c>
      <c r="AB150" s="93">
        <f>IF(Table1[Item Description]="","",Table1[[#This Row],[h_hargasebelumdiskon]]-Table1[[#This Row],[h_diskon]])</f>
        <v>1877400</v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>JANGKA (MATH SET) JOYKO MS-55LSN89400</v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>
        <f>IF(Table1[[#This Row],[No. Invoice :]]="","",ROW())</f>
        <v>152</v>
      </c>
      <c r="B152" s="291">
        <f>IF(Table1[h_Kode Sales :_1]="","",B$1+COUNT(B$2:B151))</f>
        <v>23050033</v>
      </c>
      <c r="C152" s="98">
        <v>45066</v>
      </c>
      <c r="D152" s="92" t="s">
        <v>181</v>
      </c>
      <c r="E152" s="97" t="s">
        <v>451</v>
      </c>
      <c r="F152" s="92" t="s">
        <v>98</v>
      </c>
      <c r="G152" s="95" t="str">
        <f>IF(Table1[[#This Row],[h_No. Invoice :]]="","",CONCATENATE("AM"," ",Table1[[#This Row],[h_No. Invoice :]]))</f>
        <v>AM 23050033</v>
      </c>
      <c r="H152" s="96" t="str">
        <f>CONCATENATE(UPPER(Table1[[#This Row],[h_Kode Sales :_1]])," ",Table1[[#This Row],[h_Kode Sales :_2]])</f>
        <v>KO 4258</v>
      </c>
      <c r="I152" s="95" t="str">
        <f>IF(Table1[[#This Row],[h_toko]]="","",INDEX(Table2[e],IF(Table1[[#This Row],[h_toko]]="","",MATCH(Table1[[#This Row],[h_toko]],Table2[a],0)),))</f>
        <v>SOEYANTO LOPULUSI ( LANCAR ) MALANG</v>
      </c>
      <c r="J152" s="92">
        <v>240</v>
      </c>
      <c r="K152" s="92" t="s">
        <v>132</v>
      </c>
      <c r="L152" s="92">
        <v>4</v>
      </c>
      <c r="M152" s="92" t="s">
        <v>344</v>
      </c>
      <c r="N152" s="291" t="str">
        <f>IF(Table1[[#This Row],[h_Item Description]]="","",INDEX([1]!db[NB PAJAK],MATCH(Table1[[#This Row],[h_Item Description]],[1]!db[kode],0)))</f>
        <v>CORRECTION TAPE JOYKO CT-522</v>
      </c>
      <c r="O152" s="92" t="s">
        <v>346</v>
      </c>
      <c r="P152" s="93">
        <v>57600</v>
      </c>
      <c r="Q152" s="94">
        <v>0.125</v>
      </c>
      <c r="S152" s="294">
        <f>Table1[[#This Row],[h_hargasetelahdiskon]]</f>
        <v>12096000</v>
      </c>
      <c r="T152" s="93" t="s">
        <v>146</v>
      </c>
      <c r="V152" s="95">
        <f ca="1">IF(Table1[[#This Row],[Item Description]]="","",IF(Table1[[#This Row],[//]]="",INDIRECT(ADDRESS(ROW()-1,COLUMN())),Table1[[#This Row],[//]]))</f>
        <v>152</v>
      </c>
      <c r="W152" s="95">
        <f ca="1">IF(Table1[[#This Row],[h_id]]="","",COUNTIF(Table1[h_id],Table1[[#This Row],[h_id]]))</f>
        <v>1</v>
      </c>
      <c r="X152" s="93">
        <f>IF(Table1[Item Description]="","",Table1[[#This Row],[Qty]]*Table1[[#This Row],[Unit Price]])</f>
        <v>13824000</v>
      </c>
      <c r="Y152" s="93">
        <f>IF(Table1[[#This Row],[h_hargasebelumdiskon]]="","",IF(Table1[[#This Row],[Disc 1]]="",0,Table1[[#This Row],[h_hargasebelumdiskon]]*Table1[[#This Row],[Disc 1]]))</f>
        <v>1728000</v>
      </c>
      <c r="Z152" s="93">
        <f>IF(Table1[[#This Row],[h_hargasebelumdiskon]]="","",IF(Table1[[#This Row],[Disc 2]]="",0,(Table1[[#This Row],[h_hargasebelumdiskon]]-Table1[[#This Row],[h_disc 1]])*Table1[[#This Row],[Disc 2]]))</f>
        <v>0</v>
      </c>
      <c r="AA152" s="93">
        <f>IF(Table1[Item Description]="","",Table1[[#This Row],[h_disc 1]]+Table1[[#This Row],[h_disc 2]])</f>
        <v>1728000</v>
      </c>
      <c r="AB152" s="93">
        <f>IF(Table1[Item Description]="","",Table1[[#This Row],[h_hargasebelumdiskon]]-Table1[[#This Row],[h_diskon]])</f>
        <v>12096000</v>
      </c>
      <c r="AC152" s="93">
        <f ca="1">IF(Table1[//]="","",SUMIF(Table1[h_id],Table1[h_id],Table1[h_hargasetelahdiskon]))</f>
        <v>12096000</v>
      </c>
      <c r="AD152" s="93"/>
      <c r="AE152" s="93" t="str">
        <f>Table1[[#This Row],[Item Description]]&amp;Table1[[#This Row],[Unit]]&amp;Table1[[#This Row],[Unit Price]]</f>
        <v>CORRECTION TAPE JOYKO CT-522LSN57600</v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>
        <f>IF(Table1[[#This Row],[No. Invoice :]]="","",ROW())</f>
        <v>154</v>
      </c>
      <c r="B154" s="291">
        <f>IF(Table1[h_Kode Sales :_1]="","",B$1+COUNT(B$2:B153))</f>
        <v>23050034</v>
      </c>
      <c r="C154" s="98">
        <v>45068</v>
      </c>
      <c r="D154" s="92" t="s">
        <v>242</v>
      </c>
      <c r="E154" s="97" t="s">
        <v>452</v>
      </c>
      <c r="F154" s="92" t="s">
        <v>96</v>
      </c>
      <c r="G154" s="95" t="str">
        <f>IF(Table1[[#This Row],[h_No. Invoice :]]="","",CONCATENATE("AM"," ",Table1[[#This Row],[h_No. Invoice :]]))</f>
        <v>AM 23050034</v>
      </c>
      <c r="H154" s="96" t="str">
        <f>CONCATENATE(UPPER(Table1[[#This Row],[h_Kode Sales :_1]])," ",Table1[[#This Row],[h_Kode Sales :_2]])</f>
        <v>G 4036</v>
      </c>
      <c r="I154" s="95" t="str">
        <f>IF(Table1[[#This Row],[h_toko]]="","",INDEX(Table2[e],IF(Table1[[#This Row],[h_toko]]="","",MATCH(Table1[[#This Row],[h_toko]],Table2[a],0)),))</f>
        <v>CV UTAMA PUTRA TULUNG AGUNG</v>
      </c>
      <c r="J154" s="92">
        <v>288</v>
      </c>
      <c r="K154" s="92" t="s">
        <v>132</v>
      </c>
      <c r="L154" s="92">
        <v>2</v>
      </c>
      <c r="M154" s="92" t="s">
        <v>453</v>
      </c>
      <c r="N154" s="291" t="str">
        <f>IF(Table1[[#This Row],[h_Item Description]]="","",INDEX([1]!db[NB PAJAK],MATCH(Table1[[#This Row],[h_Item Description]],[1]!db[kode],0)))</f>
        <v>GEL PEN KENKO KE-303 T-GEL TRIANGULAR</v>
      </c>
      <c r="O154" s="92" t="s">
        <v>454</v>
      </c>
      <c r="P154" s="93">
        <v>21600</v>
      </c>
      <c r="Q154" s="94">
        <v>0.125</v>
      </c>
      <c r="S154" s="294">
        <f>Table1[[#This Row],[h_hargasetelahdiskon]]</f>
        <v>5443200</v>
      </c>
      <c r="T154" s="93" t="s">
        <v>146</v>
      </c>
      <c r="V154" s="95">
        <f ca="1">IF(Table1[[#This Row],[Item Description]]="","",IF(Table1[[#This Row],[//]]="",INDIRECT(ADDRESS(ROW()-1,COLUMN())),Table1[[#This Row],[//]]))</f>
        <v>154</v>
      </c>
      <c r="W154" s="95">
        <f ca="1">IF(Table1[[#This Row],[h_id]]="","",COUNTIF(Table1[h_id],Table1[[#This Row],[h_id]]))</f>
        <v>1</v>
      </c>
      <c r="X154" s="93">
        <f>IF(Table1[Item Description]="","",Table1[[#This Row],[Qty]]*Table1[[#This Row],[Unit Price]])</f>
        <v>6220800</v>
      </c>
      <c r="Y154" s="93">
        <f>IF(Table1[[#This Row],[h_hargasebelumdiskon]]="","",IF(Table1[[#This Row],[Disc 1]]="",0,Table1[[#This Row],[h_hargasebelumdiskon]]*Table1[[#This Row],[Disc 1]]))</f>
        <v>777600</v>
      </c>
      <c r="Z154" s="93">
        <f>IF(Table1[[#This Row],[h_hargasebelumdiskon]]="","",IF(Table1[[#This Row],[Disc 2]]="",0,(Table1[[#This Row],[h_hargasebelumdiskon]]-Table1[[#This Row],[h_disc 1]])*Table1[[#This Row],[Disc 2]]))</f>
        <v>0</v>
      </c>
      <c r="AA154" s="93">
        <f>IF(Table1[Item Description]="","",Table1[[#This Row],[h_disc 1]]+Table1[[#This Row],[h_disc 2]])</f>
        <v>777600</v>
      </c>
      <c r="AB154" s="93">
        <f>IF(Table1[Item Description]="","",Table1[[#This Row],[h_hargasebelumdiskon]]-Table1[[#This Row],[h_diskon]])</f>
        <v>5443200</v>
      </c>
      <c r="AC154" s="93">
        <f ca="1">IF(Table1[//]="","",SUMIF(Table1[h_id],Table1[h_id],Table1[h_hargasetelahdiskon]))</f>
        <v>5443200</v>
      </c>
      <c r="AD154" s="93"/>
      <c r="AE154" s="93" t="str">
        <f>Table1[[#This Row],[Item Description]]&amp;Table1[[#This Row],[Unit]]&amp;Table1[[#This Row],[Unit Price]]</f>
        <v>GEL PEN KENKO KE-303 T-GEL TRIANGULARLSN21600</v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>
        <f>IF(Table1[[#This Row],[No. Invoice :]]="","",ROW())</f>
        <v>156</v>
      </c>
      <c r="B156" s="291">
        <f>IF(Table1[h_Kode Sales :_1]="","",B$1+COUNT(B$2:B155))</f>
        <v>23050035</v>
      </c>
      <c r="C156" s="98">
        <v>45069</v>
      </c>
      <c r="D156" s="92" t="s">
        <v>181</v>
      </c>
      <c r="E156" s="97" t="s">
        <v>456</v>
      </c>
      <c r="F156" s="92" t="s">
        <v>98</v>
      </c>
      <c r="G156" s="95" t="str">
        <f>IF(Table1[[#This Row],[h_No. Invoice :]]="","",CONCATENATE("AM"," ",Table1[[#This Row],[h_No. Invoice :]]))</f>
        <v>AM 23050035</v>
      </c>
      <c r="H156" s="96" t="str">
        <f>CONCATENATE(UPPER(Table1[[#This Row],[h_Kode Sales :_1]])," ",Table1[[#This Row],[h_Kode Sales :_2]])</f>
        <v>KO 4263</v>
      </c>
      <c r="I156" s="95" t="str">
        <f>IF(Table1[[#This Row],[h_toko]]="","",INDEX(Table2[e],IF(Table1[[#This Row],[h_toko]]="","",MATCH(Table1[[#This Row],[h_toko]],Table2[a],0)),))</f>
        <v>SOEYANTO LOPULUSI ( LANCAR ) MALANG</v>
      </c>
      <c r="J156" s="92">
        <v>576</v>
      </c>
      <c r="K156" s="92" t="s">
        <v>143</v>
      </c>
      <c r="L156" s="92">
        <v>2</v>
      </c>
      <c r="M156" s="92" t="s">
        <v>350</v>
      </c>
      <c r="N156" s="291" t="str">
        <f>IF(Table1[[#This Row],[h_Item Description]]="","",INDEX([1]!db[NB PAJAK],MATCH(Table1[[#This Row],[h_Item Description]],[1]!db[kode],0)))</f>
        <v>GUNTING JOYKO SC-828</v>
      </c>
      <c r="O156" s="92" t="s">
        <v>353</v>
      </c>
      <c r="P156" s="93">
        <v>4350</v>
      </c>
      <c r="Q156" s="94">
        <v>0.125</v>
      </c>
      <c r="S156" s="294">
        <f>Table1[[#This Row],[h_hargasetelahdiskon]]</f>
        <v>2192400</v>
      </c>
      <c r="T156" s="93" t="s">
        <v>146</v>
      </c>
      <c r="V156" s="95">
        <f ca="1">IF(Table1[[#This Row],[Item Description]]="","",IF(Table1[[#This Row],[//]]="",INDIRECT(ADDRESS(ROW()-1,COLUMN())),Table1[[#This Row],[//]]))</f>
        <v>156</v>
      </c>
      <c r="W156" s="95">
        <f ca="1">IF(Table1[[#This Row],[h_id]]="","",COUNTIF(Table1[h_id],Table1[[#This Row],[h_id]]))</f>
        <v>4</v>
      </c>
      <c r="X156" s="93">
        <f>IF(Table1[Item Description]="","",Table1[[#This Row],[Qty]]*Table1[[#This Row],[Unit Price]])</f>
        <v>2505600</v>
      </c>
      <c r="Y156" s="93">
        <f>IF(Table1[[#This Row],[h_hargasebelumdiskon]]="","",IF(Table1[[#This Row],[Disc 1]]="",0,Table1[[#This Row],[h_hargasebelumdiskon]]*Table1[[#This Row],[Disc 1]]))</f>
        <v>313200</v>
      </c>
      <c r="Z156" s="93">
        <f>IF(Table1[[#This Row],[h_hargasebelumdiskon]]="","",IF(Table1[[#This Row],[Disc 2]]="",0,(Table1[[#This Row],[h_hargasebelumdiskon]]-Table1[[#This Row],[h_disc 1]])*Table1[[#This Row],[Disc 2]]))</f>
        <v>0</v>
      </c>
      <c r="AA156" s="93">
        <f>IF(Table1[Item Description]="","",Table1[[#This Row],[h_disc 1]]+Table1[[#This Row],[h_disc 2]])</f>
        <v>313200</v>
      </c>
      <c r="AB156" s="93">
        <f>IF(Table1[Item Description]="","",Table1[[#This Row],[h_hargasebelumdiskon]]-Table1[[#This Row],[h_diskon]])</f>
        <v>2192400</v>
      </c>
      <c r="AC156" s="93">
        <f ca="1">IF(Table1[//]="","",SUMIF(Table1[h_id],Table1[h_id],Table1[h_hargasetelahdiskon]))</f>
        <v>11399500</v>
      </c>
      <c r="AD156" s="93"/>
      <c r="AE156" s="93" t="str">
        <f>Table1[[#This Row],[Item Description]]&amp;Table1[[#This Row],[Unit]]&amp;Table1[[#This Row],[Unit Price]]</f>
        <v>GUNTING JOYKO SC-828PCS4350</v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576</v>
      </c>
      <c r="K157" s="92" t="s">
        <v>143</v>
      </c>
      <c r="L157" s="92">
        <v>2</v>
      </c>
      <c r="M157" s="92" t="s">
        <v>351</v>
      </c>
      <c r="N157" s="291" t="str">
        <f>IF(Table1[[#This Row],[h_Item Description]]="","",INDEX([1]!db[NB PAJAK],MATCH(Table1[[#This Row],[h_Item Description]],[1]!db[kode],0)))</f>
        <v>GUNTING JOYKO SC-838</v>
      </c>
      <c r="O157" s="92" t="s">
        <v>354</v>
      </c>
      <c r="P157" s="93">
        <v>6500</v>
      </c>
      <c r="Q157" s="94">
        <v>0.125</v>
      </c>
      <c r="S157" s="294">
        <f>Table1[[#This Row],[h_hargasetelahdiskon]]</f>
        <v>3276000</v>
      </c>
      <c r="V157" s="95">
        <f ca="1">IF(Table1[[#This Row],[Item Description]]="","",IF(Table1[[#This Row],[//]]="",INDIRECT(ADDRESS(ROW()-1,COLUMN())),Table1[[#This Row],[//]]))</f>
        <v>156</v>
      </c>
      <c r="W157" s="95">
        <f ca="1">IF(Table1[[#This Row],[h_id]]="","",COUNTIF(Table1[h_id],Table1[[#This Row],[h_id]]))</f>
        <v>4</v>
      </c>
      <c r="X157" s="93">
        <f>IF(Table1[Item Description]="","",Table1[[#This Row],[Qty]]*Table1[[#This Row],[Unit Price]])</f>
        <v>3744000</v>
      </c>
      <c r="Y157" s="93">
        <f>IF(Table1[[#This Row],[h_hargasebelumdiskon]]="","",IF(Table1[[#This Row],[Disc 1]]="",0,Table1[[#This Row],[h_hargasebelumdiskon]]*Table1[[#This Row],[Disc 1]]))</f>
        <v>468000</v>
      </c>
      <c r="Z157" s="93">
        <f>IF(Table1[[#This Row],[h_hargasebelumdiskon]]="","",IF(Table1[[#This Row],[Disc 2]]="",0,(Table1[[#This Row],[h_hargasebelumdiskon]]-Table1[[#This Row],[h_disc 1]])*Table1[[#This Row],[Disc 2]]))</f>
        <v>0</v>
      </c>
      <c r="AA157" s="93">
        <f>IF(Table1[Item Description]="","",Table1[[#This Row],[h_disc 1]]+Table1[[#This Row],[h_disc 2]])</f>
        <v>468000</v>
      </c>
      <c r="AB157" s="93">
        <f>IF(Table1[Item Description]="","",Table1[[#This Row],[h_hargasebelumdiskon]]-Table1[[#This Row],[h_diskon]])</f>
        <v>3276000</v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>GUNTING JOYKO SC-838PCS6500</v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2000</v>
      </c>
      <c r="K158" s="92" t="s">
        <v>143</v>
      </c>
      <c r="L158" s="92">
        <v>2</v>
      </c>
      <c r="M158" s="92" t="s">
        <v>458</v>
      </c>
      <c r="N158" s="291" t="str">
        <f>IF(Table1[[#This Row],[h_Item Description]]="","",INDEX([1]!db[NB PAJAK],MATCH(Table1[[#This Row],[h_Item Description]],[1]!db[kode],0)))</f>
        <v>LABEL HARGA JOYKO LB-2RL (1 LINE PUTIH)</v>
      </c>
      <c r="O158" s="92" t="s">
        <v>459</v>
      </c>
      <c r="P158" s="93">
        <v>2050</v>
      </c>
      <c r="Q158" s="94">
        <v>0.125</v>
      </c>
      <c r="S158" s="294">
        <f>Table1[[#This Row],[h_hargasetelahdiskon]]</f>
        <v>3587500</v>
      </c>
      <c r="V158" s="95">
        <f ca="1">IF(Table1[[#This Row],[Item Description]]="","",IF(Table1[[#This Row],[//]]="",INDIRECT(ADDRESS(ROW()-1,COLUMN())),Table1[[#This Row],[//]]))</f>
        <v>156</v>
      </c>
      <c r="W158" s="95">
        <f ca="1">IF(Table1[[#This Row],[h_id]]="","",COUNTIF(Table1[h_id],Table1[[#This Row],[h_id]]))</f>
        <v>4</v>
      </c>
      <c r="X158" s="93">
        <f>IF(Table1[Item Description]="","",Table1[[#This Row],[Qty]]*Table1[[#This Row],[Unit Price]])</f>
        <v>4100000</v>
      </c>
      <c r="Y158" s="93">
        <f>IF(Table1[[#This Row],[h_hargasebelumdiskon]]="","",IF(Table1[[#This Row],[Disc 1]]="",0,Table1[[#This Row],[h_hargasebelumdiskon]]*Table1[[#This Row],[Disc 1]]))</f>
        <v>512500</v>
      </c>
      <c r="Z158" s="93">
        <f>IF(Table1[[#This Row],[h_hargasebelumdiskon]]="","",IF(Table1[[#This Row],[Disc 2]]="",0,(Table1[[#This Row],[h_hargasebelumdiskon]]-Table1[[#This Row],[h_disc 1]])*Table1[[#This Row],[Disc 2]]))</f>
        <v>0</v>
      </c>
      <c r="AA158" s="93">
        <f>IF(Table1[Item Description]="","",Table1[[#This Row],[h_disc 1]]+Table1[[#This Row],[h_disc 2]])</f>
        <v>512500</v>
      </c>
      <c r="AB158" s="93">
        <f>IF(Table1[Item Description]="","",Table1[[#This Row],[h_hargasebelumdiskon]]-Table1[[#This Row],[h_diskon]])</f>
        <v>3587500</v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>LABEL HARGA JOYKO LB-2RL (1 LINE PUTIH)PCS2050</v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72</v>
      </c>
      <c r="K159" s="92" t="s">
        <v>132</v>
      </c>
      <c r="L159" s="92">
        <v>1</v>
      </c>
      <c r="M159" s="92" t="s">
        <v>457</v>
      </c>
      <c r="N159" s="291" t="str">
        <f>IF(Table1[[#This Row],[h_Item Description]]="","",INDEX([1]!db[NB PAJAK],MATCH(Table1[[#This Row],[h_Item Description]],[1]!db[kode],0)))</f>
        <v>ISI PENSIL 2B 2.0 MM JOYKO PL-11</v>
      </c>
      <c r="O159" s="92" t="s">
        <v>460</v>
      </c>
      <c r="P159" s="93">
        <v>37200</v>
      </c>
      <c r="Q159" s="94">
        <v>0.125</v>
      </c>
      <c r="S159" s="294">
        <f>Table1[[#This Row],[h_hargasetelahdiskon]]</f>
        <v>2343600</v>
      </c>
      <c r="V159" s="95">
        <f ca="1">IF(Table1[[#This Row],[Item Description]]="","",IF(Table1[[#This Row],[//]]="",INDIRECT(ADDRESS(ROW()-1,COLUMN())),Table1[[#This Row],[//]]))</f>
        <v>156</v>
      </c>
      <c r="W159" s="95">
        <f ca="1">IF(Table1[[#This Row],[h_id]]="","",COUNTIF(Table1[h_id],Table1[[#This Row],[h_id]]))</f>
        <v>4</v>
      </c>
      <c r="X159" s="93">
        <f>IF(Table1[Item Description]="","",Table1[[#This Row],[Qty]]*Table1[[#This Row],[Unit Price]])</f>
        <v>2678400</v>
      </c>
      <c r="Y159" s="93">
        <f>IF(Table1[[#This Row],[h_hargasebelumdiskon]]="","",IF(Table1[[#This Row],[Disc 1]]="",0,Table1[[#This Row],[h_hargasebelumdiskon]]*Table1[[#This Row],[Disc 1]]))</f>
        <v>334800</v>
      </c>
      <c r="Z159" s="93">
        <f>IF(Table1[[#This Row],[h_hargasebelumdiskon]]="","",IF(Table1[[#This Row],[Disc 2]]="",0,(Table1[[#This Row],[h_hargasebelumdiskon]]-Table1[[#This Row],[h_disc 1]])*Table1[[#This Row],[Disc 2]]))</f>
        <v>0</v>
      </c>
      <c r="AA159" s="93">
        <f>IF(Table1[Item Description]="","",Table1[[#This Row],[h_disc 1]]+Table1[[#This Row],[h_disc 2]])</f>
        <v>334800</v>
      </c>
      <c r="AB159" s="93">
        <f>IF(Table1[Item Description]="","",Table1[[#This Row],[h_hargasebelumdiskon]]-Table1[[#This Row],[h_diskon]])</f>
        <v>2343600</v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>ISI PENSIL 2B 2.0 MM JOYKO PL-11LSN37200</v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>
        <f>IF(Table1[[#This Row],[No. Invoice :]]="","",ROW())</f>
        <v>161</v>
      </c>
      <c r="B161" s="291">
        <f>IF(Table1[h_Kode Sales :_1]="","",B$1+COUNT(B$2:B160))</f>
        <v>23050036</v>
      </c>
      <c r="C161" s="98">
        <v>45069</v>
      </c>
      <c r="D161" s="92" t="s">
        <v>181</v>
      </c>
      <c r="E161" s="97" t="s">
        <v>464</v>
      </c>
      <c r="F161" s="92" t="s">
        <v>142</v>
      </c>
      <c r="G161" s="95" t="str">
        <f>IF(Table1[[#This Row],[h_No. Invoice :]]="","",CONCATENATE("AM"," ",Table1[[#This Row],[h_No. Invoice :]]))</f>
        <v>AM 23050036</v>
      </c>
      <c r="H161" s="96" t="str">
        <f>CONCATENATE(UPPER(Table1[[#This Row],[h_Kode Sales :_1]])," ",Table1[[#This Row],[h_Kode Sales :_2]])</f>
        <v>KO 4401</v>
      </c>
      <c r="I161" s="95" t="str">
        <f>IF(Table1[[#This Row],[h_toko]]="","",INDEX(Table2[e],IF(Table1[[#This Row],[h_toko]]="","",MATCH(Table1[[#This Row],[h_toko]],Table2[a],0)),))</f>
        <v>CV PELITA JAYA (ANUGERAH SEJAHTERA) PURWOKERTO</v>
      </c>
      <c r="J161" s="92">
        <v>48</v>
      </c>
      <c r="K161" s="92" t="s">
        <v>132</v>
      </c>
      <c r="L161" s="92">
        <v>2</v>
      </c>
      <c r="M161" s="92" t="s">
        <v>424</v>
      </c>
      <c r="N161" s="291" t="str">
        <f>IF(Table1[[#This Row],[h_Item Description]]="","",INDEX([1]!db[NB PAJAK],MATCH(Table1[[#This Row],[h_Item Description]],[1]!db[kode],0)))</f>
        <v>JANGKA (MATH SET) JOYKO MS-55</v>
      </c>
      <c r="O161" s="92" t="s">
        <v>426</v>
      </c>
      <c r="P161" s="93">
        <v>89400</v>
      </c>
      <c r="Q161" s="94">
        <v>0.13500000000000001</v>
      </c>
      <c r="S161" s="294">
        <f>Table1[[#This Row],[h_hargasetelahdiskon]]</f>
        <v>3711888</v>
      </c>
      <c r="T161" s="93" t="s">
        <v>146</v>
      </c>
      <c r="V161" s="95">
        <f ca="1">IF(Table1[[#This Row],[Item Description]]="","",IF(Table1[[#This Row],[//]]="",INDIRECT(ADDRESS(ROW()-1,COLUMN())),Table1[[#This Row],[//]]))</f>
        <v>161</v>
      </c>
      <c r="W161" s="95">
        <f ca="1">IF(Table1[[#This Row],[h_id]]="","",COUNTIF(Table1[h_id],Table1[[#This Row],[h_id]]))</f>
        <v>1</v>
      </c>
      <c r="X161" s="93">
        <f>IF(Table1[Item Description]="","",Table1[[#This Row],[Qty]]*Table1[[#This Row],[Unit Price]])</f>
        <v>4291200</v>
      </c>
      <c r="Y161" s="93">
        <f>IF(Table1[[#This Row],[h_hargasebelumdiskon]]="","",IF(Table1[[#This Row],[Disc 1]]="",0,Table1[[#This Row],[h_hargasebelumdiskon]]*Table1[[#This Row],[Disc 1]]))</f>
        <v>579312</v>
      </c>
      <c r="Z161" s="93">
        <f>IF(Table1[[#This Row],[h_hargasebelumdiskon]]="","",IF(Table1[[#This Row],[Disc 2]]="",0,(Table1[[#This Row],[h_hargasebelumdiskon]]-Table1[[#This Row],[h_disc 1]])*Table1[[#This Row],[Disc 2]]))</f>
        <v>0</v>
      </c>
      <c r="AA161" s="93">
        <f>IF(Table1[Item Description]="","",Table1[[#This Row],[h_disc 1]]+Table1[[#This Row],[h_disc 2]])</f>
        <v>579312</v>
      </c>
      <c r="AB161" s="93">
        <f>IF(Table1[Item Description]="","",Table1[[#This Row],[h_hargasebelumdiskon]]-Table1[[#This Row],[h_diskon]])</f>
        <v>3711888</v>
      </c>
      <c r="AC161" s="93">
        <f ca="1">IF(Table1[//]="","",SUMIF(Table1[h_id],Table1[h_id],Table1[h_hargasetelahdiskon]))</f>
        <v>3711888</v>
      </c>
      <c r="AD161" s="93"/>
      <c r="AE161" s="93" t="str">
        <f>Table1[[#This Row],[Item Description]]&amp;Table1[[#This Row],[Unit]]&amp;Table1[[#This Row],[Unit Price]]</f>
        <v>JANGKA (MATH SET) JOYKO MS-55LSN89400</v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>
        <f>IF(Table1[[#This Row],[No. Invoice :]]="","",ROW())</f>
        <v>163</v>
      </c>
      <c r="B163" s="291">
        <f>IF(Table1[h_Kode Sales :_1]="","",B$1+COUNT(B$2:B162))</f>
        <v>23050037</v>
      </c>
      <c r="C163" s="98">
        <v>45069</v>
      </c>
      <c r="D163" s="92" t="s">
        <v>181</v>
      </c>
      <c r="E163" s="97" t="s">
        <v>467</v>
      </c>
      <c r="F163" s="92" t="s">
        <v>98</v>
      </c>
      <c r="G163" s="95" t="str">
        <f>IF(Table1[[#This Row],[h_No. Invoice :]]="","",CONCATENATE("AM"," ",Table1[[#This Row],[h_No. Invoice :]]))</f>
        <v>AM 23050037</v>
      </c>
      <c r="H163" s="96" t="str">
        <f>CONCATENATE(UPPER(Table1[[#This Row],[h_Kode Sales :_1]])," ",Table1[[#This Row],[h_Kode Sales :_2]])</f>
        <v>KO 1273</v>
      </c>
      <c r="I163" s="95" t="str">
        <f>IF(Table1[[#This Row],[h_toko]]="","",INDEX(Table2[e],IF(Table1[[#This Row],[h_toko]]="","",MATCH(Table1[[#This Row],[h_toko]],Table2[a],0)),))</f>
        <v>SOEYANTO LOPULUSI ( LANCAR ) MALANG</v>
      </c>
      <c r="J163" s="92">
        <v>288</v>
      </c>
      <c r="K163" s="92" t="s">
        <v>132</v>
      </c>
      <c r="L163" s="92">
        <v>2</v>
      </c>
      <c r="M163" s="92" t="s">
        <v>468</v>
      </c>
      <c r="N163" s="291" t="str">
        <f>IF(Table1[[#This Row],[h_Item Description]]="","",INDEX([1]!db[NB PAJAK],MATCH(Table1[[#This Row],[h_Item Description]],[1]!db[kode],0)))</f>
        <v>GEL PEN KENKO HI-TECH-H 0.28 MM HITAM</v>
      </c>
      <c r="O163" s="92" t="s">
        <v>154</v>
      </c>
      <c r="P163" s="93">
        <v>39000</v>
      </c>
      <c r="Q163" s="94">
        <v>0.125</v>
      </c>
      <c r="S163" s="294">
        <f>Table1[[#This Row],[h_hargasetelahdiskon]]</f>
        <v>9828000</v>
      </c>
      <c r="T163" s="93" t="s">
        <v>146</v>
      </c>
      <c r="V163" s="95">
        <f ca="1">IF(Table1[[#This Row],[Item Description]]="","",IF(Table1[[#This Row],[//]]="",INDIRECT(ADDRESS(ROW()-1,COLUMN())),Table1[[#This Row],[//]]))</f>
        <v>163</v>
      </c>
      <c r="W163" s="95">
        <f ca="1">IF(Table1[[#This Row],[h_id]]="","",COUNTIF(Table1[h_id],Table1[[#This Row],[h_id]]))</f>
        <v>2</v>
      </c>
      <c r="X163" s="93">
        <f>IF(Table1[Item Description]="","",Table1[[#This Row],[Qty]]*Table1[[#This Row],[Unit Price]])</f>
        <v>11232000</v>
      </c>
      <c r="Y163" s="93">
        <f>IF(Table1[[#This Row],[h_hargasebelumdiskon]]="","",IF(Table1[[#This Row],[Disc 1]]="",0,Table1[[#This Row],[h_hargasebelumdiskon]]*Table1[[#This Row],[Disc 1]]))</f>
        <v>1404000</v>
      </c>
      <c r="Z163" s="93">
        <f>IF(Table1[[#This Row],[h_hargasebelumdiskon]]="","",IF(Table1[[#This Row],[Disc 2]]="",0,(Table1[[#This Row],[h_hargasebelumdiskon]]-Table1[[#This Row],[h_disc 1]])*Table1[[#This Row],[Disc 2]]))</f>
        <v>0</v>
      </c>
      <c r="AA163" s="93">
        <f>IF(Table1[Item Description]="","",Table1[[#This Row],[h_disc 1]]+Table1[[#This Row],[h_disc 2]])</f>
        <v>1404000</v>
      </c>
      <c r="AB163" s="93">
        <f>IF(Table1[Item Description]="","",Table1[[#This Row],[h_hargasebelumdiskon]]-Table1[[#This Row],[h_diskon]])</f>
        <v>9828000</v>
      </c>
      <c r="AC163" s="93">
        <f ca="1">IF(Table1[//]="","",SUMIF(Table1[h_id],Table1[h_id],Table1[h_hargasetelahdiskon]))</f>
        <v>24948000</v>
      </c>
      <c r="AD163" s="93"/>
      <c r="AE163" s="93" t="str">
        <f>Table1[[#This Row],[Item Description]]&amp;Table1[[#This Row],[Unit]]&amp;Table1[[#This Row],[Unit Price]]</f>
        <v>GEL PEN KENKO HI-TECH-H 0.28 MM HITAMLSN39000</v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300</v>
      </c>
      <c r="K164" s="92" t="s">
        <v>132</v>
      </c>
      <c r="L164" s="92">
        <v>5</v>
      </c>
      <c r="M164" s="92" t="s">
        <v>344</v>
      </c>
      <c r="N164" s="291" t="str">
        <f>IF(Table1[[#This Row],[h_Item Description]]="","",INDEX([1]!db[NB PAJAK],MATCH(Table1[[#This Row],[h_Item Description]],[1]!db[kode],0)))</f>
        <v>CORRECTION TAPE JOYKO CT-522</v>
      </c>
      <c r="O164" s="92" t="s">
        <v>346</v>
      </c>
      <c r="P164" s="93">
        <v>57600</v>
      </c>
      <c r="Q164" s="94">
        <v>0.125</v>
      </c>
      <c r="S164" s="294">
        <f>Table1[[#This Row],[h_hargasetelahdiskon]]</f>
        <v>15120000</v>
      </c>
      <c r="V164" s="95">
        <f ca="1">IF(Table1[[#This Row],[Item Description]]="","",IF(Table1[[#This Row],[//]]="",INDIRECT(ADDRESS(ROW()-1,COLUMN())),Table1[[#This Row],[//]]))</f>
        <v>163</v>
      </c>
      <c r="W164" s="95">
        <f ca="1">IF(Table1[[#This Row],[h_id]]="","",COUNTIF(Table1[h_id],Table1[[#This Row],[h_id]]))</f>
        <v>2</v>
      </c>
      <c r="X164" s="93">
        <f>IF(Table1[Item Description]="","",Table1[[#This Row],[Qty]]*Table1[[#This Row],[Unit Price]])</f>
        <v>17280000</v>
      </c>
      <c r="Y164" s="93">
        <f>IF(Table1[[#This Row],[h_hargasebelumdiskon]]="","",IF(Table1[[#This Row],[Disc 1]]="",0,Table1[[#This Row],[h_hargasebelumdiskon]]*Table1[[#This Row],[Disc 1]]))</f>
        <v>2160000</v>
      </c>
      <c r="Z164" s="93">
        <f>IF(Table1[[#This Row],[h_hargasebelumdiskon]]="","",IF(Table1[[#This Row],[Disc 2]]="",0,(Table1[[#This Row],[h_hargasebelumdiskon]]-Table1[[#This Row],[h_disc 1]])*Table1[[#This Row],[Disc 2]]))</f>
        <v>0</v>
      </c>
      <c r="AA164" s="93">
        <f>IF(Table1[Item Description]="","",Table1[[#This Row],[h_disc 1]]+Table1[[#This Row],[h_disc 2]])</f>
        <v>2160000</v>
      </c>
      <c r="AB164" s="93">
        <f>IF(Table1[Item Description]="","",Table1[[#This Row],[h_hargasebelumdiskon]]-Table1[[#This Row],[h_diskon]])</f>
        <v>15120000</v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>CORRECTION TAPE JOYKO CT-522LSN57600</v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>
        <f>IF(Table1[[#This Row],[No. Invoice :]]="","",ROW())</f>
        <v>166</v>
      </c>
      <c r="B166" s="291">
        <f>IF(Table1[h_Kode Sales :_1]="","",B$1+COUNT(B$2:B165))</f>
        <v>23050038</v>
      </c>
      <c r="C166" s="98">
        <v>45069</v>
      </c>
      <c r="D166" s="92" t="s">
        <v>181</v>
      </c>
      <c r="E166" s="97" t="s">
        <v>470</v>
      </c>
      <c r="F166" s="92" t="s">
        <v>142</v>
      </c>
      <c r="G166" s="95" t="str">
        <f>IF(Table1[[#This Row],[h_No. Invoice :]]="","",CONCATENATE("AM"," ",Table1[[#This Row],[h_No. Invoice :]]))</f>
        <v>AM 23050038</v>
      </c>
      <c r="H166" s="96" t="str">
        <f>CONCATENATE(UPPER(Table1[[#This Row],[h_Kode Sales :_1]])," ",Table1[[#This Row],[h_Kode Sales :_2]])</f>
        <v>KO 4403</v>
      </c>
      <c r="I166" s="95" t="str">
        <f>IF(Table1[[#This Row],[h_toko]]="","",INDEX(Table2[e],IF(Table1[[#This Row],[h_toko]]="","",MATCH(Table1[[#This Row],[h_toko]],Table2[a],0)),))</f>
        <v>CV PELITA JAYA (ANUGERAH SEJAHTERA) PURWOKERTO</v>
      </c>
      <c r="J166" s="92">
        <v>20</v>
      </c>
      <c r="K166" s="92" t="s">
        <v>191</v>
      </c>
      <c r="L166" s="92">
        <v>1</v>
      </c>
      <c r="M166" s="92" t="s">
        <v>418</v>
      </c>
      <c r="N166" s="291" t="str">
        <f>IF(Table1[[#This Row],[h_Item Description]]="","",INDEX([1]!db[NB PAJAK],MATCH(Table1[[#This Row],[h_Item Description]],[1]!db[kode],0)))</f>
        <v>PAPER JUMBO CLIP KENKO NO. 5</v>
      </c>
      <c r="O166" s="92" t="s">
        <v>419</v>
      </c>
      <c r="P166" s="93">
        <v>43000</v>
      </c>
      <c r="Q166" s="94">
        <v>0.13500000000000001</v>
      </c>
      <c r="S166" s="294">
        <f>Table1[[#This Row],[h_hargasetelahdiskon]]</f>
        <v>743900</v>
      </c>
      <c r="T166" s="93" t="s">
        <v>146</v>
      </c>
      <c r="V166" s="95">
        <f ca="1">IF(Table1[[#This Row],[Item Description]]="","",IF(Table1[[#This Row],[//]]="",INDIRECT(ADDRESS(ROW()-1,COLUMN())),Table1[[#This Row],[//]]))</f>
        <v>166</v>
      </c>
      <c r="W166" s="95">
        <f ca="1">IF(Table1[[#This Row],[h_id]]="","",COUNTIF(Table1[h_id],Table1[[#This Row],[h_id]]))</f>
        <v>2</v>
      </c>
      <c r="X166" s="93">
        <f>IF(Table1[Item Description]="","",Table1[[#This Row],[Qty]]*Table1[[#This Row],[Unit Price]])</f>
        <v>860000</v>
      </c>
      <c r="Y166" s="93">
        <f>IF(Table1[[#This Row],[h_hargasebelumdiskon]]="","",IF(Table1[[#This Row],[Disc 1]]="",0,Table1[[#This Row],[h_hargasebelumdiskon]]*Table1[[#This Row],[Disc 1]]))</f>
        <v>116100.00000000001</v>
      </c>
      <c r="Z166" s="93">
        <f>IF(Table1[[#This Row],[h_hargasebelumdiskon]]="","",IF(Table1[[#This Row],[Disc 2]]="",0,(Table1[[#This Row],[h_hargasebelumdiskon]]-Table1[[#This Row],[h_disc 1]])*Table1[[#This Row],[Disc 2]]))</f>
        <v>0</v>
      </c>
      <c r="AA166" s="93">
        <f>IF(Table1[Item Description]="","",Table1[[#This Row],[h_disc 1]]+Table1[[#This Row],[h_disc 2]])</f>
        <v>116100.00000000001</v>
      </c>
      <c r="AB166" s="93">
        <f>IF(Table1[Item Description]="","",Table1[[#This Row],[h_hargasebelumdiskon]]-Table1[[#This Row],[h_diskon]])</f>
        <v>743900</v>
      </c>
      <c r="AC166" s="93">
        <f ca="1">IF(Table1[//]="","",SUMIF(Table1[h_id],Table1[h_id],Table1[h_hargasetelahdiskon]))</f>
        <v>2223050</v>
      </c>
      <c r="AD166" s="93"/>
      <c r="AE166" s="93" t="str">
        <f>Table1[[#This Row],[Item Description]]&amp;Table1[[#This Row],[Unit]]&amp;Table1[[#This Row],[Unit Price]]</f>
        <v>PAPER JUMBO CLIP KENKO NO. 5PAK43000</v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J167" s="92">
        <v>30</v>
      </c>
      <c r="K167" s="92" t="s">
        <v>132</v>
      </c>
      <c r="L167" s="92">
        <v>1</v>
      </c>
      <c r="M167" s="92" t="s">
        <v>303</v>
      </c>
      <c r="N167" s="291" t="str">
        <f>IF(Table1[[#This Row],[h_Item Description]]="","",INDEX([1]!db[NB PAJAK],MATCH(Table1[[#This Row],[h_Item Description]],[1]!db[kode],0)))</f>
        <v>CUTTER 9 MM KENKO A-300 (KECIL)</v>
      </c>
      <c r="O167" s="92" t="s">
        <v>295</v>
      </c>
      <c r="P167" s="93">
        <v>57000</v>
      </c>
      <c r="Q167" s="94">
        <v>0.13500000000000001</v>
      </c>
      <c r="S167" s="294">
        <f>Table1[[#This Row],[h_hargasetelahdiskon]]</f>
        <v>1479150</v>
      </c>
      <c r="V167" s="95">
        <f ca="1">IF(Table1[[#This Row],[Item Description]]="","",IF(Table1[[#This Row],[//]]="",INDIRECT(ADDRESS(ROW()-1,COLUMN())),Table1[[#This Row],[//]]))</f>
        <v>166</v>
      </c>
      <c r="W167" s="95">
        <f ca="1">IF(Table1[[#This Row],[h_id]]="","",COUNTIF(Table1[h_id],Table1[[#This Row],[h_id]]))</f>
        <v>2</v>
      </c>
      <c r="X167" s="93">
        <f>IF(Table1[Item Description]="","",Table1[[#This Row],[Qty]]*Table1[[#This Row],[Unit Price]])</f>
        <v>1710000</v>
      </c>
      <c r="Y167" s="93">
        <f>IF(Table1[[#This Row],[h_hargasebelumdiskon]]="","",IF(Table1[[#This Row],[Disc 1]]="",0,Table1[[#This Row],[h_hargasebelumdiskon]]*Table1[[#This Row],[Disc 1]]))</f>
        <v>230850.00000000003</v>
      </c>
      <c r="Z167" s="93">
        <f>IF(Table1[[#This Row],[h_hargasebelumdiskon]]="","",IF(Table1[[#This Row],[Disc 2]]="",0,(Table1[[#This Row],[h_hargasebelumdiskon]]-Table1[[#This Row],[h_disc 1]])*Table1[[#This Row],[Disc 2]]))</f>
        <v>0</v>
      </c>
      <c r="AA167" s="93">
        <f>IF(Table1[Item Description]="","",Table1[[#This Row],[h_disc 1]]+Table1[[#This Row],[h_disc 2]])</f>
        <v>230850.00000000003</v>
      </c>
      <c r="AB167" s="93">
        <f>IF(Table1[Item Description]="","",Table1[[#This Row],[h_hargasebelumdiskon]]-Table1[[#This Row],[h_diskon]])</f>
        <v>1479150</v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>CUTTER 9 MM KENKO A-300 (KECIL)LSN57000</v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>
        <f>IF(Table1[[#This Row],[No. Invoice :]]="","",ROW())</f>
        <v>169</v>
      </c>
      <c r="B169" s="291">
        <f>IF(Table1[h_Kode Sales :_1]="","",B$1+COUNT(B$2:B168))</f>
        <v>23050039</v>
      </c>
      <c r="C169" s="98">
        <v>45069</v>
      </c>
      <c r="D169" s="92" t="s">
        <v>140</v>
      </c>
      <c r="E169" s="97" t="s">
        <v>471</v>
      </c>
      <c r="F169" s="92" t="s">
        <v>472</v>
      </c>
      <c r="G169" s="95" t="str">
        <f>IF(Table1[[#This Row],[h_No. Invoice :]]="","",CONCATENATE("AM"," ",Table1[[#This Row],[h_No. Invoice :]]))</f>
        <v>AM 23050039</v>
      </c>
      <c r="H169" s="96" t="str">
        <f>CONCATENATE(UPPER(Table1[[#This Row],[h_Kode Sales :_1]])," ",Table1[[#This Row],[h_Kode Sales :_2]])</f>
        <v>KO 4404</v>
      </c>
      <c r="I169" s="95" t="str">
        <f>IF(Table1[[#This Row],[h_toko]]="","",INDEX(Table2[e],IF(Table1[[#This Row],[h_toko]]="","",MATCH(Table1[[#This Row],[h_toko]],Table2[a],0)),))</f>
        <v>HARNOYO (BENDAN) PEKALONGAN</v>
      </c>
      <c r="J169" s="92">
        <v>25</v>
      </c>
      <c r="K169" s="92" t="s">
        <v>132</v>
      </c>
      <c r="L169" s="92">
        <v>1</v>
      </c>
      <c r="M169" s="92" t="s">
        <v>186</v>
      </c>
      <c r="N169" s="291" t="str">
        <f>IF(Table1[[#This Row],[h_Item Description]]="","",INDEX([1]!db[NB PAJAK],MATCH(Table1[[#This Row],[h_Item Description]],[1]!db[kode],0)))</f>
        <v>GUNTING KENKO SC-838N</v>
      </c>
      <c r="O169" s="92" t="s">
        <v>205</v>
      </c>
      <c r="P169" s="93">
        <v>79800</v>
      </c>
      <c r="Q169" s="94">
        <v>0.14000000000000001</v>
      </c>
      <c r="S169" s="294">
        <f>Table1[[#This Row],[h_hargasetelahdiskon]]</f>
        <v>1715700</v>
      </c>
      <c r="T169" s="93" t="s">
        <v>146</v>
      </c>
      <c r="V169" s="95">
        <f ca="1">IF(Table1[[#This Row],[Item Description]]="","",IF(Table1[[#This Row],[//]]="",INDIRECT(ADDRESS(ROW()-1,COLUMN())),Table1[[#This Row],[//]]))</f>
        <v>169</v>
      </c>
      <c r="W169" s="95">
        <f ca="1">IF(Table1[[#This Row],[h_id]]="","",COUNTIF(Table1[h_id],Table1[[#This Row],[h_id]]))</f>
        <v>1</v>
      </c>
      <c r="X169" s="93">
        <f>IF(Table1[Item Description]="","",Table1[[#This Row],[Qty]]*Table1[[#This Row],[Unit Price]])</f>
        <v>1995000</v>
      </c>
      <c r="Y169" s="93">
        <f>IF(Table1[[#This Row],[h_hargasebelumdiskon]]="","",IF(Table1[[#This Row],[Disc 1]]="",0,Table1[[#This Row],[h_hargasebelumdiskon]]*Table1[[#This Row],[Disc 1]]))</f>
        <v>279300</v>
      </c>
      <c r="Z169" s="93">
        <f>IF(Table1[[#This Row],[h_hargasebelumdiskon]]="","",IF(Table1[[#This Row],[Disc 2]]="",0,(Table1[[#This Row],[h_hargasebelumdiskon]]-Table1[[#This Row],[h_disc 1]])*Table1[[#This Row],[Disc 2]]))</f>
        <v>0</v>
      </c>
      <c r="AA169" s="93">
        <f>IF(Table1[Item Description]="","",Table1[[#This Row],[h_disc 1]]+Table1[[#This Row],[h_disc 2]])</f>
        <v>279300</v>
      </c>
      <c r="AB169" s="93">
        <f>IF(Table1[Item Description]="","",Table1[[#This Row],[h_hargasebelumdiskon]]-Table1[[#This Row],[h_diskon]])</f>
        <v>1715700</v>
      </c>
      <c r="AC169" s="93">
        <f ca="1">IF(Table1[//]="","",SUMIF(Table1[h_id],Table1[h_id],Table1[h_hargasetelahdiskon]))</f>
        <v>1715700</v>
      </c>
      <c r="AD169" s="93"/>
      <c r="AE169" s="93" t="str">
        <f>Table1[[#This Row],[Item Description]]&amp;Table1[[#This Row],[Unit]]&amp;Table1[[#This Row],[Unit Price]]</f>
        <v>GUNTING KENKO SC-838NLSN79800</v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>
        <f>IF(Table1[[#This Row],[No. Invoice :]]="","",ROW())</f>
        <v>171</v>
      </c>
      <c r="B171" s="291">
        <f>IF(Table1[h_Kode Sales :_1]="","",B$1+COUNT(B$2:B170))</f>
        <v>23050040</v>
      </c>
      <c r="C171" s="98">
        <v>45070</v>
      </c>
      <c r="D171" s="92" t="s">
        <v>242</v>
      </c>
      <c r="E171" s="97" t="s">
        <v>473</v>
      </c>
      <c r="F171" s="92" t="s">
        <v>131</v>
      </c>
      <c r="G171" s="95" t="str">
        <f>IF(Table1[[#This Row],[h_No. Invoice :]]="","",CONCATENATE("AM"," ",Table1[[#This Row],[h_No. Invoice :]]))</f>
        <v>AM 23050040</v>
      </c>
      <c r="H171" s="96" t="str">
        <f>CONCATENATE(UPPER(Table1[[#This Row],[h_Kode Sales :_1]])," ",Table1[[#This Row],[h_Kode Sales :_2]])</f>
        <v>G 4332</v>
      </c>
      <c r="I171" s="95" t="str">
        <f>IF(Table1[[#This Row],[h_toko]]="","",INDEX(Table2[e],IF(Table1[[#This Row],[h_toko]]="","",MATCH(Table1[[#This Row],[h_toko]],Table2[a],0)),))</f>
        <v>LILY JULIAWATI (REJO AGUNG) JOMBANG</v>
      </c>
      <c r="J171" s="92">
        <v>150</v>
      </c>
      <c r="K171" s="92" t="s">
        <v>244</v>
      </c>
      <c r="L171" s="92">
        <v>3</v>
      </c>
      <c r="M171" s="92" t="s">
        <v>302</v>
      </c>
      <c r="N171" s="291" t="str">
        <f>IF(Table1[[#This Row],[h_Item Description]]="","",INDEX([1]!db[NB PAJAK],MATCH(Table1[[#This Row],[h_Item Description]],[1]!db[kode],0)))</f>
        <v>STIP / PENGHAPUS JOYKO 526-B40P PUTIH</v>
      </c>
      <c r="O171" s="92" t="s">
        <v>305</v>
      </c>
      <c r="P171" s="93">
        <v>28300</v>
      </c>
      <c r="Q171" s="94">
        <v>0.125</v>
      </c>
      <c r="S171" s="294">
        <f>Table1[[#This Row],[h_hargasetelahdiskon]]</f>
        <v>3714375</v>
      </c>
      <c r="T171" s="93" t="s">
        <v>146</v>
      </c>
      <c r="V171" s="95">
        <f ca="1">IF(Table1[[#This Row],[Item Description]]="","",IF(Table1[[#This Row],[//]]="",INDIRECT(ADDRESS(ROW()-1,COLUMN())),Table1[[#This Row],[//]]))</f>
        <v>171</v>
      </c>
      <c r="W171" s="95">
        <f ca="1">IF(Table1[[#This Row],[h_id]]="","",COUNTIF(Table1[h_id],Table1[[#This Row],[h_id]]))</f>
        <v>2</v>
      </c>
      <c r="X171" s="93">
        <f>IF(Table1[Item Description]="","",Table1[[#This Row],[Qty]]*Table1[[#This Row],[Unit Price]])</f>
        <v>4245000</v>
      </c>
      <c r="Y171" s="93">
        <f>IF(Table1[[#This Row],[h_hargasebelumdiskon]]="","",IF(Table1[[#This Row],[Disc 1]]="",0,Table1[[#This Row],[h_hargasebelumdiskon]]*Table1[[#This Row],[Disc 1]]))</f>
        <v>530625</v>
      </c>
      <c r="Z171" s="93">
        <f>IF(Table1[[#This Row],[h_hargasebelumdiskon]]="","",IF(Table1[[#This Row],[Disc 2]]="",0,(Table1[[#This Row],[h_hargasebelumdiskon]]-Table1[[#This Row],[h_disc 1]])*Table1[[#This Row],[Disc 2]]))</f>
        <v>0</v>
      </c>
      <c r="AA171" s="93">
        <f>IF(Table1[Item Description]="","",Table1[[#This Row],[h_disc 1]]+Table1[[#This Row],[h_disc 2]])</f>
        <v>530625</v>
      </c>
      <c r="AB171" s="93">
        <f>IF(Table1[Item Description]="","",Table1[[#This Row],[h_hargasebelumdiskon]]-Table1[[#This Row],[h_diskon]])</f>
        <v>3714375</v>
      </c>
      <c r="AC171" s="93">
        <f ca="1">IF(Table1[//]="","",SUMIF(Table1[h_id],Table1[h_id],Table1[h_hargasetelahdiskon]))</f>
        <v>5206250</v>
      </c>
      <c r="AD171" s="93"/>
      <c r="AE171" s="93" t="str">
        <f>Table1[[#This Row],[Item Description]]&amp;Table1[[#This Row],[Unit]]&amp;Table1[[#This Row],[Unit Price]]</f>
        <v>STIP / PENGHAPUS JOYKO 526-B40P PUTIHBOX28300</v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50</v>
      </c>
      <c r="K172" s="92" t="s">
        <v>244</v>
      </c>
      <c r="L172" s="92">
        <v>1</v>
      </c>
      <c r="M172" s="92" t="s">
        <v>282</v>
      </c>
      <c r="N172" s="291" t="str">
        <f>IF(Table1[[#This Row],[h_Item Description]]="","",INDEX([1]!db[NB PAJAK],MATCH(Table1[[#This Row],[h_Item Description]],[1]!db[kode],0)))</f>
        <v>STIP / PENGHAPUS JOYKO 526-B20 PUTIH</v>
      </c>
      <c r="O172" s="92" t="s">
        <v>283</v>
      </c>
      <c r="P172" s="93">
        <v>34100</v>
      </c>
      <c r="Q172" s="94">
        <v>0.125</v>
      </c>
      <c r="S172" s="294">
        <f>Table1[[#This Row],[h_hargasetelahdiskon]]</f>
        <v>1491875</v>
      </c>
      <c r="V172" s="95">
        <f ca="1">IF(Table1[[#This Row],[Item Description]]="","",IF(Table1[[#This Row],[//]]="",INDIRECT(ADDRESS(ROW()-1,COLUMN())),Table1[[#This Row],[//]]))</f>
        <v>171</v>
      </c>
      <c r="W172" s="95">
        <f ca="1">IF(Table1[[#This Row],[h_id]]="","",COUNTIF(Table1[h_id],Table1[[#This Row],[h_id]]))</f>
        <v>2</v>
      </c>
      <c r="X172" s="93">
        <f>IF(Table1[Item Description]="","",Table1[[#This Row],[Qty]]*Table1[[#This Row],[Unit Price]])</f>
        <v>1705000</v>
      </c>
      <c r="Y172" s="93">
        <f>IF(Table1[[#This Row],[h_hargasebelumdiskon]]="","",IF(Table1[[#This Row],[Disc 1]]="",0,Table1[[#This Row],[h_hargasebelumdiskon]]*Table1[[#This Row],[Disc 1]]))</f>
        <v>213125</v>
      </c>
      <c r="Z172" s="93">
        <f>IF(Table1[[#This Row],[h_hargasebelumdiskon]]="","",IF(Table1[[#This Row],[Disc 2]]="",0,(Table1[[#This Row],[h_hargasebelumdiskon]]-Table1[[#This Row],[h_disc 1]])*Table1[[#This Row],[Disc 2]]))</f>
        <v>0</v>
      </c>
      <c r="AA172" s="93">
        <f>IF(Table1[Item Description]="","",Table1[[#This Row],[h_disc 1]]+Table1[[#This Row],[h_disc 2]])</f>
        <v>213125</v>
      </c>
      <c r="AB172" s="93">
        <f>IF(Table1[Item Description]="","",Table1[[#This Row],[h_hargasebelumdiskon]]-Table1[[#This Row],[h_diskon]])</f>
        <v>1491875</v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>STIP / PENGHAPUS JOYKO 526-B20 PUTIHBOX34100</v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>
        <f>IF(Table1[[#This Row],[No. Invoice :]]="","",ROW())</f>
        <v>174</v>
      </c>
      <c r="B174" s="291">
        <f>IF(Table1[h_Kode Sales :_1]="","",B$1+COUNT(B$2:B173))</f>
        <v>23050041</v>
      </c>
      <c r="C174" s="98">
        <v>45073</v>
      </c>
      <c r="D174" s="92" t="s">
        <v>181</v>
      </c>
      <c r="E174" s="97" t="s">
        <v>478</v>
      </c>
      <c r="F174" s="92" t="s">
        <v>479</v>
      </c>
      <c r="G174" s="95" t="str">
        <f>IF(Table1[[#This Row],[h_No. Invoice :]]="","",CONCATENATE("AM"," ",Table1[[#This Row],[h_No. Invoice :]]))</f>
        <v>AM 23050041</v>
      </c>
      <c r="H174" s="96" t="str">
        <f>CONCATENATE(UPPER(Table1[[#This Row],[h_Kode Sales :_1]])," ",Table1[[#This Row],[h_Kode Sales :_2]])</f>
        <v>KO 4503</v>
      </c>
      <c r="I174" s="95" t="str">
        <f>IF(Table1[[#This Row],[h_toko]]="","",INDEX(Table2[e],IF(Table1[[#This Row],[h_toko]]="","",MATCH(Table1[[#This Row],[h_toko]],Table2[a],0)),))</f>
        <v>SETIAWAN BUDIONO ( PRIMA ) PEKALONGAN</v>
      </c>
      <c r="J174" s="92">
        <v>500</v>
      </c>
      <c r="K174" s="92" t="s">
        <v>143</v>
      </c>
      <c r="N174" s="291" t="str">
        <f>IF(Table1[[#This Row],[h_Item Description]]="","",INDEX([1]!db[NB PAJAK],MATCH(Table1[[#This Row],[h_Item Description]],[1]!db[kode],0)))</f>
        <v/>
      </c>
      <c r="O174" s="92" t="s">
        <v>480</v>
      </c>
      <c r="P174" s="93">
        <v>3700</v>
      </c>
      <c r="Q174" s="94">
        <v>0.125</v>
      </c>
      <c r="S174" s="294">
        <f>Table1[[#This Row],[h_hargasetelahdiskon]]</f>
        <v>1618750</v>
      </c>
      <c r="T174" s="93" t="s">
        <v>156</v>
      </c>
      <c r="V174" s="95">
        <f ca="1">IF(Table1[[#This Row],[Item Description]]="","",IF(Table1[[#This Row],[//]]="",INDIRECT(ADDRESS(ROW()-1,COLUMN())),Table1[[#This Row],[//]]))</f>
        <v>174</v>
      </c>
      <c r="W174" s="95">
        <f ca="1">IF(Table1[[#This Row],[h_id]]="","",COUNTIF(Table1[h_id],Table1[[#This Row],[h_id]]))</f>
        <v>1</v>
      </c>
      <c r="X174" s="93">
        <f>IF(Table1[Item Description]="","",Table1[[#This Row],[Qty]]*Table1[[#This Row],[Unit Price]])</f>
        <v>1850000</v>
      </c>
      <c r="Y174" s="93">
        <f>IF(Table1[[#This Row],[h_hargasebelumdiskon]]="","",IF(Table1[[#This Row],[Disc 1]]="",0,Table1[[#This Row],[h_hargasebelumdiskon]]*Table1[[#This Row],[Disc 1]]))</f>
        <v>231250</v>
      </c>
      <c r="Z174" s="93">
        <f>IF(Table1[[#This Row],[h_hargasebelumdiskon]]="","",IF(Table1[[#This Row],[Disc 2]]="",0,(Table1[[#This Row],[h_hargasebelumdiskon]]-Table1[[#This Row],[h_disc 1]])*Table1[[#This Row],[Disc 2]]))</f>
        <v>0</v>
      </c>
      <c r="AA174" s="93">
        <f>IF(Table1[Item Description]="","",Table1[[#This Row],[h_disc 1]]+Table1[[#This Row],[h_disc 2]])</f>
        <v>231250</v>
      </c>
      <c r="AB174" s="93">
        <f>IF(Table1[Item Description]="","",Table1[[#This Row],[h_hargasebelumdiskon]]-Table1[[#This Row],[h_diskon]])</f>
        <v>1618750</v>
      </c>
      <c r="AC174" s="93">
        <f ca="1">IF(Table1[//]="","",SUMIF(Table1[h_id],Table1[h_id],Table1[h_hargasetelahdiskon]))</f>
        <v>1618750</v>
      </c>
      <c r="AD174" s="93"/>
      <c r="AE174" s="93" t="str">
        <f>Table1[[#This Row],[Item Description]]&amp;Table1[[#This Row],[Unit]]&amp;Table1[[#This Row],[Unit Price]]</f>
        <v>HIGHLIGHTER / STABILLO JOYKO HL-1/2/3/4/5 (Kn/Hj/Br/Pink/Or)PCS3700</v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>
        <f>IF(Table1[[#This Row],[No. Invoice :]]="","",ROW())</f>
        <v>176</v>
      </c>
      <c r="B176" s="291">
        <f>IF(Table1[h_Kode Sales :_1]="","",B$1+COUNT(B$2:B175))</f>
        <v>23050042</v>
      </c>
      <c r="C176" s="98">
        <v>45075</v>
      </c>
      <c r="D176" s="92" t="s">
        <v>181</v>
      </c>
      <c r="E176" s="97" t="s">
        <v>482</v>
      </c>
      <c r="F176" s="92" t="s">
        <v>142</v>
      </c>
      <c r="G176" s="95" t="str">
        <f>IF(Table1[[#This Row],[h_No. Invoice :]]="","",CONCATENATE("AM"," ",Table1[[#This Row],[h_No. Invoice :]]))</f>
        <v>AM 23050042</v>
      </c>
      <c r="H176" s="96" t="str">
        <f>CONCATENATE(UPPER(Table1[[#This Row],[h_Kode Sales :_1]])," ",Table1[[#This Row],[h_Kode Sales :_2]])</f>
        <v>KO 4426</v>
      </c>
      <c r="I176" s="95" t="str">
        <f>IF(Table1[[#This Row],[h_toko]]="","",INDEX(Table2[e],IF(Table1[[#This Row],[h_toko]]="","",MATCH(Table1[[#This Row],[h_toko]],Table2[a],0)),))</f>
        <v>CV PELITA JAYA (ANUGERAH SEJAHTERA) PURWOKERTO</v>
      </c>
      <c r="J176" s="92">
        <v>1000</v>
      </c>
      <c r="K176" s="92" t="s">
        <v>143</v>
      </c>
      <c r="L176" s="92">
        <v>2</v>
      </c>
      <c r="M176" s="92" t="s">
        <v>483</v>
      </c>
      <c r="N176" s="291" t="str">
        <f>IF(Table1[[#This Row],[h_Item Description]]="","",INDEX([1]!db[NB PAJAK],MATCH(Table1[[#This Row],[h_Item Description]],[1]!db[kode],0)))</f>
        <v>LABEL HARGA JOYKO LB-3 (2 LINE KUNING FLUOR)</v>
      </c>
      <c r="O176" s="92" t="s">
        <v>484</v>
      </c>
      <c r="P176" s="93">
        <v>4300</v>
      </c>
      <c r="Q176" s="94">
        <v>0.13500000000000001</v>
      </c>
      <c r="S176" s="294">
        <f>Table1[[#This Row],[h_hargasetelahdiskon]]</f>
        <v>3719500</v>
      </c>
      <c r="T176" s="93" t="s">
        <v>146</v>
      </c>
      <c r="V176" s="95">
        <f ca="1">IF(Table1[[#This Row],[Item Description]]="","",IF(Table1[[#This Row],[//]]="",INDIRECT(ADDRESS(ROW()-1,COLUMN())),Table1[[#This Row],[//]]))</f>
        <v>176</v>
      </c>
      <c r="W176" s="95">
        <f ca="1">IF(Table1[[#This Row],[h_id]]="","",COUNTIF(Table1[h_id],Table1[[#This Row],[h_id]]))</f>
        <v>1</v>
      </c>
      <c r="X176" s="93">
        <f>IF(Table1[Item Description]="","",Table1[[#This Row],[Qty]]*Table1[[#This Row],[Unit Price]])</f>
        <v>4300000</v>
      </c>
      <c r="Y176" s="93">
        <f>IF(Table1[[#This Row],[h_hargasebelumdiskon]]="","",IF(Table1[[#This Row],[Disc 1]]="",0,Table1[[#This Row],[h_hargasebelumdiskon]]*Table1[[#This Row],[Disc 1]]))</f>
        <v>580500</v>
      </c>
      <c r="Z176" s="93">
        <f>IF(Table1[[#This Row],[h_hargasebelumdiskon]]="","",IF(Table1[[#This Row],[Disc 2]]="",0,(Table1[[#This Row],[h_hargasebelumdiskon]]-Table1[[#This Row],[h_disc 1]])*Table1[[#This Row],[Disc 2]]))</f>
        <v>0</v>
      </c>
      <c r="AA176" s="93">
        <f>IF(Table1[Item Description]="","",Table1[[#This Row],[h_disc 1]]+Table1[[#This Row],[h_disc 2]])</f>
        <v>580500</v>
      </c>
      <c r="AB176" s="93">
        <f>IF(Table1[Item Description]="","",Table1[[#This Row],[h_hargasebelumdiskon]]-Table1[[#This Row],[h_diskon]])</f>
        <v>3719500</v>
      </c>
      <c r="AC176" s="93">
        <f ca="1">IF(Table1[//]="","",SUMIF(Table1[h_id],Table1[h_id],Table1[h_hargasetelahdiskon]))</f>
        <v>3719500</v>
      </c>
      <c r="AD176" s="93"/>
      <c r="AE176" s="93" t="str">
        <f>Table1[[#This Row],[Item Description]]&amp;Table1[[#This Row],[Unit]]&amp;Table1[[#This Row],[Unit Price]]</f>
        <v>LABEL HARGA JOYKO LB-3 (2 LINE KUNING FLUOR)PCS4300</v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>
        <f>IF(Table1[[#This Row],[No. Invoice :]]="","",ROW())</f>
        <v>178</v>
      </c>
      <c r="B178" s="291">
        <f>IF(Table1[h_Kode Sales :_1]="","",B$1+COUNT(B$2:B177))</f>
        <v>23050043</v>
      </c>
      <c r="C178" s="98">
        <v>45076</v>
      </c>
      <c r="D178" s="92" t="s">
        <v>129</v>
      </c>
      <c r="E178" s="97" t="s">
        <v>486</v>
      </c>
      <c r="F178" s="92" t="s">
        <v>131</v>
      </c>
      <c r="G178" s="95" t="str">
        <f>IF(Table1[[#This Row],[h_No. Invoice :]]="","",CONCATENATE("AM"," ",Table1[[#This Row],[h_No. Invoice :]]))</f>
        <v>AM 23050043</v>
      </c>
      <c r="H178" s="96" t="str">
        <f>CONCATENATE(UPPER(Table1[[#This Row],[h_Kode Sales :_1]])," ",Table1[[#This Row],[h_Kode Sales :_2]])</f>
        <v>G 4429</v>
      </c>
      <c r="I178" s="95" t="str">
        <f>IF(Table1[[#This Row],[h_toko]]="","",INDEX(Table2[e],IF(Table1[[#This Row],[h_toko]]="","",MATCH(Table1[[#This Row],[h_toko]],Table2[a],0)),))</f>
        <v>LILY JULIAWATI (REJO AGUNG) JOMBANG</v>
      </c>
      <c r="J178" s="92">
        <v>100</v>
      </c>
      <c r="K178" s="92" t="s">
        <v>244</v>
      </c>
      <c r="L178" s="92">
        <v>2</v>
      </c>
      <c r="M178" s="92" t="s">
        <v>302</v>
      </c>
      <c r="N178" s="291" t="str">
        <f>IF(Table1[[#This Row],[h_Item Description]]="","",INDEX([1]!db[NB PAJAK],MATCH(Table1[[#This Row],[h_Item Description]],[1]!db[kode],0)))</f>
        <v>STIP / PENGHAPUS JOYKO 526-B40P PUTIH</v>
      </c>
      <c r="O178" s="92" t="s">
        <v>305</v>
      </c>
      <c r="P178" s="93">
        <v>28300</v>
      </c>
      <c r="Q178" s="94">
        <v>0.125</v>
      </c>
      <c r="S178" s="294">
        <f>Table1[[#This Row],[h_hargasetelahdiskon]]</f>
        <v>2476250</v>
      </c>
      <c r="T178" s="93" t="s">
        <v>146</v>
      </c>
      <c r="V178" s="95">
        <f ca="1">IF(Table1[[#This Row],[Item Description]]="","",IF(Table1[[#This Row],[//]]="",INDIRECT(ADDRESS(ROW()-1,COLUMN())),Table1[[#This Row],[//]]))</f>
        <v>178</v>
      </c>
      <c r="W178" s="95">
        <f ca="1">IF(Table1[[#This Row],[h_id]]="","",COUNTIF(Table1[h_id],Table1[[#This Row],[h_id]]))</f>
        <v>2</v>
      </c>
      <c r="X178" s="93">
        <f>IF(Table1[Item Description]="","",Table1[[#This Row],[Qty]]*Table1[[#This Row],[Unit Price]])</f>
        <v>2830000</v>
      </c>
      <c r="Y178" s="93">
        <f>IF(Table1[[#This Row],[h_hargasebelumdiskon]]="","",IF(Table1[[#This Row],[Disc 1]]="",0,Table1[[#This Row],[h_hargasebelumdiskon]]*Table1[[#This Row],[Disc 1]]))</f>
        <v>353750</v>
      </c>
      <c r="Z178" s="93">
        <f>IF(Table1[[#This Row],[h_hargasebelumdiskon]]="","",IF(Table1[[#This Row],[Disc 2]]="",0,(Table1[[#This Row],[h_hargasebelumdiskon]]-Table1[[#This Row],[h_disc 1]])*Table1[[#This Row],[Disc 2]]))</f>
        <v>0</v>
      </c>
      <c r="AA178" s="93">
        <f>IF(Table1[Item Description]="","",Table1[[#This Row],[h_disc 1]]+Table1[[#This Row],[h_disc 2]])</f>
        <v>353750</v>
      </c>
      <c r="AB178" s="93">
        <f>IF(Table1[Item Description]="","",Table1[[#This Row],[h_hargasebelumdiskon]]-Table1[[#This Row],[h_diskon]])</f>
        <v>2476250</v>
      </c>
      <c r="AC178" s="93">
        <f ca="1">IF(Table1[//]="","",SUMIF(Table1[h_id],Table1[h_id],Table1[h_hargasetelahdiskon]))</f>
        <v>3714375</v>
      </c>
      <c r="AD178" s="93"/>
      <c r="AE178" s="93" t="str">
        <f>Table1[[#This Row],[Item Description]]&amp;Table1[[#This Row],[Unit]]&amp;Table1[[#This Row],[Unit Price]]</f>
        <v>STIP / PENGHAPUS JOYKO 526-B40P PUTIHBOX28300</v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50</v>
      </c>
      <c r="K179" s="92" t="s">
        <v>244</v>
      </c>
      <c r="L179" s="92">
        <v>1</v>
      </c>
      <c r="M179" s="92" t="s">
        <v>318</v>
      </c>
      <c r="N179" s="291" t="str">
        <f>IF(Table1[[#This Row],[h_Item Description]]="","",INDEX([1]!db[NB PAJAK],MATCH(Table1[[#This Row],[h_Item Description]],[1]!db[kode],0)))</f>
        <v>STIP / PENGHAPUS JOYKO 526-B40BL HITAM</v>
      </c>
      <c r="O179" s="92" t="s">
        <v>325</v>
      </c>
      <c r="P179" s="93">
        <v>28300</v>
      </c>
      <c r="Q179" s="94">
        <v>0.125</v>
      </c>
      <c r="S179" s="294">
        <f>Table1[[#This Row],[h_hargasetelahdiskon]]</f>
        <v>1238125</v>
      </c>
      <c r="V179" s="95">
        <f ca="1">IF(Table1[[#This Row],[Item Description]]="","",IF(Table1[[#This Row],[//]]="",INDIRECT(ADDRESS(ROW()-1,COLUMN())),Table1[[#This Row],[//]]))</f>
        <v>178</v>
      </c>
      <c r="W179" s="95">
        <f ca="1">IF(Table1[[#This Row],[h_id]]="","",COUNTIF(Table1[h_id],Table1[[#This Row],[h_id]]))</f>
        <v>2</v>
      </c>
      <c r="X179" s="93">
        <f>IF(Table1[Item Description]="","",Table1[[#This Row],[Qty]]*Table1[[#This Row],[Unit Price]])</f>
        <v>1415000</v>
      </c>
      <c r="Y179" s="93">
        <f>IF(Table1[[#This Row],[h_hargasebelumdiskon]]="","",IF(Table1[[#This Row],[Disc 1]]="",0,Table1[[#This Row],[h_hargasebelumdiskon]]*Table1[[#This Row],[Disc 1]]))</f>
        <v>176875</v>
      </c>
      <c r="Z179" s="93">
        <f>IF(Table1[[#This Row],[h_hargasebelumdiskon]]="","",IF(Table1[[#This Row],[Disc 2]]="",0,(Table1[[#This Row],[h_hargasebelumdiskon]]-Table1[[#This Row],[h_disc 1]])*Table1[[#This Row],[Disc 2]]))</f>
        <v>0</v>
      </c>
      <c r="AA179" s="93">
        <f>IF(Table1[Item Description]="","",Table1[[#This Row],[h_disc 1]]+Table1[[#This Row],[h_disc 2]])</f>
        <v>176875</v>
      </c>
      <c r="AB179" s="93">
        <f>IF(Table1[Item Description]="","",Table1[[#This Row],[h_hargasebelumdiskon]]-Table1[[#This Row],[h_diskon]])</f>
        <v>1238125</v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>STIP / PENGHAPUS JOYKO 526-B40BL HITAMBOX28300</v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>
        <f>IF(Table1[[#This Row],[No. Invoice :]]="","",ROW())</f>
        <v>181</v>
      </c>
      <c r="B181" s="291">
        <f>IF(Table1[h_Kode Sales :_1]="","",B$1+COUNT(B$2:B180))</f>
        <v>23050044</v>
      </c>
      <c r="C181" s="98">
        <v>45077</v>
      </c>
      <c r="D181" s="92" t="s">
        <v>181</v>
      </c>
      <c r="E181" s="97" t="s">
        <v>489</v>
      </c>
      <c r="F181" s="92" t="s">
        <v>142</v>
      </c>
      <c r="G181" s="95" t="str">
        <f>IF(Table1[[#This Row],[h_No. Invoice :]]="","",CONCATENATE("AM"," ",Table1[[#This Row],[h_No. Invoice :]]))</f>
        <v>AM 23050044</v>
      </c>
      <c r="H181" s="96" t="str">
        <f>CONCATENATE(UPPER(Table1[[#This Row],[h_Kode Sales :_1]])," ",Table1[[#This Row],[h_Kode Sales :_2]])</f>
        <v>KO 4442</v>
      </c>
      <c r="I181" s="95" t="str">
        <f>IF(Table1[[#This Row],[h_toko]]="","",INDEX(Table2[e],IF(Table1[[#This Row],[h_toko]]="","",MATCH(Table1[[#This Row],[h_toko]],Table2[a],0)),))</f>
        <v>CV PELITA JAYA (ANUGERAH SEJAHTERA) PURWOKERTO</v>
      </c>
      <c r="J181" s="92">
        <v>432</v>
      </c>
      <c r="K181" s="92" t="s">
        <v>280</v>
      </c>
      <c r="L181" s="92">
        <v>3</v>
      </c>
      <c r="M181" s="92" t="s">
        <v>385</v>
      </c>
      <c r="N181" s="291" t="str">
        <f>IF(Table1[[#This Row],[h_Item Description]]="","",INDEX([1]!db[NB PAJAK],MATCH(Table1[[#This Row],[h_Item Description]],[1]!db[kode],0)))</f>
        <v>PENSIL WARNA JOYKO CP-12PB (PANJANG)</v>
      </c>
      <c r="O181" s="92" t="s">
        <v>386</v>
      </c>
      <c r="P181" s="93">
        <v>10600</v>
      </c>
      <c r="Q181" s="94">
        <v>0.13500000000000001</v>
      </c>
      <c r="S181" s="294">
        <f>Table1[[#This Row],[h_hargasetelahdiskon]]</f>
        <v>3961008</v>
      </c>
      <c r="T181" s="93" t="s">
        <v>146</v>
      </c>
      <c r="V181" s="95">
        <f ca="1">IF(Table1[[#This Row],[Item Description]]="","",IF(Table1[[#This Row],[//]]="",INDIRECT(ADDRESS(ROW()-1,COLUMN())),Table1[[#This Row],[//]]))</f>
        <v>181</v>
      </c>
      <c r="W181" s="95">
        <f ca="1">IF(Table1[[#This Row],[h_id]]="","",COUNTIF(Table1[h_id],Table1[[#This Row],[h_id]]))</f>
        <v>2</v>
      </c>
      <c r="X181" s="93">
        <f>IF(Table1[Item Description]="","",Table1[[#This Row],[Qty]]*Table1[[#This Row],[Unit Price]])</f>
        <v>4579200</v>
      </c>
      <c r="Y181" s="93">
        <f>IF(Table1[[#This Row],[h_hargasebelumdiskon]]="","",IF(Table1[[#This Row],[Disc 1]]="",0,Table1[[#This Row],[h_hargasebelumdiskon]]*Table1[[#This Row],[Disc 1]]))</f>
        <v>618192</v>
      </c>
      <c r="Z181" s="93">
        <f>IF(Table1[[#This Row],[h_hargasebelumdiskon]]="","",IF(Table1[[#This Row],[Disc 2]]="",0,(Table1[[#This Row],[h_hargasebelumdiskon]]-Table1[[#This Row],[h_disc 1]])*Table1[[#This Row],[Disc 2]]))</f>
        <v>0</v>
      </c>
      <c r="AA181" s="93">
        <f>IF(Table1[Item Description]="","",Table1[[#This Row],[h_disc 1]]+Table1[[#This Row],[h_disc 2]])</f>
        <v>618192</v>
      </c>
      <c r="AB181" s="93">
        <f>IF(Table1[Item Description]="","",Table1[[#This Row],[h_hargasebelumdiskon]]-Table1[[#This Row],[h_diskon]])</f>
        <v>3961008</v>
      </c>
      <c r="AC181" s="93">
        <f ca="1">IF(Table1[//]="","",SUMIF(Table1[h_id],Table1[h_id],Table1[h_hargasetelahdiskon]))</f>
        <v>5630112</v>
      </c>
      <c r="AD181" s="93"/>
      <c r="AE181" s="93" t="str">
        <f>Table1[[#This Row],[Item Description]]&amp;Table1[[#This Row],[Unit]]&amp;Table1[[#This Row],[Unit Price]]</f>
        <v>PENSIL WARNA JOYKO CP-12PB (PANJANG)SET10600</v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288</v>
      </c>
      <c r="K182" s="92" t="s">
        <v>280</v>
      </c>
      <c r="L182" s="92">
        <v>2</v>
      </c>
      <c r="M182" s="92" t="s">
        <v>490</v>
      </c>
      <c r="N182" s="291" t="str">
        <f>IF(Table1[[#This Row],[h_Item Description]]="","",INDEX([1]!db[NB PAJAK],MATCH(Table1[[#This Row],[h_Item Description]],[1]!db[kode],0)))</f>
        <v>PENSIL WARNA JOYKO CP-S12 MINI (PENDEK)</v>
      </c>
      <c r="O182" s="92" t="s">
        <v>491</v>
      </c>
      <c r="P182" s="93">
        <v>6700</v>
      </c>
      <c r="Q182" s="94">
        <v>0.13500000000000001</v>
      </c>
      <c r="S182" s="294">
        <f>Table1[[#This Row],[h_hargasetelahdiskon]]</f>
        <v>1669104</v>
      </c>
      <c r="V182" s="95">
        <f ca="1">IF(Table1[[#This Row],[Item Description]]="","",IF(Table1[[#This Row],[//]]="",INDIRECT(ADDRESS(ROW()-1,COLUMN())),Table1[[#This Row],[//]]))</f>
        <v>181</v>
      </c>
      <c r="W182" s="95">
        <f ca="1">IF(Table1[[#This Row],[h_id]]="","",COUNTIF(Table1[h_id],Table1[[#This Row],[h_id]]))</f>
        <v>2</v>
      </c>
      <c r="X182" s="93">
        <f>IF(Table1[Item Description]="","",Table1[[#This Row],[Qty]]*Table1[[#This Row],[Unit Price]])</f>
        <v>1929600</v>
      </c>
      <c r="Y182" s="93">
        <f>IF(Table1[[#This Row],[h_hargasebelumdiskon]]="","",IF(Table1[[#This Row],[Disc 1]]="",0,Table1[[#This Row],[h_hargasebelumdiskon]]*Table1[[#This Row],[Disc 1]]))</f>
        <v>260496.00000000003</v>
      </c>
      <c r="Z182" s="93">
        <f>IF(Table1[[#This Row],[h_hargasebelumdiskon]]="","",IF(Table1[[#This Row],[Disc 2]]="",0,(Table1[[#This Row],[h_hargasebelumdiskon]]-Table1[[#This Row],[h_disc 1]])*Table1[[#This Row],[Disc 2]]))</f>
        <v>0</v>
      </c>
      <c r="AA182" s="93">
        <f>IF(Table1[Item Description]="","",Table1[[#This Row],[h_disc 1]]+Table1[[#This Row],[h_disc 2]])</f>
        <v>260496.00000000003</v>
      </c>
      <c r="AB182" s="93">
        <f>IF(Table1[Item Description]="","",Table1[[#This Row],[h_hargasebelumdiskon]]-Table1[[#This Row],[h_diskon]])</f>
        <v>1669104</v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>PENSIL WARNA JOYKO CP-S12 MINI (PENDEK)SET6700</v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>
        <f>IF(Table1[[#This Row],[No. Invoice :]]="","",ROW())</f>
        <v>184</v>
      </c>
      <c r="B184" s="291">
        <f>IF(Table1[h_Kode Sales :_1]="","",B$1+COUNT(B$2:B182))</f>
        <v>23050045</v>
      </c>
      <c r="C184" s="98">
        <v>0</v>
      </c>
      <c r="D184" s="292">
        <v>0</v>
      </c>
      <c r="E184" s="97" t="s">
        <v>488</v>
      </c>
      <c r="F184" s="292">
        <v>0</v>
      </c>
      <c r="G184" s="95" t="str">
        <f>IF(Table1[[#This Row],[h_No. Invoice :]]="","",CONCATENATE("AM"," ",Table1[[#This Row],[h_No. Invoice :]]))</f>
        <v>AM 23050045</v>
      </c>
      <c r="H184" s="96" t="str">
        <f>CONCATENATE(UPPER(Table1[[#This Row],[h_Kode Sales :_1]])," ",Table1[[#This Row],[h_Kode Sales :_2]])</f>
        <v>0 0</v>
      </c>
      <c r="I184" s="95" t="e">
        <f>IF(Table1[[#This Row],[h_toko]]="","",INDEX(Table2[e],IF(Table1[[#This Row],[h_toko]]="","",MATCH(Table1[[#This Row],[h_toko]],Table2[a],0)),))</f>
        <v>#N/A</v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>
        <f ca="1">IF(Table1[//]="","",SUMIF(Table1[h_id],Table1[h_id],Table1[h_hargasetelahdiskon]))</f>
        <v>0</v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95" t="str">
        <f>IF(Table1[[#This Row],[No. Invoice :]]="","",ROW())</f>
        <v/>
      </c>
      <c r="B227" s="291" t="str">
        <f>IF(Table1[h_Kode Sales :_1]="","",B$1+COUNT(B$2:B226))</f>
        <v/>
      </c>
      <c r="D227" s="292"/>
      <c r="E227" s="293"/>
      <c r="F227" s="292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M227" s="292"/>
      <c r="N227" s="291" t="str">
        <f>IF(Table1[[#This Row],[h_Item Description]]="","",INDEX([1]!db[NB PAJAK],MATCH(Table1[[#This Row],[h_Item Description]],[1]!db[kode],0)))</f>
        <v/>
      </c>
      <c r="P227" s="93"/>
      <c r="Q227" s="94"/>
      <c r="S227" s="294" t="str">
        <f>Table1[[#This Row],[h_hargasetelahdiskon]]</f>
        <v/>
      </c>
      <c r="V227" s="95" t="str">
        <f ca="1">IF(Table1[[#This Row],[Item Description]]="","",IF(Table1[[#This Row],[//]]="",INDIRECT(ADDRESS(ROW()-1,COLUMN())),Table1[[#This Row],[//]]))</f>
        <v/>
      </c>
      <c r="W227" s="95" t="str">
        <f ca="1">IF(Table1[[#This Row],[h_id]]="","",COUNTIF(Table1[h_id],Table1[[#This Row],[h_id]]))</f>
        <v/>
      </c>
      <c r="X227" s="93" t="str">
        <f>IF(Table1[Item Description]="","",Table1[[#This Row],[Qty]]*Table1[[#This Row],[Unit Price]])</f>
        <v/>
      </c>
      <c r="Y227" s="93" t="str">
        <f>IF(Table1[[#This Row],[h_hargasebelumdiskon]]="","",IF(Table1[[#This Row],[Disc 1]]="",0,Table1[[#This Row],[h_hargasebelumdiskon]]*Table1[[#This Row],[Disc 1]]))</f>
        <v/>
      </c>
      <c r="Z227" s="93" t="str">
        <f>IF(Table1[[#This Row],[h_hargasebelumdiskon]]="","",IF(Table1[[#This Row],[Disc 2]]="",0,(Table1[[#This Row],[h_hargasebelumdiskon]]-Table1[[#This Row],[h_disc 1]])*Table1[[#This Row],[Disc 2]]))</f>
        <v/>
      </c>
      <c r="AA227" s="93" t="str">
        <f>IF(Table1[Item Description]="","",Table1[[#This Row],[h_disc 1]]+Table1[[#This Row],[h_disc 2]])</f>
        <v/>
      </c>
      <c r="AB227" s="93" t="str">
        <f>IF(Table1[Item Description]="","",Table1[[#This Row],[h_hargasebelumdiskon]]-Table1[[#This Row],[h_diskon]])</f>
        <v/>
      </c>
      <c r="AC227" s="93" t="str">
        <f>IF(Table1[//]="","",SUMIF(Table1[h_id],Table1[h_id],Table1[h_hargasetelahdiskon]))</f>
        <v/>
      </c>
      <c r="AD227" s="93"/>
      <c r="AE227" s="93" t="str">
        <f>Table1[[#This Row],[Item Description]]&amp;Table1[[#This Row],[Unit]]&amp;Table1[[#This Row],[Unit Price]]</f>
        <v/>
      </c>
    </row>
    <row r="228" spans="1:31" x14ac:dyDescent="0.25">
      <c r="A228" s="95"/>
      <c r="B228" s="95"/>
      <c r="G228" s="95"/>
      <c r="H228" s="96"/>
      <c r="I228" s="95"/>
      <c r="N228" s="95"/>
      <c r="P228" s="93"/>
      <c r="Q228" s="94"/>
      <c r="S228" s="93"/>
      <c r="V228" s="95"/>
      <c r="W228" s="95"/>
      <c r="X228" s="93"/>
      <c r="Y228" s="93"/>
      <c r="Z228" s="93"/>
      <c r="AD228" s="93"/>
      <c r="AE228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opLeftCell="A22" zoomScaleNormal="100" workbookViewId="0">
      <selection activeCell="A44" sqref="A44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45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440240546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43627441.495495476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43627441.495495491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134</v>
      </c>
      <c r="C30" s="86">
        <f t="shared" si="0"/>
        <v>134</v>
      </c>
      <c r="D30" s="86" t="str">
        <f>IF(pajak[[#This Row],[//]]="","",INDEX(Table1[No. Invoice :],pajak[//]-offset))</f>
        <v>AM 23050028</v>
      </c>
      <c r="E30" s="90">
        <f>IF(pajak[[#This Row],[//]]="","",INDEX(Table1[Tgl Invoice :],pajak[//]-offset))</f>
        <v>45063</v>
      </c>
      <c r="F30" s="86" t="str">
        <f>IF(pajak[[#This Row],[//]]="","",INDEX(Table1[Kode Sales :],pajak[//]-offset))</f>
        <v>KO 4224</v>
      </c>
      <c r="G30" s="86" t="str">
        <f>IF(pajak[[#This Row],[//]]="","",INDEX(Table1[Toko],pajak[//]-offset))</f>
        <v>CV  WISUDA PURWOKERTO</v>
      </c>
      <c r="H30" s="89">
        <f ca="1">IF(pajak[[#This Row],[//]]="","",SUMIF(Table1[h_id],pajak[[#This Row],[//]],Table1[h_hargasebelumdiskon]))</f>
        <v>860000</v>
      </c>
      <c r="I30" s="89">
        <f ca="1">IF(pajak[[#This Row],[//]]="","",SUMIF(Table1[h_id],pajak[[#This Row],[//]],Table1[h_diskon]))</f>
        <v>86000</v>
      </c>
      <c r="J30" s="89">
        <f ca="1">IF(pajak[[#This Row],[//]]="","",SUMIF(Table1[h_id],pajak[[#This Row],[//]],Table1[h_hargasetelahdiskon]))</f>
        <v>774000</v>
      </c>
      <c r="K30" s="89">
        <f ca="1">IF(pajak[//]="","",pajak[[#This Row],[Sub Total]]/1.11*11%)</f>
        <v>76702.702702702707</v>
      </c>
      <c r="L30" s="89">
        <f ca="1">pajak[[#This Row],[Sub Total]]</f>
        <v>774000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136</v>
      </c>
      <c r="C31" s="86">
        <f t="shared" si="0"/>
        <v>136</v>
      </c>
      <c r="D31" s="86" t="str">
        <f>IF(pajak[[#This Row],[//]]="","",INDEX(Table1[No. Invoice :],pajak[//]-offset))</f>
        <v>AM 23050029</v>
      </c>
      <c r="E31" s="90">
        <f>IF(pajak[[#This Row],[//]]="","",INDEX(Table1[Tgl Invoice :],pajak[//]-offset))</f>
        <v>45065</v>
      </c>
      <c r="F31" s="86" t="str">
        <f>IF(pajak[[#This Row],[//]]="","",INDEX(Table1[Kode Sales :],pajak[//]-offset))</f>
        <v>G 4235</v>
      </c>
      <c r="G31" s="86" t="str">
        <f>IF(pajak[[#This Row],[//]]="","",INDEX(Table1[Toko],pajak[//]-offset))</f>
        <v>LILY JULIAWATI (REJO AGUNG) JOMBANG</v>
      </c>
      <c r="H31" s="89">
        <f ca="1">IF(pajak[[#This Row],[//]]="","",SUMIF(Table1[h_id],pajak[[#This Row],[//]],Table1[h_hargasebelumdiskon]))</f>
        <v>4147200</v>
      </c>
      <c r="I31" s="89">
        <f ca="1">IF(pajak[[#This Row],[//]]="","",SUMIF(Table1[h_id],pajak[[#This Row],[//]],Table1[h_diskon]))</f>
        <v>518400</v>
      </c>
      <c r="J31" s="89">
        <f ca="1">IF(pajak[[#This Row],[//]]="","",SUMIF(Table1[h_id],pajak[[#This Row],[//]],Table1[h_hargasetelahdiskon]))</f>
        <v>3628800</v>
      </c>
      <c r="K31" s="89">
        <f ca="1">IF(pajak[//]="","",pajak[[#This Row],[Sub Total]]/1.11*11%)</f>
        <v>359610.81081081083</v>
      </c>
      <c r="L31" s="89">
        <f ca="1">pajak[[#This Row],[Sub Total]]</f>
        <v>3628800</v>
      </c>
      <c r="M31" s="86" t="str">
        <f>IF(pajak[[#This Row],[//]]="","",INDEX(Table1[pembuat nota :],pajak[//]-offset))</f>
        <v>LENA / YO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140</v>
      </c>
      <c r="C32" s="86">
        <f t="shared" si="0"/>
        <v>140</v>
      </c>
      <c r="D32" s="86" t="str">
        <f>IF(pajak[[#This Row],[//]]="","",INDEX(Table1[No. Invoice :],pajak[//]-offset))</f>
        <v>AM 23050030</v>
      </c>
      <c r="E32" s="90">
        <f>IF(pajak[[#This Row],[//]]="","",INDEX(Table1[Tgl Invoice :],pajak[//]-offset))</f>
        <v>45065</v>
      </c>
      <c r="F32" s="86" t="str">
        <f>IF(pajak[[#This Row],[//]]="","",INDEX(Table1[Kode Sales :],pajak[//]-offset))</f>
        <v>KO 4238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10728000</v>
      </c>
      <c r="I32" s="89">
        <f ca="1">IF(pajak[[#This Row],[//]]="","",SUMIF(Table1[h_id],pajak[[#This Row],[//]],Table1[h_diskon]))</f>
        <v>1448280</v>
      </c>
      <c r="J32" s="89">
        <f ca="1">IF(pajak[[#This Row],[//]]="","",SUMIF(Table1[h_id],pajak[[#This Row],[//]],Table1[h_hargasetelahdiskon]))</f>
        <v>9279720</v>
      </c>
      <c r="K32" s="89">
        <f ca="1">IF(pajak[//]="","",pajak[[#This Row],[Sub Total]]/1.11*11%)</f>
        <v>919611.89189189172</v>
      </c>
      <c r="L32" s="89">
        <f ca="1">pajak[[#This Row],[Sub Total]]</f>
        <v>9279720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143</v>
      </c>
      <c r="C33" s="86">
        <f t="shared" si="0"/>
        <v>143</v>
      </c>
      <c r="D33" s="86" t="str">
        <f>IF(pajak[[#This Row],[//]]="","",INDEX(Table1[No. Invoice :],pajak[//]-offset))</f>
        <v>AM 23050031</v>
      </c>
      <c r="E33" s="90">
        <f>IF(pajak[[#This Row],[//]]="","",INDEX(Table1[Tgl Invoice :],pajak[//]-offset))</f>
        <v>45065</v>
      </c>
      <c r="F33" s="86" t="str">
        <f>IF(pajak[[#This Row],[//]]="","",INDEX(Table1[Kode Sales :],pajak[//]-offset))</f>
        <v>KO 4236</v>
      </c>
      <c r="G33" s="86" t="str">
        <f>IF(pajak[[#This Row],[//]]="","",INDEX(Table1[Toko],pajak[//]-offset))</f>
        <v>CV SINAR CAHAYA NIRMALA BREBES</v>
      </c>
      <c r="H33" s="89">
        <f ca="1">IF(pajak[[#This Row],[//]]="","",SUMIF(Table1[h_id],pajak[[#This Row],[//]],Table1[h_hargasebelumdiskon]))</f>
        <v>2817900</v>
      </c>
      <c r="I33" s="89">
        <f ca="1">IF(pajak[[#This Row],[//]]="","",SUMIF(Table1[h_id],pajak[[#This Row],[//]],Table1[h_diskon]))</f>
        <v>281790</v>
      </c>
      <c r="J33" s="89">
        <f ca="1">IF(pajak[[#This Row],[//]]="","",SUMIF(Table1[h_id],pajak[[#This Row],[//]],Table1[h_hargasetelahdiskon]))</f>
        <v>2536110</v>
      </c>
      <c r="K33" s="89">
        <f ca="1">IF(pajak[//]="","",pajak[[#This Row],[Sub Total]]/1.11*11%)</f>
        <v>251326.21621621621</v>
      </c>
      <c r="L33" s="89">
        <f ca="1">pajak[[#This Row],[Sub Total]]</f>
        <v>2536110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149</v>
      </c>
      <c r="C34" s="86">
        <f t="shared" si="0"/>
        <v>149</v>
      </c>
      <c r="D34" s="86" t="str">
        <f>IF(pajak[[#This Row],[//]]="","",INDEX(Table1[No. Invoice :],pajak[//]-offset))</f>
        <v>AM 23050032</v>
      </c>
      <c r="E34" s="90">
        <f>IF(pajak[[#This Row],[//]]="","",INDEX(Table1[Tgl Invoice :],pajak[//]-offset))</f>
        <v>45065</v>
      </c>
      <c r="F34" s="86" t="str">
        <f>IF(pajak[[#This Row],[//]]="","",INDEX(Table1[Kode Sales :],pajak[//]-offset))</f>
        <v>KO 4253</v>
      </c>
      <c r="G34" s="86" t="str">
        <f>IF(pajak[[#This Row],[//]]="","",INDEX(Table1[Toko],pajak[//]-offset))</f>
        <v>SOEYANTO LOPULUSI ( LANCAR ) MALANG</v>
      </c>
      <c r="H34" s="89">
        <f ca="1">IF(pajak[[#This Row],[//]]="","",SUMIF(Table1[h_id],pajak[[#This Row],[//]],Table1[h_hargasebelumdiskon]))</f>
        <v>5601600</v>
      </c>
      <c r="I34" s="89">
        <f ca="1">IF(pajak[[#This Row],[//]]="","",SUMIF(Table1[h_id],pajak[[#This Row],[//]],Table1[h_diskon]))</f>
        <v>700200</v>
      </c>
      <c r="J34" s="89">
        <f ca="1">IF(pajak[[#This Row],[//]]="","",SUMIF(Table1[h_id],pajak[[#This Row],[//]],Table1[h_hargasetelahdiskon]))</f>
        <v>4901400</v>
      </c>
      <c r="K34" s="89">
        <f ca="1">IF(pajak[//]="","",pajak[[#This Row],[Sub Total]]/1.11*11%)</f>
        <v>485724.32432432426</v>
      </c>
      <c r="L34" s="89">
        <f ca="1">pajak[[#This Row],[Sub Total]]</f>
        <v>4901400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152</v>
      </c>
      <c r="C35" s="86">
        <f t="shared" ref="C35:C55" si="1">IF(ROW()-2&lt;=jNota,A35,"")</f>
        <v>152</v>
      </c>
      <c r="D35" s="86" t="str">
        <f>IF(pajak[[#This Row],[//]]="","",INDEX(Table1[No. Invoice :],pajak[//]-offset))</f>
        <v>AM 23050033</v>
      </c>
      <c r="E35" s="90">
        <f>IF(pajak[[#This Row],[//]]="","",INDEX(Table1[Tgl Invoice :],pajak[//]-offset))</f>
        <v>45066</v>
      </c>
      <c r="F35" s="86" t="str">
        <f>IF(pajak[[#This Row],[//]]="","",INDEX(Table1[Kode Sales :],pajak[//]-offset))</f>
        <v>KO 4258</v>
      </c>
      <c r="G35" s="86" t="str">
        <f>IF(pajak[[#This Row],[//]]="","",INDEX(Table1[Toko],pajak[//]-offset))</f>
        <v>SOEYANTO LOPULUSI ( LANCAR ) MALANG</v>
      </c>
      <c r="H35" s="89">
        <f ca="1">IF(pajak[[#This Row],[//]]="","",SUMIF(Table1[h_id],pajak[[#This Row],[//]],Table1[h_hargasebelumdiskon]))</f>
        <v>13824000</v>
      </c>
      <c r="I35" s="89">
        <f ca="1">IF(pajak[[#This Row],[//]]="","",SUMIF(Table1[h_id],pajak[[#This Row],[//]],Table1[h_diskon]))</f>
        <v>1728000</v>
      </c>
      <c r="J35" s="89">
        <f ca="1">IF(pajak[[#This Row],[//]]="","",SUMIF(Table1[h_id],pajak[[#This Row],[//]],Table1[h_hargasetelahdiskon]))</f>
        <v>12096000</v>
      </c>
      <c r="K35" s="89">
        <f ca="1">IF(pajak[//]="","",pajak[[#This Row],[Sub Total]]/1.11*11%)</f>
        <v>1198702.7027027027</v>
      </c>
      <c r="L35" s="89">
        <f ca="1">pajak[[#This Row],[Sub Total]]</f>
        <v>12096000</v>
      </c>
      <c r="M35" s="86" t="str">
        <f>IF(pajak[[#This Row],[//]]="","",INDEX(Table1[pembuat nota :],pajak[//]-offset))</f>
        <v>NOVI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>
        <v>154</v>
      </c>
      <c r="C36" s="86">
        <f t="shared" si="1"/>
        <v>154</v>
      </c>
      <c r="D36" s="86" t="str">
        <f>IF(pajak[[#This Row],[//]]="","",INDEX(Table1[No. Invoice :],pajak[//]-offset))</f>
        <v>AM 23050034</v>
      </c>
      <c r="E36" s="90">
        <f>IF(pajak[[#This Row],[//]]="","",INDEX(Table1[Tgl Invoice :],pajak[//]-offset))</f>
        <v>45068</v>
      </c>
      <c r="F36" s="86" t="str">
        <f>IF(pajak[[#This Row],[//]]="","",INDEX(Table1[Kode Sales :],pajak[//]-offset))</f>
        <v>G 4036</v>
      </c>
      <c r="G36" s="86" t="str">
        <f>IF(pajak[[#This Row],[//]]="","",INDEX(Table1[Toko],pajak[//]-offset))</f>
        <v>CV UTAMA PUTRA TULUNG AGUNG</v>
      </c>
      <c r="H36" s="89">
        <f ca="1">IF(pajak[[#This Row],[//]]="","",SUMIF(Table1[h_id],pajak[[#This Row],[//]],Table1[h_hargasebelumdiskon]))</f>
        <v>6220800</v>
      </c>
      <c r="I36" s="89">
        <f ca="1">IF(pajak[[#This Row],[//]]="","",SUMIF(Table1[h_id],pajak[[#This Row],[//]],Table1[h_diskon]))</f>
        <v>777600</v>
      </c>
      <c r="J36" s="89">
        <f ca="1">IF(pajak[[#This Row],[//]]="","",SUMIF(Table1[h_id],pajak[[#This Row],[//]],Table1[h_hargasetelahdiskon]))</f>
        <v>5443200</v>
      </c>
      <c r="K36" s="89">
        <f ca="1">IF(pajak[//]="","",pajak[[#This Row],[Sub Total]]/1.11*11%)</f>
        <v>539416.21621621621</v>
      </c>
      <c r="L36" s="89">
        <f ca="1">pajak[[#This Row],[Sub Total]]</f>
        <v>5443200</v>
      </c>
      <c r="M36" s="86" t="str">
        <f>IF(pajak[[#This Row],[//]]="","",INDEX(Table1[pembuat nota :],pajak[//]-offset))</f>
        <v>NOVI / CONDRO</v>
      </c>
      <c r="N36" s="86" t="str">
        <f>IF(pajak[[#This Row],[//]]="","",IF(INDEX(Table1[edited :],pajak[//]-offset)="","",INDEX(Table1[edited :],pajak[//]-offset)))</f>
        <v/>
      </c>
      <c r="P36" s="86">
        <f>IF(pajak[[#This Row],[Kode Sales :]]="","",MATCH(pajak[[#This Row],[Kode Sales :]],[2]Invoice!$D:$D,0))</f>
        <v>3768</v>
      </c>
      <c r="Q36" s="194">
        <f>IF((INDEX([2]Invoice!$D:$D,Table4[[#This Row],[cek_ppn]]-4)&amp;" "&amp;INDEX([2]Invoice!$E:$E,Table4[[#This Row],[cek_ppn]]-4))=pajak[[#This Row],[No. Invoice :]],1)</f>
        <v>1</v>
      </c>
      <c r="R36" s="194">
        <f>IF((INDEX([2]Invoice!$D:$D,Table4[[#This Row],[cek_ppn]]-2))=pajak[[#This Row],[Tgl Invoice :]],1)</f>
        <v>1</v>
      </c>
      <c r="S36" s="194">
        <f>IF((INDEX([2]Invoice!$D:$D,Table4[[#This Row],[cek_ppn]]))=pajak[[#This Row],[Kode Sales :]],1)</f>
        <v>1</v>
      </c>
      <c r="T36" s="194">
        <f ca="1">IF((INDEX([2]Invoice!$K:$K,Table4[[#This Row],[cek_ppn]]+28))=pajak[[#This Row],[Total Invoice]],1)</f>
        <v>1</v>
      </c>
      <c r="U36" s="194">
        <f>IF((INDEX([2]Invoice!$J:$J,Table4[[#This Row],[cek_ppn]]+30))=pajak[[#This Row],[pembuat nota]],1)</f>
        <v>1</v>
      </c>
    </row>
    <row r="37" spans="1:21" x14ac:dyDescent="0.25">
      <c r="A37" s="88">
        <v>156</v>
      </c>
      <c r="C37" s="86">
        <f t="shared" si="1"/>
        <v>156</v>
      </c>
      <c r="D37" s="86" t="str">
        <f>IF(pajak[[#This Row],[//]]="","",INDEX(Table1[No. Invoice :],pajak[//]-offset))</f>
        <v>AM 23050035</v>
      </c>
      <c r="E37" s="90">
        <f>IF(pajak[[#This Row],[//]]="","",INDEX(Table1[Tgl Invoice :],pajak[//]-offset))</f>
        <v>45069</v>
      </c>
      <c r="F37" s="86" t="str">
        <f>IF(pajak[[#This Row],[//]]="","",INDEX(Table1[Kode Sales :],pajak[//]-offset))</f>
        <v>KO 4263</v>
      </c>
      <c r="G37" s="86" t="str">
        <f>IF(pajak[[#This Row],[//]]="","",INDEX(Table1[Toko],pajak[//]-offset))</f>
        <v>SOEYANTO LOPULUSI ( LANCAR ) MALANG</v>
      </c>
      <c r="H37" s="89">
        <f ca="1">IF(pajak[[#This Row],[//]]="","",SUMIF(Table1[h_id],pajak[[#This Row],[//]],Table1[h_hargasebelumdiskon]))</f>
        <v>13028000</v>
      </c>
      <c r="I37" s="89">
        <f ca="1">IF(pajak[[#This Row],[//]]="","",SUMIF(Table1[h_id],pajak[[#This Row],[//]],Table1[h_diskon]))</f>
        <v>1628500</v>
      </c>
      <c r="J37" s="89">
        <f ca="1">IF(pajak[[#This Row],[//]]="","",SUMIF(Table1[h_id],pajak[[#This Row],[//]],Table1[h_hargasetelahdiskon]))</f>
        <v>11399500</v>
      </c>
      <c r="K37" s="89">
        <f ca="1">IF(pajak[//]="","",pajak[[#This Row],[Sub Total]]/1.11*11%)</f>
        <v>1129680.1801801801</v>
      </c>
      <c r="L37" s="89">
        <f ca="1">pajak[[#This Row],[Sub Total]]</f>
        <v>11399500</v>
      </c>
      <c r="M37" s="86" t="str">
        <f>IF(pajak[[#This Row],[//]]="","",INDEX(Table1[pembuat nota :],pajak[//]-offset))</f>
        <v>NOVI / CONDRO</v>
      </c>
      <c r="N37" s="86" t="str">
        <f>IF(pajak[[#This Row],[//]]="","",IF(INDEX(Table1[edited :],pajak[//]-offset)="","",INDEX(Table1[edited :],pajak[//]-offset)))</f>
        <v/>
      </c>
      <c r="P37" s="86">
        <f>IF(pajak[[#This Row],[Kode Sales :]]="","",MATCH(pajak[[#This Row],[Kode Sales :]],[2]Invoice!$D:$D,0))</f>
        <v>3882</v>
      </c>
      <c r="Q37" s="194">
        <f>IF((INDEX([2]Invoice!$D:$D,Table4[[#This Row],[cek_ppn]]-4)&amp;" "&amp;INDEX([2]Invoice!$E:$E,Table4[[#This Row],[cek_ppn]]-4))=pajak[[#This Row],[No. Invoice :]],1)</f>
        <v>1</v>
      </c>
      <c r="R37" s="194">
        <f>IF((INDEX([2]Invoice!$D:$D,Table4[[#This Row],[cek_ppn]]-2))=pajak[[#This Row],[Tgl Invoice :]],1)</f>
        <v>1</v>
      </c>
      <c r="S37" s="194">
        <f>IF((INDEX([2]Invoice!$D:$D,Table4[[#This Row],[cek_ppn]]))=pajak[[#This Row],[Kode Sales :]],1)</f>
        <v>1</v>
      </c>
      <c r="T37" s="194">
        <f ca="1">IF((INDEX([2]Invoice!$K:$K,Table4[[#This Row],[cek_ppn]]+28))=pajak[[#This Row],[Total Invoice]],1)</f>
        <v>1</v>
      </c>
      <c r="U37" s="194">
        <f>IF((INDEX([2]Invoice!$J:$J,Table4[[#This Row],[cek_ppn]]+30))=pajak[[#This Row],[pembuat nota]],1)</f>
        <v>1</v>
      </c>
    </row>
    <row r="38" spans="1:21" x14ac:dyDescent="0.25">
      <c r="A38" s="88">
        <v>161</v>
      </c>
      <c r="C38" s="86">
        <f t="shared" si="1"/>
        <v>161</v>
      </c>
      <c r="D38" s="86" t="str">
        <f>IF(pajak[[#This Row],[//]]="","",INDEX(Table1[No. Invoice :],pajak[//]-offset))</f>
        <v>AM 23050036</v>
      </c>
      <c r="E38" s="90">
        <f>IF(pajak[[#This Row],[//]]="","",INDEX(Table1[Tgl Invoice :],pajak[//]-offset))</f>
        <v>45069</v>
      </c>
      <c r="F38" s="86" t="str">
        <f>IF(pajak[[#This Row],[//]]="","",INDEX(Table1[Kode Sales :],pajak[//]-offset))</f>
        <v>KO 4401</v>
      </c>
      <c r="G38" s="86" t="str">
        <f>IF(pajak[[#This Row],[//]]="","",INDEX(Table1[Toko],pajak[//]-offset))</f>
        <v>CV PELITA JAYA (ANUGERAH SEJAHTERA) PURWOKERTO</v>
      </c>
      <c r="H38" s="89">
        <f ca="1">IF(pajak[[#This Row],[//]]="","",SUMIF(Table1[h_id],pajak[[#This Row],[//]],Table1[h_hargasebelumdiskon]))</f>
        <v>4291200</v>
      </c>
      <c r="I38" s="89">
        <f ca="1">IF(pajak[[#This Row],[//]]="","",SUMIF(Table1[h_id],pajak[[#This Row],[//]],Table1[h_diskon]))</f>
        <v>579312</v>
      </c>
      <c r="J38" s="89">
        <f ca="1">IF(pajak[[#This Row],[//]]="","",SUMIF(Table1[h_id],pajak[[#This Row],[//]],Table1[h_hargasetelahdiskon]))</f>
        <v>3711888</v>
      </c>
      <c r="K38" s="89">
        <f ca="1">IF(pajak[//]="","",pajak[[#This Row],[Sub Total]]/1.11*11%)</f>
        <v>367844.75675675675</v>
      </c>
      <c r="L38" s="89">
        <f ca="1">pajak[[#This Row],[Sub Total]]</f>
        <v>3711888</v>
      </c>
      <c r="M38" s="86" t="str">
        <f>IF(pajak[[#This Row],[//]]="","",INDEX(Table1[pembuat nota :],pajak[//]-offset))</f>
        <v>NOVI / CONDRO</v>
      </c>
      <c r="N38" s="86" t="str">
        <f>IF(pajak[[#This Row],[//]]="","",IF(INDEX(Table1[edited :],pajak[//]-offset)="","",INDEX(Table1[edited :],pajak[//]-offset)))</f>
        <v/>
      </c>
      <c r="P38" s="86">
        <f>IF(pajak[[#This Row],[Kode Sales :]]="","",MATCH(pajak[[#This Row],[Kode Sales :]],[2]Invoice!$D:$D,0))</f>
        <v>3996</v>
      </c>
      <c r="Q38" s="194">
        <f>IF((INDEX([2]Invoice!$D:$D,Table4[[#This Row],[cek_ppn]]-4)&amp;" "&amp;INDEX([2]Invoice!$E:$E,Table4[[#This Row],[cek_ppn]]-4))=pajak[[#This Row],[No. Invoice :]],1)</f>
        <v>1</v>
      </c>
      <c r="R38" s="194">
        <f>IF((INDEX([2]Invoice!$D:$D,Table4[[#This Row],[cek_ppn]]-2))=pajak[[#This Row],[Tgl Invoice :]],1)</f>
        <v>1</v>
      </c>
      <c r="S38" s="194">
        <f>IF((INDEX([2]Invoice!$D:$D,Table4[[#This Row],[cek_ppn]]))=pajak[[#This Row],[Kode Sales :]],1)</f>
        <v>1</v>
      </c>
      <c r="T38" s="194">
        <f ca="1">IF((INDEX([2]Invoice!$K:$K,Table4[[#This Row],[cek_ppn]]+28))=pajak[[#This Row],[Total Invoice]],1)</f>
        <v>1</v>
      </c>
      <c r="U38" s="194">
        <f>IF((INDEX([2]Invoice!$J:$J,Table4[[#This Row],[cek_ppn]]+30))=pajak[[#This Row],[pembuat nota]],1)</f>
        <v>1</v>
      </c>
    </row>
    <row r="39" spans="1:21" x14ac:dyDescent="0.25">
      <c r="A39" s="88">
        <v>163</v>
      </c>
      <c r="C39" s="86">
        <f t="shared" si="1"/>
        <v>163</v>
      </c>
      <c r="D39" s="86" t="str">
        <f>IF(pajak[[#This Row],[//]]="","",INDEX(Table1[No. Invoice :],pajak[//]-offset))</f>
        <v>AM 23050037</v>
      </c>
      <c r="E39" s="90">
        <f>IF(pajak[[#This Row],[//]]="","",INDEX(Table1[Tgl Invoice :],pajak[//]-offset))</f>
        <v>45069</v>
      </c>
      <c r="F39" s="86" t="str">
        <f>IF(pajak[[#This Row],[//]]="","",INDEX(Table1[Kode Sales :],pajak[//]-offset))</f>
        <v>KO 1273</v>
      </c>
      <c r="G39" s="86" t="str">
        <f>IF(pajak[[#This Row],[//]]="","",INDEX(Table1[Toko],pajak[//]-offset))</f>
        <v>SOEYANTO LOPULUSI ( LANCAR ) MALANG</v>
      </c>
      <c r="H39" s="89">
        <f ca="1">IF(pajak[[#This Row],[//]]="","",SUMIF(Table1[h_id],pajak[[#This Row],[//]],Table1[h_hargasebelumdiskon]))</f>
        <v>28512000</v>
      </c>
      <c r="I39" s="89">
        <f ca="1">IF(pajak[[#This Row],[//]]="","",SUMIF(Table1[h_id],pajak[[#This Row],[//]],Table1[h_diskon]))</f>
        <v>3564000</v>
      </c>
      <c r="J39" s="89">
        <f ca="1">IF(pajak[[#This Row],[//]]="","",SUMIF(Table1[h_id],pajak[[#This Row],[//]],Table1[h_hargasetelahdiskon]))</f>
        <v>24948000</v>
      </c>
      <c r="K39" s="89">
        <f ca="1">IF(pajak[//]="","",pajak[[#This Row],[Sub Total]]/1.11*11%)</f>
        <v>2472324.3243243243</v>
      </c>
      <c r="L39" s="89">
        <f ca="1">pajak[[#This Row],[Sub Total]]</f>
        <v>24948000</v>
      </c>
      <c r="M39" s="86" t="str">
        <f>IF(pajak[[#This Row],[//]]="","",INDEX(Table1[pembuat nota :],pajak[//]-offset))</f>
        <v>NOVI / CONDRO</v>
      </c>
      <c r="N39" s="86" t="str">
        <f>IF(pajak[[#This Row],[//]]="","",IF(INDEX(Table1[edited :],pajak[//]-offset)="","",INDEX(Table1[edited :],pajak[//]-offset)))</f>
        <v/>
      </c>
      <c r="P39" s="86">
        <f>IF(pajak[[#This Row],[Kode Sales :]]="","",MATCH(pajak[[#This Row],[Kode Sales :]],[2]Invoice!$D:$D,0))</f>
        <v>4110</v>
      </c>
      <c r="Q39" s="194">
        <f>IF((INDEX([2]Invoice!$D:$D,Table4[[#This Row],[cek_ppn]]-4)&amp;" "&amp;INDEX([2]Invoice!$E:$E,Table4[[#This Row],[cek_ppn]]-4))=pajak[[#This Row],[No. Invoice :]],1)</f>
        <v>1</v>
      </c>
      <c r="R39" s="194">
        <f>IF((INDEX([2]Invoice!$D:$D,Table4[[#This Row],[cek_ppn]]-2))=pajak[[#This Row],[Tgl Invoice :]],1)</f>
        <v>1</v>
      </c>
      <c r="S39" s="194">
        <f>IF((INDEX([2]Invoice!$D:$D,Table4[[#This Row],[cek_ppn]]))=pajak[[#This Row],[Kode Sales :]],1)</f>
        <v>1</v>
      </c>
      <c r="T39" s="194">
        <f ca="1">IF((INDEX([2]Invoice!$K:$K,Table4[[#This Row],[cek_ppn]]+28))=pajak[[#This Row],[Total Invoice]],1)</f>
        <v>1</v>
      </c>
      <c r="U39" s="194">
        <f>IF((INDEX([2]Invoice!$J:$J,Table4[[#This Row],[cek_ppn]]+30))=pajak[[#This Row],[pembuat nota]],1)</f>
        <v>1</v>
      </c>
    </row>
    <row r="40" spans="1:21" x14ac:dyDescent="0.25">
      <c r="A40" s="88">
        <v>166</v>
      </c>
      <c r="C40" s="86">
        <f t="shared" si="1"/>
        <v>166</v>
      </c>
      <c r="D40" s="86" t="str">
        <f>IF(pajak[[#This Row],[//]]="","",INDEX(Table1[No. Invoice :],pajak[//]-offset))</f>
        <v>AM 23050038</v>
      </c>
      <c r="E40" s="90">
        <f>IF(pajak[[#This Row],[//]]="","",INDEX(Table1[Tgl Invoice :],pajak[//]-offset))</f>
        <v>45069</v>
      </c>
      <c r="F40" s="86" t="str">
        <f>IF(pajak[[#This Row],[//]]="","",INDEX(Table1[Kode Sales :],pajak[//]-offset))</f>
        <v>KO 4403</v>
      </c>
      <c r="G40" s="86" t="str">
        <f>IF(pajak[[#This Row],[//]]="","",INDEX(Table1[Toko],pajak[//]-offset))</f>
        <v>CV PELITA JAYA (ANUGERAH SEJAHTERA) PURWOKERTO</v>
      </c>
      <c r="H40" s="89">
        <f ca="1">IF(pajak[[#This Row],[//]]="","",SUMIF(Table1[h_id],pajak[[#This Row],[//]],Table1[h_hargasebelumdiskon]))</f>
        <v>2570000</v>
      </c>
      <c r="I40" s="89">
        <f ca="1">IF(pajak[[#This Row],[//]]="","",SUMIF(Table1[h_id],pajak[[#This Row],[//]],Table1[h_diskon]))</f>
        <v>346950.00000000006</v>
      </c>
      <c r="J40" s="89">
        <f ca="1">IF(pajak[[#This Row],[//]]="","",SUMIF(Table1[h_id],pajak[[#This Row],[//]],Table1[h_hargasetelahdiskon]))</f>
        <v>2223050</v>
      </c>
      <c r="K40" s="89">
        <f ca="1">IF(pajak[//]="","",pajak[[#This Row],[Sub Total]]/1.11*11%)</f>
        <v>220302.25225225222</v>
      </c>
      <c r="L40" s="89">
        <f ca="1">pajak[[#This Row],[Sub Total]]</f>
        <v>2223050</v>
      </c>
      <c r="M40" s="86" t="str">
        <f>IF(pajak[[#This Row],[//]]="","",INDEX(Table1[pembuat nota :],pajak[//]-offset))</f>
        <v>NOVI / CONDRO</v>
      </c>
      <c r="N40" s="86" t="str">
        <f>IF(pajak[[#This Row],[//]]="","",IF(INDEX(Table1[edited :],pajak[//]-offset)="","",INDEX(Table1[edited :],pajak[//]-offset)))</f>
        <v/>
      </c>
      <c r="P40" s="86">
        <f>IF(pajak[[#This Row],[Kode Sales :]]="","",MATCH(pajak[[#This Row],[Kode Sales :]],[2]Invoice!$D:$D,0))</f>
        <v>4224</v>
      </c>
      <c r="Q40" s="194">
        <f>IF((INDEX([2]Invoice!$D:$D,Table4[[#This Row],[cek_ppn]]-4)&amp;" "&amp;INDEX([2]Invoice!$E:$E,Table4[[#This Row],[cek_ppn]]-4))=pajak[[#This Row],[No. Invoice :]],1)</f>
        <v>1</v>
      </c>
      <c r="R40" s="194">
        <f>IF((INDEX([2]Invoice!$D:$D,Table4[[#This Row],[cek_ppn]]-2))=pajak[[#This Row],[Tgl Invoice :]],1)</f>
        <v>1</v>
      </c>
      <c r="S40" s="194">
        <f>IF((INDEX([2]Invoice!$D:$D,Table4[[#This Row],[cek_ppn]]))=pajak[[#This Row],[Kode Sales :]],1)</f>
        <v>1</v>
      </c>
      <c r="T40" s="194">
        <f ca="1">IF((INDEX([2]Invoice!$K:$K,Table4[[#This Row],[cek_ppn]]+28))=pajak[[#This Row],[Total Invoice]],1)</f>
        <v>1</v>
      </c>
      <c r="U40" s="194">
        <f>IF((INDEX([2]Invoice!$J:$J,Table4[[#This Row],[cek_ppn]]+30))=pajak[[#This Row],[pembuat nota]],1)</f>
        <v>1</v>
      </c>
    </row>
    <row r="41" spans="1:21" x14ac:dyDescent="0.25">
      <c r="A41" s="88">
        <v>169</v>
      </c>
      <c r="C41" s="86">
        <f t="shared" si="1"/>
        <v>169</v>
      </c>
      <c r="D41" s="86" t="str">
        <f>IF(pajak[[#This Row],[//]]="","",INDEX(Table1[No. Invoice :],pajak[//]-offset))</f>
        <v>AM 23050039</v>
      </c>
      <c r="E41" s="90">
        <f>IF(pajak[[#This Row],[//]]="","",INDEX(Table1[Tgl Invoice :],pajak[//]-offset))</f>
        <v>45069</v>
      </c>
      <c r="F41" s="86" t="str">
        <f>IF(pajak[[#This Row],[//]]="","",INDEX(Table1[Kode Sales :],pajak[//]-offset))</f>
        <v>KO 4404</v>
      </c>
      <c r="G41" s="86" t="str">
        <f>IF(pajak[[#This Row],[//]]="","",INDEX(Table1[Toko],pajak[//]-offset))</f>
        <v>HARNOYO (BENDAN) PEKALONGAN</v>
      </c>
      <c r="H41" s="89">
        <f ca="1">IF(pajak[[#This Row],[//]]="","",SUMIF(Table1[h_id],pajak[[#This Row],[//]],Table1[h_hargasebelumdiskon]))</f>
        <v>1995000</v>
      </c>
      <c r="I41" s="89">
        <f ca="1">IF(pajak[[#This Row],[//]]="","",SUMIF(Table1[h_id],pajak[[#This Row],[//]],Table1[h_diskon]))</f>
        <v>279300</v>
      </c>
      <c r="J41" s="89">
        <f ca="1">IF(pajak[[#This Row],[//]]="","",SUMIF(Table1[h_id],pajak[[#This Row],[//]],Table1[h_hargasetelahdiskon]))</f>
        <v>1715700</v>
      </c>
      <c r="K41" s="89">
        <f ca="1">IF(pajak[//]="","",pajak[[#This Row],[Sub Total]]/1.11*11%)</f>
        <v>170024.32432432432</v>
      </c>
      <c r="L41" s="89">
        <f ca="1">pajak[[#This Row],[Sub Total]]</f>
        <v>1715700</v>
      </c>
      <c r="M41" s="86" t="str">
        <f>IF(pajak[[#This Row],[//]]="","",INDEX(Table1[pembuat nota :],pajak[//]-offset))</f>
        <v>NOVI / CONDRO</v>
      </c>
      <c r="N41" s="86" t="str">
        <f>IF(pajak[[#This Row],[//]]="","",IF(INDEX(Table1[edited :],pajak[//]-offset)="","",INDEX(Table1[edited :],pajak[//]-offset)))</f>
        <v/>
      </c>
      <c r="P41" s="86">
        <f>IF(pajak[[#This Row],[Kode Sales :]]="","",MATCH(pajak[[#This Row],[Kode Sales :]],[2]Invoice!$D:$D,0))</f>
        <v>4338</v>
      </c>
      <c r="Q41" s="194">
        <f>IF((INDEX([2]Invoice!$D:$D,Table4[[#This Row],[cek_ppn]]-4)&amp;" "&amp;INDEX([2]Invoice!$E:$E,Table4[[#This Row],[cek_ppn]]-4))=pajak[[#This Row],[No. Invoice :]],1)</f>
        <v>1</v>
      </c>
      <c r="R41" s="194">
        <f>IF((INDEX([2]Invoice!$D:$D,Table4[[#This Row],[cek_ppn]]-2))=pajak[[#This Row],[Tgl Invoice :]],1)</f>
        <v>1</v>
      </c>
      <c r="S41" s="194">
        <f>IF((INDEX([2]Invoice!$D:$D,Table4[[#This Row],[cek_ppn]]))=pajak[[#This Row],[Kode Sales :]],1)</f>
        <v>1</v>
      </c>
      <c r="T41" s="194">
        <f ca="1">IF((INDEX([2]Invoice!$K:$K,Table4[[#This Row],[cek_ppn]]+28))=pajak[[#This Row],[Total Invoice]],1)</f>
        <v>1</v>
      </c>
      <c r="U41" s="194">
        <f>IF((INDEX([2]Invoice!$J:$J,Table4[[#This Row],[cek_ppn]]+30))=pajak[[#This Row],[pembuat nota]],1)</f>
        <v>1</v>
      </c>
    </row>
    <row r="42" spans="1:21" x14ac:dyDescent="0.25">
      <c r="A42" s="88">
        <v>171</v>
      </c>
      <c r="C42" s="86">
        <f t="shared" si="1"/>
        <v>171</v>
      </c>
      <c r="D42" s="86" t="str">
        <f>IF(pajak[[#This Row],[//]]="","",INDEX(Table1[No. Invoice :],pajak[//]-offset))</f>
        <v>AM 23050040</v>
      </c>
      <c r="E42" s="90">
        <f>IF(pajak[[#This Row],[//]]="","",INDEX(Table1[Tgl Invoice :],pajak[//]-offset))</f>
        <v>45070</v>
      </c>
      <c r="F42" s="86" t="str">
        <f>IF(pajak[[#This Row],[//]]="","",INDEX(Table1[Kode Sales :],pajak[//]-offset))</f>
        <v>G 4332</v>
      </c>
      <c r="G42" s="86" t="str">
        <f>IF(pajak[[#This Row],[//]]="","",INDEX(Table1[Toko],pajak[//]-offset))</f>
        <v>LILY JULIAWATI (REJO AGUNG) JOMBANG</v>
      </c>
      <c r="H42" s="89">
        <f ca="1">IF(pajak[[#This Row],[//]]="","",SUMIF(Table1[h_id],pajak[[#This Row],[//]],Table1[h_hargasebelumdiskon]))</f>
        <v>5950000</v>
      </c>
      <c r="I42" s="89">
        <f ca="1">IF(pajak[[#This Row],[//]]="","",SUMIF(Table1[h_id],pajak[[#This Row],[//]],Table1[h_diskon]))</f>
        <v>743750</v>
      </c>
      <c r="J42" s="89">
        <f ca="1">IF(pajak[[#This Row],[//]]="","",SUMIF(Table1[h_id],pajak[[#This Row],[//]],Table1[h_hargasetelahdiskon]))</f>
        <v>5206250</v>
      </c>
      <c r="K42" s="89">
        <f ca="1">IF(pajak[//]="","",pajak[[#This Row],[Sub Total]]/1.11*11%)</f>
        <v>515934.68468468462</v>
      </c>
      <c r="L42" s="89">
        <f ca="1">pajak[[#This Row],[Sub Total]]</f>
        <v>5206250</v>
      </c>
      <c r="M42" s="86" t="str">
        <f>IF(pajak[[#This Row],[//]]="","",INDEX(Table1[pembuat nota :],pajak[//]-offset))</f>
        <v>NOVI / CONDRO</v>
      </c>
      <c r="N42" s="86" t="str">
        <f>IF(pajak[[#This Row],[//]]="","",IF(INDEX(Table1[edited :],pajak[//]-offset)="","",INDEX(Table1[edited :],pajak[//]-offset)))</f>
        <v/>
      </c>
      <c r="P42" s="86">
        <f>IF(pajak[[#This Row],[Kode Sales :]]="","",MATCH(pajak[[#This Row],[Kode Sales :]],[2]Invoice!$D:$D,0))</f>
        <v>4452</v>
      </c>
      <c r="Q42" s="194">
        <f>IF((INDEX([2]Invoice!$D:$D,Table4[[#This Row],[cek_ppn]]-4)&amp;" "&amp;INDEX([2]Invoice!$E:$E,Table4[[#This Row],[cek_ppn]]-4))=pajak[[#This Row],[No. Invoice :]],1)</f>
        <v>1</v>
      </c>
      <c r="R42" s="194">
        <f>IF((INDEX([2]Invoice!$D:$D,Table4[[#This Row],[cek_ppn]]-2))=pajak[[#This Row],[Tgl Invoice :]],1)</f>
        <v>1</v>
      </c>
      <c r="S42" s="194">
        <f>IF((INDEX([2]Invoice!$D:$D,Table4[[#This Row],[cek_ppn]]))=pajak[[#This Row],[Kode Sales :]],1)</f>
        <v>1</v>
      </c>
      <c r="T42" s="194">
        <f ca="1">IF((INDEX([2]Invoice!$K:$K,Table4[[#This Row],[cek_ppn]]+28))=pajak[[#This Row],[Total Invoice]],1)</f>
        <v>1</v>
      </c>
      <c r="U42" s="194">
        <f>IF((INDEX([2]Invoice!$J:$J,Table4[[#This Row],[cek_ppn]]+30))=pajak[[#This Row],[pembuat nota]],1)</f>
        <v>1</v>
      </c>
    </row>
    <row r="43" spans="1:21" x14ac:dyDescent="0.25">
      <c r="A43" s="88">
        <v>174</v>
      </c>
      <c r="C43" s="86">
        <f t="shared" si="1"/>
        <v>174</v>
      </c>
      <c r="D43" s="86" t="str">
        <f>IF(pajak[[#This Row],[//]]="","",INDEX(Table1[No. Invoice :],pajak[//]-offset))</f>
        <v>AM 23050041</v>
      </c>
      <c r="E43" s="90">
        <f>IF(pajak[[#This Row],[//]]="","",INDEX(Table1[Tgl Invoice :],pajak[//]-offset))</f>
        <v>45073</v>
      </c>
      <c r="F43" s="86" t="str">
        <f>IF(pajak[[#This Row],[//]]="","",INDEX(Table1[Kode Sales :],pajak[//]-offset))</f>
        <v>KO 4503</v>
      </c>
      <c r="G43" s="86" t="str">
        <f>IF(pajak[[#This Row],[//]]="","",INDEX(Table1[Toko],pajak[//]-offset))</f>
        <v>SETIAWAN BUDIONO ( PRIMA ) PEKALONGAN</v>
      </c>
      <c r="H43" s="89">
        <f ca="1">IF(pajak[[#This Row],[//]]="","",SUMIF(Table1[h_id],pajak[[#This Row],[//]],Table1[h_hargasebelumdiskon]))</f>
        <v>1850000</v>
      </c>
      <c r="I43" s="89">
        <f ca="1">IF(pajak[[#This Row],[//]]="","",SUMIF(Table1[h_id],pajak[[#This Row],[//]],Table1[h_diskon]))</f>
        <v>231250</v>
      </c>
      <c r="J43" s="89">
        <f ca="1">IF(pajak[[#This Row],[//]]="","",SUMIF(Table1[h_id],pajak[[#This Row],[//]],Table1[h_hargasetelahdiskon]))</f>
        <v>1618750</v>
      </c>
      <c r="K43" s="89">
        <f ca="1">IF(pajak[//]="","",pajak[[#This Row],[Sub Total]]/1.11*11%)</f>
        <v>160416.66666666666</v>
      </c>
      <c r="L43" s="89">
        <f ca="1">pajak[[#This Row],[Sub Total]]</f>
        <v>1618750</v>
      </c>
      <c r="M43" s="86" t="str">
        <f>IF(pajak[[#This Row],[//]]="","",INDEX(Table1[pembuat nota :],pajak[//]-offset))</f>
        <v>NOVI / YO</v>
      </c>
      <c r="N43" s="86" t="str">
        <f>IF(pajak[[#This Row],[//]]="","",IF(INDEX(Table1[edited :],pajak[//]-offset)="","",INDEX(Table1[edited :],pajak[//]-offset)))</f>
        <v/>
      </c>
      <c r="P43" s="86">
        <f>IF(pajak[[#This Row],[Kode Sales :]]="","",MATCH(pajak[[#This Row],[Kode Sales :]],[2]Invoice!$D:$D,0))</f>
        <v>4566</v>
      </c>
      <c r="Q43" s="194">
        <f>IF((INDEX([2]Invoice!$D:$D,Table4[[#This Row],[cek_ppn]]-4)&amp;" "&amp;INDEX([2]Invoice!$E:$E,Table4[[#This Row],[cek_ppn]]-4))=pajak[[#This Row],[No. Invoice :]],1)</f>
        <v>1</v>
      </c>
      <c r="R43" s="194">
        <f>IF((INDEX([2]Invoice!$D:$D,Table4[[#This Row],[cek_ppn]]-2))=pajak[[#This Row],[Tgl Invoice :]],1)</f>
        <v>1</v>
      </c>
      <c r="S43" s="194">
        <f>IF((INDEX([2]Invoice!$D:$D,Table4[[#This Row],[cek_ppn]]))=pajak[[#This Row],[Kode Sales :]],1)</f>
        <v>1</v>
      </c>
      <c r="T43" s="194">
        <f ca="1">IF((INDEX([2]Invoice!$K:$K,Table4[[#This Row],[cek_ppn]]+28))=pajak[[#This Row],[Total Invoice]],1)</f>
        <v>1</v>
      </c>
      <c r="U43" s="194">
        <f>IF((INDEX([2]Invoice!$J:$J,Table4[[#This Row],[cek_ppn]]+30))=pajak[[#This Row],[pembuat nota]],1)</f>
        <v>1</v>
      </c>
    </row>
    <row r="44" spans="1:21" x14ac:dyDescent="0.25">
      <c r="A44" s="88">
        <v>176</v>
      </c>
      <c r="C44" s="86">
        <f t="shared" si="1"/>
        <v>176</v>
      </c>
      <c r="D44" s="86" t="str">
        <f>IF(pajak[[#This Row],[//]]="","",INDEX(Table1[No. Invoice :],pajak[//]-offset))</f>
        <v>AM 23050042</v>
      </c>
      <c r="E44" s="90">
        <f>IF(pajak[[#This Row],[//]]="","",INDEX(Table1[Tgl Invoice :],pajak[//]-offset))</f>
        <v>45075</v>
      </c>
      <c r="F44" s="86" t="str">
        <f>IF(pajak[[#This Row],[//]]="","",INDEX(Table1[Kode Sales :],pajak[//]-offset))</f>
        <v>KO 4426</v>
      </c>
      <c r="G44" s="86" t="str">
        <f>IF(pajak[[#This Row],[//]]="","",INDEX(Table1[Toko],pajak[//]-offset))</f>
        <v>CV PELITA JAYA (ANUGERAH SEJAHTERA) PURWOKERTO</v>
      </c>
      <c r="H44" s="89">
        <f ca="1">IF(pajak[[#This Row],[//]]="","",SUMIF(Table1[h_id],pajak[[#This Row],[//]],Table1[h_hargasebelumdiskon]))</f>
        <v>4300000</v>
      </c>
      <c r="I44" s="89">
        <f ca="1">IF(pajak[[#This Row],[//]]="","",SUMIF(Table1[h_id],pajak[[#This Row],[//]],Table1[h_diskon]))</f>
        <v>580500</v>
      </c>
      <c r="J44" s="89">
        <f ca="1">IF(pajak[[#This Row],[//]]="","",SUMIF(Table1[h_id],pajak[[#This Row],[//]],Table1[h_hargasetelahdiskon]))</f>
        <v>3719500</v>
      </c>
      <c r="K44" s="89">
        <f ca="1">IF(pajak[//]="","",pajak[[#This Row],[Sub Total]]/1.11*11%)</f>
        <v>368599.09909909911</v>
      </c>
      <c r="L44" s="89">
        <f ca="1">pajak[[#This Row],[Sub Total]]</f>
        <v>3719500</v>
      </c>
      <c r="M44" s="86" t="str">
        <f>IF(pajak[[#This Row],[//]]="","",INDEX(Table1[pembuat nota :],pajak[//]-offset))</f>
        <v>NOVI / CONDRO</v>
      </c>
      <c r="N44" s="86" t="str">
        <f>IF(pajak[[#This Row],[//]]="","",IF(INDEX(Table1[edited :],pajak[//]-offset)="","",INDEX(Table1[edited :],pajak[//]-offset)))</f>
        <v/>
      </c>
      <c r="P44" s="86">
        <f>IF(pajak[[#This Row],[Kode Sales :]]="","",MATCH(pajak[[#This Row],[Kode Sales :]],[2]Invoice!$D:$D,0))</f>
        <v>4680</v>
      </c>
      <c r="Q44" s="194">
        <f>IF((INDEX([2]Invoice!$D:$D,Table4[[#This Row],[cek_ppn]]-4)&amp;" "&amp;INDEX([2]Invoice!$E:$E,Table4[[#This Row],[cek_ppn]]-4))=pajak[[#This Row],[No. Invoice :]],1)</f>
        <v>1</v>
      </c>
      <c r="R44" s="194">
        <f>IF((INDEX([2]Invoice!$D:$D,Table4[[#This Row],[cek_ppn]]-2))=pajak[[#This Row],[Tgl Invoice :]],1)</f>
        <v>1</v>
      </c>
      <c r="S44" s="194">
        <f>IF((INDEX([2]Invoice!$D:$D,Table4[[#This Row],[cek_ppn]]))=pajak[[#This Row],[Kode Sales :]],1)</f>
        <v>1</v>
      </c>
      <c r="T44" s="194">
        <f ca="1">IF((INDEX([2]Invoice!$K:$K,Table4[[#This Row],[cek_ppn]]+28))=pajak[[#This Row],[Total Invoice]],1)</f>
        <v>1</v>
      </c>
      <c r="U44" s="194">
        <f>IF((INDEX([2]Invoice!$J:$J,Table4[[#This Row],[cek_ppn]]+30))=pajak[[#This Row],[pembuat nota]],1)</f>
        <v>1</v>
      </c>
    </row>
    <row r="45" spans="1:21" x14ac:dyDescent="0.25">
      <c r="A45" s="88">
        <v>178</v>
      </c>
      <c r="C45" s="86">
        <f t="shared" si="1"/>
        <v>178</v>
      </c>
      <c r="D45" s="86" t="str">
        <f>IF(pajak[[#This Row],[//]]="","",INDEX(Table1[No. Invoice :],pajak[//]-offset))</f>
        <v>AM 23050043</v>
      </c>
      <c r="E45" s="90">
        <f>IF(pajak[[#This Row],[//]]="","",INDEX(Table1[Tgl Invoice :],pajak[//]-offset))</f>
        <v>45076</v>
      </c>
      <c r="F45" s="86" t="str">
        <f>IF(pajak[[#This Row],[//]]="","",INDEX(Table1[Kode Sales :],pajak[//]-offset))</f>
        <v>G 4429</v>
      </c>
      <c r="G45" s="86" t="str">
        <f>IF(pajak[[#This Row],[//]]="","",INDEX(Table1[Toko],pajak[//]-offset))</f>
        <v>LILY JULIAWATI (REJO AGUNG) JOMBANG</v>
      </c>
      <c r="H45" s="89">
        <f ca="1">IF(pajak[[#This Row],[//]]="","",SUMIF(Table1[h_id],pajak[[#This Row],[//]],Table1[h_hargasebelumdiskon]))</f>
        <v>4245000</v>
      </c>
      <c r="I45" s="89">
        <f ca="1">IF(pajak[[#This Row],[//]]="","",SUMIF(Table1[h_id],pajak[[#This Row],[//]],Table1[h_diskon]))</f>
        <v>530625</v>
      </c>
      <c r="J45" s="89">
        <f ca="1">IF(pajak[[#This Row],[//]]="","",SUMIF(Table1[h_id],pajak[[#This Row],[//]],Table1[h_hargasetelahdiskon]))</f>
        <v>3714375</v>
      </c>
      <c r="K45" s="89">
        <f ca="1">IF(pajak[//]="","",pajak[[#This Row],[Sub Total]]/1.11*11%)</f>
        <v>368091.21621621621</v>
      </c>
      <c r="L45" s="89">
        <f ca="1">pajak[[#This Row],[Sub Total]]</f>
        <v>3714375</v>
      </c>
      <c r="M45" s="86" t="str">
        <f>IF(pajak[[#This Row],[//]]="","",INDEX(Table1[pembuat nota :],pajak[//]-offset))</f>
        <v>NOVI / CONDRO</v>
      </c>
      <c r="N45" s="86" t="str">
        <f>IF(pajak[[#This Row],[//]]="","",IF(INDEX(Table1[edited :],pajak[//]-offset)="","",INDEX(Table1[edited :],pajak[//]-offset)))</f>
        <v/>
      </c>
      <c r="P45" s="86">
        <f>IF(pajak[[#This Row],[Kode Sales :]]="","",MATCH(pajak[[#This Row],[Kode Sales :]],[2]Invoice!$D:$D,0))</f>
        <v>4794</v>
      </c>
      <c r="Q45" s="194">
        <f>IF((INDEX([2]Invoice!$D:$D,Table4[[#This Row],[cek_ppn]]-4)&amp;" "&amp;INDEX([2]Invoice!$E:$E,Table4[[#This Row],[cek_ppn]]-4))=pajak[[#This Row],[No. Invoice :]],1)</f>
        <v>1</v>
      </c>
      <c r="R45" s="194">
        <f>IF((INDEX([2]Invoice!$D:$D,Table4[[#This Row],[cek_ppn]]-2))=pajak[[#This Row],[Tgl Invoice :]],1)</f>
        <v>1</v>
      </c>
      <c r="S45" s="194">
        <f>IF((INDEX([2]Invoice!$D:$D,Table4[[#This Row],[cek_ppn]]))=pajak[[#This Row],[Kode Sales :]],1)</f>
        <v>1</v>
      </c>
      <c r="T45" s="194">
        <f ca="1">IF((INDEX([2]Invoice!$K:$K,Table4[[#This Row],[cek_ppn]]+28))=pajak[[#This Row],[Total Invoice]],1)</f>
        <v>1</v>
      </c>
      <c r="U45" s="194">
        <f>IF((INDEX([2]Invoice!$J:$J,Table4[[#This Row],[cek_ppn]]+30))=pajak[[#This Row],[pembuat nota]],1)</f>
        <v>1</v>
      </c>
    </row>
    <row r="46" spans="1:21" x14ac:dyDescent="0.25">
      <c r="A46" s="88">
        <v>181</v>
      </c>
      <c r="C46" s="86">
        <f t="shared" si="1"/>
        <v>181</v>
      </c>
      <c r="D46" s="86" t="str">
        <f>IF(pajak[[#This Row],[//]]="","",INDEX(Table1[No. Invoice :],pajak[//]-offset))</f>
        <v>AM 23050044</v>
      </c>
      <c r="E46" s="90">
        <f>IF(pajak[[#This Row],[//]]="","",INDEX(Table1[Tgl Invoice :],pajak[//]-offset))</f>
        <v>45077</v>
      </c>
      <c r="F46" s="86" t="str">
        <f>IF(pajak[[#This Row],[//]]="","",INDEX(Table1[Kode Sales :],pajak[//]-offset))</f>
        <v>KO 4442</v>
      </c>
      <c r="G46" s="86" t="str">
        <f>IF(pajak[[#This Row],[//]]="","",INDEX(Table1[Toko],pajak[//]-offset))</f>
        <v>CV PELITA JAYA (ANUGERAH SEJAHTERA) PURWOKERTO</v>
      </c>
      <c r="H46" s="89">
        <f ca="1">IF(pajak[[#This Row],[//]]="","",SUMIF(Table1[h_id],pajak[[#This Row],[//]],Table1[h_hargasebelumdiskon]))</f>
        <v>6508800</v>
      </c>
      <c r="I46" s="89">
        <f ca="1">IF(pajak[[#This Row],[//]]="","",SUMIF(Table1[h_id],pajak[[#This Row],[//]],Table1[h_diskon]))</f>
        <v>878688</v>
      </c>
      <c r="J46" s="89">
        <f ca="1">IF(pajak[[#This Row],[//]]="","",SUMIF(Table1[h_id],pajak[[#This Row],[//]],Table1[h_hargasetelahdiskon]))</f>
        <v>5630112</v>
      </c>
      <c r="K46" s="89">
        <f ca="1">IF(pajak[//]="","",pajak[[#This Row],[Sub Total]]/1.11*11%)</f>
        <v>557939.02702702698</v>
      </c>
      <c r="L46" s="89">
        <f ca="1">pajak[[#This Row],[Sub Total]]</f>
        <v>5630112</v>
      </c>
      <c r="M46" s="86" t="str">
        <f>IF(pajak[[#This Row],[//]]="","",INDEX(Table1[pembuat nota :],pajak[//]-offset))</f>
        <v>NOVI / CONDRO</v>
      </c>
      <c r="N46" s="86" t="str">
        <f>IF(pajak[[#This Row],[//]]="","",IF(INDEX(Table1[edited :],pajak[//]-offset)="","",INDEX(Table1[edited :],pajak[//]-offset)))</f>
        <v/>
      </c>
      <c r="P46" s="86">
        <f>IF(pajak[[#This Row],[Kode Sales :]]="","",MATCH(pajak[[#This Row],[Kode Sales :]],[2]Invoice!$D:$D,0))</f>
        <v>4908</v>
      </c>
      <c r="Q46" s="194">
        <f>IF((INDEX([2]Invoice!$D:$D,Table4[[#This Row],[cek_ppn]]-4)&amp;" "&amp;INDEX([2]Invoice!$E:$E,Table4[[#This Row],[cek_ppn]]-4))=pajak[[#This Row],[No. Invoice :]],1)</f>
        <v>1</v>
      </c>
      <c r="R46" s="194">
        <f>IF((INDEX([2]Invoice!$D:$D,Table4[[#This Row],[cek_ppn]]-2))=pajak[[#This Row],[Tgl Invoice :]],1)</f>
        <v>1</v>
      </c>
      <c r="S46" s="194">
        <f>IF((INDEX([2]Invoice!$D:$D,Table4[[#This Row],[cek_ppn]]))=pajak[[#This Row],[Kode Sales :]],1)</f>
        <v>1</v>
      </c>
      <c r="T46" s="194">
        <f ca="1">IF((INDEX([2]Invoice!$K:$K,Table4[[#This Row],[cek_ppn]]+28))=pajak[[#This Row],[Total Invoice]],1)</f>
        <v>1</v>
      </c>
      <c r="U46" s="194">
        <f>IF((INDEX([2]Invoice!$J:$J,Table4[[#This Row],[cek_ppn]]+30))=pajak[[#This Row],[pembuat nota]],1)</f>
        <v>1</v>
      </c>
    </row>
    <row r="47" spans="1:21" x14ac:dyDescent="0.25">
      <c r="A47" s="88">
        <v>184</v>
      </c>
      <c r="C47" s="86">
        <f t="shared" si="1"/>
        <v>184</v>
      </c>
      <c r="D47" s="86" t="str">
        <f>IF(pajak[[#This Row],[//]]="","",INDEX(Table1[No. Invoice :],pajak[//]-offset))</f>
        <v>AM 23050045</v>
      </c>
      <c r="E47" s="90">
        <f>IF(pajak[[#This Row],[//]]="","",INDEX(Table1[Tgl Invoice :],pajak[//]-offset))</f>
        <v>0</v>
      </c>
      <c r="F47" s="86" t="str">
        <f>IF(pajak[[#This Row],[//]]="","",INDEX(Table1[Kode Sales :],pajak[//]-offset))</f>
        <v>0 0</v>
      </c>
      <c r="G47" s="86" t="e">
        <f>IF(pajak[[#This Row],[//]]="","",INDEX(Table1[Toko],pajak[//]-offset))</f>
        <v>#N/A</v>
      </c>
      <c r="H47" s="89">
        <f ca="1">IF(pajak[[#This Row],[//]]="","",SUMIF(Table1[h_id],pajak[[#This Row],[//]],Table1[h_hargasebelumdiskon]))</f>
        <v>0</v>
      </c>
      <c r="I47" s="89">
        <f ca="1">IF(pajak[[#This Row],[//]]="","",SUMIF(Table1[h_id],pajak[[#This Row],[//]],Table1[h_diskon]))</f>
        <v>0</v>
      </c>
      <c r="J47" s="89">
        <f ca="1">IF(pajak[[#This Row],[//]]="","",SUMIF(Table1[h_id],pajak[[#This Row],[//]],Table1[h_hargasetelahdiskon]))</f>
        <v>0</v>
      </c>
      <c r="K47" s="89">
        <f ca="1">IF(pajak[//]="","",pajak[[#This Row],[Sub Total]]/1.11*11%)</f>
        <v>0</v>
      </c>
      <c r="L47" s="89">
        <f ca="1">pajak[[#This Row],[Sub Total]]</f>
        <v>0</v>
      </c>
      <c r="M47" s="86">
        <f>IF(pajak[[#This Row],[//]]="","",INDEX(Table1[pembuat nota :],pajak[//]-offset))</f>
        <v>0</v>
      </c>
      <c r="N47" s="86" t="str">
        <f>IF(pajak[[#This Row],[//]]="","",IF(INDEX(Table1[edited :],pajak[//]-offset)="","",INDEX(Table1[edited :],pajak[//]-offset)))</f>
        <v/>
      </c>
      <c r="P47" s="86" t="e">
        <f>IF(pajak[[#This Row],[Kode Sales :]]="","",MATCH(pajak[[#This Row],[Kode Sales :]],[2]Invoice!$D:$D,0))</f>
        <v>#N/A</v>
      </c>
      <c r="Q47" s="194" t="e">
        <f>IF((INDEX([2]Invoice!$D:$D,Table4[[#This Row],[cek_ppn]]-4)&amp;" "&amp;INDEX([2]Invoice!$E:$E,Table4[[#This Row],[cek_ppn]]-4))=pajak[[#This Row],[No. Invoice :]],1)</f>
        <v>#N/A</v>
      </c>
      <c r="R47" s="194" t="e">
        <f>IF((INDEX([2]Invoice!$D:$D,Table4[[#This Row],[cek_ppn]]-2))=pajak[[#This Row],[Tgl Invoice :]],1)</f>
        <v>#N/A</v>
      </c>
      <c r="S47" s="194" t="e">
        <f>IF((INDEX([2]Invoice!$D:$D,Table4[[#This Row],[cek_ppn]]))=pajak[[#This Row],[Kode Sales :]],1)</f>
        <v>#N/A</v>
      </c>
      <c r="T47" s="194" t="e">
        <f ca="1">IF((INDEX([2]Invoice!$K:$K,Table4[[#This Row],[cek_ppn]]+28))=pajak[[#This Row],[Total Invoice]],1)</f>
        <v>#N/A</v>
      </c>
      <c r="U47" s="194" t="e">
        <f>IF((INDEX([2]Invoice!$J:$J,Table4[[#This Row],[cek_ppn]]+30))=pajak[[#This Row],[pembuat nota]],1)</f>
        <v>#N/A</v>
      </c>
    </row>
    <row r="48" spans="1:21" x14ac:dyDescent="0.25">
      <c r="A48" s="88"/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1:21" x14ac:dyDescent="0.25">
      <c r="A49" s="88" t="s">
        <v>55</v>
      </c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1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1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1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1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1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1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1:21" x14ac:dyDescent="0.25">
      <c r="C56" t="s">
        <v>51</v>
      </c>
      <c r="E56"/>
      <c r="H56" s="89">
        <f ca="1">SUBTOTAL(109,pajak[Total])</f>
        <v>503710900</v>
      </c>
      <c r="I56" s="89">
        <f ca="1">SUBTOTAL(109,pajak[Diskon])</f>
        <v>63470354</v>
      </c>
      <c r="J56" s="89">
        <f ca="1">SUBTOTAL(109,pajak[Sub Total])</f>
        <v>440240546</v>
      </c>
      <c r="K56" s="89">
        <f ca="1">SUBTOTAL(109,pajak[PPN 11%])</f>
        <v>43627441.495495476</v>
      </c>
      <c r="L56" s="89">
        <f ca="1">SUBTOTAL(109,pajak[Total Invoice])</f>
        <v>440240546</v>
      </c>
      <c r="M56"/>
      <c r="N56"/>
    </row>
  </sheetData>
  <conditionalFormatting sqref="F57:F1048576 F1:F55">
    <cfRule type="duplicateValues" dxfId="35" priority="9"/>
  </conditionalFormatting>
  <conditionalFormatting sqref="Q1:U1048576">
    <cfRule type="containsText" dxfId="34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K2" sqref="K2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184</v>
      </c>
      <c r="B1" t="s">
        <v>43</v>
      </c>
      <c r="C1">
        <f>COUNTA(NOTA!B1:B2)</f>
        <v>2</v>
      </c>
      <c r="D1" t="s">
        <v>44</v>
      </c>
      <c r="E1">
        <f>INDEX(Table1[h_toko],newestIdRow-offset)</f>
        <v>0</v>
      </c>
      <c r="F1" t="s">
        <v>46</v>
      </c>
      <c r="G1" t="str">
        <f ca="1">INDEX(Table1[h_jumlahbarang],newestIdRow-offset)</f>
        <v/>
      </c>
      <c r="I1" s="357" t="s">
        <v>77</v>
      </c>
      <c r="J1" s="357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23050045</v>
      </c>
      <c r="G3" s="11" t="s">
        <v>16</v>
      </c>
      <c r="H3" s="364" t="e">
        <f>INDEX(Table2[b],MATCH(kToko,Table2[a],0))</f>
        <v>#N/A</v>
      </c>
      <c r="I3" s="364"/>
      <c r="J3" s="364"/>
      <c r="K3" s="36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35" t="s">
        <v>18</v>
      </c>
      <c r="G4" s="17"/>
      <c r="H4" s="366"/>
      <c r="I4" s="366"/>
      <c r="J4" s="366"/>
      <c r="K4" s="367"/>
      <c r="L4" s="12"/>
    </row>
    <row r="5" spans="1:12" s="10" customFormat="1" ht="16.5" customHeight="1" x14ac:dyDescent="0.3">
      <c r="A5" s="7"/>
      <c r="B5" s="1" t="s">
        <v>2</v>
      </c>
      <c r="C5" s="8"/>
      <c r="D5" s="336">
        <f>INDEX(Table1[Tgl Invoice :],newestIdRow-offset)</f>
        <v>0</v>
      </c>
      <c r="E5" s="337"/>
      <c r="F5" s="335"/>
      <c r="G5" s="18"/>
      <c r="H5" s="338" t="e">
        <f>IF(INDEX(Table2[c],MATCH(kToko,Table2[a],0))="","",INDEX(Table2[c],MATCH(kToko,Table2[a],0)))</f>
        <v>#N/A</v>
      </c>
      <c r="I5" s="338"/>
      <c r="J5" s="338"/>
      <c r="K5" s="339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35"/>
      <c r="G6" s="18"/>
      <c r="H6" s="340" t="e">
        <f>INDEX(Table2[d],MATCH(kToko,Table2[a],0))</f>
        <v>#N/A</v>
      </c>
      <c r="I6" s="340"/>
      <c r="J6" s="340"/>
      <c r="K6" s="341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0 0</v>
      </c>
      <c r="E7" s="9"/>
      <c r="F7" s="21"/>
      <c r="G7" s="22"/>
      <c r="H7" s="342"/>
      <c r="I7" s="342"/>
      <c r="J7" s="342"/>
      <c r="K7" s="343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0</v>
      </c>
      <c r="C11" s="46">
        <f ca="1">IF(A11&gt;jumlahBarang,"",INDEX(Table1[Unit],newestIdRow-offset+A11-1))</f>
        <v>0</v>
      </c>
      <c r="D11" s="47" t="str">
        <f ca="1">IF(A11&gt;jumlahBarang,"",IF(INDEX(Table1[C],newestIdRow-offset+A11-1)="","",INDEX(Table1[C],newestIdRow-offset+A11-1)))</f>
        <v/>
      </c>
      <c r="E11" s="48">
        <f ca="1">IF(A11&gt;jumlahBarang,"",INDEX(Table1[Item Description],newestIdRow-offset+A11-1))</f>
        <v>0</v>
      </c>
      <c r="F11" s="49"/>
      <c r="G11" s="50"/>
      <c r="H11" s="51">
        <f ca="1">IF(A11&gt;jumlahBarang,"",INDEX(Table1[Unit Price],newestIdRow-offset+A11-1))</f>
        <v>0</v>
      </c>
      <c r="I11" s="52" t="str">
        <f ca="1">IF(A11&gt;jumlahBarang,"",IF(INDEX(Table1[Disc 1],newestIdRow-offset+A11-1)="","",INDEX(Table1[Disc 1],newestIdRow-offset+A11-1)))</f>
        <v/>
      </c>
      <c r="J11" s="52" t="str">
        <f ca="1">IF(A11&gt;jumlahBarang,"",IF(INDEX(Table1[Disc 2],newestIdRow-offset+A11-1)="","",INDEX(Table1[Disc 2],newestIdRow-offset+A11-1)))</f>
        <v/>
      </c>
      <c r="K11" s="53" t="str">
        <f ca="1">IF(A11&gt;jumlahBarang,"",INDEX(Table1[Amount],newestIdRow-offset+A11-1))</f>
        <v/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0</v>
      </c>
      <c r="C12" s="46">
        <f ca="1">IF(A12&gt;jumlahBarang,"",INDEX(Table1[Unit],newestIdRow-offset+A12-1))</f>
        <v>0</v>
      </c>
      <c r="D12" s="47" t="str">
        <f ca="1">IF(A12&gt;jumlahBarang,"",IF(INDEX(Table1[C],newestIdRow-offset+A12-1)="","",INDEX(Table1[C],newestIdRow-offset+A12-1)))</f>
        <v/>
      </c>
      <c r="E12" s="48">
        <f ca="1">IF(A12&gt;jumlahBarang,"",INDEX(Table1[Item Description],newestIdRow-offset+A12-1))</f>
        <v>0</v>
      </c>
      <c r="F12" s="49"/>
      <c r="G12" s="50"/>
      <c r="H12" s="51">
        <f ca="1">IF(A12&gt;jumlahBarang,"",INDEX(Table1[Unit Price],newestIdRow-offset+A12-1))</f>
        <v>0</v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0</v>
      </c>
      <c r="C13" s="46">
        <f ca="1">IF(A13&gt;jumlahBarang,"",INDEX(Table1[Unit],newestIdRow-offset+A13-1))</f>
        <v>0</v>
      </c>
      <c r="D13" s="47" t="str">
        <f ca="1">IF(A13&gt;jumlahBarang,"",IF(INDEX(Table1[C],newestIdRow-offset+A13-1)="","",INDEX(Table1[C],newestIdRow-offset+A13-1)))</f>
        <v/>
      </c>
      <c r="E13" s="48">
        <f ca="1">IF(A13&gt;jumlahBarang,"",INDEX(Table1[Item Description],newestIdRow-offset+A13-1))</f>
        <v>0</v>
      </c>
      <c r="F13" s="49"/>
      <c r="G13" s="50"/>
      <c r="H13" s="51">
        <f ca="1">IF(A13&gt;jumlahBarang,"",INDEX(Table1[Unit Price],newestIdRow-offset+A13-1))</f>
        <v>0</v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0</v>
      </c>
      <c r="C14" s="46">
        <f ca="1">IF(A14&gt;jumlahBarang,"",INDEX(Table1[Unit],newestIdRow-offset+A14-1))</f>
        <v>0</v>
      </c>
      <c r="D14" s="47" t="str">
        <f ca="1">IF(A14&gt;jumlahBarang,"",IF(INDEX(Table1[C],newestIdRow-offset+A14-1)="","",INDEX(Table1[C],newestIdRow-offset+A14-1)))</f>
        <v/>
      </c>
      <c r="E14" s="48">
        <f ca="1">IF(A14&gt;jumlahBarang,"",INDEX(Table1[Item Description],newestIdRow-offset+A14-1))</f>
        <v>0</v>
      </c>
      <c r="F14" s="49"/>
      <c r="G14" s="50"/>
      <c r="H14" s="51">
        <f ca="1">IF(A14&gt;jumlahBarang,"",INDEX(Table1[Unit Price],newestIdRow-offset+A14-1))</f>
        <v>0</v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>
        <f ca="1">IF(A15&gt;jumlahBarang,"",INDEX(Table1[Qty],newestIdRow-offset+A15-1))</f>
        <v>0</v>
      </c>
      <c r="C15" s="46">
        <f ca="1">IF(A15&gt;jumlahBarang,"",INDEX(Table1[Unit],newestIdRow-offset+A15-1))</f>
        <v>0</v>
      </c>
      <c r="D15" s="47" t="str">
        <f ca="1">IF(A15&gt;jumlahBarang,"",IF(INDEX(Table1[C],newestIdRow-offset+A15-1)="","",INDEX(Table1[C],newestIdRow-offset+A15-1)))</f>
        <v/>
      </c>
      <c r="E15" s="48">
        <f ca="1">IF(A15&gt;jumlahBarang,"",INDEX(Table1[Item Description],newestIdRow-offset+A15-1))</f>
        <v>0</v>
      </c>
      <c r="F15" s="49"/>
      <c r="G15" s="50"/>
      <c r="H15" s="51">
        <f ca="1">IF(A15&gt;jumlahBarang,"",INDEX(Table1[Unit Price],newestIdRow-offset+A15-1))</f>
        <v>0</v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>
        <f ca="1">IF(A16&gt;jumlahBarang,"",INDEX(Table1[Qty],newestIdRow-offset+A16-1))</f>
        <v>0</v>
      </c>
      <c r="C16" s="46">
        <f ca="1">IF(A16&gt;jumlahBarang,"",INDEX(Table1[Unit],newestIdRow-offset+A16-1))</f>
        <v>0</v>
      </c>
      <c r="D16" s="47" t="str">
        <f ca="1">IF(A16&gt;jumlahBarang,"",IF(INDEX(Table1[C],newestIdRow-offset+A16-1)="","",INDEX(Table1[C],newestIdRow-offset+A16-1)))</f>
        <v/>
      </c>
      <c r="E16" s="48">
        <f ca="1">IF(A16&gt;jumlahBarang,"",INDEX(Table1[Item Description],newestIdRow-offset+A16-1))</f>
        <v>0</v>
      </c>
      <c r="F16" s="49"/>
      <c r="G16" s="50"/>
      <c r="H16" s="51">
        <f ca="1">IF(A16&gt;jumlahBarang,"",INDEX(Table1[Unit Price],newestIdRow-offset+A16-1))</f>
        <v>0</v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>
        <f ca="1">IF(A17&gt;jumlahBarang,"",INDEX(Table1[Qty],newestIdRow-offset+A17-1))</f>
        <v>0</v>
      </c>
      <c r="C17" s="46">
        <f ca="1">IF(A17&gt;jumlahBarang,"",INDEX(Table1[Unit],newestIdRow-offset+A17-1))</f>
        <v>0</v>
      </c>
      <c r="D17" s="47" t="str">
        <f ca="1">IF(A17&gt;jumlahBarang,"",IF(INDEX(Table1[C],newestIdRow-offset+A17-1)="","",INDEX(Table1[C],newestIdRow-offset+A17-1)))</f>
        <v/>
      </c>
      <c r="E17" s="48">
        <f ca="1">IF(A17&gt;jumlahBarang,"",INDEX(Table1[Item Description],newestIdRow-offset+A17-1))</f>
        <v>0</v>
      </c>
      <c r="F17" s="49"/>
      <c r="G17" s="50"/>
      <c r="H17" s="51">
        <f ca="1">IF(A17&gt;jumlahBarang,"",INDEX(Table1[Unit Price],newestIdRow-offset+A17-1))</f>
        <v>0</v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>
        <f ca="1">IF(A18&gt;jumlahBarang,"",INDEX(Table1[Qty],newestIdRow-offset+A18-1))</f>
        <v>0</v>
      </c>
      <c r="C18" s="46">
        <f ca="1">IF(A18&gt;jumlahBarang,"",INDEX(Table1[Unit],newestIdRow-offset+A18-1))</f>
        <v>0</v>
      </c>
      <c r="D18" s="47" t="str">
        <f ca="1">IF(A18&gt;jumlahBarang,"",IF(INDEX(Table1[C],newestIdRow-offset+A18-1)="","",INDEX(Table1[C],newestIdRow-offset+A18-1)))</f>
        <v/>
      </c>
      <c r="E18" s="48">
        <f ca="1">IF(A18&gt;jumlahBarang,"",INDEX(Table1[Item Description],newestIdRow-offset+A18-1))</f>
        <v>0</v>
      </c>
      <c r="F18" s="49"/>
      <c r="G18" s="50"/>
      <c r="H18" s="51">
        <f ca="1">IF(A18&gt;jumlahBarang,"",INDEX(Table1[Unit Price],newestIdRow-offset+A18-1))</f>
        <v>0</v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>
        <f ca="1">IF(A19&gt;jumlahBarang,"",INDEX(Table1[Qty],newestIdRow-offset+A19-1))</f>
        <v>0</v>
      </c>
      <c r="C19" s="46">
        <f ca="1">IF(A19&gt;jumlahBarang,"",INDEX(Table1[Unit],newestIdRow-offset+A19-1))</f>
        <v>0</v>
      </c>
      <c r="D19" s="47" t="str">
        <f ca="1">IF(A19&gt;jumlahBarang,"",IF(INDEX(Table1[C],newestIdRow-offset+A19-1)="","",INDEX(Table1[C],newestIdRow-offset+A19-1)))</f>
        <v/>
      </c>
      <c r="E19" s="48">
        <f ca="1">IF(A19&gt;jumlahBarang,"",INDEX(Table1[Item Description],newestIdRow-offset+A19-1))</f>
        <v>0</v>
      </c>
      <c r="F19" s="49"/>
      <c r="G19" s="50"/>
      <c r="H19" s="51">
        <f ca="1">IF(A19&gt;jumlahBarang,"",INDEX(Table1[Unit Price],newestIdRow-offset+A19-1))</f>
        <v>0</v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>
        <f ca="1">IF(A20&gt;jumlahBarang,"",INDEX(Table1[Qty],newestIdRow-offset+A20-1))</f>
        <v>0</v>
      </c>
      <c r="C20" s="46">
        <f ca="1">IF(A20&gt;jumlahBarang,"",INDEX(Table1[Unit],newestIdRow-offset+A20-1))</f>
        <v>0</v>
      </c>
      <c r="D20" s="47" t="str">
        <f ca="1">IF(A20&gt;jumlahBarang,"",IF(INDEX(Table1[C],newestIdRow-offset+A20-1)="","",INDEX(Table1[C],newestIdRow-offset+A20-1)))</f>
        <v/>
      </c>
      <c r="E20" s="48">
        <f ca="1">IF(A20&gt;jumlahBarang,"",INDEX(Table1[Item Description],newestIdRow-offset+A20-1))</f>
        <v>0</v>
      </c>
      <c r="F20" s="49"/>
      <c r="G20" s="50"/>
      <c r="H20" s="51">
        <f ca="1">IF(A20&gt;jumlahBarang,"",INDEX(Table1[Unit Price],newestIdRow-offset+A20-1))</f>
        <v>0</v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>
        <f ca="1">IF(A21&gt;jumlahBarang,"",INDEX(Table1[Qty],newestIdRow-offset+A21-1))</f>
        <v>0</v>
      </c>
      <c r="C21" s="46">
        <f ca="1">IF(A21&gt;jumlahBarang,"",INDEX(Table1[Unit],newestIdRow-offset+A21-1))</f>
        <v>0</v>
      </c>
      <c r="D21" s="47" t="str">
        <f ca="1">IF(A21&gt;jumlahBarang,"",IF(INDEX(Table1[C],newestIdRow-offset+A21-1)="","",INDEX(Table1[C],newestIdRow-offset+A21-1)))</f>
        <v/>
      </c>
      <c r="E21" s="48">
        <f ca="1">IF(A21&gt;jumlahBarang,"",INDEX(Table1[Item Description],newestIdRow-offset+A21-1))</f>
        <v>0</v>
      </c>
      <c r="F21" s="49"/>
      <c r="G21" s="50"/>
      <c r="H21" s="51">
        <f ca="1">IF(A21&gt;jumlahBarang,"",INDEX(Table1[Unit Price],newestIdRow-offset+A21-1))</f>
        <v>0</v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>
        <f ca="1">IF(A22&gt;jumlahBarang,"",INDEX(Table1[Qty],newestIdRow-offset+A22-1))</f>
        <v>0</v>
      </c>
      <c r="C22" s="46">
        <f ca="1">IF(A22&gt;jumlahBarang,"",INDEX(Table1[Unit],newestIdRow-offset+A22-1))</f>
        <v>0</v>
      </c>
      <c r="D22" s="47" t="str">
        <f ca="1">IF(A22&gt;jumlahBarang,"",IF(INDEX(Table1[C],newestIdRow-offset+A22-1)="","",INDEX(Table1[C],newestIdRow-offset+A22-1)))</f>
        <v/>
      </c>
      <c r="E22" s="48">
        <f ca="1">IF(A22&gt;jumlahBarang,"",INDEX(Table1[Item Description],newestIdRow-offset+A22-1))</f>
        <v>0</v>
      </c>
      <c r="F22" s="49"/>
      <c r="G22" s="50"/>
      <c r="H22" s="51">
        <f ca="1">IF(A22&gt;jumlahBarang,"",INDEX(Table1[Unit Price],newestIdRow-offset+A22-1))</f>
        <v>0</v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>
        <f ca="1">IF(A23&gt;jumlahBarang,"",INDEX(Table1[Qty],newestIdRow-offset+A23-1))</f>
        <v>0</v>
      </c>
      <c r="C23" s="46">
        <f ca="1">IF(A23&gt;jumlahBarang,"",INDEX(Table1[Unit],newestIdRow-offset+A23-1))</f>
        <v>0</v>
      </c>
      <c r="D23" s="47" t="str">
        <f ca="1">IF(A23&gt;jumlahBarang,"",IF(INDEX(Table1[C],newestIdRow-offset+A23-1)="","",INDEX(Table1[C],newestIdRow-offset+A23-1)))</f>
        <v/>
      </c>
      <c r="E23" s="48">
        <f ca="1">IF(A23&gt;jumlahBarang,"",INDEX(Table1[Item Description],newestIdRow-offset+A23-1))</f>
        <v>0</v>
      </c>
      <c r="F23" s="49"/>
      <c r="G23" s="50"/>
      <c r="H23" s="51">
        <f ca="1">IF(A23&gt;jumlahBarang,"",INDEX(Table1[Unit Price],newestIdRow-offset+A23-1))</f>
        <v>0</v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>
        <f ca="1">IF(A24&gt;jumlahBarang,"",INDEX(Table1[Qty],newestIdRow-offset+A24-1))</f>
        <v>0</v>
      </c>
      <c r="C24" s="46">
        <f ca="1">IF(A24&gt;jumlahBarang,"",INDEX(Table1[Unit],newestIdRow-offset+A24-1))</f>
        <v>0</v>
      </c>
      <c r="D24" s="47" t="str">
        <f ca="1">IF(A24&gt;jumlahBarang,"",IF(INDEX(Table1[C],newestIdRow-offset+A24-1)="","",INDEX(Table1[C],newestIdRow-offset+A24-1)))</f>
        <v/>
      </c>
      <c r="E24" s="48">
        <f ca="1">IF(A24&gt;jumlahBarang,"",INDEX(Table1[Item Description],newestIdRow-offset+A24-1))</f>
        <v>0</v>
      </c>
      <c r="F24" s="49"/>
      <c r="G24" s="50"/>
      <c r="H24" s="51">
        <f ca="1">IF(A24&gt;jumlahBarang,"",INDEX(Table1[Unit Price],newestIdRow-offset+A24-1))</f>
        <v>0</v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>
        <f ca="1">IF(A25&gt;jumlahBarang,"",INDEX(Table1[Qty],newestIdRow-offset+A25-1))</f>
        <v>0</v>
      </c>
      <c r="C25" s="46">
        <f ca="1">IF(A25&gt;jumlahBarang,"",INDEX(Table1[Unit],newestIdRow-offset+A25-1))</f>
        <v>0</v>
      </c>
      <c r="D25" s="47" t="str">
        <f ca="1">IF(A25&gt;jumlahBarang,"",IF(INDEX(Table1[C],newestIdRow-offset+A25-1)="","",INDEX(Table1[C],newestIdRow-offset+A25-1)))</f>
        <v/>
      </c>
      <c r="E25" s="48">
        <f ca="1">IF(A25&gt;jumlahBarang,"",INDEX(Table1[Item Description],newestIdRow-offset+A25-1))</f>
        <v>0</v>
      </c>
      <c r="F25" s="49"/>
      <c r="G25" s="50"/>
      <c r="H25" s="51">
        <f ca="1">IF(A25&gt;jumlahBarang,"",INDEX(Table1[Unit Price],newestIdRow-offset+A25-1))</f>
        <v>0</v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>
        <f ca="1">IF(A26&gt;jumlahBarang,"",INDEX(Table1[Qty],newestIdRow-offset+A26-1))</f>
        <v>0</v>
      </c>
      <c r="C26" s="46">
        <f ca="1">IF(A26&gt;jumlahBarang,"",INDEX(Table1[Unit],newestIdRow-offset+A26-1))</f>
        <v>0</v>
      </c>
      <c r="D26" s="47" t="str">
        <f ca="1">IF(A26&gt;jumlahBarang,"",IF(INDEX(Table1[C],newestIdRow-offset+A26-1)="","",INDEX(Table1[C],newestIdRow-offset+A26-1)))</f>
        <v/>
      </c>
      <c r="E26" s="48">
        <f ca="1">IF(A26&gt;jumlahBarang,"",INDEX(Table1[Item Description],newestIdRow-offset+A26-1))</f>
        <v>0</v>
      </c>
      <c r="F26" s="49"/>
      <c r="G26" s="50"/>
      <c r="H26" s="51">
        <f ca="1">IF(A26&gt;jumlahBarang,"",INDEX(Table1[Unit Price],newestIdRow-offset+A26-1))</f>
        <v>0</v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63"/>
      <c r="K28" s="36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60">
        <f ca="1">INDEX(pajak[Sub Total],MATCH(newestIdRow,pajak[//],0))</f>
        <v>0</v>
      </c>
      <c r="K29" s="36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62"/>
      <c r="K30" s="36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63"/>
      <c r="K32" s="36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60">
        <f ca="1">INDEX(pajak[PPN 11%],MATCH(newestIdRow,pajak[//],0))</f>
        <v>0</v>
      </c>
      <c r="K33" s="36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63"/>
      <c r="K34" s="36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8">
        <f>INDEX(pajak[pembuat nota],MATCH(newestIdRow,pajak[//],0))</f>
        <v>0</v>
      </c>
      <c r="K37" s="35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8" t="str">
        <f>INDEX(pajak[edited],MATCH(newestIdRow,pajak[//],0))</f>
        <v/>
      </c>
      <c r="K38" s="35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23050045</v>
      </c>
      <c r="F41" s="210"/>
      <c r="G41" s="211" t="s">
        <v>16</v>
      </c>
      <c r="H41" s="344" t="e">
        <f>H3</f>
        <v>#N/A</v>
      </c>
      <c r="I41" s="344"/>
      <c r="J41" s="344"/>
      <c r="K41" s="345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8" t="s">
        <v>18</v>
      </c>
      <c r="G42" s="217"/>
      <c r="H42" s="346"/>
      <c r="I42" s="346"/>
      <c r="J42" s="346"/>
      <c r="K42" s="347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9">
        <f>D5</f>
        <v>0</v>
      </c>
      <c r="E43" s="350"/>
      <c r="F43" s="348"/>
      <c r="G43" s="218"/>
      <c r="H43" s="351" t="e">
        <f>H5</f>
        <v>#N/A</v>
      </c>
      <c r="I43" s="351"/>
      <c r="J43" s="351"/>
      <c r="K43" s="352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8"/>
      <c r="G44" s="218"/>
      <c r="H44" s="353" t="e">
        <f>H6</f>
        <v>#N/A</v>
      </c>
      <c r="I44" s="353"/>
      <c r="J44" s="353"/>
      <c r="K44" s="354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0 0</v>
      </c>
      <c r="E45" s="209"/>
      <c r="F45" s="222"/>
      <c r="G45" s="223"/>
      <c r="H45" s="355"/>
      <c r="I45" s="355"/>
      <c r="J45" s="355"/>
      <c r="K45" s="356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0</v>
      </c>
      <c r="C49" s="249">
        <f t="shared" ca="1" si="0"/>
        <v>0</v>
      </c>
      <c r="D49" s="250" t="str">
        <f t="shared" ca="1" si="0"/>
        <v/>
      </c>
      <c r="E49" s="251">
        <f t="shared" ca="1" si="0"/>
        <v>0</v>
      </c>
      <c r="F49" s="252"/>
      <c r="G49" s="253"/>
      <c r="H49" s="254">
        <f t="shared" ref="H49:K64" ca="1" si="1">H11</f>
        <v>0</v>
      </c>
      <c r="I49" s="255" t="str">
        <f t="shared" ca="1" si="1"/>
        <v/>
      </c>
      <c r="J49" s="255" t="str">
        <f t="shared" ca="1" si="1"/>
        <v/>
      </c>
      <c r="K49" s="256" t="str">
        <f t="shared" ca="1" si="1"/>
        <v/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0</v>
      </c>
      <c r="C50" s="249">
        <f t="shared" ca="1" si="0"/>
        <v>0</v>
      </c>
      <c r="D50" s="250" t="str">
        <f t="shared" ca="1" si="0"/>
        <v/>
      </c>
      <c r="E50" s="251">
        <f t="shared" ca="1" si="0"/>
        <v>0</v>
      </c>
      <c r="F50" s="252"/>
      <c r="G50" s="253"/>
      <c r="H50" s="254">
        <f t="shared" ca="1" si="1"/>
        <v>0</v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0</v>
      </c>
      <c r="C51" s="249">
        <f t="shared" ca="1" si="0"/>
        <v>0</v>
      </c>
      <c r="D51" s="250" t="str">
        <f t="shared" ca="1" si="0"/>
        <v/>
      </c>
      <c r="E51" s="251">
        <f t="shared" ca="1" si="0"/>
        <v>0</v>
      </c>
      <c r="F51" s="252"/>
      <c r="G51" s="253"/>
      <c r="H51" s="254">
        <f t="shared" ca="1" si="1"/>
        <v>0</v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0</v>
      </c>
      <c r="C52" s="249">
        <f t="shared" ca="1" si="0"/>
        <v>0</v>
      </c>
      <c r="D52" s="250" t="str">
        <f t="shared" ca="1" si="0"/>
        <v/>
      </c>
      <c r="E52" s="251">
        <f t="shared" ca="1" si="0"/>
        <v>0</v>
      </c>
      <c r="F52" s="252"/>
      <c r="G52" s="253"/>
      <c r="H52" s="254">
        <f t="shared" ca="1" si="1"/>
        <v>0</v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>
        <f t="shared" ca="1" si="0"/>
        <v>0</v>
      </c>
      <c r="C53" s="249">
        <f t="shared" ca="1" si="0"/>
        <v>0</v>
      </c>
      <c r="D53" s="250" t="str">
        <f t="shared" ca="1" si="0"/>
        <v/>
      </c>
      <c r="E53" s="251">
        <f t="shared" ca="1" si="0"/>
        <v>0</v>
      </c>
      <c r="F53" s="252"/>
      <c r="G53" s="253"/>
      <c r="H53" s="254">
        <f t="shared" ca="1" si="1"/>
        <v>0</v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>
        <f t="shared" ca="1" si="0"/>
        <v>0</v>
      </c>
      <c r="C54" s="249">
        <f t="shared" ca="1" si="0"/>
        <v>0</v>
      </c>
      <c r="D54" s="250" t="str">
        <f t="shared" ca="1" si="0"/>
        <v/>
      </c>
      <c r="E54" s="251">
        <f t="shared" ca="1" si="0"/>
        <v>0</v>
      </c>
      <c r="F54" s="252"/>
      <c r="G54" s="253"/>
      <c r="H54" s="254">
        <f t="shared" ca="1" si="1"/>
        <v>0</v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>
        <f t="shared" ca="1" si="0"/>
        <v>0</v>
      </c>
      <c r="C55" s="249">
        <f t="shared" ca="1" si="0"/>
        <v>0</v>
      </c>
      <c r="D55" s="250" t="str">
        <f t="shared" ca="1" si="0"/>
        <v/>
      </c>
      <c r="E55" s="251">
        <f t="shared" ca="1" si="0"/>
        <v>0</v>
      </c>
      <c r="F55" s="252"/>
      <c r="G55" s="253"/>
      <c r="H55" s="254">
        <f t="shared" ca="1" si="1"/>
        <v>0</v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>
        <f t="shared" ca="1" si="0"/>
        <v>0</v>
      </c>
      <c r="C56" s="249">
        <f t="shared" ca="1" si="0"/>
        <v>0</v>
      </c>
      <c r="D56" s="250" t="str">
        <f t="shared" ca="1" si="0"/>
        <v/>
      </c>
      <c r="E56" s="251">
        <f t="shared" ca="1" si="0"/>
        <v>0</v>
      </c>
      <c r="F56" s="252"/>
      <c r="G56" s="253"/>
      <c r="H56" s="254">
        <f t="shared" ca="1" si="1"/>
        <v>0</v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>
        <f t="shared" ca="1" si="0"/>
        <v>0</v>
      </c>
      <c r="C57" s="249">
        <f t="shared" ca="1" si="0"/>
        <v>0</v>
      </c>
      <c r="D57" s="250" t="str">
        <f t="shared" ca="1" si="0"/>
        <v/>
      </c>
      <c r="E57" s="251">
        <f t="shared" ca="1" si="0"/>
        <v>0</v>
      </c>
      <c r="F57" s="252"/>
      <c r="G57" s="253"/>
      <c r="H57" s="254">
        <f t="shared" ca="1" si="1"/>
        <v>0</v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>
        <f t="shared" ca="1" si="0"/>
        <v>0</v>
      </c>
      <c r="C58" s="249">
        <f t="shared" ca="1" si="0"/>
        <v>0</v>
      </c>
      <c r="D58" s="250" t="str">
        <f t="shared" ca="1" si="0"/>
        <v/>
      </c>
      <c r="E58" s="251">
        <f t="shared" ca="1" si="0"/>
        <v>0</v>
      </c>
      <c r="F58" s="252"/>
      <c r="G58" s="253"/>
      <c r="H58" s="254">
        <f t="shared" ca="1" si="1"/>
        <v>0</v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>
        <f t="shared" ca="1" si="0"/>
        <v>0</v>
      </c>
      <c r="C59" s="249">
        <f t="shared" ca="1" si="0"/>
        <v>0</v>
      </c>
      <c r="D59" s="250" t="str">
        <f t="shared" ca="1" si="0"/>
        <v/>
      </c>
      <c r="E59" s="251">
        <f t="shared" ca="1" si="0"/>
        <v>0</v>
      </c>
      <c r="F59" s="252"/>
      <c r="G59" s="253"/>
      <c r="H59" s="254">
        <f t="shared" ca="1" si="1"/>
        <v>0</v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>
        <f t="shared" ca="1" si="0"/>
        <v>0</v>
      </c>
      <c r="C60" s="249">
        <f t="shared" ca="1" si="0"/>
        <v>0</v>
      </c>
      <c r="D60" s="250" t="str">
        <f t="shared" ca="1" si="0"/>
        <v/>
      </c>
      <c r="E60" s="251">
        <f t="shared" ca="1" si="0"/>
        <v>0</v>
      </c>
      <c r="F60" s="252"/>
      <c r="G60" s="253"/>
      <c r="H60" s="254">
        <f t="shared" ca="1" si="1"/>
        <v>0</v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>
        <f t="shared" ca="1" si="0"/>
        <v>0</v>
      </c>
      <c r="C61" s="249">
        <f t="shared" ca="1" si="0"/>
        <v>0</v>
      </c>
      <c r="D61" s="250" t="str">
        <f t="shared" ca="1" si="0"/>
        <v/>
      </c>
      <c r="E61" s="251">
        <f t="shared" ca="1" si="0"/>
        <v>0</v>
      </c>
      <c r="F61" s="252"/>
      <c r="G61" s="253"/>
      <c r="H61" s="254">
        <f t="shared" ca="1" si="1"/>
        <v>0</v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>
        <f t="shared" ca="1" si="0"/>
        <v>0</v>
      </c>
      <c r="C62" s="249">
        <f t="shared" ca="1" si="0"/>
        <v>0</v>
      </c>
      <c r="D62" s="250" t="str">
        <f t="shared" ca="1" si="0"/>
        <v/>
      </c>
      <c r="E62" s="251">
        <f t="shared" ca="1" si="0"/>
        <v>0</v>
      </c>
      <c r="F62" s="252"/>
      <c r="G62" s="253"/>
      <c r="H62" s="254">
        <f t="shared" ca="1" si="1"/>
        <v>0</v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>
        <f t="shared" ca="1" si="0"/>
        <v>0</v>
      </c>
      <c r="C63" s="249">
        <f t="shared" ca="1" si="0"/>
        <v>0</v>
      </c>
      <c r="D63" s="250" t="str">
        <f t="shared" ca="1" si="0"/>
        <v/>
      </c>
      <c r="E63" s="251">
        <f t="shared" ca="1" si="0"/>
        <v>0</v>
      </c>
      <c r="F63" s="252"/>
      <c r="G63" s="253"/>
      <c r="H63" s="254">
        <f t="shared" ca="1" si="1"/>
        <v>0</v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>
        <f t="shared" ca="1" si="0"/>
        <v>0</v>
      </c>
      <c r="C64" s="249">
        <f t="shared" ca="1" si="0"/>
        <v>0</v>
      </c>
      <c r="D64" s="250" t="str">
        <f t="shared" ca="1" si="0"/>
        <v/>
      </c>
      <c r="E64" s="251">
        <f t="shared" ca="1" si="0"/>
        <v>0</v>
      </c>
      <c r="F64" s="252"/>
      <c r="G64" s="253"/>
      <c r="H64" s="254">
        <f t="shared" ca="1" si="1"/>
        <v>0</v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4"/>
      <c r="K66" s="32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2">
        <f ca="1">J29</f>
        <v>0</v>
      </c>
      <c r="K67" s="333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4"/>
      <c r="K68" s="334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4"/>
      <c r="K70" s="32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2">
        <f ca="1">J33</f>
        <v>0</v>
      </c>
      <c r="K71" s="333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4"/>
      <c r="K72" s="32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5">
        <f>J37</f>
        <v>0</v>
      </c>
      <c r="K75" s="326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5">
        <v>0</v>
      </c>
      <c r="K76" s="326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23050045</v>
      </c>
      <c r="F79" s="110"/>
      <c r="G79" s="111" t="s">
        <v>16</v>
      </c>
      <c r="H79" s="327" t="e">
        <f>H41</f>
        <v>#N/A</v>
      </c>
      <c r="I79" s="327"/>
      <c r="J79" s="327"/>
      <c r="K79" s="328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1" t="s">
        <v>18</v>
      </c>
      <c r="G80" s="117"/>
      <c r="H80" s="329"/>
      <c r="I80" s="329"/>
      <c r="J80" s="329"/>
      <c r="K80" s="330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16">
        <f>D43</f>
        <v>0</v>
      </c>
      <c r="E81" s="317"/>
      <c r="F81" s="331"/>
      <c r="G81" s="118"/>
      <c r="H81" s="318" t="e">
        <f>H43</f>
        <v>#N/A</v>
      </c>
      <c r="I81" s="318"/>
      <c r="J81" s="318"/>
      <c r="K81" s="31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1"/>
      <c r="G82" s="118"/>
      <c r="H82" s="320" t="e">
        <f>H44</f>
        <v>#N/A</v>
      </c>
      <c r="I82" s="320"/>
      <c r="J82" s="320"/>
      <c r="K82" s="32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0 0</v>
      </c>
      <c r="E83" s="109"/>
      <c r="F83" s="122"/>
      <c r="G83" s="123"/>
      <c r="H83" s="322"/>
      <c r="I83" s="322"/>
      <c r="J83" s="322"/>
      <c r="K83" s="32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0</v>
      </c>
      <c r="C87" s="149">
        <f t="shared" ca="1" si="2"/>
        <v>0</v>
      </c>
      <c r="D87" s="150" t="str">
        <f t="shared" ca="1" si="2"/>
        <v/>
      </c>
      <c r="E87" s="151">
        <f t="shared" ca="1" si="2"/>
        <v>0</v>
      </c>
      <c r="F87" s="152"/>
      <c r="G87" s="153"/>
      <c r="H87" s="154">
        <f t="shared" ref="H87:K102" ca="1" si="3">H49</f>
        <v>0</v>
      </c>
      <c r="I87" s="155" t="str">
        <f t="shared" ca="1" si="3"/>
        <v/>
      </c>
      <c r="J87" s="155" t="str">
        <f t="shared" ca="1" si="3"/>
        <v/>
      </c>
      <c r="K87" s="156" t="str">
        <f t="shared" ca="1" si="3"/>
        <v/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0</v>
      </c>
      <c r="C88" s="149">
        <f t="shared" ca="1" si="2"/>
        <v>0</v>
      </c>
      <c r="D88" s="150" t="str">
        <f t="shared" ca="1" si="2"/>
        <v/>
      </c>
      <c r="E88" s="151">
        <f t="shared" ca="1" si="2"/>
        <v>0</v>
      </c>
      <c r="F88" s="152"/>
      <c r="G88" s="153"/>
      <c r="H88" s="154">
        <f t="shared" ca="1" si="3"/>
        <v>0</v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0</v>
      </c>
      <c r="C89" s="149">
        <f t="shared" ca="1" si="2"/>
        <v>0</v>
      </c>
      <c r="D89" s="150" t="str">
        <f t="shared" ca="1" si="2"/>
        <v/>
      </c>
      <c r="E89" s="151">
        <f t="shared" ca="1" si="2"/>
        <v>0</v>
      </c>
      <c r="F89" s="152"/>
      <c r="G89" s="153"/>
      <c r="H89" s="154">
        <f t="shared" ca="1" si="3"/>
        <v>0</v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0</v>
      </c>
      <c r="C90" s="149">
        <f t="shared" ca="1" si="2"/>
        <v>0</v>
      </c>
      <c r="D90" s="150" t="str">
        <f t="shared" ca="1" si="2"/>
        <v/>
      </c>
      <c r="E90" s="151">
        <f t="shared" ca="1" si="2"/>
        <v>0</v>
      </c>
      <c r="F90" s="152"/>
      <c r="G90" s="153"/>
      <c r="H90" s="154">
        <f t="shared" ca="1" si="3"/>
        <v>0</v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>
        <f t="shared" ca="1" si="2"/>
        <v>0</v>
      </c>
      <c r="C91" s="149">
        <f t="shared" ca="1" si="2"/>
        <v>0</v>
      </c>
      <c r="D91" s="150" t="str">
        <f t="shared" ca="1" si="2"/>
        <v/>
      </c>
      <c r="E91" s="151">
        <f t="shared" ca="1" si="2"/>
        <v>0</v>
      </c>
      <c r="F91" s="152"/>
      <c r="G91" s="153"/>
      <c r="H91" s="154">
        <f t="shared" ca="1" si="3"/>
        <v>0</v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>
        <f t="shared" ca="1" si="2"/>
        <v>0</v>
      </c>
      <c r="C92" s="149">
        <f t="shared" ca="1" si="2"/>
        <v>0</v>
      </c>
      <c r="D92" s="150" t="str">
        <f t="shared" ca="1" si="2"/>
        <v/>
      </c>
      <c r="E92" s="151">
        <f t="shared" ca="1" si="2"/>
        <v>0</v>
      </c>
      <c r="F92" s="152"/>
      <c r="G92" s="153"/>
      <c r="H92" s="154">
        <f t="shared" ca="1" si="3"/>
        <v>0</v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>
        <f t="shared" ca="1" si="2"/>
        <v>0</v>
      </c>
      <c r="C93" s="149">
        <f t="shared" ca="1" si="2"/>
        <v>0</v>
      </c>
      <c r="D93" s="150" t="str">
        <f t="shared" ca="1" si="2"/>
        <v/>
      </c>
      <c r="E93" s="151">
        <f t="shared" ca="1" si="2"/>
        <v>0</v>
      </c>
      <c r="F93" s="152"/>
      <c r="G93" s="153"/>
      <c r="H93" s="154">
        <f t="shared" ca="1" si="3"/>
        <v>0</v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>
        <f t="shared" ca="1" si="2"/>
        <v>0</v>
      </c>
      <c r="C94" s="149">
        <f t="shared" ca="1" si="2"/>
        <v>0</v>
      </c>
      <c r="D94" s="150" t="str">
        <f t="shared" ca="1" si="2"/>
        <v/>
      </c>
      <c r="E94" s="151">
        <f t="shared" ca="1" si="2"/>
        <v>0</v>
      </c>
      <c r="F94" s="152"/>
      <c r="G94" s="153"/>
      <c r="H94" s="154">
        <f t="shared" ca="1" si="3"/>
        <v>0</v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>
        <f t="shared" ca="1" si="2"/>
        <v>0</v>
      </c>
      <c r="C95" s="149">
        <f t="shared" ca="1" si="2"/>
        <v>0</v>
      </c>
      <c r="D95" s="150" t="str">
        <f t="shared" ca="1" si="2"/>
        <v/>
      </c>
      <c r="E95" s="151">
        <f t="shared" ca="1" si="2"/>
        <v>0</v>
      </c>
      <c r="F95" s="152"/>
      <c r="G95" s="153"/>
      <c r="H95" s="154">
        <f t="shared" ca="1" si="3"/>
        <v>0</v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>
        <f t="shared" ca="1" si="2"/>
        <v>0</v>
      </c>
      <c r="C96" s="149">
        <f t="shared" ca="1" si="2"/>
        <v>0</v>
      </c>
      <c r="D96" s="150" t="str">
        <f t="shared" ca="1" si="2"/>
        <v/>
      </c>
      <c r="E96" s="151">
        <f t="shared" ca="1" si="2"/>
        <v>0</v>
      </c>
      <c r="F96" s="152"/>
      <c r="G96" s="153"/>
      <c r="H96" s="154">
        <f t="shared" ca="1" si="3"/>
        <v>0</v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>
        <f t="shared" ca="1" si="2"/>
        <v>0</v>
      </c>
      <c r="C97" s="149">
        <f t="shared" ca="1" si="2"/>
        <v>0</v>
      </c>
      <c r="D97" s="150" t="str">
        <f t="shared" ca="1" si="2"/>
        <v/>
      </c>
      <c r="E97" s="151">
        <f t="shared" ca="1" si="2"/>
        <v>0</v>
      </c>
      <c r="F97" s="152"/>
      <c r="G97" s="153"/>
      <c r="H97" s="154">
        <f t="shared" ca="1" si="3"/>
        <v>0</v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>
        <f t="shared" ca="1" si="2"/>
        <v>0</v>
      </c>
      <c r="C98" s="149">
        <f t="shared" ca="1" si="2"/>
        <v>0</v>
      </c>
      <c r="D98" s="150" t="str">
        <f t="shared" ca="1" si="2"/>
        <v/>
      </c>
      <c r="E98" s="151">
        <f t="shared" ca="1" si="2"/>
        <v>0</v>
      </c>
      <c r="F98" s="152"/>
      <c r="G98" s="153"/>
      <c r="H98" s="154">
        <f t="shared" ca="1" si="3"/>
        <v>0</v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>
        <f t="shared" ca="1" si="2"/>
        <v>0</v>
      </c>
      <c r="C99" s="149">
        <f t="shared" ca="1" si="2"/>
        <v>0</v>
      </c>
      <c r="D99" s="150" t="str">
        <f t="shared" ca="1" si="2"/>
        <v/>
      </c>
      <c r="E99" s="151">
        <f t="shared" ca="1" si="2"/>
        <v>0</v>
      </c>
      <c r="F99" s="152"/>
      <c r="G99" s="153"/>
      <c r="H99" s="154">
        <f t="shared" ca="1" si="3"/>
        <v>0</v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>
        <f t="shared" ca="1" si="2"/>
        <v>0</v>
      </c>
      <c r="C100" s="149">
        <f t="shared" ca="1" si="2"/>
        <v>0</v>
      </c>
      <c r="D100" s="150" t="str">
        <f t="shared" ca="1" si="2"/>
        <v/>
      </c>
      <c r="E100" s="151">
        <f t="shared" ca="1" si="2"/>
        <v>0</v>
      </c>
      <c r="F100" s="152"/>
      <c r="G100" s="153"/>
      <c r="H100" s="154">
        <f t="shared" ca="1" si="3"/>
        <v>0</v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>
        <f t="shared" ca="1" si="2"/>
        <v>0</v>
      </c>
      <c r="C101" s="149">
        <f t="shared" ca="1" si="2"/>
        <v>0</v>
      </c>
      <c r="D101" s="150" t="str">
        <f t="shared" ca="1" si="2"/>
        <v/>
      </c>
      <c r="E101" s="151">
        <f t="shared" ca="1" si="2"/>
        <v>0</v>
      </c>
      <c r="F101" s="152"/>
      <c r="G101" s="153"/>
      <c r="H101" s="154">
        <f t="shared" ca="1" si="3"/>
        <v>0</v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>
        <f t="shared" ca="1" si="2"/>
        <v>0</v>
      </c>
      <c r="C102" s="149">
        <f t="shared" ca="1" si="2"/>
        <v>0</v>
      </c>
      <c r="D102" s="150" t="str">
        <f t="shared" ca="1" si="2"/>
        <v/>
      </c>
      <c r="E102" s="151">
        <f t="shared" ca="1" si="2"/>
        <v>0</v>
      </c>
      <c r="F102" s="152"/>
      <c r="G102" s="153"/>
      <c r="H102" s="154">
        <f t="shared" ca="1" si="3"/>
        <v>0</v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13"/>
      <c r="K104" s="31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14">
        <f ca="1">J67</f>
        <v>0</v>
      </c>
      <c r="K105" s="31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12"/>
      <c r="K106" s="31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13"/>
      <c r="K108" s="31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14">
        <f ca="1">J71</f>
        <v>0</v>
      </c>
      <c r="K109" s="31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13"/>
      <c r="K110" s="31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10">
        <f>J75</f>
        <v>0</v>
      </c>
      <c r="K113" s="31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10">
        <v>0</v>
      </c>
      <c r="K114" s="31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96" sqref="A96"/>
    </sheetView>
  </sheetViews>
  <sheetFormatPr defaultRowHeight="15" x14ac:dyDescent="0.25"/>
  <cols>
    <col min="1" max="1" width="66.71093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0" width="6" bestFit="1" customWidth="1"/>
    <col min="11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212</v>
      </c>
      <c r="B3" s="88"/>
      <c r="C3" s="193">
        <f>MATCH(A3,Table1[H_A1],0)</f>
        <v>36</v>
      </c>
      <c r="D3" s="193">
        <f>MATCH(Table5[[#This Row],[NAMA]],[1]!db[NB PAJAK],0)</f>
        <v>2147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369</v>
      </c>
      <c r="B4" s="88"/>
      <c r="C4" s="194">
        <f>MATCH(A4,Table1[H_A1],0)</f>
        <v>7</v>
      </c>
      <c r="D4" s="194">
        <f>MATCH(Table5[[#This Row],[NAMA]],[1]!db[NB PAJAK],0)</f>
        <v>221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235</v>
      </c>
      <c r="B5" s="88"/>
      <c r="C5" s="194">
        <f>MATCH(A5,Table1[H_A1],0)</f>
        <v>8</v>
      </c>
      <c r="D5" s="194">
        <f>MATCH(Table5[[#This Row],[NAMA]],[1]!db[NB PAJAK],0)</f>
        <v>223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370</v>
      </c>
      <c r="B6" s="88"/>
      <c r="C6" s="194">
        <f>MATCH(A6,Table1[H_A1],0)</f>
        <v>9</v>
      </c>
      <c r="D6" s="194">
        <f>MATCH(Table5[[#This Row],[NAMA]],[1]!db[NB PAJAK],0)</f>
        <v>226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236</v>
      </c>
      <c r="B7" s="88"/>
      <c r="C7" s="194">
        <f>MATCH(A7,Table1[H_A1],0)</f>
        <v>46</v>
      </c>
      <c r="D7" s="194">
        <f>MATCH(Table5[[#This Row],[NAMA]],[1]!db[NB PAJAK],0)</f>
        <v>230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327</v>
      </c>
      <c r="B8" s="88"/>
      <c r="C8" s="194">
        <f>MATCH(A8,Table1[H_A1],0)</f>
        <v>86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339</v>
      </c>
      <c r="B9" s="88"/>
      <c r="C9" s="194">
        <f>MATCH(A9,Table1[H_A1],0)</f>
        <v>87</v>
      </c>
      <c r="D9" s="194" t="e">
        <f>MATCH(Table5[[#This Row],[NAMA]],[1]!db[NB PAJAK],0)</f>
        <v>#N/A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340</v>
      </c>
      <c r="B10" s="88"/>
      <c r="C10" s="194">
        <f>MATCH(A10,Table1[H_A1],0)</f>
        <v>88</v>
      </c>
      <c r="D10" s="194" t="e">
        <f>MATCH(Table5[[#This Row],[NAMA]],[1]!db[NB PAJAK],0)</f>
        <v>#N/A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213</v>
      </c>
      <c r="B11" s="88"/>
      <c r="C11" s="194">
        <f>MATCH(A11,Table1[H_A1],0)</f>
        <v>34</v>
      </c>
      <c r="D11" s="194">
        <f>MATCH(Table5[[#This Row],[NAMA]],[1]!db[NB PAJAK],0)</f>
        <v>1118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214</v>
      </c>
      <c r="B12" s="88"/>
      <c r="C12" s="194">
        <f>MATCH(A12,Table1[H_A1],0)</f>
        <v>33</v>
      </c>
      <c r="D12" s="194">
        <f>MATCH(Table5[[#This Row],[NAMA]],[1]!db[NB PAJAK],0)</f>
        <v>291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328</v>
      </c>
      <c r="B13" s="88"/>
      <c r="C13" s="194">
        <f>MATCH(A13,Table1[H_A1],0)</f>
        <v>90</v>
      </c>
      <c r="D13" s="194">
        <f>MATCH(Table5[[#This Row],[NAMA]],[1]!db[NB PAJAK],0)</f>
        <v>445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329</v>
      </c>
      <c r="B14" s="88"/>
      <c r="C14" s="194">
        <f>MATCH(A14,Table1[H_A1],0)</f>
        <v>92</v>
      </c>
      <c r="D14" s="194">
        <f>MATCH(Table5[[#This Row],[NAMA]],[1]!db[NB PAJAK],0)</f>
        <v>447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330</v>
      </c>
      <c r="B15" s="88"/>
      <c r="C15" s="194">
        <f>MATCH(A15,Table1[H_A1],0)</f>
        <v>91</v>
      </c>
      <c r="D15" s="194">
        <f>MATCH(Table5[[#This Row],[NAMA]],[1]!db[NB PAJAK],0)</f>
        <v>467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382</v>
      </c>
      <c r="B16" s="88"/>
      <c r="C16" s="194">
        <f>MATCH(A16,Table1[H_A1],0)</f>
        <v>112</v>
      </c>
      <c r="D16" s="194">
        <f>MATCH(Table5[[#This Row],[NAMA]],[1]!db[NB PAJAK],0)</f>
        <v>554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>
        <f>MATCH(Table5[[#This Row],[NAMA]],[1]!db[NB PAJAK],0)</f>
        <v>1197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306</v>
      </c>
      <c r="B18" s="88"/>
      <c r="C18" s="194">
        <f>MATCH(A18,Table1[H_A1],0)</f>
        <v>78</v>
      </c>
      <c r="D18" s="194">
        <f>MATCH(Table5[[#This Row],[NAMA]],[1]!db[NB PAJAK],0)</f>
        <v>1197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440</v>
      </c>
      <c r="B19" s="88"/>
      <c r="C19" s="194">
        <f>MATCH(A19,Table1[H_A1],0)</f>
        <v>141</v>
      </c>
      <c r="D19" s="194">
        <f>MATCH(Table5[[#This Row],[NAMA]],[1]!db[NB PAJAK],0)</f>
        <v>1198</v>
      </c>
      <c r="E19" t="str">
        <f>INDEX(Table1[Item Description],Table5[[#This Row],[//NOTA]])</f>
        <v>CORRECTION FLUID KENKO KE-107M</v>
      </c>
      <c r="F19">
        <f>SUMIF(Table1[H_A1],Sheet5!A19,Table1[Qty])</f>
        <v>36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55800</v>
      </c>
      <c r="J19" s="86">
        <f>IF(Table5[[#This Row],[a2]]="","",Table5[[#This Row],[QTY]]*12)</f>
        <v>432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298</v>
      </c>
      <c r="B20" s="88"/>
      <c r="C20" s="194">
        <f>MATCH(A20,Table1[H_A1],0)</f>
        <v>60</v>
      </c>
      <c r="D20" s="194">
        <f>MATCH(Table5[[#This Row],[NAMA]],[1]!db[NB PAJAK],0)</f>
        <v>1199</v>
      </c>
      <c r="E20" t="str">
        <f>INDEX(Table1[Item Description],Table5[[#This Row],[//NOTA]])</f>
        <v>CORRECTION FLUID KENKO KE-108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2</v>
      </c>
      <c r="I20" s="195">
        <f>INDEX(Table1[Unit Price],Table5[[#This Row],[//NOTA]])</f>
        <v>47100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215</v>
      </c>
      <c r="B21" s="88"/>
      <c r="C21" s="194">
        <f>MATCH(A21,Table1[H_A1],0)</f>
        <v>30</v>
      </c>
      <c r="D21" s="194">
        <f>MATCH(Table5[[#This Row],[NAMA]],[1]!db[NB PAJAK],0)</f>
        <v>1201</v>
      </c>
      <c r="E21" t="str">
        <f>INDEX(Table1[Item Description],Table5[[#This Row],[//NOTA]])</f>
        <v>CORRECTION FLUID KENKO KE-823M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57000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216</v>
      </c>
      <c r="B22" s="88"/>
      <c r="C22" s="194">
        <f>MATCH(A22,Table1[H_A1],0)</f>
        <v>32</v>
      </c>
      <c r="D22" s="194">
        <f>MATCH(Table5[[#This Row],[NAMA]],[1]!db[NB PAJAK],0)</f>
        <v>1202</v>
      </c>
      <c r="E22" t="str">
        <f>INDEX(Table1[Item Description],Table5[[#This Row],[//NOTA]])</f>
        <v>CORRECTION FLUID KENKO KE-826M</v>
      </c>
      <c r="F22">
        <f>SUMIF(Table1[H_A1],Sheet5!A22,Table1[Qty])</f>
        <v>6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60300</v>
      </c>
      <c r="J22" s="86">
        <f>IF(Table5[[#This Row],[a2]]="","",Table5[[#This Row],[QTY]]*12)</f>
        <v>72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138</v>
      </c>
      <c r="B23" s="88"/>
      <c r="C23" s="194">
        <f>MATCH(A23,Table1[H_A1],0)</f>
        <v>2</v>
      </c>
      <c r="D23" s="194">
        <f>MATCH(Table5[[#This Row],[NAMA]],[1]!db[NB PAJAK],0)</f>
        <v>559</v>
      </c>
      <c r="E23" t="str">
        <f>INDEX(Table1[Item Description],Table5[[#This Row],[//NOTA]])</f>
        <v>CORRECTION TAPE JOYKO CT-507</v>
      </c>
      <c r="F23">
        <f>SUMIF(Table1[H_A1],Sheet5!A23,Table1[Qty])</f>
        <v>60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55200</v>
      </c>
      <c r="J23" s="86">
        <f>IF(Table5[[#This Row],[a2]]="","",Table5[[#This Row],[QTY]]*12)</f>
        <v>720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376</v>
      </c>
      <c r="B24" s="88"/>
      <c r="C24" s="194">
        <f>MATCH(A24,Table1[H_A1],0)</f>
        <v>108</v>
      </c>
      <c r="D24" s="194">
        <f>MATCH(Table5[[#This Row],[NAMA]],[1]!db[NB PAJAK],0)</f>
        <v>565</v>
      </c>
      <c r="E24" t="str">
        <f>INDEX(Table1[Item Description],Table5[[#This Row],[//NOTA]])</f>
        <v>CORRECTION TAPE JOYKO CT-522 PTL</v>
      </c>
      <c r="F24">
        <f>SUMIF(Table1[H_A1],Sheet5!A24,Table1[Qty])</f>
        <v>540</v>
      </c>
      <c r="G24" t="str">
        <f>INDEX(Table1[Unit],Table5[[#This Row],[//NOTA]])</f>
        <v>LSN</v>
      </c>
      <c r="H24" s="195">
        <f>SUMIF(Table1[H_A1],Sheet5!A24,Table1[C])</f>
        <v>9</v>
      </c>
      <c r="I24" s="195">
        <f>INDEX(Table1[Unit Price],Table5[[#This Row],[//NOTA]])</f>
        <v>57600</v>
      </c>
      <c r="J24" s="86">
        <f>IF(Table5[[#This Row],[a2]]="","",Table5[[#This Row],[QTY]]*12)</f>
        <v>6480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347</v>
      </c>
      <c r="B25" s="88"/>
      <c r="C25" s="194">
        <f>MATCH(A25,Table1[H_A1],0)</f>
        <v>100</v>
      </c>
      <c r="D25" s="194">
        <f>MATCH(Table5[[#This Row],[NAMA]],[1]!db[NB PAJAK],0)</f>
        <v>564</v>
      </c>
      <c r="E25" t="str">
        <f>INDEX(Table1[Item Description],Table5[[#This Row],[//NOTA]])</f>
        <v>CORRECTION TAPE JOYKO CT-522</v>
      </c>
      <c r="F25">
        <f>SUMIF(Table1[H_A1],Sheet5!A25,Table1[Qty])</f>
        <v>900</v>
      </c>
      <c r="G25" t="str">
        <f>INDEX(Table1[Unit],Table5[[#This Row],[//NOTA]])</f>
        <v>LSN</v>
      </c>
      <c r="H25" s="195">
        <f>SUMIF(Table1[H_A1],Sheet5!A25,Table1[C])</f>
        <v>15</v>
      </c>
      <c r="I25" s="195">
        <f>INDEX(Table1[Unit Price],Table5[[#This Row],[//NOTA]])</f>
        <v>57600</v>
      </c>
      <c r="J25" s="86">
        <f>IF(Table5[[#This Row],[a2]]="","",Table5[[#This Row],[QTY]]*12)</f>
        <v>10800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241</v>
      </c>
      <c r="B26" s="88"/>
      <c r="C26" s="194">
        <f>MATCH(A26,Table1[H_A1],0)</f>
        <v>53</v>
      </c>
      <c r="D26" s="194">
        <f>MATCH(Table5[[#This Row],[NAMA]],[1]!db[NB PAJAK],0)</f>
        <v>1215</v>
      </c>
      <c r="E26" t="str">
        <f>INDEX(Table1[Item Description],Table5[[#This Row],[//NOTA]])</f>
        <v>CORRECTION TAPE KENKO CT-634 (8M x 5MM)</v>
      </c>
      <c r="F26">
        <f>SUMIF(Table1[H_A1],Sheet5!A26,Table1[Qty])</f>
        <v>12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54000</v>
      </c>
      <c r="J26" s="86">
        <f>IF(Table5[[#This Row],[a2]]="","",Table5[[#This Row],[QTY]]*12)</f>
        <v>144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151</v>
      </c>
      <c r="B27" s="88"/>
      <c r="C27" s="194">
        <f>MATCH(A27,Table1[H_A1],0)</f>
        <v>47</v>
      </c>
      <c r="D27" s="194">
        <f>MATCH(Table5[[#This Row],[NAMA]],[1]!db[NB PAJAK],0)</f>
        <v>1229</v>
      </c>
      <c r="E27" t="str">
        <f>INDEX(Table1[Item Description],Table5[[#This Row],[//NOTA]])</f>
        <v>CORRECTION TAPE KENKO CT-905 (12M x 5MM)</v>
      </c>
      <c r="F27">
        <f>SUMIF(Table1[H_A1],Sheet5!A27,Table1[Qty])</f>
        <v>51</v>
      </c>
      <c r="G27" t="str">
        <f>INDEX(Table1[Unit],Table5[[#This Row],[//NOTA]])</f>
        <v>LSN</v>
      </c>
      <c r="H27" s="195">
        <f>SUMIF(Table1[H_A1],Sheet5!A27,Table1[C])</f>
        <v>0</v>
      </c>
      <c r="I27" s="195">
        <f>INDEX(Table1[Unit Price],Table5[[#This Row],[//NOTA]])</f>
        <v>62400</v>
      </c>
      <c r="J27" s="86">
        <f>IF(Table5[[#This Row],[a2]]="","",Table5[[#This Row],[QTY]]*12)</f>
        <v>612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165</v>
      </c>
      <c r="B28" s="88"/>
      <c r="C28" s="194">
        <f>MATCH(A28,Table1[H_A1],0)</f>
        <v>16</v>
      </c>
      <c r="D28" s="194">
        <f>MATCH(Table5[[#This Row],[NAMA]],[1]!db[NB PAJAK],0)</f>
        <v>1703</v>
      </c>
      <c r="E28" t="str">
        <f>INDEX(Table1[Item Description],Table5[[#This Row],[//NOTA]])</f>
        <v>CRAYON / OIL PASTEL JOYKO OP-12S PP CASE SEA WORLD</v>
      </c>
      <c r="F28">
        <f>SUMIF(Table1[H_A1],Sheet5!A28,Table1[Qty])</f>
        <v>144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11900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166</v>
      </c>
      <c r="B29" s="88"/>
      <c r="C29" s="194">
        <f>MATCH(A29,Table1[H_A1],0)</f>
        <v>17</v>
      </c>
      <c r="D29" s="194">
        <f>MATCH(Table5[[#This Row],[NAMA]],[1]!db[NB PAJAK],0)</f>
        <v>1704</v>
      </c>
      <c r="E29" t="str">
        <f>INDEX(Table1[Item Description],Table5[[#This Row],[//NOTA]])</f>
        <v>CRAYON / OIL PASTEL JOYKO OP-18S PP CASE SEA WORLD</v>
      </c>
      <c r="F29">
        <f>SUMIF(Table1[H_A1],Sheet5!A29,Table1[Qty])</f>
        <v>72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23000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167</v>
      </c>
      <c r="B30" s="88"/>
      <c r="C30" s="194">
        <f>MATCH(A30,Table1[H_A1],0)</f>
        <v>18</v>
      </c>
      <c r="D30" s="194">
        <f>MATCH(Table5[[#This Row],[NAMA]],[1]!db[NB PAJAK],0)</f>
        <v>1705</v>
      </c>
      <c r="E30" t="str">
        <f>INDEX(Table1[Item Description],Table5[[#This Row],[//NOTA]])</f>
        <v>CRAYON / OIL PASTEL JOYKO OP-24S PP CASE SEA WORLD</v>
      </c>
      <c r="F30">
        <f>SUMIF(Table1[H_A1],Sheet5!A30,Table1[Qty])</f>
        <v>48</v>
      </c>
      <c r="G30" t="str">
        <f>INDEX(Table1[Unit],Table5[[#This Row],[//NOTA]])</f>
        <v>PC</v>
      </c>
      <c r="H30" s="195">
        <f>SUMIF(Table1[H_A1],Sheet5!A30,Table1[C])</f>
        <v>1</v>
      </c>
      <c r="I30" s="195">
        <f>INDEX(Table1[Unit Price],Table5[[#This Row],[//NOTA]])</f>
        <v>29600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391</v>
      </c>
      <c r="B31" s="88"/>
      <c r="C31" s="194">
        <f>MATCH(A31,Table1[H_A1],0)</f>
        <v>117</v>
      </c>
      <c r="D31" s="194">
        <f>MATCH(Table5[[#This Row],[NAMA]],[1]!db[NB PAJAK],0)</f>
        <v>1706</v>
      </c>
      <c r="E31" t="str">
        <f>INDEX(Table1[Item Description],Table5[[#This Row],[//NOTA]])</f>
        <v>CRAYON / OIL PASTEL JOYKO OP-36S PP CASE SEA WORLD</v>
      </c>
      <c r="F31">
        <f>SUMIF(Table1[H_A1],Sheet5!A31,Table1[Qty])</f>
        <v>36</v>
      </c>
      <c r="G31" t="str">
        <f>INDEX(Table1[Unit],Table5[[#This Row],[//NOTA]])</f>
        <v>PCS</v>
      </c>
      <c r="H31" s="195">
        <f>SUMIF(Table1[H_A1],Sheet5!A31,Table1[C])</f>
        <v>1</v>
      </c>
      <c r="I31" s="195">
        <f>INDEX(Table1[Unit Price],Table5[[#This Row],[//NOTA]])</f>
        <v>41500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139</v>
      </c>
      <c r="B32" s="88"/>
      <c r="C32" s="194">
        <f>MATCH(A32,Table1[H_A1],0)</f>
        <v>3</v>
      </c>
      <c r="D32" s="194">
        <f>MATCH(Table5[[#This Row],[NAMA]],[1]!db[NB PAJAK],0)</f>
        <v>1238</v>
      </c>
      <c r="E32" t="str">
        <f>INDEX(Table1[Item Description],Table5[[#This Row],[//NOTA]])</f>
        <v>CUTTER 18 MM KENKO L-500 (BESAR)</v>
      </c>
      <c r="F32">
        <f>SUMIF(Table1[H_A1],Sheet5!A32,Table1[Qty])</f>
        <v>40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147600</v>
      </c>
      <c r="J32" s="86">
        <f>IF(Table5[[#This Row],[a2]]="","",Table5[[#This Row],[QTY]]*12)</f>
        <v>480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299</v>
      </c>
      <c r="B33" s="88"/>
      <c r="C33" s="194">
        <f>MATCH(A33,Table1[H_A1],0)</f>
        <v>59</v>
      </c>
      <c r="D33" s="194">
        <f>MATCH(Table5[[#This Row],[NAMA]],[1]!db[NB PAJAK],0)</f>
        <v>1233</v>
      </c>
      <c r="E33" t="str">
        <f>INDEX(Table1[Item Description],Table5[[#This Row],[//NOTA]])</f>
        <v>CUTTER 9 MM KENKO A-300 (KECIL)</v>
      </c>
      <c r="F33">
        <f>SUMIF(Table1[H_A1],Sheet5!A33,Table1[Qty])</f>
        <v>90</v>
      </c>
      <c r="G33" t="str">
        <f>INDEX(Table1[Unit],Table5[[#This Row],[//NOTA]])</f>
        <v>LSN</v>
      </c>
      <c r="H33" s="195">
        <f>SUMIF(Table1[H_A1],Sheet5!A33,Table1[C])</f>
        <v>3</v>
      </c>
      <c r="I33" s="195">
        <f>INDEX(Table1[Unit Price],Table5[[#This Row],[//NOTA]])</f>
        <v>57000</v>
      </c>
      <c r="J33" s="86">
        <f>IF(Table5[[#This Row],[a2]]="","",Table5[[#This Row],[QTY]]*12)</f>
        <v>1080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217</v>
      </c>
      <c r="B34" s="88"/>
      <c r="C34" s="194">
        <f>MATCH(A34,Table1[H_A1],0)</f>
        <v>35</v>
      </c>
      <c r="D34" s="194">
        <f>MATCH(Table5[[#This Row],[NAMA]],[1]!db[NB PAJAK],0)</f>
        <v>619</v>
      </c>
      <c r="E34" t="str">
        <f>INDEX(Table1[Item Description],Table5[[#This Row],[//NOTA]])</f>
        <v>CUTTER VANCO V-750 (BESAR)</v>
      </c>
      <c r="F34">
        <f>SUMIF(Table1[H_A1],Sheet5!A34,Table1[Qty])</f>
        <v>1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90000</v>
      </c>
      <c r="J34" s="86">
        <f>IF(Table5[[#This Row],[a2]]="","",Table5[[#This Row],[QTY]]*12)</f>
        <v>12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284</v>
      </c>
      <c r="B35" s="88"/>
      <c r="C35" s="194">
        <f>MATCH(A35,Table1[H_A1],0)</f>
        <v>74</v>
      </c>
      <c r="D35" s="194">
        <f>MATCH(Table5[[#This Row],[NAMA]],[1]!db[NB PAJAK],0)</f>
        <v>1239</v>
      </c>
      <c r="E35" t="str">
        <f>INDEX(Table1[Item Description],Table5[[#This Row],[//NOTA]])</f>
        <v>DATE STAMP KENKO D-3 (Cap Tanggal 5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6450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285</v>
      </c>
      <c r="B36" s="88"/>
      <c r="C36" s="194">
        <f>MATCH(A36,Table1[H_A1],0)</f>
        <v>72</v>
      </c>
      <c r="D36" s="194">
        <f>MATCH(Table5[[#This Row],[NAMA]],[1]!db[NB PAJAK],0)</f>
        <v>1240</v>
      </c>
      <c r="E36" t="str">
        <f>INDEX(Table1[Item Description],Table5[[#This Row],[//NOTA]])</f>
        <v>DATE STAMP KENKO D-4 (Cap Tanggal 4 Mm)</v>
      </c>
      <c r="F36">
        <f>SUMIF(Table1[H_A1],Sheet5!A36,Table1[Qty])</f>
        <v>48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6200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286</v>
      </c>
      <c r="B37" s="88"/>
      <c r="C37" s="194">
        <f>MATCH(A37,Table1[H_A1],0)</f>
        <v>69</v>
      </c>
      <c r="D37" s="194">
        <f>MATCH(Table5[[#This Row],[NAMA]],[1]!db[NB PAJAK],0)</f>
        <v>1241</v>
      </c>
      <c r="E37" t="str">
        <f>INDEX(Table1[Item Description],Table5[[#This Row],[//NOTA]])</f>
        <v>DESK SET KENKO K-8312 ORGANIZER</v>
      </c>
      <c r="F37">
        <f>SUMIF(Table1[H_A1],Sheet5!A37,Table1[Qty])</f>
        <v>12</v>
      </c>
      <c r="G37" t="str">
        <f>INDEX(Table1[Unit],Table5[[#This Row],[//NOTA]])</f>
        <v>PCS</v>
      </c>
      <c r="H37" s="195">
        <f>SUMIF(Table1[H_A1],Sheet5!A37,Table1[C])</f>
        <v>0</v>
      </c>
      <c r="I37" s="195">
        <f>INDEX(Table1[Unit Price],Table5[[#This Row],[//NOTA]])</f>
        <v>29000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465</v>
      </c>
      <c r="B38" s="88"/>
      <c r="C38" s="194">
        <f>MATCH(A38,Table1[H_A1],0)</f>
        <v>27</v>
      </c>
      <c r="D38" s="194">
        <f>MATCH(Table5[[#This Row],[NAMA]],[1]!db[NB PAJAK],0)</f>
        <v>793</v>
      </c>
      <c r="E38" t="str">
        <f>INDEX(Table1[Item Description],Table5[[#This Row],[//NOTA]])</f>
        <v>GEL INK TIANJIAO TZ-501</v>
      </c>
      <c r="F38">
        <f>SUMIF(Table1[H_A1],Sheet5!A38,Table1[Qty])</f>
        <v>3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28500</v>
      </c>
      <c r="J38" s="86">
        <f>IF(Table5[[#This Row],[a2]]="","",Table5[[#This Row],[QTY]]*12)</f>
        <v>36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331</v>
      </c>
      <c r="B39" s="88"/>
      <c r="C39" s="194">
        <f>MATCH(A39,Table1[H_A1],0)</f>
        <v>84</v>
      </c>
      <c r="D39" s="194">
        <f>MATCH(Table5[[#This Row],[NAMA]],[1]!db[NB PAJAK],0)</f>
        <v>798</v>
      </c>
      <c r="E39" t="str">
        <f>INDEX(Table1[Item Description],Table5[[#This Row],[//NOTA]])</f>
        <v>GEL PEN JOYKO GP-237 X-TECH</v>
      </c>
      <c r="F39">
        <f>SUMIF(Table1[H_A1],Sheet5!A39,Table1[Qty])</f>
        <v>288</v>
      </c>
      <c r="G39" t="str">
        <f>INDEX(Table1[Unit],Table5[[#This Row],[//NOTA]])</f>
        <v>LSN</v>
      </c>
      <c r="H39" s="195">
        <f>SUMIF(Table1[H_A1],Sheet5!A39,Table1[C])</f>
        <v>2</v>
      </c>
      <c r="I39" s="195">
        <f>INDEX(Table1[Unit Price],Table5[[#This Row],[//NOTA]])</f>
        <v>43200</v>
      </c>
      <c r="J39" s="86">
        <f>IF(Table5[[#This Row],[a2]]="","",Table5[[#This Row],[QTY]]*12)</f>
        <v>3456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218</v>
      </c>
      <c r="B40" s="88"/>
      <c r="C40" s="194">
        <f>MATCH(A40,Table1[H_A1],0)</f>
        <v>29</v>
      </c>
      <c r="D40" s="194">
        <f>MATCH(Table5[[#This Row],[NAMA]],[1]!db[NB PAJAK],0)</f>
        <v>1444</v>
      </c>
      <c r="E40" t="str">
        <f>INDEX(Table1[Item Description],Table5[[#This Row],[//NOTA]])</f>
        <v>GEL PEN JOYKO JK-100 KING JELLER</v>
      </c>
      <c r="F40">
        <f>SUMIF(Table1[H_A1],Sheet5!A40,Table1[Qty])</f>
        <v>3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20400</v>
      </c>
      <c r="J40" s="86">
        <f>IF(Table5[[#This Row],[a2]]="","",Table5[[#This Row],[QTY]]*12)</f>
        <v>36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237</v>
      </c>
      <c r="B41" s="88"/>
      <c r="C41" s="194">
        <f>MATCH(A41,Table1[H_A1],0)</f>
        <v>43</v>
      </c>
      <c r="D41" s="194">
        <f>MATCH(Table5[[#This Row],[NAMA]],[1]!db[NB PAJAK],0)</f>
        <v>1252</v>
      </c>
      <c r="E41" t="str">
        <f>INDEX(Table1[Item Description],Table5[[#This Row],[//NOTA]])</f>
        <v>GEL PEN KENKO EASY GEL HITAM</v>
      </c>
      <c r="F41">
        <f>SUMIF(Table1[H_A1],Sheet5!A41,Table1[Qty])</f>
        <v>60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26100</v>
      </c>
      <c r="J41" s="86">
        <f>IF(Table5[[#This Row],[a2]]="","",Table5[[#This Row],[QTY]]*12)</f>
        <v>720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307</v>
      </c>
      <c r="B42" s="88"/>
      <c r="C42" s="194">
        <f>MATCH(A42,Table1[H_A1],0)</f>
        <v>79</v>
      </c>
      <c r="D42" s="194">
        <f>MATCH(Table5[[#This Row],[NAMA]],[1]!db[NB PAJAK],0)</f>
        <v>2360</v>
      </c>
      <c r="E42" t="str">
        <f>INDEX(Table1[Item Description],Table5[[#This Row],[//NOTA]])</f>
        <v>GEL PEN KENKO EASY GEL</v>
      </c>
      <c r="F42">
        <f>SUMIF(Table1[H_A1],Sheet5!A42,Table1[Qty])</f>
        <v>720</v>
      </c>
      <c r="G42" t="str">
        <f>INDEX(Table1[Unit],Table5[[#This Row],[//NOTA]])</f>
        <v>LSN</v>
      </c>
      <c r="H42" s="195">
        <f>SUMIF(Table1[H_A1],Sheet5!A42,Table1[C])</f>
        <v>5</v>
      </c>
      <c r="I42" s="195">
        <f>INDEX(Table1[Unit Price],Table5[[#This Row],[//NOTA]])</f>
        <v>26100</v>
      </c>
      <c r="J42" s="86">
        <f>IF(Table5[[#This Row],[a2]]="","",Table5[[#This Row],[QTY]]*12)</f>
        <v>8640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168</v>
      </c>
      <c r="B43" s="88"/>
      <c r="C43" s="194">
        <f>MATCH(A43,Table1[H_A1],0)</f>
        <v>14</v>
      </c>
      <c r="D43" s="194">
        <f>MATCH(Table5[[#This Row],[NAMA]],[1]!db[NB PAJAK],0)</f>
        <v>1258</v>
      </c>
      <c r="E43" t="str">
        <f>INDEX(Table1[Item Description],Table5[[#This Row],[//NOTA]])</f>
        <v>GEL PEN KENKO HI-TECH-H 0.28 MM BIRU</v>
      </c>
      <c r="F43">
        <f>SUMIF(Table1[H_A1],Sheet5!A43,Table1[Qty])</f>
        <v>144</v>
      </c>
      <c r="G43" t="str">
        <f>INDEX(Table1[Unit],Table5[[#This Row],[//NOTA]])</f>
        <v>LS</v>
      </c>
      <c r="H43" s="195">
        <f>SUMIF(Table1[H_A1],Sheet5!A43,Table1[C])</f>
        <v>1</v>
      </c>
      <c r="I43" s="195">
        <f>INDEX(Table1[Unit Price],Table5[[#This Row],[//NOTA]])</f>
        <v>39000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219</v>
      </c>
      <c r="B44" s="88"/>
      <c r="C44" s="194">
        <f>MATCH(A44,Table1[H_A1],0)</f>
        <v>25</v>
      </c>
      <c r="D44" s="194">
        <f>MATCH(Table5[[#This Row],[NAMA]],[1]!db[NB PAJAK],0)</f>
        <v>1265</v>
      </c>
      <c r="E44" t="str">
        <f>INDEX(Table1[Item Description],Table5[[#This Row],[//NOTA]])</f>
        <v>GEL PEN KENKO HI-TECH-H 0.28 MM FUN COLOR</v>
      </c>
      <c r="F44">
        <f>SUMIF(Table1[H_A1],Sheet5!A44,Table1[Qty])</f>
        <v>294</v>
      </c>
      <c r="G44" t="str">
        <f>INDEX(Table1[Unit],Table5[[#This Row],[//NOTA]])</f>
        <v>LSN</v>
      </c>
      <c r="H44" s="195">
        <f>SUMIF(Table1[H_A1],Sheet5!A44,Table1[C])</f>
        <v>2</v>
      </c>
      <c r="I44" s="195">
        <f>INDEX(Table1[Unit Price],Table5[[#This Row],[//NOTA]])</f>
        <v>39000</v>
      </c>
      <c r="J44" s="86">
        <f>IF(Table5[[#This Row],[a2]]="","",Table5[[#This Row],[QTY]]*12)</f>
        <v>3528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169</v>
      </c>
      <c r="B45" s="88"/>
      <c r="C45" s="194">
        <f>MATCH(A45,Table1[H_A1],0)</f>
        <v>13</v>
      </c>
      <c r="D45" s="194">
        <f>MATCH(Table5[[#This Row],[NAMA]],[1]!db[NB PAJAK],0)</f>
        <v>1257</v>
      </c>
      <c r="E45" t="str">
        <f>INDEX(Table1[Item Description],Table5[[#This Row],[//NOTA]])</f>
        <v>GEL PEN KENKO HI-TECH-H 0.28 MM HITAM</v>
      </c>
      <c r="F45">
        <f>SUMIF(Table1[H_A1],Sheet5!A45,Table1[Qty])</f>
        <v>576</v>
      </c>
      <c r="G45" t="str">
        <f>INDEX(Table1[Unit],Table5[[#This Row],[//NOTA]])</f>
        <v>LS</v>
      </c>
      <c r="H45" s="195">
        <f>SUMIF(Table1[H_A1],Sheet5!A45,Table1[C])</f>
        <v>4</v>
      </c>
      <c r="I45" s="195">
        <f>INDEX(Table1[Unit Price],Table5[[#This Row],[//NOTA]])</f>
        <v>39000</v>
      </c>
      <c r="J45" s="86" t="str">
        <f>IF(Table5[[#This Row],[a2]]="","",Table5[[#This Row],[QTY]]*12)</f>
        <v/>
      </c>
      <c r="K45" s="86" t="str">
        <f>IF(Table5[[#This Row],[UNIT]]="grs","LSN",IF(Table5[[#This Row],[UNIT]]="LSN","PCS",""))</f>
        <v/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469</v>
      </c>
      <c r="B46" s="88"/>
      <c r="C46" s="194">
        <f>MATCH(A46,Table1[H_A1],0)</f>
        <v>161</v>
      </c>
      <c r="D46" s="194">
        <f>MATCH(Table5[[#This Row],[NAMA]],[1]!db[NB PAJAK],0)</f>
        <v>1257</v>
      </c>
      <c r="E46" t="str">
        <f>INDEX(Table1[Item Description],Table5[[#This Row],[//NOTA]])</f>
        <v>GEL PEN KENKO HI-TECH-H 0.28 MM HITAM</v>
      </c>
      <c r="F46">
        <f>SUMIF(Table1[H_A1],Sheet5!A46,Table1[Qty])</f>
        <v>288</v>
      </c>
      <c r="G46" t="str">
        <f>INDEX(Table1[Unit],Table5[[#This Row],[//NOTA]])</f>
        <v>LSN</v>
      </c>
      <c r="H46" s="195">
        <f>SUMIF(Table1[H_A1],Sheet5!A46,Table1[C])</f>
        <v>2</v>
      </c>
      <c r="I46" s="195">
        <f>INDEX(Table1[Unit Price],Table5[[#This Row],[//NOTA]])</f>
        <v>39000</v>
      </c>
      <c r="J46" s="86">
        <f>IF(Table5[[#This Row],[a2]]="","",Table5[[#This Row],[QTY]]*12)</f>
        <v>3456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178</v>
      </c>
      <c r="B47" s="88"/>
      <c r="C47" s="194">
        <f>MATCH(A47,Table1[H_A1],0)</f>
        <v>21</v>
      </c>
      <c r="D47" s="194">
        <f>MATCH(Table5[[#This Row],[NAMA]],[1]!db[NB PAJAK],0)</f>
        <v>1270</v>
      </c>
      <c r="E47" t="str">
        <f>INDEX(Table1[Item Description],Table5[[#This Row],[//NOTA]])</f>
        <v>GEL PEN KENKO K-1 HITAM</v>
      </c>
      <c r="F47">
        <f>SUMIF(Table1[H_A1],Sheet5!A47,Table1[Qty])</f>
        <v>71</v>
      </c>
      <c r="G47" t="str">
        <f>INDEX(Table1[Unit],Table5[[#This Row],[//NOTA]])</f>
        <v>LSN</v>
      </c>
      <c r="H47" s="195">
        <f>SUMIF(Table1[H_A1],Sheet5!A47,Table1[C])</f>
        <v>0</v>
      </c>
      <c r="I47" s="195">
        <f>INDEX(Table1[Unit Price],Table5[[#This Row],[//NOTA]])</f>
        <v>39600</v>
      </c>
      <c r="J47" s="86">
        <f>IF(Table5[[#This Row],[a2]]="","",Table5[[#This Row],[QTY]]*12)</f>
        <v>852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455</v>
      </c>
      <c r="B48" s="88"/>
      <c r="C48" s="194">
        <f>MATCH(A48,Table1[H_A1],0)</f>
        <v>152</v>
      </c>
      <c r="D48" s="194">
        <f>MATCH(Table5[[#This Row],[NAMA]],[1]!db[NB PAJAK],0)</f>
        <v>1278</v>
      </c>
      <c r="E48" t="str">
        <f>INDEX(Table1[Item Description],Table5[[#This Row],[//NOTA]])</f>
        <v>GEL PEN KENKO KE-303 T-GEL TRIANGULAR</v>
      </c>
      <c r="F48">
        <f>SUMIF(Table1[H_A1],Sheet5!A48,Table1[Qty])</f>
        <v>288</v>
      </c>
      <c r="G48" t="str">
        <f>INDEX(Table1[Unit],Table5[[#This Row],[//NOTA]])</f>
        <v>LSN</v>
      </c>
      <c r="H48" s="195">
        <f>SUMIF(Table1[H_A1],Sheet5!A48,Table1[C])</f>
        <v>2</v>
      </c>
      <c r="I48" s="195">
        <f>INDEX(Table1[Unit Price],Table5[[#This Row],[//NOTA]])</f>
        <v>21600</v>
      </c>
      <c r="J48" s="86">
        <f>IF(Table5[[#This Row],[a2]]="","",Table5[[#This Row],[QTY]]*12)</f>
        <v>3456</v>
      </c>
      <c r="K48" s="86" t="str">
        <f>IF(Table5[[#This Row],[UNIT]]="grs","LSN",IF(Table5[[#This Row],[UNIT]]="LSN","PCS",""))</f>
        <v>PCS</v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356</v>
      </c>
      <c r="B49" s="88"/>
      <c r="C49" s="194">
        <f>MATCH(A49,Table1[H_A1],0)</f>
        <v>102</v>
      </c>
      <c r="D49" s="194">
        <f>MATCH(Table5[[#This Row],[NAMA]],[1]!db[NB PAJAK],0)</f>
        <v>2102</v>
      </c>
      <c r="E49" t="str">
        <f>INDEX(Table1[Item Description],Table5[[#This Row],[//NOTA]])</f>
        <v>GUNTING JOYKO SC-828</v>
      </c>
      <c r="F49">
        <f>SUMIF(Table1[H_A1],Sheet5!A49,Table1[Qty])</f>
        <v>1440</v>
      </c>
      <c r="G49" t="str">
        <f>INDEX(Table1[Unit],Table5[[#This Row],[//NOTA]])</f>
        <v>PCS</v>
      </c>
      <c r="H49" s="195">
        <f>SUMIF(Table1[H_A1],Sheet5!A49,Table1[C])</f>
        <v>5</v>
      </c>
      <c r="I49" s="195">
        <f>INDEX(Table1[Unit Price],Table5[[#This Row],[//NOTA]])</f>
        <v>4350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357</v>
      </c>
      <c r="B50" s="88"/>
      <c r="C50" s="194">
        <f>MATCH(A50,Table1[H_A1],0)</f>
        <v>103</v>
      </c>
      <c r="D50" s="194">
        <f>MATCH(Table5[[#This Row],[NAMA]],[1]!db[NB PAJAK],0)</f>
        <v>2104</v>
      </c>
      <c r="E50" t="str">
        <f>INDEX(Table1[Item Description],Table5[[#This Row],[//NOTA]])</f>
        <v>GUNTING JOYKO SC-838</v>
      </c>
      <c r="F50">
        <f>SUMIF(Table1[H_A1],Sheet5!A50,Table1[Qty])</f>
        <v>1440</v>
      </c>
      <c r="G50" t="str">
        <f>INDEX(Table1[Unit],Table5[[#This Row],[//NOTA]])</f>
        <v>PCS</v>
      </c>
      <c r="H50" s="195">
        <f>SUMIF(Table1[H_A1],Sheet5!A50,Table1[C])</f>
        <v>5</v>
      </c>
      <c r="I50" s="195">
        <f>INDEX(Table1[Unit Price],Table5[[#This Row],[//NOTA]])</f>
        <v>6500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358</v>
      </c>
      <c r="B51" s="88"/>
      <c r="C51" s="194">
        <f>MATCH(A51,Table1[H_A1],0)</f>
        <v>104</v>
      </c>
      <c r="D51" s="194">
        <f>MATCH(Table5[[#This Row],[NAMA]],[1]!db[NB PAJAK],0)</f>
        <v>2106</v>
      </c>
      <c r="E51" t="str">
        <f>INDEX(Table1[Item Description],Table5[[#This Row],[//NOTA]])</f>
        <v>GUNTING JOYKO SC-848</v>
      </c>
      <c r="F51">
        <f>SUMIF(Table1[H_A1],Sheet5!A51,Table1[Qty])</f>
        <v>864</v>
      </c>
      <c r="G51" t="str">
        <f>INDEX(Table1[Unit],Table5[[#This Row],[//NOTA]])</f>
        <v>PCS</v>
      </c>
      <c r="H51" s="195">
        <f>SUMIF(Table1[H_A1],Sheet5!A51,Table1[C])</f>
        <v>6</v>
      </c>
      <c r="I51" s="195">
        <f>INDEX(Table1[Unit Price],Table5[[#This Row],[//NOTA]])</f>
        <v>9750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220</v>
      </c>
      <c r="B52" s="88"/>
      <c r="C52" s="194">
        <f>MATCH(A52,Table1[H_A1],0)</f>
        <v>31</v>
      </c>
      <c r="D52" s="194">
        <f>MATCH(Table5[[#This Row],[NAMA]],[1]!db[NB PAJAK],0)</f>
        <v>1380</v>
      </c>
      <c r="E52" t="str">
        <f>INDEX(Table1[Item Description],Table5[[#This Row],[//NOTA]])</f>
        <v>GUNTING KENKO SC-838N</v>
      </c>
      <c r="F52">
        <f>SUMIF(Table1[H_A1],Sheet5!A52,Table1[Qty])</f>
        <v>26</v>
      </c>
      <c r="G52" t="str">
        <f>INDEX(Table1[Unit],Table5[[#This Row],[//NOTA]])</f>
        <v>LSN</v>
      </c>
      <c r="H52" s="195">
        <f>SUMIF(Table1[H_A1],Sheet5!A52,Table1[C])</f>
        <v>1</v>
      </c>
      <c r="I52" s="195">
        <f>INDEX(Table1[Unit Price],Table5[[#This Row],[//NOTA]])</f>
        <v>79800</v>
      </c>
      <c r="J52" s="86">
        <f>IF(Table5[[#This Row],[a2]]="","",Table5[[#This Row],[QTY]]*12)</f>
        <v>312</v>
      </c>
      <c r="K52" s="86" t="str">
        <f>IF(Table5[[#This Row],[UNIT]]="grs","LSN",IF(Table5[[#This Row],[UNIT]]="LSN","PCS",""))</f>
        <v>PCS</v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481</v>
      </c>
      <c r="B53" s="88"/>
      <c r="C53" s="194">
        <f>MATCH(A53,Table1[H_A1],0)</f>
        <v>172</v>
      </c>
      <c r="D53" s="194" t="e">
        <f>MATCH(Table5[[#This Row],[NAMA]],[1]!db[NB PAJAK],0)</f>
        <v>#N/A</v>
      </c>
      <c r="E53" t="str">
        <f>INDEX(Table1[Item Description],Table5[[#This Row],[//NOTA]])</f>
        <v>HIGHLIGHTER / STABILLO JOYKO HL-1/2/3/4/5 (Kn/Hj/Br/Pink/Or)</v>
      </c>
      <c r="F53">
        <f>SUMIF(Table1[H_A1],Sheet5!A53,Table1[Qty])</f>
        <v>500</v>
      </c>
      <c r="G53" t="str">
        <f>INDEX(Table1[Unit],Table5[[#This Row],[//NOTA]])</f>
        <v>PCS</v>
      </c>
      <c r="H53" s="195">
        <f>SUMIF(Table1[H_A1],Sheet5!A53,Table1[C])</f>
        <v>0</v>
      </c>
      <c r="I53" s="195">
        <f>INDEX(Table1[Unit Price],Table5[[#This Row],[//NOTA]])</f>
        <v>3700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221</v>
      </c>
      <c r="B54" s="88"/>
      <c r="C54" s="194">
        <f>MATCH(A54,Table1[H_A1],0)</f>
        <v>37</v>
      </c>
      <c r="D54" s="194">
        <f>MATCH(Table5[[#This Row],[NAMA]],[1]!db[NB PAJAK],0)</f>
        <v>2166</v>
      </c>
      <c r="E54" t="str">
        <f>INDEX(Table1[Item Description],Table5[[#This Row],[//NOTA]])</f>
        <v>HIGHLIGHTER / STABILLO TIZO TF-610 (isi 54 pc)</v>
      </c>
      <c r="F54">
        <f>SUMIF(Table1[H_A1],Sheet5!A54,Table1[Qty])</f>
        <v>1</v>
      </c>
      <c r="G54" t="str">
        <f>INDEX(Table1[Unit],Table5[[#This Row],[//NOTA]])</f>
        <v>PAK</v>
      </c>
      <c r="H54" s="195">
        <f>SUMIF(Table1[H_A1],Sheet5!A54,Table1[C])</f>
        <v>0</v>
      </c>
      <c r="I54" s="195">
        <f>INDEX(Table1[Unit Price],Table5[[#This Row],[//NOTA]])</f>
        <v>121500</v>
      </c>
      <c r="J54" s="86" t="str">
        <f>IF(Table5[[#This Row],[a2]]="","",Table5[[#This Row],[QTY]]*12)</f>
        <v/>
      </c>
      <c r="K54" s="86" t="str">
        <f>IF(Table5[[#This Row],[UNIT]]="grs","LSN",IF(Table5[[#This Row],[UNIT]]="LSN","PCS",""))</f>
        <v/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222</v>
      </c>
      <c r="B55" s="88"/>
      <c r="C55" s="194">
        <f>MATCH(A55,Table1[H_A1],0)</f>
        <v>26</v>
      </c>
      <c r="D55" s="194">
        <f>MATCH(Table5[[#This Row],[NAMA]],[1]!db[NB PAJAK],0)</f>
        <v>2165</v>
      </c>
      <c r="E55" t="str">
        <f>INDEX(Table1[Item Description],Table5[[#This Row],[//NOTA]])</f>
        <v>HIGHLIGHTER / STABILLO VANCO HL-520</v>
      </c>
      <c r="F55">
        <f>SUMIF(Table1[H_A1],Sheet5!A55,Table1[Qty])</f>
        <v>2</v>
      </c>
      <c r="G55" t="str">
        <f>INDEX(Table1[Unit],Table5[[#This Row],[//NOTA]])</f>
        <v>LSN</v>
      </c>
      <c r="H55" s="195">
        <f>SUMIF(Table1[H_A1],Sheet5!A55,Table1[C])</f>
        <v>0</v>
      </c>
      <c r="I55" s="195">
        <f>INDEX(Table1[Unit Price],Table5[[#This Row],[//NOTA]])</f>
        <v>25000</v>
      </c>
      <c r="J55" s="86">
        <f>IF(Table5[[#This Row],[a2]]="","",Table5[[#This Row],[QTY]]*12)</f>
        <v>24</v>
      </c>
      <c r="K55" s="86" t="str">
        <f>IF(Table5[[#This Row],[UNIT]]="grs","LSN",IF(Table5[[#This Row],[UNIT]]="LSN","PCS",""))</f>
        <v>PCS</v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147</v>
      </c>
      <c r="B56" s="88"/>
      <c r="C56" s="194">
        <f>MATCH(A56,Table1[H_A1],0)</f>
        <v>5</v>
      </c>
      <c r="D56" s="194">
        <f>MATCH(Table5[[#This Row],[NAMA]],[1]!db[NB PAJAK],0)</f>
        <v>1312</v>
      </c>
      <c r="E56" t="str">
        <f>INDEX(Table1[Item Description],Table5[[#This Row],[//NOTA]])</f>
        <v>HIGHLIGHTER / STABILO KENKO HL-100 KUNING</v>
      </c>
      <c r="F56">
        <f>SUMIF(Table1[H_A1],Sheet5!A56,Table1[Qty])</f>
        <v>480</v>
      </c>
      <c r="G56" t="str">
        <f>INDEX(Table1[Unit],Table5[[#This Row],[//NOTA]])</f>
        <v>PCS</v>
      </c>
      <c r="H56" s="195">
        <f>SUMIF(Table1[H_A1],Sheet5!A56,Table1[C])</f>
        <v>1</v>
      </c>
      <c r="I56" s="195">
        <f>INDEX(Table1[Unit Price],Table5[[#This Row],[//NOTA]])</f>
        <v>3050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179</v>
      </c>
      <c r="B57" s="88"/>
      <c r="C57" s="194">
        <f>MATCH(A57,Table1[H_A1],0)</f>
        <v>22</v>
      </c>
      <c r="D57" s="194">
        <f>MATCH(Table5[[#This Row],[NAMA]],[1]!db[NB PAJAK],0)</f>
        <v>1235</v>
      </c>
      <c r="E57" t="str">
        <f>INDEX(Table1[Item Description],Table5[[#This Row],[//NOTA]])</f>
        <v>ISI CUTTER 18 MM KENKO L-150 (BESAR)</v>
      </c>
      <c r="F57">
        <f>SUMIF(Table1[H_A1],Sheet5!A57,Table1[Qty])</f>
        <v>216</v>
      </c>
      <c r="G57" t="str">
        <f>INDEX(Table1[Unit],Table5[[#This Row],[//NOTA]])</f>
        <v>LSN</v>
      </c>
      <c r="H57" s="195">
        <f>SUMIF(Table1[H_A1],Sheet5!A57,Table1[C])</f>
        <v>3</v>
      </c>
      <c r="I57" s="195">
        <f>INDEX(Table1[Unit Price],Table5[[#This Row],[//NOTA]])</f>
        <v>64800</v>
      </c>
      <c r="J57" s="86">
        <f>IF(Table5[[#This Row],[a2]]="","",Table5[[#This Row],[QTY]]*12)</f>
        <v>2592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466</v>
      </c>
      <c r="B58" s="88"/>
      <c r="C58" s="194">
        <f>MATCH(A58,Table1[H_A1],0)</f>
        <v>157</v>
      </c>
      <c r="D58" s="194">
        <f>MATCH(Table5[[#This Row],[NAMA]],[1]!db[NB PAJAK],0)</f>
        <v>1923</v>
      </c>
      <c r="E58" t="str">
        <f>INDEX(Table1[Item Description],Table5[[#This Row],[//NOTA]])</f>
        <v>ISI PENSIL 2B 2.0 MM JOYKO PL-11</v>
      </c>
      <c r="F58">
        <f>SUMIF(Table1[H_A1],Sheet5!A58,Table1[Qty])</f>
        <v>72</v>
      </c>
      <c r="G58" t="str">
        <f>INDEX(Table1[Unit],Table5[[#This Row],[//NOTA]])</f>
        <v>LSN</v>
      </c>
      <c r="H58" s="195">
        <f>SUMIF(Table1[H_A1],Sheet5!A58,Table1[C])</f>
        <v>1</v>
      </c>
      <c r="I58" s="195">
        <f>INDEX(Table1[Unit Price],Table5[[#This Row],[//NOTA]])</f>
        <v>37200</v>
      </c>
      <c r="J58" s="86">
        <f>IF(Table5[[#This Row],[a2]]="","",Table5[[#This Row],[QTY]]*12)</f>
        <v>864</v>
      </c>
      <c r="K58" s="86" t="str">
        <f>IF(Table5[[#This Row],[UNIT]]="grs","LSN",IF(Table5[[#This Row],[UNIT]]="LSN","PCS",""))</f>
        <v>PCS</v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287</v>
      </c>
      <c r="B59" s="88"/>
      <c r="C59" s="194">
        <f>MATCH(A59,Table1[H_A1],0)</f>
        <v>67</v>
      </c>
      <c r="D59" s="194">
        <f>MATCH(Table5[[#This Row],[NAMA]],[1]!db[NB PAJAK],0)</f>
        <v>1190</v>
      </c>
      <c r="E59" t="str">
        <f>INDEX(Table1[Item Description],Table5[[#This Row],[//NOTA]])</f>
        <v>JANGKA (COMPASS SET) KENKO C-2011</v>
      </c>
      <c r="F59">
        <f>SUMIF(Table1[H_A1],Sheet5!A59,Table1[Qty])</f>
        <v>48</v>
      </c>
      <c r="G59" t="str">
        <f>INDEX(Table1[Unit],Table5[[#This Row],[//NOTA]])</f>
        <v>SET</v>
      </c>
      <c r="H59" s="195">
        <f>SUMIF(Table1[H_A1],Sheet5!A59,Table1[C])</f>
        <v>0</v>
      </c>
      <c r="I59" s="195">
        <f>INDEX(Table1[Unit Price],Table5[[#This Row],[//NOTA]])</f>
        <v>21000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427</v>
      </c>
      <c r="B60" s="88"/>
      <c r="C60" s="194">
        <f>MATCH(A60,Table1[H_A1],0)</f>
        <v>138</v>
      </c>
      <c r="D60" s="194">
        <f>MATCH(Table5[[#This Row],[NAMA]],[1]!db[NB PAJAK],0)</f>
        <v>1615</v>
      </c>
      <c r="E60" t="str">
        <f>INDEX(Table1[Item Description],Table5[[#This Row],[//NOTA]])</f>
        <v>JANGKA (MATH SET) JOYKO MS-25</v>
      </c>
      <c r="F60">
        <f>SUMIF(Table1[H_A1],Sheet5!A60,Table1[Qty])</f>
        <v>48</v>
      </c>
      <c r="G60" t="str">
        <f>INDEX(Table1[Unit],Table5[[#This Row],[//NOTA]])</f>
        <v>LSN</v>
      </c>
      <c r="H60" s="195">
        <f>SUMIF(Table1[H_A1],Sheet5!A60,Table1[C])</f>
        <v>2</v>
      </c>
      <c r="I60" s="195">
        <f>INDEX(Table1[Unit Price],Table5[[#This Row],[//NOTA]])</f>
        <v>89400</v>
      </c>
      <c r="J60" s="86">
        <f>IF(Table5[[#This Row],[a2]]="","",Table5[[#This Row],[QTY]]*12)</f>
        <v>576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428</v>
      </c>
      <c r="B61" s="88"/>
      <c r="C61" s="194">
        <f>MATCH(A61,Table1[H_A1],0)</f>
        <v>139</v>
      </c>
      <c r="D61" s="194">
        <f>MATCH(Table5[[#This Row],[NAMA]],[1]!db[NB PAJAK],0)</f>
        <v>1619</v>
      </c>
      <c r="E61" t="str">
        <f>INDEX(Table1[Item Description],Table5[[#This Row],[//NOTA]])</f>
        <v>JANGKA (MATH SET) JOYKO MS-55</v>
      </c>
      <c r="F61">
        <f>SUMIF(Table1[H_A1],Sheet5!A61,Table1[Qty])</f>
        <v>144</v>
      </c>
      <c r="G61" t="str">
        <f>INDEX(Table1[Unit],Table5[[#This Row],[//NOTA]])</f>
        <v>LSN</v>
      </c>
      <c r="H61" s="195">
        <f>SUMIF(Table1[H_A1],Sheet5!A61,Table1[C])</f>
        <v>6</v>
      </c>
      <c r="I61" s="195">
        <f>INDEX(Table1[Unit Price],Table5[[#This Row],[//NOTA]])</f>
        <v>89400</v>
      </c>
      <c r="J61" s="86">
        <f>IF(Table5[[#This Row],[a2]]="","",Table5[[#This Row],[QTY]]*12)</f>
        <v>1728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254</v>
      </c>
      <c r="B62" s="88"/>
      <c r="C62" s="194">
        <f>MATCH(A62,Table1[H_A1],0)</f>
        <v>64</v>
      </c>
      <c r="D62" s="194">
        <f>MATCH(Table5[[#This Row],[NAMA]],[1]!db[NB PAJAK],0)</f>
        <v>1098</v>
      </c>
      <c r="E62" t="str">
        <f>INDEX(Table1[Item Description],Table5[[#This Row],[//NOTA]])</f>
        <v>KARTU STOCK FOLIO PUTIH</v>
      </c>
      <c r="F62">
        <f>SUMIF(Table1[H_A1],Sheet5!A62,Table1[Qty])</f>
        <v>5</v>
      </c>
      <c r="G62" t="str">
        <f>INDEX(Table1[Unit],Table5[[#This Row],[//NOTA]])</f>
        <v>PAK</v>
      </c>
      <c r="H62" s="195">
        <f>SUMIF(Table1[H_A1],Sheet5!A62,Table1[C])</f>
        <v>0</v>
      </c>
      <c r="I62" s="195">
        <f>INDEX(Table1[Unit Price],Table5[[#This Row],[//NOTA]])</f>
        <v>37500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255</v>
      </c>
      <c r="B63" s="88"/>
      <c r="C63" s="194">
        <f>MATCH(A63,Table1[H_A1],0)</f>
        <v>63</v>
      </c>
      <c r="D63" s="194">
        <f>MATCH(Table5[[#This Row],[NAMA]],[1]!db[NB PAJAK],0)</f>
        <v>1099</v>
      </c>
      <c r="E63" t="str">
        <f>INDEX(Table1[Item Description],Table5[[#This Row],[//NOTA]])</f>
        <v>KARTU STOCK KWARTO PUTIH</v>
      </c>
      <c r="F63">
        <f>SUMIF(Table1[H_A1],Sheet5!A63,Table1[Qty])</f>
        <v>5</v>
      </c>
      <c r="G63" t="str">
        <f>INDEX(Table1[Unit],Table5[[#This Row],[//NOTA]])</f>
        <v>PAK</v>
      </c>
      <c r="H63" s="195">
        <f>SUMIF(Table1[H_A1],Sheet5!A63,Table1[C])</f>
        <v>0</v>
      </c>
      <c r="I63" s="195">
        <f>INDEX(Table1[Unit Price],Table5[[#This Row],[//NOTA]])</f>
        <v>19000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461</v>
      </c>
      <c r="B64" s="88"/>
      <c r="C64" s="194">
        <f>MATCH(A64,Table1[H_A1],0)</f>
        <v>156</v>
      </c>
      <c r="D64" s="194">
        <f>MATCH(Table5[[#This Row],[NAMA]],[1]!db[NB PAJAK],0)</f>
        <v>1463</v>
      </c>
      <c r="E64" t="str">
        <f>INDEX(Table1[Item Description],Table5[[#This Row],[//NOTA]])</f>
        <v>LABEL HARGA JOYKO LB-2RL (1 LINE PUTIH)</v>
      </c>
      <c r="F64">
        <f>SUMIF(Table1[H_A1],Sheet5!A64,Table1[Qty])</f>
        <v>2000</v>
      </c>
      <c r="G64" t="str">
        <f>INDEX(Table1[Unit],Table5[[#This Row],[//NOTA]])</f>
        <v>PCS</v>
      </c>
      <c r="H64" s="195">
        <f>SUMIF(Table1[H_A1],Sheet5!A64,Table1[C])</f>
        <v>2</v>
      </c>
      <c r="I64" s="195">
        <f>INDEX(Table1[Unit Price],Table5[[#This Row],[//NOTA]])</f>
        <v>2050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485</v>
      </c>
      <c r="B65" s="88"/>
      <c r="C65" s="194">
        <f>MATCH(A65,Table1[H_A1],0)</f>
        <v>174</v>
      </c>
      <c r="D65" s="194">
        <f>MATCH(Table5[[#This Row],[NAMA]],[1]!db[NB PAJAK],0)</f>
        <v>1464</v>
      </c>
      <c r="E65" t="str">
        <f>INDEX(Table1[Item Description],Table5[[#This Row],[//NOTA]])</f>
        <v>LABEL HARGA JOYKO LB-3 (2 LINE KUNING FLUOR)</v>
      </c>
      <c r="F65">
        <f>SUMIF(Table1[H_A1],Sheet5!A65,Table1[Qty])</f>
        <v>1000</v>
      </c>
      <c r="G65" t="str">
        <f>INDEX(Table1[Unit],Table5[[#This Row],[//NOTA]])</f>
        <v>PCS</v>
      </c>
      <c r="H65" s="195">
        <f>SUMIF(Table1[H_A1],Sheet5!A65,Table1[C])</f>
        <v>2</v>
      </c>
      <c r="I65" s="195">
        <f>INDEX(Table1[Unit Price],Table5[[#This Row],[//NOTA]])</f>
        <v>4300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371</v>
      </c>
      <c r="B66" s="88"/>
      <c r="C66" s="194">
        <f>MATCH(A66,Table1[H_A1],0)</f>
        <v>10</v>
      </c>
      <c r="D66" s="194">
        <f>MATCH(Table5[[#This Row],[NAMA]],[1]!db[NB PAJAK],0)</f>
        <v>1366</v>
      </c>
      <c r="E66" t="str">
        <f>INDEX(Table1[Item Description],Table5[[#This Row],[//NOTA]])</f>
        <v>LABEL HARGA KENKO 6001-2R (1 LINE) isi 10 rol</v>
      </c>
      <c r="F66">
        <f>SUMIF(Table1[H_A1],Sheet5!A66,Table1[Qty])</f>
        <v>20</v>
      </c>
      <c r="G66" t="str">
        <f>INDEX(Table1[Unit],Table5[[#This Row],[//NOTA]])</f>
        <v>PAK</v>
      </c>
      <c r="H66" s="195">
        <f>SUMIF(Table1[H_A1],Sheet5!A66,Table1[C])</f>
        <v>0</v>
      </c>
      <c r="I66" s="195">
        <f>INDEX(Table1[Unit Price],Table5[[#This Row],[//NOTA]])</f>
        <v>21000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441</v>
      </c>
      <c r="B67" s="88"/>
      <c r="C67" s="194">
        <f>MATCH(A67,Table1[H_A1],0)</f>
        <v>143</v>
      </c>
      <c r="D67" s="194">
        <f>MATCH(Table5[[#This Row],[NAMA]],[1]!db[NB PAJAK],0)</f>
        <v>1321</v>
      </c>
      <c r="E67" t="str">
        <f>INDEX(Table1[Item Description],Table5[[#This Row],[//NOTA]])</f>
        <v>LEM CAIR 35 ML KENKO LG-35</v>
      </c>
      <c r="F67">
        <f>SUMIF(Table1[H_A1],Sheet5!A67,Table1[Qty])</f>
        <v>2</v>
      </c>
      <c r="G67" t="str">
        <f>INDEX(Table1[Unit],Table5[[#This Row],[//NOTA]])</f>
        <v>LSN</v>
      </c>
      <c r="H67" s="195">
        <f>SUMIF(Table1[H_A1],Sheet5!A67,Table1[C])</f>
        <v>0</v>
      </c>
      <c r="I67" s="195">
        <f>INDEX(Table1[Unit Price],Table5[[#This Row],[//NOTA]])</f>
        <v>19800</v>
      </c>
      <c r="J67" s="86">
        <f>IF(Table5[[#This Row],[a2]]="","",Table5[[#This Row],[QTY]]*12)</f>
        <v>24</v>
      </c>
      <c r="K67" s="86" t="str">
        <f>IF(Table5[[#This Row],[UNIT]]="grs","LSN",IF(Table5[[#This Row],[UNIT]]="LSN","PCS",""))</f>
        <v>PCS</v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410</v>
      </c>
      <c r="B68" s="88"/>
      <c r="C68" s="194">
        <f>MATCH(A68,Table1[H_A1],0)</f>
        <v>124</v>
      </c>
      <c r="D68" s="194">
        <f>MATCH(Table5[[#This Row],[NAMA]],[1]!db[NB PAJAK],0)</f>
        <v>1295</v>
      </c>
      <c r="E68" t="str">
        <f>INDEX(Table1[Item Description],Table5[[#This Row],[//NOTA]])</f>
        <v>LEM STICK KENKO 15 GR (TANGGUNG) isi 20 pc</v>
      </c>
      <c r="F68">
        <f>SUMIF(Table1[H_A1],Sheet5!A68,Table1[Qty])</f>
        <v>36</v>
      </c>
      <c r="G68" t="str">
        <f>INDEX(Table1[Unit],Table5[[#This Row],[//NOTA]])</f>
        <v xml:space="preserve">BOX </v>
      </c>
      <c r="H68" s="195">
        <f>SUMIF(Table1[H_A1],Sheet5!A68,Table1[C])</f>
        <v>1</v>
      </c>
      <c r="I68" s="195">
        <f>INDEX(Table1[Unit Price],Table5[[#This Row],[//NOTA]])</f>
        <v>72000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411</v>
      </c>
      <c r="B69" s="88"/>
      <c r="C69" s="194">
        <f>MATCH(A69,Table1[H_A1],0)</f>
        <v>123</v>
      </c>
      <c r="D69" s="194">
        <f>MATCH(Table5[[#This Row],[NAMA]],[1]!db[NB PAJAK],0)</f>
        <v>1297</v>
      </c>
      <c r="E69" t="str">
        <f>INDEX(Table1[Item Description],Table5[[#This Row],[//NOTA]])</f>
        <v>LEM STICK KENKO 8 GR (KECIL) isi 30 pc</v>
      </c>
      <c r="F69">
        <f>SUMIF(Table1[H_A1],Sheet5!A69,Table1[Qty])</f>
        <v>38</v>
      </c>
      <c r="G69" t="str">
        <f>INDEX(Table1[Unit],Table5[[#This Row],[//NOTA]])</f>
        <v>BOX</v>
      </c>
      <c r="H69" s="195">
        <f>SUMIF(Table1[H_A1],Sheet5!A69,Table1[C])</f>
        <v>1</v>
      </c>
      <c r="I69" s="195">
        <f>INDEX(Table1[Unit Price],Table5[[#This Row],[//NOTA]])</f>
        <v>66000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442</v>
      </c>
      <c r="B70" s="88"/>
      <c r="C70" s="194">
        <f>MATCH(A70,Table1[H_A1],0)</f>
        <v>145</v>
      </c>
      <c r="D70" s="194">
        <f>MATCH(Table5[[#This Row],[NAMA]],[1]!db[NB PAJAK],0)</f>
        <v>1323</v>
      </c>
      <c r="E70" t="str">
        <f>INDEX(Table1[Item Description],Table5[[#This Row],[//NOTA]])</f>
        <v>LOOSE LEAF KENKO A5-LL 100-2070</v>
      </c>
      <c r="F70">
        <f>SUMIF(Table1[H_A1],Sheet5!A70,Table1[Qty])</f>
        <v>50</v>
      </c>
      <c r="G70" t="str">
        <f>INDEX(Table1[Unit],Table5[[#This Row],[//NOTA]])</f>
        <v>PAK</v>
      </c>
      <c r="H70" s="195">
        <f>SUMIF(Table1[H_A1],Sheet5!A70,Table1[C])</f>
        <v>0</v>
      </c>
      <c r="I70" s="195">
        <f>INDEX(Table1[Unit Price],Table5[[#This Row],[//NOTA]])</f>
        <v>8350</v>
      </c>
      <c r="J70" s="86" t="str">
        <f>IF(Table5[[#This Row],[a2]]="","",Table5[[#This Row],[QTY]]*12)</f>
        <v/>
      </c>
      <c r="K70" s="86" t="str">
        <f>IF(Table5[[#This Row],[UNIT]]="grs","LSN",IF(Table5[[#This Row],[UNIT]]="LSN","PCS",""))</f>
        <v/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443</v>
      </c>
      <c r="B71" s="88"/>
      <c r="C71" s="194">
        <f>MATCH(A71,Table1[H_A1],0)</f>
        <v>144</v>
      </c>
      <c r="D71" s="194">
        <f>MATCH(Table5[[#This Row],[NAMA]],[1]!db[NB PAJAK],0)</f>
        <v>1324</v>
      </c>
      <c r="E71" t="str">
        <f>INDEX(Table1[Item Description],Table5[[#This Row],[//NOTA]])</f>
        <v>LOOSE LEAF KENKO A5-LL 50-2070</v>
      </c>
      <c r="F71">
        <f>SUMIF(Table1[H_A1],Sheet5!A71,Table1[Qty])</f>
        <v>50</v>
      </c>
      <c r="G71" t="str">
        <f>INDEX(Table1[Unit],Table5[[#This Row],[//NOTA]])</f>
        <v>PAK</v>
      </c>
      <c r="H71" s="195">
        <f>SUMIF(Table1[H_A1],Sheet5!A71,Table1[C])</f>
        <v>0</v>
      </c>
      <c r="I71" s="195">
        <f>INDEX(Table1[Unit Price],Table5[[#This Row],[//NOTA]])</f>
        <v>4400</v>
      </c>
      <c r="J71" s="86" t="str">
        <f>IF(Table5[[#This Row],[a2]]="","",Table5[[#This Row],[QTY]]*12)</f>
        <v/>
      </c>
      <c r="K71" s="86" t="str">
        <f>IF(Table5[[#This Row],[UNIT]]="grs","LSN",IF(Table5[[#This Row],[UNIT]]="LSN","PCS",""))</f>
        <v/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412</v>
      </c>
      <c r="B72" s="88"/>
      <c r="C72" s="194">
        <f>MATCH(A72,Table1[H_A1],0)</f>
        <v>122</v>
      </c>
      <c r="D72" s="194">
        <f>MATCH(Table5[[#This Row],[NAMA]],[1]!db[NB PAJAK],0)</f>
        <v>1185</v>
      </c>
      <c r="E72" t="str">
        <f>INDEX(Table1[Item Description],Table5[[#This Row],[//NOTA]])</f>
        <v>PAPER CLIP WARNA KENKO 3100</v>
      </c>
      <c r="F72">
        <f>SUMIF(Table1[H_A1],Sheet5!A72,Table1[Qty])</f>
        <v>48</v>
      </c>
      <c r="G72" t="str">
        <f>INDEX(Table1[Unit],Table5[[#This Row],[//NOTA]])</f>
        <v>LSN</v>
      </c>
      <c r="H72" s="195">
        <f>SUMIF(Table1[H_A1],Sheet5!A72,Table1[C])</f>
        <v>1</v>
      </c>
      <c r="I72" s="195">
        <f>INDEX(Table1[Unit Price],Table5[[#This Row],[//NOTA]])</f>
        <v>41400</v>
      </c>
      <c r="J72" s="86">
        <f>IF(Table5[[#This Row],[a2]]="","",Table5[[#This Row],[QTY]]*12)</f>
        <v>576</v>
      </c>
      <c r="K72" s="86" t="str">
        <f>IF(Table5[[#This Row],[UNIT]]="grs","LSN",IF(Table5[[#This Row],[UNIT]]="LSN","PCS",""))</f>
        <v>PCS</v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420</v>
      </c>
      <c r="B73" s="88"/>
      <c r="C73" s="194">
        <f>MATCH(A73,Table1[H_A1],0)</f>
        <v>127</v>
      </c>
      <c r="D73" s="194">
        <f>MATCH(Table5[[#This Row],[NAMA]],[1]!db[NB PAJAK],0)</f>
        <v>1319</v>
      </c>
      <c r="E73" t="str">
        <f>INDEX(Table1[Item Description],Table5[[#This Row],[//NOTA]])</f>
        <v>PAPER JUMBO CLIP KENKO NO. 5</v>
      </c>
      <c r="F73">
        <f>SUMIF(Table1[H_A1],Sheet5!A73,Table1[Qty])</f>
        <v>80</v>
      </c>
      <c r="G73" t="str">
        <f>INDEX(Table1[Unit],Table5[[#This Row],[//NOTA]])</f>
        <v>PAK</v>
      </c>
      <c r="H73" s="195">
        <f>SUMIF(Table1[H_A1],Sheet5!A73,Table1[C])</f>
        <v>4</v>
      </c>
      <c r="I73" s="195">
        <f>INDEX(Table1[Unit Price],Table5[[#This Row],[//NOTA]])</f>
        <v>43000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413</v>
      </c>
      <c r="B74" s="88"/>
      <c r="C74" s="194">
        <f>MATCH(A74,Table1[H_A1],0)</f>
        <v>125</v>
      </c>
      <c r="D74" s="194">
        <f>MATCH(Table5[[#This Row],[NAMA]],[1]!db[NB PAJAK],0)</f>
        <v>1425</v>
      </c>
      <c r="E74" t="str">
        <f>INDEX(Table1[Item Description],Table5[[#This Row],[//NOTA]])</f>
        <v>PAPER TRIGONAL CLIP KENKO NO. 1</v>
      </c>
      <c r="F74">
        <f>SUMIF(Table1[H_A1],Sheet5!A74,Table1[Qty])</f>
        <v>150</v>
      </c>
      <c r="G74" t="str">
        <f>INDEX(Table1[Unit],Table5[[#This Row],[//NOTA]])</f>
        <v>PAK</v>
      </c>
      <c r="H74" s="195">
        <f>SUMIF(Table1[H_A1],Sheet5!A74,Table1[C])</f>
        <v>3</v>
      </c>
      <c r="I74" s="195">
        <f>INDEX(Table1[Unit Price],Table5[[#This Row],[//NOTA]])</f>
        <v>17000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414</v>
      </c>
      <c r="B75" s="88"/>
      <c r="C75" s="194">
        <f>MATCH(A75,Table1[H_A1],0)</f>
        <v>126</v>
      </c>
      <c r="D75" s="194">
        <f>MATCH(Table5[[#This Row],[NAMA]],[1]!db[NB PAJAK],0)</f>
        <v>1424</v>
      </c>
      <c r="E75" t="str">
        <f>INDEX(Table1[Item Description],Table5[[#This Row],[//NOTA]])</f>
        <v>PAPER TRIGONAL CLIP KENKO NO. 3</v>
      </c>
      <c r="F75">
        <f>SUMIF(Table1[H_A1],Sheet5!A75,Table1[Qty])</f>
        <v>150</v>
      </c>
      <c r="G75" t="str">
        <f>INDEX(Table1[Unit],Table5[[#This Row],[//NOTA]])</f>
        <v>PAK</v>
      </c>
      <c r="H75" s="195">
        <f>SUMIF(Table1[H_A1],Sheet5!A75,Table1[C])</f>
        <v>3</v>
      </c>
      <c r="I75" s="195">
        <f>INDEX(Table1[Unit Price],Table5[[#This Row],[//NOTA]])</f>
        <v>16000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223</v>
      </c>
      <c r="B76" s="88"/>
      <c r="C76" s="194">
        <f>MATCH(A76,Table1[H_A1],0)</f>
        <v>39</v>
      </c>
      <c r="D76" s="194" t="e">
        <f>MATCH(Table5[[#This Row],[NAMA]],[1]!db[NB PAJAK],0)</f>
        <v>#N/A</v>
      </c>
      <c r="E76" t="str">
        <f>INDEX(Table1[Item Description],Table5[[#This Row],[//NOTA]])</f>
        <v>PENCIL CASE / TEMPAT PENSIL 0022</v>
      </c>
      <c r="F76">
        <f>SUMIF(Table1[H_A1],Sheet5!A76,Table1[Qty])</f>
        <v>1</v>
      </c>
      <c r="G76" t="str">
        <f>INDEX(Table1[Unit],Table5[[#This Row],[//NOTA]])</f>
        <v>LSN</v>
      </c>
      <c r="H76" s="195">
        <f>SUMIF(Table1[H_A1],Sheet5!A76,Table1[C])</f>
        <v>0</v>
      </c>
      <c r="I76" s="195">
        <f>INDEX(Table1[Unit Price],Table5[[#This Row],[//NOTA]])</f>
        <v>250000</v>
      </c>
      <c r="J76" s="86">
        <f>IF(Table5[[#This Row],[a2]]="","",Table5[[#This Row],[QTY]]*12)</f>
        <v>12</v>
      </c>
      <c r="K76" s="86" t="str">
        <f>IF(Table5[[#This Row],[UNIT]]="grs","LSN",IF(Table5[[#This Row],[UNIT]]="LSN","PCS",""))</f>
        <v>PCS</v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224</v>
      </c>
      <c r="B77" s="88"/>
      <c r="C77" s="194">
        <f>MATCH(A77,Table1[H_A1],0)</f>
        <v>38</v>
      </c>
      <c r="D77" s="194">
        <f>MATCH(Table5[[#This Row],[NAMA]],[1]!db[NB PAJAK],0)</f>
        <v>2296</v>
      </c>
      <c r="E77" t="str">
        <f>INDEX(Table1[Item Description],Table5[[#This Row],[//NOTA]])</f>
        <v>PENCIL CASE / TEMPAT PENSIL MAGNET B-35138-21</v>
      </c>
      <c r="F77">
        <f>SUMIF(Table1[H_A1],Sheet5!A77,Table1[Qty])</f>
        <v>1</v>
      </c>
      <c r="G77" t="str">
        <f>INDEX(Table1[Unit],Table5[[#This Row],[//NOTA]])</f>
        <v>LSN</v>
      </c>
      <c r="H77" s="195">
        <f>SUMIF(Table1[H_A1],Sheet5!A77,Table1[C])</f>
        <v>0</v>
      </c>
      <c r="I77" s="195">
        <f>INDEX(Table1[Unit Price],Table5[[#This Row],[//NOTA]])</f>
        <v>360000</v>
      </c>
      <c r="J77" s="86">
        <f>IF(Table5[[#This Row],[a2]]="","",Table5[[#This Row],[QTY]]*12)</f>
        <v>12</v>
      </c>
      <c r="K77" s="86" t="str">
        <f>IF(Table5[[#This Row],[UNIT]]="grs","LSN",IF(Table5[[#This Row],[UNIT]]="LSN","PCS",""))</f>
        <v>PCS</v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448</v>
      </c>
      <c r="B78" s="88"/>
      <c r="C78" s="194">
        <f>MATCH(A78,Table1[H_A1],0)</f>
        <v>134</v>
      </c>
      <c r="D78" s="194">
        <f>MATCH(Table5[[#This Row],[NAMA]],[1]!db[NB PAJAK],0)</f>
        <v>1904</v>
      </c>
      <c r="E78" t="str">
        <f>INDEX(Table1[Item Description],Table5[[#This Row],[//NOTA]])</f>
        <v>PENCIL CASE JOYKO PC-0719AC-36A/F (Animal Calender)</v>
      </c>
      <c r="F78">
        <f>SUMIF(Table1[H_A1],Sheet5!A78,Table1[Qty])</f>
        <v>288</v>
      </c>
      <c r="G78" t="str">
        <f>INDEX(Table1[Unit],Table5[[#This Row],[//NOTA]])</f>
        <v>PC</v>
      </c>
      <c r="H78" s="195">
        <f>SUMIF(Table1[H_A1],Sheet5!A78,Table1[C])</f>
        <v>1</v>
      </c>
      <c r="I78" s="195">
        <f>INDEX(Table1[Unit Price],Table5[[#This Row],[//NOTA]])</f>
        <v>4800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449</v>
      </c>
      <c r="B79" s="88"/>
      <c r="C79" s="194">
        <f>MATCH(A79,Table1[H_A1],0)</f>
        <v>136</v>
      </c>
      <c r="D79" s="194">
        <f>MATCH(Table5[[#This Row],[NAMA]],[1]!db[NB PAJAK],0)</f>
        <v>1905</v>
      </c>
      <c r="E79" t="str">
        <f>INDEX(Table1[Item Description],Table5[[#This Row],[//NOTA]])</f>
        <v>PENCIL CASE JOYKO PC-0719GZ-34A/F (GOZZY)</v>
      </c>
      <c r="F79">
        <f>SUMIF(Table1[H_A1],Sheet5!A79,Table1[Qty])</f>
        <v>288</v>
      </c>
      <c r="G79" t="str">
        <f>INDEX(Table1[Unit],Table5[[#This Row],[//NOTA]])</f>
        <v>PC</v>
      </c>
      <c r="H79" s="195">
        <f>SUMIF(Table1[H_A1],Sheet5!A79,Table1[C])</f>
        <v>1</v>
      </c>
      <c r="I79" s="195">
        <f>INDEX(Table1[Unit Price],Table5[[#This Row],[//NOTA]])</f>
        <v>4800</v>
      </c>
      <c r="J79" s="86" t="str">
        <f>IF(Table5[[#This Row],[a2]]="","",Table5[[#This Row],[QTY]]*12)</f>
        <v/>
      </c>
      <c r="K79" s="86" t="str">
        <f>IF(Table5[[#This Row],[UNIT]]="grs","LSN",IF(Table5[[#This Row],[UNIT]]="LSN","PCS",""))</f>
        <v/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332</v>
      </c>
      <c r="B80" s="88"/>
      <c r="C80" s="194">
        <f>MATCH(A80,Table1[H_A1],0)</f>
        <v>85</v>
      </c>
      <c r="D80" s="194" t="e">
        <f>MATCH(Table5[[#This Row],[NAMA]],[1]!db[NB PAJAK],0)</f>
        <v>#N/A</v>
      </c>
      <c r="E80" t="str">
        <f>INDEX(Table1[Item Description],Table5[[#This Row],[//NOTA]])</f>
        <v>PENCIL CASE JOYKO PC-0719</v>
      </c>
      <c r="F80">
        <f>SUMIF(Table1[H_A1],Sheet5!A80,Table1[Qty])</f>
        <v>576</v>
      </c>
      <c r="G80" t="str">
        <f>INDEX(Table1[Unit],Table5[[#This Row],[//NOTA]])</f>
        <v>PCS</v>
      </c>
      <c r="H80" s="195">
        <f>SUMIF(Table1[H_A1],Sheet5!A80,Table1[C])</f>
        <v>2</v>
      </c>
      <c r="I80" s="195">
        <f>INDEX(Table1[Unit Price],Table5[[#This Row],[//NOTA]])</f>
        <v>4800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450</v>
      </c>
      <c r="B81" s="88"/>
      <c r="C81" s="194">
        <f>MATCH(A81,Table1[H_A1],0)</f>
        <v>135</v>
      </c>
      <c r="D81" s="194">
        <f>MATCH(Table5[[#This Row],[NAMA]],[1]!db[NB PAJAK],0)</f>
        <v>1916</v>
      </c>
      <c r="E81" t="str">
        <f>INDEX(Table1[Item Description],Table5[[#This Row],[//NOTA]])</f>
        <v>PENCIL CASE JOYKO PC-0719TV-33A/F (TRAVEL)</v>
      </c>
      <c r="F81">
        <f>SUMIF(Table1[H_A1],Sheet5!A81,Table1[Qty])</f>
        <v>288</v>
      </c>
      <c r="G81" t="str">
        <f>INDEX(Table1[Unit],Table5[[#This Row],[//NOTA]])</f>
        <v>PC</v>
      </c>
      <c r="H81" s="195">
        <f>SUMIF(Table1[H_A1],Sheet5!A81,Table1[C])</f>
        <v>1</v>
      </c>
      <c r="I81" s="195">
        <f>INDEX(Table1[Unit Price],Table5[[#This Row],[//NOTA]])</f>
        <v>4800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383</v>
      </c>
      <c r="B82" s="88"/>
      <c r="C82" s="194">
        <f>MATCH(A82,Table1[H_A1],0)</f>
        <v>110</v>
      </c>
      <c r="D82" s="194" t="e">
        <f>MATCH(Table5[[#This Row],[NAMA]],[1]!db[NB PAJAK],0)</f>
        <v>#N/A</v>
      </c>
      <c r="E82" t="str">
        <f>INDEX(Table1[Item Description],Table5[[#This Row],[//NOTA]])</f>
        <v>PENCIL CASE KENKO PC-0719</v>
      </c>
      <c r="F82">
        <f>SUMIF(Table1[H_A1],Sheet5!A82,Table1[Qty])</f>
        <v>1152</v>
      </c>
      <c r="G82" t="str">
        <f>INDEX(Table1[Unit],Table5[[#This Row],[//NOTA]])</f>
        <v>PCS</v>
      </c>
      <c r="H82" s="195">
        <f>SUMIF(Table1[H_A1],Sheet5!A82,Table1[C])</f>
        <v>4</v>
      </c>
      <c r="I82" s="195">
        <f>INDEX(Table1[Unit Price],Table5[[#This Row],[//NOTA]])</f>
        <v>4800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348</v>
      </c>
      <c r="B83" s="88"/>
      <c r="C83" s="194">
        <f>MATCH(A83,Table1[H_A1],0)</f>
        <v>99</v>
      </c>
      <c r="D83" s="194">
        <f>MATCH(Table5[[#This Row],[NAMA]],[1]!db[NB PAJAK],0)</f>
        <v>1926</v>
      </c>
      <c r="E83" t="str">
        <f>INDEX(Table1[Item Description],Table5[[#This Row],[//NOTA]])</f>
        <v>PENSIL JOYKO 2B P-88</v>
      </c>
      <c r="F83">
        <f>SUMIF(Table1[H_A1],Sheet5!A83,Table1[Qty])</f>
        <v>210</v>
      </c>
      <c r="G83" t="str">
        <f>INDEX(Table1[Unit],Table5[[#This Row],[//NOTA]])</f>
        <v>GRS</v>
      </c>
      <c r="H83" s="195">
        <f>SUMIF(Table1[H_A1],Sheet5!A83,Table1[C])</f>
        <v>7</v>
      </c>
      <c r="I83" s="195">
        <f>INDEX(Table1[Unit Price],Table5[[#This Row],[//NOTA]])</f>
        <v>104400</v>
      </c>
      <c r="J83" s="86">
        <f>IF(Table5[[#This Row],[a2]]="","",Table5[[#This Row],[QTY]]*12)</f>
        <v>2520</v>
      </c>
      <c r="K83" s="86" t="str">
        <f>IF(Table5[[#This Row],[UNIT]]="grs","LSN",IF(Table5[[#This Row],[UNIT]]="LSN","PCS",""))</f>
        <v>LSN</v>
      </c>
      <c r="L83" s="86">
        <f>IF(Table5[[#This Row],[a2]]="LSN",Table5[[#This Row],[a1]]*12,"")</f>
        <v>30240</v>
      </c>
      <c r="M83" s="86" t="str">
        <f>IF(Table5[[#This Row],[b1]]="","","PCS")</f>
        <v>PCS</v>
      </c>
      <c r="N83" s="86"/>
      <c r="O83" s="86"/>
    </row>
    <row r="84" spans="1:15" x14ac:dyDescent="0.25">
      <c r="A84" s="88" t="s">
        <v>387</v>
      </c>
      <c r="B84" s="88"/>
      <c r="C84" s="194">
        <f>MATCH(A84,Table1[H_A1],0)</f>
        <v>114</v>
      </c>
      <c r="D84" s="194">
        <f>MATCH(Table5[[#This Row],[NAMA]],[1]!db[NB PAJAK],0)</f>
        <v>529</v>
      </c>
      <c r="E84" t="str">
        <f>INDEX(Table1[Item Description],Table5[[#This Row],[//NOTA]])</f>
        <v>PENSIL WARNA JOYKO CP-12PB (PANJANG)</v>
      </c>
      <c r="F84">
        <f>SUMIF(Table1[H_A1],Sheet5!A84,Table1[Qty])</f>
        <v>288</v>
      </c>
      <c r="G84" t="str">
        <f>INDEX(Table1[Unit],Table5[[#This Row],[//NOTA]])</f>
        <v>PCS</v>
      </c>
      <c r="H84" s="195">
        <f>SUMIF(Table1[H_A1],Sheet5!A84,Table1[C])</f>
        <v>2</v>
      </c>
      <c r="I84" s="195">
        <f>INDEX(Table1[Unit Price],Table5[[#This Row],[//NOTA]])</f>
        <v>10600</v>
      </c>
      <c r="J84" s="86" t="str">
        <f>IF(Table5[[#This Row],[a2]]="","",Table5[[#This Row],[QTY]]*12)</f>
        <v/>
      </c>
      <c r="K84" s="86" t="str">
        <f>IF(Table5[[#This Row],[UNIT]]="grs","LSN",IF(Table5[[#This Row],[UNIT]]="LSN","PCS",""))</f>
        <v/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492</v>
      </c>
      <c r="B85" s="88"/>
      <c r="C85" s="194">
        <f>MATCH(A85,Table1[H_A1],0)</f>
        <v>179</v>
      </c>
      <c r="D85" s="194">
        <f>MATCH(Table5[[#This Row],[NAMA]],[1]!db[NB PAJAK],0)</f>
        <v>529</v>
      </c>
      <c r="E85" t="str">
        <f>INDEX(Table1[Item Description],Table5[[#This Row],[//NOTA]])</f>
        <v>PENSIL WARNA JOYKO CP-12PB (PANJANG)</v>
      </c>
      <c r="F85">
        <f>SUMIF(Table1[H_A1],Sheet5!A85,Table1[Qty])</f>
        <v>432</v>
      </c>
      <c r="G85" t="str">
        <f>INDEX(Table1[Unit],Table5[[#This Row],[//NOTA]])</f>
        <v>SET</v>
      </c>
      <c r="H85" s="195">
        <f>SUMIF(Table1[H_A1],Sheet5!A85,Table1[C])</f>
        <v>3</v>
      </c>
      <c r="I85" s="195">
        <f>INDEX(Table1[Unit Price],Table5[[#This Row],[//NOTA]])</f>
        <v>10600</v>
      </c>
      <c r="J85" s="86" t="str">
        <f>IF(Table5[[#This Row],[a2]]="","",Table5[[#This Row],[QTY]]*12)</f>
        <v/>
      </c>
      <c r="K85" s="86" t="str">
        <f>IF(Table5[[#This Row],[UNIT]]="grs","LSN",IF(Table5[[#This Row],[UNIT]]="LSN","PCS",""))</f>
        <v/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493</v>
      </c>
      <c r="B86" s="88"/>
      <c r="C86" s="194">
        <f>MATCH(A86,Table1[H_A1],0)</f>
        <v>180</v>
      </c>
      <c r="D86" s="194">
        <f>MATCH(Table5[[#This Row],[NAMA]],[1]!db[NB PAJAK],0)</f>
        <v>534</v>
      </c>
      <c r="E86" t="str">
        <f>INDEX(Table1[Item Description],Table5[[#This Row],[//NOTA]])</f>
        <v>PENSIL WARNA JOYKO CP-S12 MINI (PENDEK)</v>
      </c>
      <c r="F86">
        <f>SUMIF(Table1[H_A1],Sheet5!A86,Table1[Qty])</f>
        <v>288</v>
      </c>
      <c r="G86" t="str">
        <f>INDEX(Table1[Unit],Table5[[#This Row],[//NOTA]])</f>
        <v>SET</v>
      </c>
      <c r="H86" s="195">
        <f>SUMIF(Table1[H_A1],Sheet5!A86,Table1[C])</f>
        <v>2</v>
      </c>
      <c r="I86" s="195">
        <f>INDEX(Table1[Unit Price],Table5[[#This Row],[//NOTA]])</f>
        <v>6700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225</v>
      </c>
      <c r="B87" s="88"/>
      <c r="C87" s="194">
        <f>MATCH(A87,Table1[H_A1],0)</f>
        <v>28</v>
      </c>
      <c r="D87" s="194">
        <f>MATCH(Table5[[#This Row],[NAMA]],[1]!db[NB PAJAK],0)</f>
        <v>1127</v>
      </c>
      <c r="E87" t="str">
        <f>INDEX(Table1[Item Description],Table5[[#This Row],[//NOTA]])</f>
        <v>PENSIL WARNA KENKO CP-12F CLASSIC (PANJANG)</v>
      </c>
      <c r="F87">
        <f>SUMIF(Table1[H_A1],Sheet5!A87,Table1[Qty])</f>
        <v>132</v>
      </c>
      <c r="G87" t="str">
        <f>INDEX(Table1[Unit],Table5[[#This Row],[//NOTA]])</f>
        <v>LSN</v>
      </c>
      <c r="H87" s="195">
        <f>SUMIF(Table1[H_A1],Sheet5!A87,Table1[C])</f>
        <v>5</v>
      </c>
      <c r="I87" s="195">
        <f>INDEX(Table1[Unit Price],Table5[[#This Row],[//NOTA]])</f>
        <v>124200</v>
      </c>
      <c r="J87" s="86">
        <f>IF(Table5[[#This Row],[a2]]="","",Table5[[#This Row],[QTY]]*12)</f>
        <v>1584</v>
      </c>
      <c r="K87" s="86" t="str">
        <f>IF(Table5[[#This Row],[UNIT]]="grs","LSN",IF(Table5[[#This Row],[UNIT]]="LSN","PCS",""))</f>
        <v>PCS</v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392</v>
      </c>
      <c r="B88" s="88"/>
      <c r="C88" s="194">
        <f>MATCH(A88,Table1[H_A1],0)</f>
        <v>118</v>
      </c>
      <c r="D88" s="194">
        <f>MATCH(Table5[[#This Row],[NAMA]],[1]!db[NB PAJAK],0)</f>
        <v>1187</v>
      </c>
      <c r="E88" t="str">
        <f>INDEX(Table1[Item Description],Table5[[#This Row],[//NOTA]])</f>
        <v>PENSIL WARNA KENKO CP-12HALF CLASSIC (PENDEK)</v>
      </c>
      <c r="F88">
        <f>SUMIF(Table1[H_A1],Sheet5!A88,Table1[Qty])</f>
        <v>6</v>
      </c>
      <c r="G88" t="str">
        <f>INDEX(Table1[Unit],Table5[[#This Row],[//NOTA]])</f>
        <v>LSN</v>
      </c>
      <c r="H88" s="195">
        <f>SUMIF(Table1[H_A1],Sheet5!A88,Table1[C])</f>
        <v>0</v>
      </c>
      <c r="I88" s="195">
        <f>INDEX(Table1[Unit Price],Table5[[#This Row],[//NOTA]])</f>
        <v>79200</v>
      </c>
      <c r="J88" s="86">
        <f>IF(Table5[[#This Row],[a2]]="","",Table5[[#This Row],[QTY]]*12)</f>
        <v>72</v>
      </c>
      <c r="K88" s="86" t="str">
        <f>IF(Table5[[#This Row],[UNIT]]="grs","LSN",IF(Table5[[#This Row],[UNIT]]="LSN","PCS",""))</f>
        <v>PCS</v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288</v>
      </c>
      <c r="B89" s="88"/>
      <c r="C89" s="194">
        <f>MATCH(A89,Table1[H_A1],0)</f>
        <v>68</v>
      </c>
      <c r="D89" s="194">
        <f>MATCH(Table5[[#This Row],[NAMA]],[1]!db[NB PAJAK],0)</f>
        <v>1187</v>
      </c>
      <c r="E89" t="str">
        <f>INDEX(Table1[Item Description],Table5[[#This Row],[//NOTA]])</f>
        <v>PENSIL WARNA KENKO CP-12HALF CLASSIC (PENDEK)</v>
      </c>
      <c r="F89">
        <f>SUMIF(Table1[H_A1],Sheet5!A89,Table1[Qty])</f>
        <v>120</v>
      </c>
      <c r="G89" t="str">
        <f>INDEX(Table1[Unit],Table5[[#This Row],[//NOTA]])</f>
        <v>SET</v>
      </c>
      <c r="H89" s="195">
        <f>SUMIF(Table1[H_A1],Sheet5!A89,Table1[C])</f>
        <v>0</v>
      </c>
      <c r="I89" s="195">
        <f>INDEX(Table1[Unit Price],Table5[[#This Row],[//NOTA]])</f>
        <v>6600</v>
      </c>
      <c r="J89" s="86" t="str">
        <f>IF(Table5[[#This Row],[a2]]="","",Table5[[#This Row],[QTY]]*12)</f>
        <v/>
      </c>
      <c r="K89" s="86" t="str">
        <f>IF(Table5[[#This Row],[UNIT]]="grs","LSN",IF(Table5[[#This Row],[UNIT]]="LSN","PCS",""))</f>
        <v/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372</v>
      </c>
      <c r="B90" s="88"/>
      <c r="C90" s="194">
        <f>MATCH(A90,Table1[H_A1],0)</f>
        <v>11</v>
      </c>
      <c r="D90" s="194">
        <f>MATCH(Table5[[#This Row],[NAMA]],[1]!db[NB PAJAK],0)</f>
        <v>1370</v>
      </c>
      <c r="E90" t="str">
        <f>INDEX(Table1[Item Description],Table5[[#This Row],[//NOTA]])</f>
        <v>PUNCH KENKO NO. 30</v>
      </c>
      <c r="F90">
        <f>SUMIF(Table1[H_A1],Sheet5!A90,Table1[Qty])</f>
        <v>54</v>
      </c>
      <c r="G90" t="str">
        <f>INDEX(Table1[Unit],Table5[[#This Row],[//NOTA]])</f>
        <v>PCS</v>
      </c>
      <c r="H90" s="195">
        <f>SUMIF(Table1[H_A1],Sheet5!A90,Table1[C])</f>
        <v>0</v>
      </c>
      <c r="I90" s="195">
        <f>INDEX(Table1[Unit Price],Table5[[#This Row],[//NOTA]])</f>
        <v>13000</v>
      </c>
      <c r="J90" s="86" t="str">
        <f>IF(Table5[[#This Row],[a2]]="","",Table5[[#This Row],[QTY]]*12)</f>
        <v/>
      </c>
      <c r="K90" s="86" t="str">
        <f>IF(Table5[[#This Row],[UNIT]]="grs","LSN",IF(Table5[[#This Row],[UNIT]]="LSN","PCS",""))</f>
        <v/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180</v>
      </c>
      <c r="B91" s="88"/>
      <c r="C91" s="194">
        <f>MATCH(A91,Table1[H_A1],0)</f>
        <v>23</v>
      </c>
      <c r="D91" s="194">
        <f>MATCH(Table5[[#This Row],[NAMA]],[1]!db[NB PAJAK],0)</f>
        <v>1373</v>
      </c>
      <c r="E91" t="str">
        <f>INDEX(Table1[Item Description],Table5[[#This Row],[//NOTA]])</f>
        <v>PUNCH KENKO NO. 40XL</v>
      </c>
      <c r="F91">
        <f>SUMIF(Table1[H_A1],Sheet5!A91,Table1[Qty])</f>
        <v>3</v>
      </c>
      <c r="G91" t="str">
        <f>INDEX(Table1[Unit],Table5[[#This Row],[//NOTA]])</f>
        <v>LSN</v>
      </c>
      <c r="H91" s="195">
        <f>SUMIF(Table1[H_A1],Sheet5!A91,Table1[C])</f>
        <v>0</v>
      </c>
      <c r="I91" s="195">
        <f>INDEX(Table1[Unit Price],Table5[[#This Row],[//NOTA]])</f>
        <v>384000</v>
      </c>
      <c r="J91" s="86">
        <f>IF(Table5[[#This Row],[a2]]="","",Table5[[#This Row],[QTY]]*12)</f>
        <v>36</v>
      </c>
      <c r="K91" s="86" t="str">
        <f>IF(Table5[[#This Row],[UNIT]]="grs","LSN",IF(Table5[[#This Row],[UNIT]]="LSN","PCS",""))</f>
        <v>PCS</v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415</v>
      </c>
      <c r="B92" s="88"/>
      <c r="C92" s="194">
        <f>MATCH(A92,Table1[H_A1],0)</f>
        <v>121</v>
      </c>
      <c r="D92" s="194">
        <f>MATCH(Table5[[#This Row],[NAMA]],[1]!db[NB PAJAK],0)</f>
        <v>1378</v>
      </c>
      <c r="E92" t="str">
        <f>INDEX(Table1[Item Description],Table5[[#This Row],[//NOTA]])</f>
        <v>PUSH PIN KENKO PN-30 TRANSPARAN</v>
      </c>
      <c r="F92">
        <f>SUMIF(Table1[H_A1],Sheet5!A92,Table1[Qty])</f>
        <v>48</v>
      </c>
      <c r="G92" t="str">
        <f>INDEX(Table1[Unit],Table5[[#This Row],[//NOTA]])</f>
        <v>LSN</v>
      </c>
      <c r="H92" s="195">
        <f>SUMIF(Table1[H_A1],Sheet5!A92,Table1[C])</f>
        <v>1</v>
      </c>
      <c r="I92" s="195">
        <f>INDEX(Table1[Unit Price],Table5[[#This Row],[//NOTA]])</f>
        <v>33000</v>
      </c>
      <c r="J92" s="86">
        <f>IF(Table5[[#This Row],[a2]]="","",Table5[[#This Row],[QTY]]*12)</f>
        <v>576</v>
      </c>
      <c r="K92" s="86" t="str">
        <f>IF(Table5[[#This Row],[UNIT]]="grs","LSN",IF(Table5[[#This Row],[UNIT]]="LSN","PCS",""))</f>
        <v>PCS</v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289</v>
      </c>
      <c r="B93" s="88"/>
      <c r="C93" s="194">
        <f>MATCH(A93,Table1[H_A1],0)</f>
        <v>70</v>
      </c>
      <c r="D93" s="194">
        <f>MATCH(Table5[[#This Row],[NAMA]],[1]!db[NB PAJAK],0)</f>
        <v>1378</v>
      </c>
      <c r="E93" t="str">
        <f>INDEX(Table1[Item Description],Table5[[#This Row],[//NOTA]])</f>
        <v>PUSH PIN KENKO PN-30 TRANSPARAN</v>
      </c>
      <c r="F93">
        <f>SUMIF(Table1[H_A1],Sheet5!A93,Table1[Qty])</f>
        <v>180</v>
      </c>
      <c r="G93" t="str">
        <f>INDEX(Table1[Unit],Table5[[#This Row],[//NOTA]])</f>
        <v>PCS</v>
      </c>
      <c r="H93" s="195">
        <f>SUMIF(Table1[H_A1],Sheet5!A93,Table1[C])</f>
        <v>0</v>
      </c>
      <c r="I93" s="195">
        <f>INDEX(Table1[Unit Price],Table5[[#This Row],[//NOTA]])</f>
        <v>2750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290</v>
      </c>
      <c r="B94" s="88"/>
      <c r="C94" s="194">
        <f>MATCH(A94,Table1[H_A1],0)</f>
        <v>73</v>
      </c>
      <c r="D94" s="194">
        <f>MATCH(Table5[[#This Row],[NAMA]],[1]!db[NB PAJAK],0)</f>
        <v>1399</v>
      </c>
      <c r="E94" t="str">
        <f>INDEX(Table1[Item Description],Table5[[#This Row],[//NOTA]])</f>
        <v>STAMP PLATE DATER KENKO S-68 (Cap Lunas)</v>
      </c>
      <c r="F94">
        <f>SUMIF(Table1[H_A1],Sheet5!A94,Table1[Qty])</f>
        <v>48</v>
      </c>
      <c r="G94" t="str">
        <f>INDEX(Table1[Unit],Table5[[#This Row],[//NOTA]])</f>
        <v>PCS</v>
      </c>
      <c r="H94" s="195">
        <f>SUMIF(Table1[H_A1],Sheet5!A94,Table1[C])</f>
        <v>0</v>
      </c>
      <c r="I94" s="195">
        <f>INDEX(Table1[Unit Price],Table5[[#This Row],[//NOTA]])</f>
        <v>8300</v>
      </c>
      <c r="J94" s="86" t="str">
        <f>IF(Table5[[#This Row],[a2]]="","",Table5[[#This Row],[QTY]]*12)</f>
        <v/>
      </c>
      <c r="K94" s="86" t="str">
        <f>IF(Table5[[#This Row],[UNIT]]="grs","LSN",IF(Table5[[#This Row],[UNIT]]="LSN","PCS",""))</f>
        <v/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291</v>
      </c>
      <c r="B95" s="88"/>
      <c r="C95" s="194">
        <f>MATCH(A95,Table1[H_A1],0)</f>
        <v>71</v>
      </c>
      <c r="D95" s="194">
        <f>MATCH(Table5[[#This Row],[NAMA]],[1]!db[NB PAJAK],0)</f>
        <v>1396</v>
      </c>
      <c r="E95" t="str">
        <f>INDEX(Table1[Item Description],Table5[[#This Row],[//NOTA]])</f>
        <v>STAMP PLATE NUMBER KENKO N-38 (Cap Nomer)</v>
      </c>
      <c r="F95">
        <f>SUMIF(Table1[H_A1],Sheet5!A95,Table1[Qty])</f>
        <v>60</v>
      </c>
      <c r="G95" t="str">
        <f>INDEX(Table1[Unit],Table5[[#This Row],[//NOTA]])</f>
        <v>PCS</v>
      </c>
      <c r="H95" s="195">
        <f>SUMIF(Table1[H_A1],Sheet5!A95,Table1[C])</f>
        <v>0</v>
      </c>
      <c r="I95" s="195">
        <f>INDEX(Table1[Unit Price],Table5[[#This Row],[//NOTA]])</f>
        <v>7000</v>
      </c>
      <c r="J95" s="86" t="str">
        <f>IF(Table5[[#This Row],[a2]]="","",Table5[[#This Row],[QTY]]*12)</f>
        <v/>
      </c>
      <c r="K95" s="86" t="str">
        <f>IF(Table5[[#This Row],[UNIT]]="grs","LSN",IF(Table5[[#This Row],[UNIT]]="LSN","PCS",""))</f>
        <v/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279</v>
      </c>
      <c r="B96" s="88"/>
      <c r="C96" s="194">
        <f>MATCH(A96,Table1[H_A1],0)</f>
        <v>66</v>
      </c>
      <c r="D96" s="194">
        <f>MATCH(Table5[[#This Row],[NAMA]],[1]!db[NB PAJAK],0)</f>
        <v>1401</v>
      </c>
      <c r="E96" t="str">
        <f>INDEX(Table1[Item Description],Table5[[#This Row],[//NOTA]])</f>
        <v>STAND PEN SPIRAL KENKO STP-300SG</v>
      </c>
      <c r="F96">
        <f>SUMIF(Table1[H_A1],Sheet5!A96,Table1[Qty])</f>
        <v>72</v>
      </c>
      <c r="G96" t="str">
        <f>INDEX(Table1[Unit],Table5[[#This Row],[//NOTA]])</f>
        <v>PCS</v>
      </c>
      <c r="H96" s="195">
        <f>SUMIF(Table1[H_A1],Sheet5!A96,Table1[C])</f>
        <v>0</v>
      </c>
      <c r="I96" s="195">
        <f>INDEX(Table1[Unit Price],Table5[[#This Row],[//NOTA]])</f>
        <v>4100</v>
      </c>
      <c r="J96" s="86" t="str">
        <f>IF(Table5[[#This Row],[a2]]="","",Table5[[#This Row],[QTY]]*12)</f>
        <v/>
      </c>
      <c r="K96" s="86" t="str">
        <f>IF(Table5[[#This Row],[UNIT]]="grs","LSN",IF(Table5[[#This Row],[UNIT]]="LSN","PCS",""))</f>
        <v/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341</v>
      </c>
      <c r="B97" s="88"/>
      <c r="C97" s="194">
        <f>MATCH(A97,Table1[H_A1],0)</f>
        <v>97</v>
      </c>
      <c r="D97" s="194">
        <f>MATCH(Table5[[#This Row],[NAMA]],[1]!db[NB PAJAK],0)</f>
        <v>1403</v>
      </c>
      <c r="E97" s="86" t="str">
        <f>INDEX(Table1[Item Description],Table5[[#This Row],[//NOTA]])</f>
        <v>STAPLER KENKO HD-10</v>
      </c>
      <c r="F97">
        <f>SUMIF(Table1[H_A1],Sheet5!A97,Table1[Qty])</f>
        <v>200</v>
      </c>
      <c r="G97" t="str">
        <f>INDEX(Table1[Unit],Table5[[#This Row],[//NOTA]])</f>
        <v>LSN</v>
      </c>
      <c r="H97" s="195">
        <f>SUMIF(Table1[H_A1],Sheet5!A97,Table1[C])</f>
        <v>10</v>
      </c>
      <c r="I97" s="195">
        <f>INDEX(Table1[Unit Price],Table5[[#This Row],[//NOTA]])</f>
        <v>93000</v>
      </c>
      <c r="J97" s="86">
        <f>IF(Table5[[#This Row],[a2]]="","",Table5[[#This Row],[QTY]]*12)</f>
        <v>2400</v>
      </c>
      <c r="K97" s="86" t="str">
        <f>IF(Table5[[#This Row],[UNIT]]="grs","LSN",IF(Table5[[#This Row],[UNIT]]="LSN","PCS",""))</f>
        <v>PCS</v>
      </c>
      <c r="L97" s="86" t="str">
        <f>IF(Table5[[#This Row],[a2]]="LSN",Table5[[#This Row],[a1]]*12,"")</f>
        <v/>
      </c>
      <c r="M97" s="86" t="str">
        <f>IF(Table5[[#This Row],[b1]]="","","PCS")</f>
        <v/>
      </c>
      <c r="N97" s="86"/>
      <c r="O97" s="86"/>
    </row>
    <row r="98" spans="1:15" x14ac:dyDescent="0.25">
      <c r="A98" s="88" t="s">
        <v>474</v>
      </c>
      <c r="C98" s="194">
        <f>MATCH(A98,Table1[H_A1],0)</f>
        <v>170</v>
      </c>
      <c r="D98" s="194">
        <f>MATCH(Table5[[#This Row],[NAMA]],[1]!db[NB PAJAK],0)</f>
        <v>741</v>
      </c>
      <c r="E98" s="86" t="str">
        <f>INDEX(Table1[Item Description],Table5[[#This Row],[//NOTA]])</f>
        <v>STIP / PENGHAPUS JOYKO 526-B20 PUTIH</v>
      </c>
      <c r="F98">
        <f>SUMIF(Table1[H_A1],Sheet5!A98,Table1[Qty])</f>
        <v>50</v>
      </c>
      <c r="G98" t="str">
        <f>INDEX(Table1[Unit],Table5[[#This Row],[//NOTA]])</f>
        <v>BOX</v>
      </c>
      <c r="H98" s="195">
        <f>SUMIF(Table1[H_A1],Sheet5!A98,Table1[C])</f>
        <v>1</v>
      </c>
      <c r="I98" s="195">
        <f>INDEX(Table1[Unit Price],Table5[[#This Row],[//NOTA]])</f>
        <v>34100</v>
      </c>
      <c r="J98" s="86" t="str">
        <f>IF(Table5[[#This Row],[a2]]="","",Table5[[#This Row],[QTY]]*12)</f>
        <v/>
      </c>
      <c r="K98" s="86" t="str">
        <f>IF(Table5[[#This Row],[UNIT]]="grs","LSN",IF(Table5[[#This Row],[UNIT]]="LSN","PCS",""))</f>
        <v/>
      </c>
      <c r="L98" s="86" t="str">
        <f>IF(Table5[[#This Row],[a2]]="LSN",Table5[[#This Row],[a1]]*12,"")</f>
        <v/>
      </c>
      <c r="M98" s="86" t="str">
        <f>IF(Table5[[#This Row],[b1]]="","","PCS")</f>
        <v/>
      </c>
      <c r="N98" s="86"/>
      <c r="O98" s="86"/>
    </row>
    <row r="99" spans="1:15" x14ac:dyDescent="0.25">
      <c r="A99" s="88" t="s">
        <v>292</v>
      </c>
      <c r="C99" s="194">
        <f>MATCH(A99,Table1[H_A1],0)</f>
        <v>76</v>
      </c>
      <c r="D99" s="194">
        <f>MATCH(Table5[[#This Row],[NAMA]],[1]!db[NB PAJAK],0)</f>
        <v>741</v>
      </c>
      <c r="E99" s="86" t="str">
        <f>INDEX(Table1[Item Description],Table5[[#This Row],[//NOTA]])</f>
        <v>STIP / PENGHAPUS JOYKO 526-B20 PUTIH</v>
      </c>
      <c r="F99">
        <f>SUMIF(Table1[H_A1],Sheet5!A99,Table1[Qty])</f>
        <v>650</v>
      </c>
      <c r="G99" t="str">
        <f>INDEX(Table1[Unit],Table5[[#This Row],[//NOTA]])</f>
        <v>PAK</v>
      </c>
      <c r="H99" s="195">
        <f>SUMIF(Table1[H_A1],Sheet5!A99,Table1[C])</f>
        <v>13</v>
      </c>
      <c r="I99" s="195">
        <f>INDEX(Table1[Unit Price],Table5[[#This Row],[//NOTA]])</f>
        <v>34100</v>
      </c>
      <c r="J99" s="86" t="str">
        <f>IF(Table5[[#This Row],[a2]]="","",Table5[[#This Row],[QTY]]*12)</f>
        <v/>
      </c>
      <c r="K99" s="86" t="str">
        <f>IF(Table5[[#This Row],[UNIT]]="grs","LSN",IF(Table5[[#This Row],[UNIT]]="LSN","PCS",""))</f>
        <v/>
      </c>
      <c r="L99" s="86" t="str">
        <f>IF(Table5[[#This Row],[a2]]="LSN",Table5[[#This Row],[a1]]*12,"")</f>
        <v/>
      </c>
      <c r="M99" s="86" t="str">
        <f>IF(Table5[[#This Row],[b1]]="","","PCS")</f>
        <v/>
      </c>
      <c r="N99" s="86"/>
      <c r="O99" s="86"/>
    </row>
    <row r="100" spans="1:15" x14ac:dyDescent="0.25">
      <c r="A100" s="88" t="s">
        <v>487</v>
      </c>
      <c r="C100" s="194">
        <f>MATCH(A100,Table1[H_A1],0)</f>
        <v>177</v>
      </c>
      <c r="D100" s="194">
        <f>MATCH(Table5[[#This Row],[NAMA]],[1]!db[NB PAJAK],0)</f>
        <v>742</v>
      </c>
      <c r="E100" s="86" t="str">
        <f>INDEX(Table1[Item Description],Table5[[#This Row],[//NOTA]])</f>
        <v>STIP / PENGHAPUS JOYKO 526-B40BL HITAM</v>
      </c>
      <c r="F100">
        <f>SUMIF(Table1[H_A1],Sheet5!A100,Table1[Qty])</f>
        <v>50</v>
      </c>
      <c r="G100" t="str">
        <f>INDEX(Table1[Unit],Table5[[#This Row],[//NOTA]])</f>
        <v>BOX</v>
      </c>
      <c r="H100" s="195">
        <f>SUMIF(Table1[H_A1],Sheet5!A100,Table1[C])</f>
        <v>1</v>
      </c>
      <c r="I100" s="195">
        <f>INDEX(Table1[Unit Price],Table5[[#This Row],[//NOTA]])</f>
        <v>28300</v>
      </c>
      <c r="J100" s="86" t="str">
        <f>IF(Table5[[#This Row],[a2]]="","",Table5[[#This Row],[QTY]]*12)</f>
        <v/>
      </c>
      <c r="K100" s="86" t="str">
        <f>IF(Table5[[#This Row],[UNIT]]="grs","LSN",IF(Table5[[#This Row],[UNIT]]="LSN","PCS",""))</f>
        <v/>
      </c>
      <c r="L100" s="86" t="str">
        <f>IF(Table5[[#This Row],[a2]]="LSN",Table5[[#This Row],[a1]]*12,"")</f>
        <v/>
      </c>
      <c r="M100" s="86" t="str">
        <f>IF(Table5[[#This Row],[b1]]="","","PCS")</f>
        <v/>
      </c>
      <c r="N100" s="86"/>
      <c r="O100" s="86"/>
    </row>
    <row r="101" spans="1:15" x14ac:dyDescent="0.25">
      <c r="A101" s="88" t="s">
        <v>333</v>
      </c>
      <c r="C101" s="194">
        <f>MATCH(A101,Table1[H_A1],0)</f>
        <v>93</v>
      </c>
      <c r="D101" s="194">
        <f>MATCH(Table5[[#This Row],[NAMA]],[1]!db[NB PAJAK],0)</f>
        <v>742</v>
      </c>
      <c r="E101" s="86" t="str">
        <f>INDEX(Table1[Item Description],Table5[[#This Row],[//NOTA]])</f>
        <v>STIP / PENGHAPUS JOYKO 526-B40BL HITAM</v>
      </c>
      <c r="F101">
        <f>SUMIF(Table1[H_A1],Sheet5!A101,Table1[Qty])</f>
        <v>50</v>
      </c>
      <c r="G101" t="str">
        <f>INDEX(Table1[Unit],Table5[[#This Row],[//NOTA]])</f>
        <v>PAK</v>
      </c>
      <c r="H101" s="195">
        <f>SUMIF(Table1[H_A1],Sheet5!A101,Table1[C])</f>
        <v>1</v>
      </c>
      <c r="I101" s="195">
        <f>INDEX(Table1[Unit Price],Table5[[#This Row],[//NOTA]])</f>
        <v>28300</v>
      </c>
      <c r="J101" s="86" t="str">
        <f>IF(Table5[[#This Row],[a2]]="","",Table5[[#This Row],[QTY]]*12)</f>
        <v/>
      </c>
      <c r="K101" s="86" t="str">
        <f>IF(Table5[[#This Row],[UNIT]]="grs","LSN",IF(Table5[[#This Row],[UNIT]]="LSN","PCS",""))</f>
        <v/>
      </c>
      <c r="L101" s="86" t="str">
        <f>IF(Table5[[#This Row],[a2]]="LSN",Table5[[#This Row],[a1]]*12,"")</f>
        <v/>
      </c>
      <c r="M101" s="86" t="str">
        <f>IF(Table5[[#This Row],[b1]]="","","PCS")</f>
        <v/>
      </c>
      <c r="N101" s="86"/>
      <c r="O101" s="86"/>
    </row>
    <row r="102" spans="1:15" x14ac:dyDescent="0.25">
      <c r="A102" s="88" t="s">
        <v>475</v>
      </c>
      <c r="C102" s="194">
        <f>MATCH(A102,Table1[H_A1],0)</f>
        <v>169</v>
      </c>
      <c r="D102" s="194">
        <f>MATCH(Table5[[#This Row],[NAMA]],[1]!db[NB PAJAK],0)</f>
        <v>744</v>
      </c>
      <c r="E102" s="86" t="str">
        <f>INDEX(Table1[Item Description],Table5[[#This Row],[//NOTA]])</f>
        <v>STIP / PENGHAPUS JOYKO 526-B40P PUTIH</v>
      </c>
      <c r="F102" s="86">
        <f>SUMIF(Table1[H_A1],Sheet5!A102,Table1[Qty])</f>
        <v>250</v>
      </c>
      <c r="G102" s="86" t="str">
        <f>INDEX(Table1[Unit],Table5[[#This Row],[//NOTA]])</f>
        <v>BOX</v>
      </c>
      <c r="H102" s="195">
        <f>SUMIF(Table1[H_A1],Sheet5!A102,Table1[C])</f>
        <v>5</v>
      </c>
      <c r="I102" s="195">
        <f>INDEX(Table1[Unit Price],Table5[[#This Row],[//NOTA]])</f>
        <v>28300</v>
      </c>
      <c r="J102" s="86" t="str">
        <f>IF(Table5[[#This Row],[a2]]="","",Table5[[#This Row],[QTY]]*12)</f>
        <v/>
      </c>
      <c r="K102" s="86" t="str">
        <f>IF(Table5[[#This Row],[UNIT]]="grs","LSN",IF(Table5[[#This Row],[UNIT]]="LSN","PCS",""))</f>
        <v/>
      </c>
      <c r="L102" s="86" t="str">
        <f>IF(Table5[[#This Row],[a2]]="LSN",Table5[[#This Row],[a1]]*12,"")</f>
        <v/>
      </c>
      <c r="M102" s="86" t="str">
        <f>IF(Table5[[#This Row],[b1]]="","","PCS")</f>
        <v/>
      </c>
      <c r="N102" s="86"/>
      <c r="O102" s="86"/>
    </row>
    <row r="103" spans="1:15" x14ac:dyDescent="0.25">
      <c r="A103" s="88" t="s">
        <v>308</v>
      </c>
      <c r="C103" s="194">
        <f>MATCH(A103,Table1[H_A1],0)</f>
        <v>81</v>
      </c>
      <c r="D103" s="194">
        <f>MATCH(Table5[[#This Row],[NAMA]],[1]!db[NB PAJAK],0)</f>
        <v>744</v>
      </c>
      <c r="E103" s="86" t="str">
        <f>INDEX(Table1[Item Description],Table5[[#This Row],[//NOTA]])</f>
        <v>STIP / PENGHAPUS JOYKO 526-B40P PUTIH</v>
      </c>
      <c r="F103" s="86">
        <f>SUMIF(Table1[H_A1],Sheet5!A103,Table1[Qty])</f>
        <v>400</v>
      </c>
      <c r="G103" s="86" t="str">
        <f>INDEX(Table1[Unit],Table5[[#This Row],[//NOTA]])</f>
        <v>PAK</v>
      </c>
      <c r="H103" s="195">
        <f>SUMIF(Table1[H_A1],Sheet5!A103,Table1[C])</f>
        <v>8</v>
      </c>
      <c r="I103" s="195">
        <f>INDEX(Table1[Unit Price],Table5[[#This Row],[//NOTA]])</f>
        <v>28300</v>
      </c>
      <c r="J103" s="86" t="str">
        <f>IF(Table5[[#This Row],[a2]]="","",Table5[[#This Row],[QTY]]*12)</f>
        <v/>
      </c>
      <c r="K103" s="86" t="str">
        <f>IF(Table5[[#This Row],[UNIT]]="grs","LSN",IF(Table5[[#This Row],[UNIT]]="LSN","PCS",""))</f>
        <v/>
      </c>
      <c r="L103" s="86" t="str">
        <f>IF(Table5[[#This Row],[a2]]="LSN",Table5[[#This Row],[a1]]*12,"")</f>
        <v/>
      </c>
      <c r="M103" s="86" t="str">
        <f>IF(Table5[[#This Row],[b1]]="","","PCS")</f>
        <v/>
      </c>
      <c r="N103" s="86"/>
      <c r="O103" s="86"/>
    </row>
    <row r="104" spans="1:15" x14ac:dyDescent="0.25">
      <c r="A104" s="88" t="s">
        <v>247</v>
      </c>
      <c r="C104" s="194">
        <f>MATCH(A104,Table1[H_A1],0)</f>
        <v>55</v>
      </c>
      <c r="D104" s="194">
        <f>MATCH(Table5[[#This Row],[NAMA]],[1]!db[NB PAJAK],0)</f>
        <v>752</v>
      </c>
      <c r="E104" s="86" t="str">
        <f>INDEX(Table1[Item Description],Table5[[#This Row],[//NOTA]])</f>
        <v>STIP / PENGHAPUS JOYKO ER-B20BL HITAM</v>
      </c>
      <c r="F104" s="86">
        <f>SUMIF(Table1[H_A1],Sheet5!A104,Table1[Qty])</f>
        <v>100</v>
      </c>
      <c r="G104" s="86" t="str">
        <f>INDEX(Table1[Unit],Table5[[#This Row],[//NOTA]])</f>
        <v>BOX</v>
      </c>
      <c r="H104" s="195">
        <f>SUMIF(Table1[H_A1],Sheet5!A104,Table1[C])</f>
        <v>2</v>
      </c>
      <c r="I104" s="195">
        <f>INDEX(Table1[Unit Price],Table5[[#This Row],[//NOTA]])</f>
        <v>34100</v>
      </c>
      <c r="J104" s="86" t="str">
        <f>IF(Table5[[#This Row],[a2]]="","",Table5[[#This Row],[QTY]]*12)</f>
        <v/>
      </c>
      <c r="K104" s="86" t="str">
        <f>IF(Table5[[#This Row],[UNIT]]="grs","LSN",IF(Table5[[#This Row],[UNIT]]="LSN","PCS",""))</f>
        <v/>
      </c>
      <c r="L104" s="86" t="str">
        <f>IF(Table5[[#This Row],[a2]]="LSN",Table5[[#This Row],[a1]]*12,"")</f>
        <v/>
      </c>
      <c r="M104" s="86" t="str">
        <f>IF(Table5[[#This Row],[b1]]="","","PCS")</f>
        <v/>
      </c>
      <c r="N104" s="86"/>
      <c r="O104" s="86"/>
    </row>
    <row r="105" spans="1:15" x14ac:dyDescent="0.25">
      <c r="A105" s="88" t="s">
        <v>393</v>
      </c>
      <c r="C105" s="194">
        <f>MATCH(A105,Table1[H_A1],0)</f>
        <v>119</v>
      </c>
      <c r="D105" s="194">
        <f>MATCH(Table5[[#This Row],[NAMA]],[1]!db[NB PAJAK],0)</f>
        <v>752</v>
      </c>
      <c r="E105" s="86" t="str">
        <f>INDEX(Table1[Item Description],Table5[[#This Row],[//NOTA]])</f>
        <v>STIP / PENGHAPUS JOYKO ER-B20BL HITAM</v>
      </c>
      <c r="F105" s="86">
        <f>SUMIF(Table1[H_A1],Sheet5!A105,Table1[Qty])</f>
        <v>10</v>
      </c>
      <c r="G105" s="86" t="str">
        <f>INDEX(Table1[Unit],Table5[[#This Row],[//NOTA]])</f>
        <v>PAK</v>
      </c>
      <c r="H105" s="195">
        <f>SUMIF(Table1[H_A1],Sheet5!A105,Table1[C])</f>
        <v>0</v>
      </c>
      <c r="I105" s="195">
        <f>INDEX(Table1[Unit Price],Table5[[#This Row],[//NOTA]])</f>
        <v>34100</v>
      </c>
      <c r="J105" s="86" t="str">
        <f>IF(Table5[[#This Row],[a2]]="","",Table5[[#This Row],[QTY]]*12)</f>
        <v/>
      </c>
      <c r="K105" s="86" t="str">
        <f>IF(Table5[[#This Row],[UNIT]]="grs","LSN",IF(Table5[[#This Row],[UNIT]]="LSN","PCS",""))</f>
        <v/>
      </c>
      <c r="L105" s="86" t="str">
        <f>IF(Table5[[#This Row],[a2]]="LSN",Table5[[#This Row],[a1]]*12,"")</f>
        <v/>
      </c>
      <c r="M105" s="86" t="str">
        <f>IF(Table5[[#This Row],[b1]]="","","PCS")</f>
        <v/>
      </c>
      <c r="N105" s="86"/>
      <c r="O105" s="86"/>
    </row>
    <row r="106" spans="1:15" x14ac:dyDescent="0.25">
      <c r="A106" s="88" t="s">
        <v>416</v>
      </c>
      <c r="C106" s="194">
        <f>MATCH(A106,Table1[H_A1],0)</f>
        <v>128</v>
      </c>
      <c r="D106" s="194">
        <f>MATCH(Table5[[#This Row],[NAMA]],[1]!db[NB PAJAK],0)</f>
        <v>1427</v>
      </c>
      <c r="E106" s="86" t="str">
        <f>INDEX(Table1[Item Description],Table5[[#This Row],[//NOTA]])</f>
        <v>STIP / PENGHAPUS KENKO ERW-20SQ PUTIH</v>
      </c>
      <c r="F106" s="86">
        <f>SUMIF(Table1[H_A1],Sheet5!A106,Table1[Qty])</f>
        <v>50</v>
      </c>
      <c r="G106" s="86" t="str">
        <f>INDEX(Table1[Unit],Table5[[#This Row],[//NOTA]])</f>
        <v>PAK</v>
      </c>
      <c r="H106" s="195">
        <f>SUMIF(Table1[H_A1],Sheet5!A106,Table1[C])</f>
        <v>1</v>
      </c>
      <c r="I106" s="195">
        <f>INDEX(Table1[Unit Price],Table5[[#This Row],[//NOTA]])</f>
        <v>30000</v>
      </c>
      <c r="J106" s="86" t="str">
        <f>IF(Table5[[#This Row],[a2]]="","",Table5[[#This Row],[QTY]]*12)</f>
        <v/>
      </c>
      <c r="K106" s="86" t="str">
        <f>IF(Table5[[#This Row],[UNIT]]="grs","LSN",IF(Table5[[#This Row],[UNIT]]="LSN","PCS",""))</f>
        <v/>
      </c>
      <c r="L106" s="86" t="str">
        <f>IF(Table5[[#This Row],[a2]]="LSN",Table5[[#This Row],[a1]]*12,"")</f>
        <v/>
      </c>
      <c r="M106" s="86" t="str">
        <f>IF(Table5[[#This Row],[b1]]="","","PCS")</f>
        <v/>
      </c>
      <c r="N106" s="86"/>
      <c r="O106" s="86"/>
    </row>
    <row r="107" spans="1:15" x14ac:dyDescent="0.25">
      <c r="A107" s="88" t="s">
        <v>417</v>
      </c>
      <c r="C107" s="194">
        <f>MATCH(A107,Table1[H_A1],0)</f>
        <v>129</v>
      </c>
      <c r="D107" s="194">
        <f>MATCH(Table5[[#This Row],[NAMA]],[1]!db[NB PAJAK],0)</f>
        <v>1250</v>
      </c>
      <c r="E107" s="86" t="str">
        <f>INDEX(Table1[Item Description],Table5[[#This Row],[//NOTA]])</f>
        <v>STIP / PENGHAPUS KENKO ERW-40SQ PUTIH</v>
      </c>
      <c r="F107" s="86">
        <f>SUMIF(Table1[H_A1],Sheet5!A107,Table1[Qty])</f>
        <v>100</v>
      </c>
      <c r="G107" s="86" t="str">
        <f>INDEX(Table1[Unit],Table5[[#This Row],[//NOTA]])</f>
        <v>PAK</v>
      </c>
      <c r="H107" s="195">
        <f>SUMIF(Table1[H_A1],Sheet5!A107,Table1[C])</f>
        <v>2</v>
      </c>
      <c r="I107" s="195">
        <f>INDEX(Table1[Unit Price],Table5[[#This Row],[//NOTA]])</f>
        <v>27500</v>
      </c>
      <c r="J107" s="86" t="str">
        <f>IF(Table5[[#This Row],[a2]]="","",Table5[[#This Row],[QTY]]*12)</f>
        <v/>
      </c>
      <c r="K107" s="86" t="str">
        <f>IF(Table5[[#This Row],[UNIT]]="grs","LSN",IF(Table5[[#This Row],[UNIT]]="LSN","PCS",""))</f>
        <v/>
      </c>
      <c r="L107" s="86" t="str">
        <f>IF(Table5[[#This Row],[a2]]="LSN",Table5[[#This Row],[a1]]*12,"")</f>
        <v/>
      </c>
      <c r="M107" s="86" t="str">
        <f>IF(Table5[[#This Row],[b1]]="","","PCS")</f>
        <v/>
      </c>
      <c r="N107" s="86"/>
      <c r="O107" s="86"/>
    </row>
    <row r="108" spans="1:15" x14ac:dyDescent="0.25">
      <c r="A108" s="88" t="s">
        <v>55</v>
      </c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3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1" sqref="B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257</v>
      </c>
      <c r="B20" t="s">
        <v>258</v>
      </c>
      <c r="D20" t="s">
        <v>259</v>
      </c>
      <c r="E20" s="86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479</v>
      </c>
      <c r="B21" t="s">
        <v>476</v>
      </c>
      <c r="C21" t="s">
        <v>477</v>
      </c>
      <c r="D21" t="s">
        <v>76</v>
      </c>
      <c r="E21" s="86" t="str">
        <f>CONCATENATE(Table2[[#This Row],[b]],IF(Table2[[#This Row],[c]]=""," ",CONCATENATE(" ",Table2[[#This Row],[c]]," ")),Table2[[#This Row],[d]])</f>
        <v>SETIAWAN BUDIONO ( PRIMA ) PEKALONGAN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2023-06-02T09:24:08Z</dcterms:modified>
</cp:coreProperties>
</file>