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ESKTOP-ULFUQQE\Share\rekap pembukuan 2023\"/>
    </mc:Choice>
  </mc:AlternateContent>
  <bookViews>
    <workbookView xWindow="0" yWindow="0" windowWidth="20490" windowHeight="7905"/>
  </bookViews>
  <sheets>
    <sheet name="202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124" i="1" l="1"/>
  <c r="R1124" i="1" s="1"/>
  <c r="S1124" i="1" s="1"/>
  <c r="P1127" i="1"/>
  <c r="R1127" i="1" s="1"/>
  <c r="S1127" i="1" s="1"/>
  <c r="P287" i="1"/>
  <c r="R287" i="1" s="1"/>
  <c r="S287" i="1" s="1"/>
  <c r="P286" i="1"/>
  <c r="R286" i="1" s="1"/>
  <c r="S286" i="1" s="1"/>
  <c r="P745" i="1"/>
  <c r="R745" i="1" s="1"/>
  <c r="S745" i="1" s="1"/>
  <c r="P877" i="1"/>
  <c r="R877" i="1" s="1"/>
  <c r="S877" i="1" s="1"/>
  <c r="P876" i="1"/>
  <c r="R876" i="1" s="1"/>
  <c r="S876" i="1" s="1"/>
  <c r="P875" i="1"/>
  <c r="R875" i="1" s="1"/>
  <c r="S875" i="1" s="1"/>
  <c r="P874" i="1"/>
  <c r="R874" i="1" s="1"/>
  <c r="S874" i="1" s="1"/>
  <c r="P682" i="1"/>
  <c r="R682" i="1" s="1"/>
  <c r="S682" i="1" s="1"/>
  <c r="P665" i="1"/>
  <c r="R665" i="1" s="1"/>
  <c r="S665" i="1" s="1"/>
  <c r="P774" i="1" l="1"/>
  <c r="R774" i="1" s="1"/>
  <c r="S774" i="1" s="1"/>
  <c r="P1098" i="1"/>
  <c r="R1098" i="1" s="1"/>
  <c r="S1098" i="1" s="1"/>
  <c r="P1092" i="1"/>
  <c r="R1092" i="1" s="1"/>
  <c r="S1092" i="1" s="1"/>
  <c r="P906" i="1"/>
  <c r="R906" i="1" s="1"/>
  <c r="S906" i="1" s="1"/>
  <c r="P821" i="1"/>
  <c r="R821" i="1" s="1"/>
  <c r="S821" i="1" s="1"/>
  <c r="P751" i="1"/>
  <c r="R751" i="1" s="1"/>
  <c r="S751" i="1" s="1"/>
  <c r="P860" i="1"/>
  <c r="R860" i="1" s="1"/>
  <c r="S860" i="1" s="1"/>
  <c r="P509" i="1"/>
  <c r="R509" i="1" s="1"/>
  <c r="S509" i="1" s="1"/>
  <c r="P445" i="1"/>
  <c r="R445" i="1" s="1"/>
  <c r="S445" i="1" s="1"/>
  <c r="P440" i="1"/>
  <c r="R440" i="1" s="1"/>
  <c r="S440" i="1" s="1"/>
  <c r="P425" i="1" l="1"/>
  <c r="R425" i="1" s="1"/>
  <c r="S425" i="1" s="1"/>
  <c r="P423" i="1"/>
  <c r="R423" i="1" s="1"/>
  <c r="S423" i="1" s="1"/>
  <c r="P398" i="1"/>
  <c r="R398" i="1" s="1"/>
  <c r="S398" i="1" s="1"/>
  <c r="P397" i="1"/>
  <c r="R397" i="1" s="1"/>
  <c r="S397" i="1" s="1"/>
  <c r="P388" i="1"/>
  <c r="R388" i="1" s="1"/>
  <c r="S388" i="1" s="1"/>
  <c r="P642" i="1"/>
  <c r="J642" i="1"/>
  <c r="J631" i="1"/>
  <c r="P631" i="1"/>
  <c r="R631" i="1" s="1"/>
  <c r="S631" i="1" s="1"/>
  <c r="R642" i="1" l="1"/>
  <c r="S642" i="1" s="1"/>
  <c r="P646" i="1"/>
  <c r="P640" i="1"/>
  <c r="R640" i="1" s="1"/>
  <c r="S640" i="1" s="1"/>
  <c r="P619" i="1"/>
  <c r="R619" i="1" s="1"/>
  <c r="S619" i="1" s="1"/>
  <c r="R646" i="1" l="1"/>
  <c r="S646" i="1" s="1"/>
  <c r="P369" i="1"/>
  <c r="R369" i="1" s="1"/>
  <c r="S369" i="1" s="1"/>
  <c r="P638" i="1"/>
  <c r="R638" i="1" s="1"/>
  <c r="S638" i="1" s="1"/>
  <c r="P609" i="1"/>
  <c r="R609" i="1" s="1"/>
  <c r="S609" i="1" s="1"/>
  <c r="P913" i="1"/>
  <c r="R913" i="1" s="1"/>
  <c r="S913" i="1" s="1"/>
  <c r="P276" i="1"/>
  <c r="J276" i="1"/>
  <c r="P269" i="1"/>
  <c r="R269" i="1" s="1"/>
  <c r="S269" i="1" s="1"/>
  <c r="P236" i="1"/>
  <c r="R236" i="1" s="1"/>
  <c r="S236" i="1" s="1"/>
  <c r="P190" i="1"/>
  <c r="J190" i="1"/>
  <c r="P166" i="1"/>
  <c r="R166" i="1" s="1"/>
  <c r="S166" i="1" s="1"/>
  <c r="P163" i="1"/>
  <c r="R163" i="1" s="1"/>
  <c r="S163" i="1" s="1"/>
  <c r="P740" i="1"/>
  <c r="R740" i="1" s="1"/>
  <c r="S740" i="1" s="1"/>
  <c r="P285" i="1"/>
  <c r="R285" i="1" s="1"/>
  <c r="S285" i="1" s="1"/>
  <c r="P284" i="1"/>
  <c r="R284" i="1" s="1"/>
  <c r="S284" i="1" s="1"/>
  <c r="P73" i="1"/>
  <c r="R73" i="1" s="1"/>
  <c r="S73" i="1" s="1"/>
  <c r="P71" i="1"/>
  <c r="R71" i="1" s="1"/>
  <c r="S71" i="1" s="1"/>
  <c r="P138" i="1"/>
  <c r="R138" i="1" s="1"/>
  <c r="S138" i="1" s="1"/>
  <c r="P129" i="1"/>
  <c r="R129" i="1" s="1"/>
  <c r="S129" i="1" s="1"/>
  <c r="P26" i="1"/>
  <c r="R26" i="1" s="1"/>
  <c r="S26" i="1" s="1"/>
  <c r="P27" i="1"/>
  <c r="R27" i="1" s="1"/>
  <c r="S27" i="1" s="1"/>
  <c r="R190" i="1" l="1"/>
  <c r="S190" i="1" s="1"/>
  <c r="R276" i="1"/>
  <c r="S276" i="1" s="1"/>
  <c r="C585" i="1" l="1"/>
  <c r="P1028" i="1" l="1"/>
  <c r="R1028" i="1" s="1"/>
  <c r="S1028" i="1" s="1"/>
  <c r="P211" i="1"/>
  <c r="R211" i="1" s="1"/>
  <c r="S211" i="1" s="1"/>
  <c r="P212" i="1"/>
  <c r="R212" i="1" s="1"/>
  <c r="S212" i="1" s="1"/>
  <c r="P216" i="1"/>
  <c r="R216" i="1" s="1"/>
  <c r="S216" i="1" s="1"/>
  <c r="P200" i="1"/>
  <c r="C586" i="1"/>
  <c r="P586" i="1" s="1"/>
  <c r="R586" i="1" s="1"/>
  <c r="S586" i="1" s="1"/>
  <c r="P585" i="1"/>
  <c r="R585" i="1" s="1"/>
  <c r="S585" i="1" s="1"/>
  <c r="P992" i="1"/>
  <c r="R992" i="1" s="1"/>
  <c r="S992" i="1" s="1"/>
  <c r="R200" i="1" l="1"/>
  <c r="S200" i="1" s="1"/>
  <c r="P391" i="1"/>
  <c r="R391" i="1" s="1"/>
  <c r="S391" i="1" s="1"/>
  <c r="P245" i="1"/>
  <c r="R245" i="1" s="1"/>
  <c r="S245" i="1" s="1"/>
  <c r="P243" i="1"/>
  <c r="R243" i="1" s="1"/>
  <c r="S243" i="1" s="1"/>
  <c r="P241" i="1"/>
  <c r="R241" i="1" s="1"/>
  <c r="S241" i="1" s="1"/>
  <c r="P239" i="1"/>
  <c r="R239" i="1" s="1"/>
  <c r="S239" i="1" s="1"/>
  <c r="P240" i="1"/>
  <c r="R240" i="1" s="1"/>
  <c r="S240" i="1" s="1"/>
  <c r="P237" i="1"/>
  <c r="R237" i="1" s="1"/>
  <c r="S237" i="1" s="1"/>
  <c r="P235" i="1"/>
  <c r="R235" i="1" s="1"/>
  <c r="S235" i="1" s="1"/>
  <c r="P233" i="1"/>
  <c r="R233" i="1" s="1"/>
  <c r="S233" i="1" s="1"/>
  <c r="P154" i="1"/>
  <c r="R154" i="1" s="1"/>
  <c r="S154" i="1" s="1"/>
  <c r="P123" i="1"/>
  <c r="R123" i="1" s="1"/>
  <c r="S123" i="1" s="1"/>
  <c r="P873" i="1" l="1"/>
  <c r="R873" i="1" s="1"/>
  <c r="S873" i="1" s="1"/>
  <c r="P395" i="1"/>
  <c r="R395" i="1" s="1"/>
  <c r="S395" i="1" s="1"/>
  <c r="P393" i="1"/>
  <c r="R393" i="1" s="1"/>
  <c r="S393" i="1" s="1"/>
  <c r="P394" i="1"/>
  <c r="R394" i="1" s="1"/>
  <c r="S394" i="1" s="1"/>
  <c r="P389" i="1"/>
  <c r="R389" i="1" s="1"/>
  <c r="S389" i="1" s="1"/>
  <c r="P815" i="1"/>
  <c r="R815" i="1" s="1"/>
  <c r="S815" i="1" s="1"/>
  <c r="J816" i="1"/>
  <c r="P816" i="1"/>
  <c r="P60" i="1"/>
  <c r="R60" i="1" s="1"/>
  <c r="S60" i="1" s="1"/>
  <c r="P99" i="1"/>
  <c r="R99" i="1" s="1"/>
  <c r="S99" i="1" s="1"/>
  <c r="P101" i="1"/>
  <c r="R101" i="1" s="1"/>
  <c r="S101" i="1" s="1"/>
  <c r="P103" i="1"/>
  <c r="R103" i="1" s="1"/>
  <c r="S103" i="1" s="1"/>
  <c r="P64" i="1"/>
  <c r="P65" i="1"/>
  <c r="R65" i="1" s="1"/>
  <c r="S65" i="1" s="1"/>
  <c r="P68" i="1"/>
  <c r="R68" i="1" s="1"/>
  <c r="S68" i="1" s="1"/>
  <c r="P72" i="1"/>
  <c r="R72" i="1" s="1"/>
  <c r="S72" i="1" s="1"/>
  <c r="P88" i="1"/>
  <c r="R88" i="1" s="1"/>
  <c r="S88" i="1" s="1"/>
  <c r="P93" i="1"/>
  <c r="R93" i="1" s="1"/>
  <c r="S93" i="1" s="1"/>
  <c r="P62" i="1"/>
  <c r="R62" i="1" s="1"/>
  <c r="S62" i="1" s="1"/>
  <c r="P44" i="1"/>
  <c r="R816" i="1" l="1"/>
  <c r="S816" i="1" s="1"/>
  <c r="P680" i="1" l="1"/>
  <c r="R680" i="1" s="1"/>
  <c r="S680" i="1" s="1"/>
  <c r="P679" i="1"/>
  <c r="R679" i="1" s="1"/>
  <c r="S679" i="1" s="1"/>
  <c r="P673" i="1"/>
  <c r="R673" i="1" s="1"/>
  <c r="S673" i="1" s="1"/>
  <c r="P674" i="1"/>
  <c r="R674" i="1" s="1"/>
  <c r="S674" i="1" s="1"/>
  <c r="P675" i="1"/>
  <c r="R675" i="1" s="1"/>
  <c r="S675" i="1" s="1"/>
  <c r="P676" i="1"/>
  <c r="R676" i="1" s="1"/>
  <c r="S676" i="1" s="1"/>
  <c r="P677" i="1"/>
  <c r="R677" i="1" s="1"/>
  <c r="S677" i="1" s="1"/>
  <c r="P678" i="1"/>
  <c r="R678" i="1" s="1"/>
  <c r="S678" i="1" s="1"/>
  <c r="P672" i="1"/>
  <c r="R672" i="1" s="1"/>
  <c r="S672" i="1" s="1"/>
  <c r="P872" i="1" l="1"/>
  <c r="R872" i="1" s="1"/>
  <c r="S872" i="1" s="1"/>
  <c r="P227" i="1"/>
  <c r="R227" i="1" s="1"/>
  <c r="S227" i="1" s="1"/>
  <c r="P217" i="1"/>
  <c r="R217" i="1" s="1"/>
  <c r="S217" i="1" s="1"/>
  <c r="P667" i="1" l="1"/>
  <c r="R667" i="1" s="1"/>
  <c r="S667" i="1" s="1"/>
  <c r="P663" i="1"/>
  <c r="R663" i="1" s="1"/>
  <c r="S663" i="1" s="1"/>
  <c r="P666" i="1"/>
  <c r="R666" i="1" s="1"/>
  <c r="S666" i="1" s="1"/>
  <c r="P929" i="1" l="1"/>
  <c r="R929" i="1" s="1"/>
  <c r="S929" i="1" s="1"/>
  <c r="P460" i="1"/>
  <c r="R460" i="1" s="1"/>
  <c r="S460" i="1" s="1"/>
  <c r="P852" i="1"/>
  <c r="R852" i="1" s="1"/>
  <c r="S852" i="1" s="1"/>
  <c r="P853" i="1"/>
  <c r="R853" i="1" s="1"/>
  <c r="S853" i="1" s="1"/>
  <c r="P851" i="1"/>
  <c r="R851" i="1" s="1"/>
  <c r="S851" i="1" s="1"/>
  <c r="P893" i="1"/>
  <c r="R893" i="1" s="1"/>
  <c r="S893" i="1" s="1"/>
  <c r="P1072" i="1"/>
  <c r="R1072" i="1" s="1"/>
  <c r="S1072" i="1" s="1"/>
  <c r="P1070" i="1"/>
  <c r="R1070" i="1" s="1"/>
  <c r="S1070" i="1" s="1"/>
  <c r="P1096" i="1" l="1"/>
  <c r="R1096" i="1" s="1"/>
  <c r="S1096" i="1" s="1"/>
  <c r="P712" i="1"/>
  <c r="R712" i="1" s="1"/>
  <c r="S712" i="1" s="1"/>
  <c r="P924" i="1" l="1"/>
  <c r="R924" i="1" s="1"/>
  <c r="S924" i="1" s="1"/>
  <c r="P322" i="1" l="1"/>
  <c r="R322" i="1" s="1"/>
  <c r="S322" i="1" s="1"/>
  <c r="P923" i="1"/>
  <c r="R923" i="1" s="1"/>
  <c r="S923" i="1" s="1"/>
  <c r="C630" i="1"/>
  <c r="P1039" i="1" l="1"/>
  <c r="R1039" i="1" s="1"/>
  <c r="S1039" i="1" s="1"/>
  <c r="P978" i="1"/>
  <c r="J978" i="1"/>
  <c r="P966" i="1"/>
  <c r="R966" i="1" s="1"/>
  <c r="S966" i="1" s="1"/>
  <c r="R978" i="1" l="1"/>
  <c r="S978" i="1" s="1"/>
  <c r="P935" i="1"/>
  <c r="R935" i="1" s="1"/>
  <c r="S935" i="1" s="1"/>
  <c r="P92" i="1"/>
  <c r="R92" i="1" s="1"/>
  <c r="S92" i="1" s="1"/>
  <c r="P578" i="1"/>
  <c r="R578" i="1" s="1"/>
  <c r="S578" i="1" s="1"/>
  <c r="J201" i="1" l="1"/>
  <c r="H201" i="1"/>
  <c r="P201" i="1" s="1"/>
  <c r="R201" i="1" l="1"/>
  <c r="S201" i="1" s="1"/>
  <c r="P739" i="1"/>
  <c r="R739" i="1" s="1"/>
  <c r="S739" i="1" s="1"/>
  <c r="P948" i="1" l="1"/>
  <c r="P1073" i="1"/>
  <c r="R1073" i="1" s="1"/>
  <c r="S1073" i="1" s="1"/>
  <c r="P838" i="1"/>
  <c r="J838" i="1"/>
  <c r="P482" i="1"/>
  <c r="R482" i="1" s="1"/>
  <c r="S482" i="1" s="1"/>
  <c r="R838" i="1" l="1"/>
  <c r="S838" i="1" s="1"/>
  <c r="P414" i="1"/>
  <c r="R414" i="1" s="1"/>
  <c r="S414" i="1" s="1"/>
  <c r="P639" i="1"/>
  <c r="R639" i="1" s="1"/>
  <c r="S639" i="1" s="1"/>
  <c r="P635" i="1"/>
  <c r="J635" i="1"/>
  <c r="P637" i="1"/>
  <c r="R637" i="1" s="1"/>
  <c r="S637" i="1" s="1"/>
  <c r="R635" i="1" l="1"/>
  <c r="S635" i="1" s="1"/>
  <c r="P41" i="1" l="1"/>
  <c r="R41" i="1" s="1"/>
  <c r="S41" i="1" s="1"/>
  <c r="C995" i="1" l="1"/>
  <c r="C907" i="1"/>
  <c r="P730" i="1"/>
  <c r="R730" i="1" s="1"/>
  <c r="S730" i="1" s="1"/>
  <c r="C664" i="1"/>
  <c r="J634" i="1"/>
  <c r="P634" i="1"/>
  <c r="P615" i="1"/>
  <c r="R615" i="1" s="1"/>
  <c r="S615" i="1" s="1"/>
  <c r="R634" i="1" l="1"/>
  <c r="S634" i="1" s="1"/>
  <c r="P474" i="1"/>
  <c r="R474" i="1" s="1"/>
  <c r="S474" i="1" s="1"/>
  <c r="P454" i="1"/>
  <c r="R454" i="1" s="1"/>
  <c r="S454" i="1" s="1"/>
  <c r="P453" i="1"/>
  <c r="R453" i="1" s="1"/>
  <c r="S453" i="1" s="1"/>
  <c r="P452" i="1"/>
  <c r="R452" i="1" s="1"/>
  <c r="S452" i="1" s="1"/>
  <c r="P451" i="1"/>
  <c r="R451" i="1" s="1"/>
  <c r="S451" i="1" s="1"/>
  <c r="P450" i="1"/>
  <c r="R450" i="1" s="1"/>
  <c r="S450" i="1" s="1"/>
  <c r="P449" i="1"/>
  <c r="R449" i="1" s="1"/>
  <c r="S449" i="1" s="1"/>
  <c r="P448" i="1"/>
  <c r="R448" i="1" s="1"/>
  <c r="S448" i="1" s="1"/>
  <c r="P447" i="1"/>
  <c r="R447" i="1" s="1"/>
  <c r="S447" i="1" s="1"/>
  <c r="P446" i="1"/>
  <c r="R446" i="1" s="1"/>
  <c r="S446" i="1" s="1"/>
  <c r="P444" i="1"/>
  <c r="R444" i="1" s="1"/>
  <c r="S444" i="1" s="1"/>
  <c r="P443" i="1"/>
  <c r="R443" i="1" s="1"/>
  <c r="S443" i="1" s="1"/>
  <c r="P442" i="1"/>
  <c r="R442" i="1" s="1"/>
  <c r="S442" i="1" s="1"/>
  <c r="P441" i="1"/>
  <c r="R441" i="1" s="1"/>
  <c r="S441" i="1" s="1"/>
  <c r="C268" i="1"/>
  <c r="J215" i="1"/>
  <c r="P215" i="1"/>
  <c r="P197" i="1"/>
  <c r="J197" i="1"/>
  <c r="P195" i="1"/>
  <c r="J195" i="1"/>
  <c r="P194" i="1"/>
  <c r="J194" i="1"/>
  <c r="P191" i="1"/>
  <c r="R191" i="1" s="1"/>
  <c r="S191" i="1" s="1"/>
  <c r="P156" i="1"/>
  <c r="R156" i="1" s="1"/>
  <c r="S156" i="1" s="1"/>
  <c r="P95" i="1"/>
  <c r="R95" i="1" s="1"/>
  <c r="S95" i="1" s="1"/>
  <c r="P86" i="1"/>
  <c r="R86" i="1" s="1"/>
  <c r="S86" i="1" s="1"/>
  <c r="P82" i="1"/>
  <c r="R82" i="1" s="1"/>
  <c r="S82" i="1" s="1"/>
  <c r="P80" i="1"/>
  <c r="R80" i="1" s="1"/>
  <c r="S80" i="1" s="1"/>
  <c r="P78" i="1"/>
  <c r="R78" i="1" s="1"/>
  <c r="S78" i="1" s="1"/>
  <c r="P54" i="1"/>
  <c r="R54" i="1" s="1"/>
  <c r="S54" i="1" s="1"/>
  <c r="P53" i="1"/>
  <c r="R53" i="1" s="1"/>
  <c r="S53" i="1" s="1"/>
  <c r="P47" i="1"/>
  <c r="R47" i="1" s="1"/>
  <c r="S47" i="1" s="1"/>
  <c r="P33" i="1"/>
  <c r="J33" i="1"/>
  <c r="J32" i="1"/>
  <c r="P32" i="1"/>
  <c r="J31" i="1"/>
  <c r="P31" i="1"/>
  <c r="J30" i="1"/>
  <c r="P23" i="1"/>
  <c r="R23" i="1" s="1"/>
  <c r="S23" i="1" s="1"/>
  <c r="R194" i="1" l="1"/>
  <c r="S194" i="1" s="1"/>
  <c r="R197" i="1"/>
  <c r="S197" i="1" s="1"/>
  <c r="R32" i="1"/>
  <c r="S32" i="1" s="1"/>
  <c r="R215" i="1"/>
  <c r="S215" i="1" s="1"/>
  <c r="R195" i="1"/>
  <c r="S195" i="1" s="1"/>
  <c r="R31" i="1"/>
  <c r="S31" i="1" s="1"/>
  <c r="R33" i="1"/>
  <c r="S33" i="1" s="1"/>
  <c r="P30" i="1"/>
  <c r="R30" i="1" s="1"/>
  <c r="S30" i="1" s="1"/>
  <c r="P721" i="1"/>
  <c r="R721" i="1" s="1"/>
  <c r="S721" i="1" s="1"/>
  <c r="P965" i="1" l="1"/>
  <c r="R965" i="1" s="1"/>
  <c r="S965" i="1" s="1"/>
  <c r="P567" i="1"/>
  <c r="R567" i="1" s="1"/>
  <c r="S567" i="1" s="1"/>
  <c r="P566" i="1"/>
  <c r="R566" i="1" s="1"/>
  <c r="S566" i="1" s="1"/>
  <c r="P371" i="1"/>
  <c r="R371" i="1" s="1"/>
  <c r="S371" i="1" s="1"/>
  <c r="P333" i="1"/>
  <c r="R333" i="1" s="1"/>
  <c r="S333" i="1" s="1"/>
  <c r="P580" i="1"/>
  <c r="R580" i="1" s="1"/>
  <c r="S580" i="1" s="1"/>
  <c r="P25" i="1"/>
  <c r="R25" i="1" s="1"/>
  <c r="S25" i="1" s="1"/>
  <c r="P1113" i="1" l="1"/>
  <c r="R1113" i="1" s="1"/>
  <c r="S1113" i="1" s="1"/>
  <c r="P870" i="1"/>
  <c r="R870" i="1" s="1"/>
  <c r="S870" i="1" s="1"/>
  <c r="P499" i="1"/>
  <c r="R499" i="1" s="1"/>
  <c r="S499" i="1" s="1"/>
  <c r="P927" i="1"/>
  <c r="R927" i="1" s="1"/>
  <c r="S927" i="1" s="1"/>
  <c r="P1089" i="1" l="1"/>
  <c r="R1089" i="1" s="1"/>
  <c r="S1089" i="1" s="1"/>
  <c r="P871" i="1" l="1"/>
  <c r="R871" i="1" s="1"/>
  <c r="S871" i="1" s="1"/>
  <c r="P1088" i="1" l="1"/>
  <c r="R1088" i="1" s="1"/>
  <c r="S1088" i="1" s="1"/>
  <c r="P811" i="1"/>
  <c r="R811" i="1" s="1"/>
  <c r="S811" i="1" s="1"/>
  <c r="P107" i="1"/>
  <c r="R107" i="1" s="1"/>
  <c r="S107" i="1" s="1"/>
  <c r="P108" i="1"/>
  <c r="R108" i="1" s="1"/>
  <c r="S108" i="1" s="1"/>
  <c r="P830" i="1" l="1"/>
  <c r="R830" i="1" s="1"/>
  <c r="S830" i="1" s="1"/>
  <c r="P857" i="1"/>
  <c r="R857" i="1" s="1"/>
  <c r="S857" i="1" s="1"/>
  <c r="P793" i="1"/>
  <c r="R793" i="1" s="1"/>
  <c r="S793" i="1" s="1"/>
  <c r="P492" i="1"/>
  <c r="R492" i="1" s="1"/>
  <c r="S492" i="1" s="1"/>
  <c r="P363" i="1"/>
  <c r="R363" i="1" s="1"/>
  <c r="S363" i="1" s="1"/>
  <c r="P271" i="1"/>
  <c r="R271" i="1" s="1"/>
  <c r="S271" i="1" s="1"/>
  <c r="P130" i="1" l="1"/>
  <c r="R130" i="1" s="1"/>
  <c r="S130" i="1" s="1"/>
  <c r="P96" i="1"/>
  <c r="R96" i="1" s="1"/>
  <c r="S96" i="1" s="1"/>
  <c r="P87" i="1"/>
  <c r="R87" i="1" s="1"/>
  <c r="S87" i="1" s="1"/>
  <c r="P83" i="1"/>
  <c r="R83" i="1" s="1"/>
  <c r="S83" i="1" s="1"/>
  <c r="P309" i="1" l="1"/>
  <c r="R309" i="1" s="1"/>
  <c r="S309" i="1" s="1"/>
  <c r="R948" i="1" l="1"/>
  <c r="S948" i="1" s="1"/>
  <c r="P614" i="1" l="1"/>
  <c r="R614" i="1" s="1"/>
  <c r="S614" i="1" s="1"/>
  <c r="P226" i="1" l="1"/>
  <c r="R226" i="1" s="1"/>
  <c r="S226" i="1" s="1"/>
  <c r="P228" i="1"/>
  <c r="R228" i="1" s="1"/>
  <c r="S228" i="1" s="1"/>
  <c r="P669" i="1" l="1"/>
  <c r="R669" i="1" s="1"/>
  <c r="S669" i="1" s="1"/>
  <c r="P670" i="1"/>
  <c r="R670" i="1" s="1"/>
  <c r="S670" i="1" s="1"/>
  <c r="P671" i="1"/>
  <c r="R671" i="1" s="1"/>
  <c r="S671" i="1" s="1"/>
  <c r="P668" i="1"/>
  <c r="R668" i="1" s="1"/>
  <c r="S668" i="1" s="1"/>
  <c r="P837" i="1" l="1"/>
  <c r="J837" i="1"/>
  <c r="P754" i="1"/>
  <c r="R754" i="1" s="1"/>
  <c r="S754" i="1" s="1"/>
  <c r="J810" i="1"/>
  <c r="P810" i="1"/>
  <c r="P809" i="1"/>
  <c r="R809" i="1" s="1"/>
  <c r="S809" i="1" s="1"/>
  <c r="P936" i="1"/>
  <c r="R936" i="1" s="1"/>
  <c r="S936" i="1" s="1"/>
  <c r="P379" i="1"/>
  <c r="R379" i="1" s="1"/>
  <c r="S379" i="1" s="1"/>
  <c r="P378" i="1"/>
  <c r="R378" i="1" s="1"/>
  <c r="S378" i="1" s="1"/>
  <c r="P377" i="1"/>
  <c r="R377" i="1" s="1"/>
  <c r="S377" i="1" s="1"/>
  <c r="J188" i="1"/>
  <c r="P188" i="1"/>
  <c r="P187" i="1"/>
  <c r="R187" i="1" s="1"/>
  <c r="S187" i="1" s="1"/>
  <c r="P94" i="1"/>
  <c r="R94" i="1" s="1"/>
  <c r="S94" i="1" s="1"/>
  <c r="P84" i="1"/>
  <c r="R84" i="1" s="1"/>
  <c r="S84" i="1" s="1"/>
  <c r="P81" i="1"/>
  <c r="R81" i="1" s="1"/>
  <c r="S81" i="1" s="1"/>
  <c r="P79" i="1"/>
  <c r="R79" i="1" s="1"/>
  <c r="S79" i="1" s="1"/>
  <c r="P63" i="1"/>
  <c r="R63" i="1" s="1"/>
  <c r="S63" i="1" s="1"/>
  <c r="P37" i="1"/>
  <c r="R37" i="1" s="1"/>
  <c r="S37" i="1" s="1"/>
  <c r="P583" i="1"/>
  <c r="R583" i="1" s="1"/>
  <c r="S583" i="1" s="1"/>
  <c r="P253" i="1"/>
  <c r="R253" i="1" s="1"/>
  <c r="S253" i="1" s="1"/>
  <c r="P254" i="1"/>
  <c r="R254" i="1" s="1"/>
  <c r="S254" i="1" s="1"/>
  <c r="J199" i="1"/>
  <c r="P199" i="1"/>
  <c r="P91" i="1"/>
  <c r="R91" i="1" s="1"/>
  <c r="S91" i="1" s="1"/>
  <c r="P90" i="1"/>
  <c r="R90" i="1" s="1"/>
  <c r="S90" i="1" s="1"/>
  <c r="P66" i="1"/>
  <c r="R66" i="1" s="1"/>
  <c r="S66" i="1" s="1"/>
  <c r="R810" i="1" l="1"/>
  <c r="S810" i="1" s="1"/>
  <c r="R837" i="1"/>
  <c r="S837" i="1" s="1"/>
  <c r="R188" i="1"/>
  <c r="S188" i="1" s="1"/>
  <c r="R199" i="1"/>
  <c r="S199" i="1" s="1"/>
  <c r="P549" i="1"/>
  <c r="J1071" i="1"/>
  <c r="P1071" i="1"/>
  <c r="P1121" i="1"/>
  <c r="R1121" i="1" s="1"/>
  <c r="S1121" i="1" s="1"/>
  <c r="P1118" i="1"/>
  <c r="R1118" i="1" s="1"/>
  <c r="S1118" i="1" s="1"/>
  <c r="P1115" i="1"/>
  <c r="R1115" i="1" s="1"/>
  <c r="S1115" i="1" s="1"/>
  <c r="P1111" i="1"/>
  <c r="J1111" i="1"/>
  <c r="P1110" i="1"/>
  <c r="J1110" i="1"/>
  <c r="P1109" i="1"/>
  <c r="J1109" i="1"/>
  <c r="P1108" i="1"/>
  <c r="J1108" i="1"/>
  <c r="P1107" i="1"/>
  <c r="R1107" i="1" s="1"/>
  <c r="S1107" i="1" s="1"/>
  <c r="P1106" i="1"/>
  <c r="J1106" i="1"/>
  <c r="P1105" i="1"/>
  <c r="J1105" i="1"/>
  <c r="P1104" i="1"/>
  <c r="J1104" i="1"/>
  <c r="P1103" i="1"/>
  <c r="J1103" i="1"/>
  <c r="P1101" i="1"/>
  <c r="R1101" i="1" s="1"/>
  <c r="S1101" i="1" s="1"/>
  <c r="P1100" i="1"/>
  <c r="R1100" i="1" s="1"/>
  <c r="S1100" i="1" s="1"/>
  <c r="P1099" i="1"/>
  <c r="R1099" i="1" s="1"/>
  <c r="S1099" i="1" s="1"/>
  <c r="P1097" i="1"/>
  <c r="R1097" i="1" s="1"/>
  <c r="S1097" i="1" s="1"/>
  <c r="P1095" i="1"/>
  <c r="R1095" i="1" s="1"/>
  <c r="S1095" i="1" s="1"/>
  <c r="P1094" i="1"/>
  <c r="R1094" i="1" s="1"/>
  <c r="S1094" i="1" s="1"/>
  <c r="P1093" i="1"/>
  <c r="R1093" i="1" s="1"/>
  <c r="S1093" i="1" s="1"/>
  <c r="P1091" i="1"/>
  <c r="R1091" i="1" s="1"/>
  <c r="S1091" i="1" s="1"/>
  <c r="P1090" i="1"/>
  <c r="R1090" i="1" s="1"/>
  <c r="S1090" i="1" s="1"/>
  <c r="P1087" i="1"/>
  <c r="R1087" i="1" s="1"/>
  <c r="S1087" i="1" s="1"/>
  <c r="P1084" i="1"/>
  <c r="J1084" i="1"/>
  <c r="P1083" i="1"/>
  <c r="J1083" i="1"/>
  <c r="P1082" i="1"/>
  <c r="J1082" i="1"/>
  <c r="P1081" i="1"/>
  <c r="J1081" i="1"/>
  <c r="P1080" i="1"/>
  <c r="J1080" i="1"/>
  <c r="P1078" i="1"/>
  <c r="R1078" i="1" s="1"/>
  <c r="S1078" i="1" s="1"/>
  <c r="S1077" i="1"/>
  <c r="P1075" i="1"/>
  <c r="J1075" i="1"/>
  <c r="P1074" i="1"/>
  <c r="J1074" i="1"/>
  <c r="P1067" i="1"/>
  <c r="R1067" i="1" s="1"/>
  <c r="S1067" i="1" s="1"/>
  <c r="S1066" i="1"/>
  <c r="P1064" i="1"/>
  <c r="R1064" i="1" s="1"/>
  <c r="S1064" i="1" s="1"/>
  <c r="P1063" i="1"/>
  <c r="R1063" i="1" s="1"/>
  <c r="S1063" i="1" s="1"/>
  <c r="P1062" i="1"/>
  <c r="J1062" i="1"/>
  <c r="P1061" i="1"/>
  <c r="J1061" i="1"/>
  <c r="P1059" i="1"/>
  <c r="R1059" i="1" s="1"/>
  <c r="S1059" i="1" s="1"/>
  <c r="P1058" i="1"/>
  <c r="R1058" i="1" s="1"/>
  <c r="S1058" i="1" s="1"/>
  <c r="P1056" i="1"/>
  <c r="R1056" i="1" s="1"/>
  <c r="S1056" i="1" s="1"/>
  <c r="P1055" i="1"/>
  <c r="R1055" i="1" s="1"/>
  <c r="S1055" i="1" s="1"/>
  <c r="P1054" i="1"/>
  <c r="R1054" i="1" s="1"/>
  <c r="S1054" i="1" s="1"/>
  <c r="P1050" i="1"/>
  <c r="J1050" i="1"/>
  <c r="P1047" i="1"/>
  <c r="J1047" i="1"/>
  <c r="P1046" i="1"/>
  <c r="J1046" i="1"/>
  <c r="P1045" i="1"/>
  <c r="R1045" i="1" s="1"/>
  <c r="S1045" i="1" s="1"/>
  <c r="P1044" i="1"/>
  <c r="R1044" i="1" s="1"/>
  <c r="S1044" i="1" s="1"/>
  <c r="J1043" i="1"/>
  <c r="P1043" i="1"/>
  <c r="J1042" i="1"/>
  <c r="P1042" i="1"/>
  <c r="P1040" i="1"/>
  <c r="R1040" i="1" s="1"/>
  <c r="S1040" i="1" s="1"/>
  <c r="P1038" i="1"/>
  <c r="R1038" i="1" s="1"/>
  <c r="S1038" i="1" s="1"/>
  <c r="P1037" i="1"/>
  <c r="R1037" i="1" s="1"/>
  <c r="S1037" i="1" s="1"/>
  <c r="P1036" i="1"/>
  <c r="R1036" i="1" s="1"/>
  <c r="S1036" i="1" s="1"/>
  <c r="P1035" i="1"/>
  <c r="R1035" i="1" s="1"/>
  <c r="S1035" i="1" s="1"/>
  <c r="P1033" i="1"/>
  <c r="R1033" i="1" s="1"/>
  <c r="S1033" i="1" s="1"/>
  <c r="P1032" i="1"/>
  <c r="R1032" i="1" s="1"/>
  <c r="S1032" i="1" s="1"/>
  <c r="P1031" i="1"/>
  <c r="R1031" i="1" s="1"/>
  <c r="S1031" i="1" s="1"/>
  <c r="P1030" i="1"/>
  <c r="R1030" i="1" s="1"/>
  <c r="S1030" i="1" s="1"/>
  <c r="P1029" i="1"/>
  <c r="R1029" i="1" s="1"/>
  <c r="S1029" i="1" s="1"/>
  <c r="P1026" i="1"/>
  <c r="R1026" i="1" s="1"/>
  <c r="S1026" i="1" s="1"/>
  <c r="P1023" i="1"/>
  <c r="R1023" i="1" s="1"/>
  <c r="S1023" i="1" s="1"/>
  <c r="P1020" i="1"/>
  <c r="R1020" i="1" s="1"/>
  <c r="S1020" i="1" s="1"/>
  <c r="P1019" i="1"/>
  <c r="R1019" i="1" s="1"/>
  <c r="S1019" i="1" s="1"/>
  <c r="P1018" i="1"/>
  <c r="R1018" i="1" s="1"/>
  <c r="S1018" i="1" s="1"/>
  <c r="P1016" i="1"/>
  <c r="J1016" i="1"/>
  <c r="P1015" i="1"/>
  <c r="J1015" i="1"/>
  <c r="P1014" i="1"/>
  <c r="J1014" i="1"/>
  <c r="P1012" i="1"/>
  <c r="R1012" i="1" s="1"/>
  <c r="S1012" i="1" s="1"/>
  <c r="P1010" i="1"/>
  <c r="R1010" i="1" s="1"/>
  <c r="S1010" i="1" s="1"/>
  <c r="P1009" i="1"/>
  <c r="R1009" i="1" s="1"/>
  <c r="S1009" i="1" s="1"/>
  <c r="P1006" i="1"/>
  <c r="R1006" i="1" s="1"/>
  <c r="S1006" i="1" s="1"/>
  <c r="P1004" i="1"/>
  <c r="R1004" i="1" s="1"/>
  <c r="S1004" i="1" s="1"/>
  <c r="P1003" i="1"/>
  <c r="R1003" i="1" s="1"/>
  <c r="S1003" i="1" s="1"/>
  <c r="P1002" i="1"/>
  <c r="R1002" i="1" s="1"/>
  <c r="S1002" i="1" s="1"/>
  <c r="P1001" i="1"/>
  <c r="R1001" i="1" s="1"/>
  <c r="S1001" i="1" s="1"/>
  <c r="P1000" i="1"/>
  <c r="R1000" i="1" s="1"/>
  <c r="S1000" i="1" s="1"/>
  <c r="P998" i="1"/>
  <c r="J998" i="1"/>
  <c r="P997" i="1"/>
  <c r="J997" i="1"/>
  <c r="J996" i="1"/>
  <c r="P996" i="1"/>
  <c r="P995" i="1"/>
  <c r="J995" i="1"/>
  <c r="P994" i="1"/>
  <c r="R994" i="1" s="1"/>
  <c r="S994" i="1" s="1"/>
  <c r="P993" i="1"/>
  <c r="J993" i="1"/>
  <c r="P991" i="1"/>
  <c r="J991" i="1"/>
  <c r="J990" i="1"/>
  <c r="P990" i="1"/>
  <c r="P989" i="1"/>
  <c r="J989" i="1"/>
  <c r="P988" i="1"/>
  <c r="J988" i="1"/>
  <c r="P987" i="1"/>
  <c r="R987" i="1" s="1"/>
  <c r="S987" i="1" s="1"/>
  <c r="P986" i="1"/>
  <c r="J986" i="1"/>
  <c r="P985" i="1"/>
  <c r="J985" i="1"/>
  <c r="P984" i="1"/>
  <c r="J984" i="1"/>
  <c r="P983" i="1"/>
  <c r="J983" i="1"/>
  <c r="P982" i="1"/>
  <c r="J982" i="1"/>
  <c r="P981" i="1"/>
  <c r="J981" i="1"/>
  <c r="P980" i="1"/>
  <c r="J980" i="1"/>
  <c r="P979" i="1"/>
  <c r="J979" i="1"/>
  <c r="P976" i="1"/>
  <c r="R976" i="1" s="1"/>
  <c r="S976" i="1" s="1"/>
  <c r="P975" i="1"/>
  <c r="R975" i="1" s="1"/>
  <c r="S975" i="1" s="1"/>
  <c r="P974" i="1"/>
  <c r="R974" i="1" s="1"/>
  <c r="S974" i="1" s="1"/>
  <c r="P973" i="1"/>
  <c r="R973" i="1" s="1"/>
  <c r="S973" i="1" s="1"/>
  <c r="P972" i="1"/>
  <c r="R972" i="1" s="1"/>
  <c r="S972" i="1" s="1"/>
  <c r="P971" i="1"/>
  <c r="R971" i="1" s="1"/>
  <c r="S971" i="1" s="1"/>
  <c r="P970" i="1"/>
  <c r="R970" i="1" s="1"/>
  <c r="S970" i="1" s="1"/>
  <c r="P969" i="1"/>
  <c r="R969" i="1" s="1"/>
  <c r="S969" i="1" s="1"/>
  <c r="P968" i="1"/>
  <c r="R968" i="1" s="1"/>
  <c r="S968" i="1" s="1"/>
  <c r="P967" i="1"/>
  <c r="J967" i="1"/>
  <c r="P964" i="1"/>
  <c r="R964" i="1" s="1"/>
  <c r="S964" i="1" s="1"/>
  <c r="P963" i="1"/>
  <c r="R963" i="1" s="1"/>
  <c r="S963" i="1" s="1"/>
  <c r="P962" i="1"/>
  <c r="R962" i="1" s="1"/>
  <c r="S962" i="1" s="1"/>
  <c r="P959" i="1"/>
  <c r="J959" i="1"/>
  <c r="P957" i="1"/>
  <c r="R957" i="1" s="1"/>
  <c r="S957" i="1" s="1"/>
  <c r="P956" i="1"/>
  <c r="R956" i="1" s="1"/>
  <c r="S956" i="1" s="1"/>
  <c r="P952" i="1"/>
  <c r="J952" i="1"/>
  <c r="P951" i="1"/>
  <c r="J951" i="1"/>
  <c r="P949" i="1"/>
  <c r="R949" i="1" s="1"/>
  <c r="S949" i="1" s="1"/>
  <c r="P947" i="1"/>
  <c r="J947" i="1"/>
  <c r="P946" i="1"/>
  <c r="J946" i="1"/>
  <c r="P943" i="1"/>
  <c r="J943" i="1"/>
  <c r="P942" i="1"/>
  <c r="J942" i="1"/>
  <c r="P941" i="1"/>
  <c r="R941" i="1" s="1"/>
  <c r="S941" i="1" s="1"/>
  <c r="P940" i="1"/>
  <c r="R940" i="1" s="1"/>
  <c r="S940" i="1" s="1"/>
  <c r="P939" i="1"/>
  <c r="J939" i="1"/>
  <c r="P938" i="1"/>
  <c r="J938" i="1"/>
  <c r="P934" i="1"/>
  <c r="R934" i="1" s="1"/>
  <c r="S934" i="1" s="1"/>
  <c r="P930" i="1"/>
  <c r="R930" i="1" s="1"/>
  <c r="S930" i="1" s="1"/>
  <c r="P926" i="1"/>
  <c r="R926" i="1" s="1"/>
  <c r="S926" i="1" s="1"/>
  <c r="P921" i="1"/>
  <c r="R921" i="1" s="1"/>
  <c r="S921" i="1" s="1"/>
  <c r="P920" i="1"/>
  <c r="J920" i="1"/>
  <c r="P919" i="1"/>
  <c r="J919" i="1"/>
  <c r="P917" i="1"/>
  <c r="R917" i="1" s="1"/>
  <c r="S917" i="1" s="1"/>
  <c r="P916" i="1"/>
  <c r="R916" i="1" s="1"/>
  <c r="S916" i="1" s="1"/>
  <c r="P910" i="1"/>
  <c r="J910" i="1"/>
  <c r="P909" i="1"/>
  <c r="J909" i="1"/>
  <c r="P908" i="1"/>
  <c r="J908" i="1"/>
  <c r="P907" i="1"/>
  <c r="J907" i="1"/>
  <c r="P905" i="1"/>
  <c r="J905" i="1"/>
  <c r="P904" i="1"/>
  <c r="J904" i="1"/>
  <c r="P903" i="1"/>
  <c r="J903" i="1"/>
  <c r="J902" i="1"/>
  <c r="P902" i="1"/>
  <c r="P901" i="1"/>
  <c r="J901" i="1"/>
  <c r="P899" i="1"/>
  <c r="R899" i="1" s="1"/>
  <c r="S899" i="1" s="1"/>
  <c r="P898" i="1"/>
  <c r="R898" i="1" s="1"/>
  <c r="S898" i="1" s="1"/>
  <c r="P897" i="1"/>
  <c r="R897" i="1" s="1"/>
  <c r="S897" i="1" s="1"/>
  <c r="P896" i="1"/>
  <c r="R896" i="1" s="1"/>
  <c r="S896" i="1" s="1"/>
  <c r="P895" i="1"/>
  <c r="R895" i="1" s="1"/>
  <c r="S895" i="1" s="1"/>
  <c r="P894" i="1"/>
  <c r="R894" i="1" s="1"/>
  <c r="S894" i="1" s="1"/>
  <c r="P890" i="1"/>
  <c r="J890" i="1"/>
  <c r="P888" i="1"/>
  <c r="R888" i="1" s="1"/>
  <c r="S888" i="1" s="1"/>
  <c r="P884" i="1"/>
  <c r="R884" i="1" s="1"/>
  <c r="S884" i="1" s="1"/>
  <c r="P883" i="1"/>
  <c r="R883" i="1" s="1"/>
  <c r="S883" i="1" s="1"/>
  <c r="P882" i="1"/>
  <c r="R882" i="1" s="1"/>
  <c r="S882" i="1" s="1"/>
  <c r="P881" i="1"/>
  <c r="R881" i="1" s="1"/>
  <c r="S881" i="1" s="1"/>
  <c r="P880" i="1"/>
  <c r="R880" i="1" s="1"/>
  <c r="S880" i="1" s="1"/>
  <c r="P869" i="1"/>
  <c r="R869" i="1" s="1"/>
  <c r="S869" i="1" s="1"/>
  <c r="P868" i="1"/>
  <c r="R868" i="1" s="1"/>
  <c r="S868" i="1" s="1"/>
  <c r="P867" i="1"/>
  <c r="R867" i="1" s="1"/>
  <c r="S867" i="1" s="1"/>
  <c r="P866" i="1"/>
  <c r="R866" i="1" s="1"/>
  <c r="S866" i="1" s="1"/>
  <c r="P865" i="1"/>
  <c r="R865" i="1" s="1"/>
  <c r="S865" i="1" s="1"/>
  <c r="P864" i="1"/>
  <c r="R864" i="1" s="1"/>
  <c r="S864" i="1" s="1"/>
  <c r="P862" i="1"/>
  <c r="J862" i="1"/>
  <c r="P859" i="1"/>
  <c r="R859" i="1" s="1"/>
  <c r="S859" i="1" s="1"/>
  <c r="P858" i="1"/>
  <c r="R858" i="1" s="1"/>
  <c r="S858" i="1" s="1"/>
  <c r="P856" i="1"/>
  <c r="R856" i="1" s="1"/>
  <c r="S856" i="1" s="1"/>
  <c r="P849" i="1"/>
  <c r="R849" i="1" s="1"/>
  <c r="S849" i="1" s="1"/>
  <c r="P848" i="1"/>
  <c r="J848" i="1"/>
  <c r="P847" i="1"/>
  <c r="J847" i="1"/>
  <c r="P846" i="1"/>
  <c r="J846" i="1"/>
  <c r="P845" i="1"/>
  <c r="J845" i="1"/>
  <c r="P844" i="1"/>
  <c r="J844" i="1"/>
  <c r="P843" i="1"/>
  <c r="J843" i="1"/>
  <c r="P842" i="1"/>
  <c r="J842" i="1"/>
  <c r="P841" i="1"/>
  <c r="J841" i="1"/>
  <c r="J840" i="1"/>
  <c r="P840" i="1"/>
  <c r="J839" i="1"/>
  <c r="P839" i="1"/>
  <c r="P835" i="1"/>
  <c r="R835" i="1" s="1"/>
  <c r="S835" i="1" s="1"/>
  <c r="P834" i="1"/>
  <c r="R834" i="1" s="1"/>
  <c r="S834" i="1" s="1"/>
  <c r="P833" i="1"/>
  <c r="R833" i="1" s="1"/>
  <c r="S833" i="1" s="1"/>
  <c r="P832" i="1"/>
  <c r="R832" i="1" s="1"/>
  <c r="S832" i="1" s="1"/>
  <c r="P831" i="1"/>
  <c r="R831" i="1" s="1"/>
  <c r="S831" i="1" s="1"/>
  <c r="P829" i="1"/>
  <c r="R829" i="1" s="1"/>
  <c r="S829" i="1" s="1"/>
  <c r="P828" i="1"/>
  <c r="R828" i="1" s="1"/>
  <c r="S828" i="1" s="1"/>
  <c r="P827" i="1"/>
  <c r="R827" i="1" s="1"/>
  <c r="S827" i="1" s="1"/>
  <c r="P826" i="1"/>
  <c r="R826" i="1" s="1"/>
  <c r="S826" i="1" s="1"/>
  <c r="P825" i="1"/>
  <c r="R825" i="1" s="1"/>
  <c r="S825" i="1" s="1"/>
  <c r="P824" i="1"/>
  <c r="R824" i="1" s="1"/>
  <c r="S824" i="1" s="1"/>
  <c r="P823" i="1"/>
  <c r="R823" i="1" s="1"/>
  <c r="S823" i="1" s="1"/>
  <c r="P822" i="1"/>
  <c r="R822" i="1" s="1"/>
  <c r="S822" i="1" s="1"/>
  <c r="H818" i="1"/>
  <c r="P818" i="1" s="1"/>
  <c r="R818" i="1" s="1"/>
  <c r="S818" i="1" s="1"/>
  <c r="P814" i="1"/>
  <c r="J814" i="1"/>
  <c r="P812" i="1"/>
  <c r="R812" i="1" s="1"/>
  <c r="S812" i="1" s="1"/>
  <c r="P808" i="1"/>
  <c r="R808" i="1" s="1"/>
  <c r="S808" i="1" s="1"/>
  <c r="P807" i="1"/>
  <c r="R807" i="1" s="1"/>
  <c r="S807" i="1" s="1"/>
  <c r="P804" i="1"/>
  <c r="R804" i="1" s="1"/>
  <c r="S804" i="1" s="1"/>
  <c r="P803" i="1"/>
  <c r="R803" i="1" s="1"/>
  <c r="S803" i="1" s="1"/>
  <c r="P802" i="1"/>
  <c r="R802" i="1" s="1"/>
  <c r="S802" i="1" s="1"/>
  <c r="P800" i="1"/>
  <c r="J800" i="1"/>
  <c r="P799" i="1"/>
  <c r="J799" i="1"/>
  <c r="P798" i="1"/>
  <c r="R798" i="1" s="1"/>
  <c r="S798" i="1" s="1"/>
  <c r="P797" i="1"/>
  <c r="J797" i="1"/>
  <c r="P796" i="1"/>
  <c r="J796" i="1"/>
  <c r="P794" i="1"/>
  <c r="R794" i="1" s="1"/>
  <c r="S794" i="1" s="1"/>
  <c r="P792" i="1"/>
  <c r="R792" i="1" s="1"/>
  <c r="S792" i="1" s="1"/>
  <c r="P791" i="1"/>
  <c r="R791" i="1" s="1"/>
  <c r="S791" i="1" s="1"/>
  <c r="P790" i="1"/>
  <c r="R790" i="1" s="1"/>
  <c r="S790" i="1" s="1"/>
  <c r="P789" i="1"/>
  <c r="R789" i="1" s="1"/>
  <c r="S789" i="1" s="1"/>
  <c r="P788" i="1"/>
  <c r="R788" i="1" s="1"/>
  <c r="S788" i="1" s="1"/>
  <c r="P785" i="1"/>
  <c r="R785" i="1" s="1"/>
  <c r="S785" i="1" s="1"/>
  <c r="P784" i="1"/>
  <c r="R784" i="1" s="1"/>
  <c r="S784" i="1" s="1"/>
  <c r="P781" i="1"/>
  <c r="R781" i="1" s="1"/>
  <c r="S781" i="1" s="1"/>
  <c r="P780" i="1"/>
  <c r="R780" i="1" s="1"/>
  <c r="S780" i="1" s="1"/>
  <c r="P779" i="1"/>
  <c r="R779" i="1" s="1"/>
  <c r="S779" i="1" s="1"/>
  <c r="P778" i="1"/>
  <c r="R778" i="1" s="1"/>
  <c r="S778" i="1" s="1"/>
  <c r="P777" i="1"/>
  <c r="R777" i="1" s="1"/>
  <c r="S777" i="1" s="1"/>
  <c r="P773" i="1"/>
  <c r="R773" i="1" s="1"/>
  <c r="S773" i="1" s="1"/>
  <c r="P771" i="1"/>
  <c r="J771" i="1"/>
  <c r="P770" i="1"/>
  <c r="J770" i="1"/>
  <c r="P769" i="1"/>
  <c r="J769" i="1"/>
  <c r="P768" i="1"/>
  <c r="J768" i="1"/>
  <c r="P767" i="1"/>
  <c r="J767" i="1"/>
  <c r="P766" i="1"/>
  <c r="J766" i="1"/>
  <c r="P765" i="1"/>
  <c r="J765" i="1"/>
  <c r="P764" i="1"/>
  <c r="J764" i="1"/>
  <c r="J763" i="1"/>
  <c r="P763" i="1"/>
  <c r="P762" i="1"/>
  <c r="J762" i="1"/>
  <c r="P761" i="1"/>
  <c r="R761" i="1" s="1"/>
  <c r="S761" i="1" s="1"/>
  <c r="P760" i="1"/>
  <c r="J760" i="1"/>
  <c r="P759" i="1"/>
  <c r="J759" i="1"/>
  <c r="J758" i="1"/>
  <c r="P758" i="1"/>
  <c r="J757" i="1"/>
  <c r="P757" i="1"/>
  <c r="P756" i="1"/>
  <c r="J756" i="1"/>
  <c r="P755" i="1"/>
  <c r="J755" i="1"/>
  <c r="P753" i="1"/>
  <c r="J753" i="1"/>
  <c r="P750" i="1"/>
  <c r="R750" i="1" s="1"/>
  <c r="S750" i="1" s="1"/>
  <c r="P749" i="1"/>
  <c r="R749" i="1" s="1"/>
  <c r="S749" i="1" s="1"/>
  <c r="P748" i="1"/>
  <c r="R748" i="1" s="1"/>
  <c r="S748" i="1" s="1"/>
  <c r="P747" i="1"/>
  <c r="R747" i="1" s="1"/>
  <c r="S747" i="1" s="1"/>
  <c r="P746" i="1"/>
  <c r="R746" i="1" s="1"/>
  <c r="S746" i="1" s="1"/>
  <c r="P744" i="1"/>
  <c r="R744" i="1" s="1"/>
  <c r="S744" i="1" s="1"/>
  <c r="P737" i="1"/>
  <c r="R737" i="1" s="1"/>
  <c r="S737" i="1" s="1"/>
  <c r="P736" i="1"/>
  <c r="R736" i="1" s="1"/>
  <c r="S736" i="1" s="1"/>
  <c r="P735" i="1"/>
  <c r="R735" i="1" s="1"/>
  <c r="S735" i="1" s="1"/>
  <c r="P734" i="1"/>
  <c r="R734" i="1" s="1"/>
  <c r="S734" i="1" s="1"/>
  <c r="P733" i="1"/>
  <c r="R733" i="1" s="1"/>
  <c r="S733" i="1" s="1"/>
  <c r="P729" i="1"/>
  <c r="R729" i="1" s="1"/>
  <c r="S729" i="1" s="1"/>
  <c r="P727" i="1"/>
  <c r="J727" i="1"/>
  <c r="P724" i="1"/>
  <c r="J724" i="1"/>
  <c r="P723" i="1"/>
  <c r="J723" i="1"/>
  <c r="P720" i="1"/>
  <c r="R720" i="1" s="1"/>
  <c r="S720" i="1" s="1"/>
  <c r="P717" i="1"/>
  <c r="R717" i="1" s="1"/>
  <c r="S717" i="1" s="1"/>
  <c r="P715" i="1"/>
  <c r="J715" i="1"/>
  <c r="P714" i="1"/>
  <c r="J714" i="1"/>
  <c r="P711" i="1"/>
  <c r="R711" i="1" s="1"/>
  <c r="S711" i="1" s="1"/>
  <c r="P709" i="1"/>
  <c r="R709" i="1" s="1"/>
  <c r="S709" i="1" s="1"/>
  <c r="P708" i="1"/>
  <c r="J708" i="1"/>
  <c r="P705" i="1"/>
  <c r="J705" i="1"/>
  <c r="P704" i="1"/>
  <c r="J704" i="1"/>
  <c r="P703" i="1"/>
  <c r="J703" i="1"/>
  <c r="P701" i="1"/>
  <c r="R701" i="1" s="1"/>
  <c r="S701" i="1" s="1"/>
  <c r="P698" i="1"/>
  <c r="J698" i="1"/>
  <c r="P697" i="1"/>
  <c r="J697" i="1"/>
  <c r="P695" i="1"/>
  <c r="R695" i="1" s="1"/>
  <c r="S695" i="1" s="1"/>
  <c r="P694" i="1"/>
  <c r="R694" i="1" s="1"/>
  <c r="S694" i="1" s="1"/>
  <c r="P693" i="1"/>
  <c r="R693" i="1" s="1"/>
  <c r="S693" i="1" s="1"/>
  <c r="P692" i="1"/>
  <c r="R692" i="1" s="1"/>
  <c r="S692" i="1" s="1"/>
  <c r="P691" i="1"/>
  <c r="R691" i="1" s="1"/>
  <c r="S691" i="1" s="1"/>
  <c r="P690" i="1"/>
  <c r="R690" i="1" s="1"/>
  <c r="S690" i="1" s="1"/>
  <c r="P687" i="1"/>
  <c r="R687" i="1" s="1"/>
  <c r="S687" i="1" s="1"/>
  <c r="P686" i="1"/>
  <c r="R686" i="1" s="1"/>
  <c r="S686" i="1" s="1"/>
  <c r="P684" i="1"/>
  <c r="R684" i="1" s="1"/>
  <c r="S684" i="1" s="1"/>
  <c r="P664" i="1"/>
  <c r="R664" i="1" s="1"/>
  <c r="S664" i="1" s="1"/>
  <c r="P662" i="1"/>
  <c r="J662" i="1"/>
  <c r="P661" i="1"/>
  <c r="R661" i="1" s="1"/>
  <c r="S661" i="1" s="1"/>
  <c r="P660" i="1"/>
  <c r="R660" i="1" s="1"/>
  <c r="S660" i="1" s="1"/>
  <c r="P659" i="1"/>
  <c r="R659" i="1" s="1"/>
  <c r="S659" i="1" s="1"/>
  <c r="P657" i="1"/>
  <c r="J657" i="1"/>
  <c r="P656" i="1"/>
  <c r="J656" i="1"/>
  <c r="P655" i="1"/>
  <c r="J655" i="1"/>
  <c r="P654" i="1"/>
  <c r="J654" i="1"/>
  <c r="J653" i="1"/>
  <c r="P653" i="1"/>
  <c r="P652" i="1"/>
  <c r="J652" i="1"/>
  <c r="P651" i="1"/>
  <c r="J651" i="1"/>
  <c r="P650" i="1"/>
  <c r="J650" i="1"/>
  <c r="P649" i="1"/>
  <c r="R649" i="1" s="1"/>
  <c r="S649" i="1" s="1"/>
  <c r="P648" i="1"/>
  <c r="J648" i="1"/>
  <c r="J647" i="1"/>
  <c r="P647" i="1"/>
  <c r="P645" i="1"/>
  <c r="J645" i="1"/>
  <c r="P644" i="1"/>
  <c r="J644" i="1"/>
  <c r="P643" i="1"/>
  <c r="J643" i="1"/>
  <c r="P641" i="1"/>
  <c r="J641" i="1"/>
  <c r="P636" i="1"/>
  <c r="J636" i="1"/>
  <c r="P633" i="1"/>
  <c r="J633" i="1"/>
  <c r="P632" i="1"/>
  <c r="J632" i="1"/>
  <c r="P630" i="1"/>
  <c r="J630" i="1"/>
  <c r="P629" i="1"/>
  <c r="J629" i="1"/>
  <c r="P628" i="1"/>
  <c r="R628" i="1" s="1"/>
  <c r="S628" i="1" s="1"/>
  <c r="P627" i="1"/>
  <c r="J627" i="1"/>
  <c r="P626" i="1"/>
  <c r="J626" i="1"/>
  <c r="P625" i="1"/>
  <c r="R625" i="1" s="1"/>
  <c r="S625" i="1" s="1"/>
  <c r="P623" i="1"/>
  <c r="R623" i="1" s="1"/>
  <c r="S623" i="1" s="1"/>
  <c r="P622" i="1"/>
  <c r="R622" i="1" s="1"/>
  <c r="S622" i="1" s="1"/>
  <c r="P621" i="1"/>
  <c r="R621" i="1" s="1"/>
  <c r="S621" i="1" s="1"/>
  <c r="P620" i="1"/>
  <c r="R620" i="1" s="1"/>
  <c r="S620" i="1" s="1"/>
  <c r="P618" i="1"/>
  <c r="R618" i="1" s="1"/>
  <c r="S618" i="1" s="1"/>
  <c r="P617" i="1"/>
  <c r="R617" i="1" s="1"/>
  <c r="S617" i="1" s="1"/>
  <c r="P616" i="1"/>
  <c r="R616" i="1" s="1"/>
  <c r="S616" i="1" s="1"/>
  <c r="P613" i="1"/>
  <c r="R613" i="1" s="1"/>
  <c r="S613" i="1" s="1"/>
  <c r="P612" i="1"/>
  <c r="R612" i="1" s="1"/>
  <c r="S612" i="1" s="1"/>
  <c r="P611" i="1"/>
  <c r="R611" i="1" s="1"/>
  <c r="S611" i="1" s="1"/>
  <c r="P610" i="1"/>
  <c r="R610" i="1" s="1"/>
  <c r="S610" i="1" s="1"/>
  <c r="P608" i="1"/>
  <c r="R608" i="1" s="1"/>
  <c r="S608" i="1" s="1"/>
  <c r="P607" i="1"/>
  <c r="R607" i="1" s="1"/>
  <c r="S607" i="1" s="1"/>
  <c r="P606" i="1"/>
  <c r="R606" i="1" s="1"/>
  <c r="S606" i="1" s="1"/>
  <c r="P605" i="1"/>
  <c r="R605" i="1" s="1"/>
  <c r="S605" i="1" s="1"/>
  <c r="P603" i="1"/>
  <c r="R603" i="1" s="1"/>
  <c r="S603" i="1" s="1"/>
  <c r="P602" i="1"/>
  <c r="R602" i="1" s="1"/>
  <c r="S602" i="1" s="1"/>
  <c r="P600" i="1"/>
  <c r="R600" i="1" s="1"/>
  <c r="S600" i="1" s="1"/>
  <c r="P599" i="1"/>
  <c r="R599" i="1" s="1"/>
  <c r="S599" i="1" s="1"/>
  <c r="P598" i="1"/>
  <c r="R598" i="1" s="1"/>
  <c r="S598" i="1" s="1"/>
  <c r="P597" i="1"/>
  <c r="R597" i="1" s="1"/>
  <c r="S597" i="1" s="1"/>
  <c r="P594" i="1"/>
  <c r="J594" i="1"/>
  <c r="P593" i="1"/>
  <c r="J593" i="1"/>
  <c r="P592" i="1"/>
  <c r="R592" i="1" s="1"/>
  <c r="S592" i="1" s="1"/>
  <c r="P591" i="1"/>
  <c r="R591" i="1" s="1"/>
  <c r="S591" i="1" s="1"/>
  <c r="P590" i="1"/>
  <c r="R590" i="1" s="1"/>
  <c r="S590" i="1" s="1"/>
  <c r="P589" i="1"/>
  <c r="J589" i="1"/>
  <c r="P588" i="1"/>
  <c r="R588" i="1" s="1"/>
  <c r="S588" i="1" s="1"/>
  <c r="P584" i="1"/>
  <c r="R584" i="1" s="1"/>
  <c r="S584" i="1" s="1"/>
  <c r="P582" i="1"/>
  <c r="R582" i="1" s="1"/>
  <c r="S582" i="1" s="1"/>
  <c r="P581" i="1"/>
  <c r="R581" i="1" s="1"/>
  <c r="S581" i="1" s="1"/>
  <c r="P579" i="1"/>
  <c r="R579" i="1" s="1"/>
  <c r="S579" i="1" s="1"/>
  <c r="P577" i="1"/>
  <c r="R577" i="1" s="1"/>
  <c r="S577" i="1" s="1"/>
  <c r="P576" i="1"/>
  <c r="R576" i="1" s="1"/>
  <c r="S576" i="1" s="1"/>
  <c r="P575" i="1"/>
  <c r="R575" i="1" s="1"/>
  <c r="S575" i="1" s="1"/>
  <c r="P574" i="1"/>
  <c r="R574" i="1" s="1"/>
  <c r="S574" i="1" s="1"/>
  <c r="P570" i="1"/>
  <c r="J570" i="1"/>
  <c r="P569" i="1"/>
  <c r="J569" i="1"/>
  <c r="P563" i="1"/>
  <c r="R563" i="1" s="1"/>
  <c r="S563" i="1" s="1"/>
  <c r="P562" i="1"/>
  <c r="R562" i="1" s="1"/>
  <c r="S562" i="1" s="1"/>
  <c r="J559" i="1"/>
  <c r="P559" i="1"/>
  <c r="J558" i="1"/>
  <c r="P558" i="1"/>
  <c r="P557" i="1"/>
  <c r="J557" i="1"/>
  <c r="P555" i="1"/>
  <c r="R555" i="1" s="1"/>
  <c r="S555" i="1" s="1"/>
  <c r="P554" i="1"/>
  <c r="R554" i="1" s="1"/>
  <c r="S554" i="1" s="1"/>
  <c r="P551" i="1"/>
  <c r="R551" i="1" s="1"/>
  <c r="S551" i="1" s="1"/>
  <c r="J550" i="1"/>
  <c r="P550" i="1"/>
  <c r="J549" i="1"/>
  <c r="J548" i="1"/>
  <c r="P548" i="1"/>
  <c r="P546" i="1"/>
  <c r="R546" i="1" s="1"/>
  <c r="S546" i="1" s="1"/>
  <c r="P545" i="1"/>
  <c r="R545" i="1" s="1"/>
  <c r="S545" i="1" s="1"/>
  <c r="P544" i="1"/>
  <c r="R544" i="1" s="1"/>
  <c r="S544" i="1" s="1"/>
  <c r="P543" i="1"/>
  <c r="R543" i="1" s="1"/>
  <c r="S543" i="1" s="1"/>
  <c r="P542" i="1"/>
  <c r="R542" i="1" s="1"/>
  <c r="S542" i="1" s="1"/>
  <c r="P538" i="1"/>
  <c r="R538" i="1" s="1"/>
  <c r="S538" i="1" s="1"/>
  <c r="J535" i="1"/>
  <c r="P535" i="1"/>
  <c r="P534" i="1"/>
  <c r="J534" i="1"/>
  <c r="P533" i="1"/>
  <c r="J533" i="1"/>
  <c r="P532" i="1"/>
  <c r="J532" i="1"/>
  <c r="P530" i="1"/>
  <c r="R530" i="1" s="1"/>
  <c r="S530" i="1" s="1"/>
  <c r="P529" i="1"/>
  <c r="R529" i="1" s="1"/>
  <c r="S529" i="1" s="1"/>
  <c r="P528" i="1"/>
  <c r="R528" i="1" s="1"/>
  <c r="S528" i="1" s="1"/>
  <c r="P527" i="1"/>
  <c r="R527" i="1" s="1"/>
  <c r="S527" i="1" s="1"/>
  <c r="P526" i="1"/>
  <c r="R526" i="1" s="1"/>
  <c r="S526" i="1" s="1"/>
  <c r="P525" i="1"/>
  <c r="R525" i="1" s="1"/>
  <c r="S525" i="1" s="1"/>
  <c r="P522" i="1"/>
  <c r="R522" i="1" s="1"/>
  <c r="S522" i="1" s="1"/>
  <c r="P519" i="1"/>
  <c r="R519" i="1" s="1"/>
  <c r="S519" i="1" s="1"/>
  <c r="P517" i="1"/>
  <c r="R517" i="1" s="1"/>
  <c r="S517" i="1" s="1"/>
  <c r="J514" i="1"/>
  <c r="P514" i="1"/>
  <c r="J513" i="1"/>
  <c r="P513" i="1"/>
  <c r="P512" i="1"/>
  <c r="J512" i="1"/>
  <c r="P510" i="1"/>
  <c r="J510" i="1"/>
  <c r="J508" i="1"/>
  <c r="P508" i="1"/>
  <c r="P507" i="1"/>
  <c r="J507" i="1"/>
  <c r="P506" i="1"/>
  <c r="J506" i="1"/>
  <c r="P505" i="1"/>
  <c r="J505" i="1"/>
  <c r="P504" i="1"/>
  <c r="J504" i="1"/>
  <c r="J503" i="1"/>
  <c r="P503" i="1"/>
  <c r="P502" i="1"/>
  <c r="J502" i="1"/>
  <c r="S501" i="1"/>
  <c r="P497" i="1"/>
  <c r="J497" i="1"/>
  <c r="P496" i="1"/>
  <c r="J496" i="1"/>
  <c r="J495" i="1"/>
  <c r="P495" i="1"/>
  <c r="P493" i="1"/>
  <c r="J493" i="1"/>
  <c r="P491" i="1"/>
  <c r="J491" i="1"/>
  <c r="P490" i="1"/>
  <c r="J490" i="1"/>
  <c r="P489" i="1"/>
  <c r="J489" i="1"/>
  <c r="P488" i="1"/>
  <c r="J488" i="1"/>
  <c r="P484" i="1"/>
  <c r="J484" i="1"/>
  <c r="P481" i="1"/>
  <c r="R481" i="1" s="1"/>
  <c r="S481" i="1" s="1"/>
  <c r="P478" i="1"/>
  <c r="J478" i="1"/>
  <c r="P477" i="1"/>
  <c r="J477" i="1"/>
  <c r="P476" i="1"/>
  <c r="J476" i="1"/>
  <c r="P470" i="1"/>
  <c r="J470" i="1"/>
  <c r="P469" i="1"/>
  <c r="J469" i="1"/>
  <c r="P467" i="1"/>
  <c r="R467" i="1" s="1"/>
  <c r="S467" i="1" s="1"/>
  <c r="P466" i="1"/>
  <c r="R466" i="1" s="1"/>
  <c r="S466" i="1" s="1"/>
  <c r="P465" i="1"/>
  <c r="R465" i="1" s="1"/>
  <c r="S465" i="1" s="1"/>
  <c r="P464" i="1"/>
  <c r="R464" i="1" s="1"/>
  <c r="S464" i="1" s="1"/>
  <c r="P463" i="1"/>
  <c r="R463" i="1" s="1"/>
  <c r="S463" i="1" s="1"/>
  <c r="P462" i="1"/>
  <c r="R462" i="1" s="1"/>
  <c r="S462" i="1" s="1"/>
  <c r="P461" i="1"/>
  <c r="R461" i="1" s="1"/>
  <c r="S461" i="1" s="1"/>
  <c r="P459" i="1"/>
  <c r="R459" i="1" s="1"/>
  <c r="S459" i="1" s="1"/>
  <c r="P458" i="1"/>
  <c r="R458" i="1" s="1"/>
  <c r="S458" i="1" s="1"/>
  <c r="P439" i="1"/>
  <c r="R439" i="1" s="1"/>
  <c r="S439" i="1" s="1"/>
  <c r="P438" i="1"/>
  <c r="R438" i="1" s="1"/>
  <c r="S438" i="1" s="1"/>
  <c r="P437" i="1"/>
  <c r="R437" i="1" s="1"/>
  <c r="S437" i="1" s="1"/>
  <c r="P436" i="1"/>
  <c r="R436" i="1" s="1"/>
  <c r="S436" i="1" s="1"/>
  <c r="P435" i="1"/>
  <c r="R435" i="1" s="1"/>
  <c r="S435" i="1" s="1"/>
  <c r="P434" i="1"/>
  <c r="R434" i="1" s="1"/>
  <c r="S434" i="1" s="1"/>
  <c r="P433" i="1"/>
  <c r="R433" i="1" s="1"/>
  <c r="S433" i="1" s="1"/>
  <c r="P430" i="1"/>
  <c r="R430" i="1" s="1"/>
  <c r="S430" i="1" s="1"/>
  <c r="P429" i="1"/>
  <c r="R429" i="1" s="1"/>
  <c r="S429" i="1" s="1"/>
  <c r="P427" i="1"/>
  <c r="R427" i="1" s="1"/>
  <c r="S427" i="1" s="1"/>
  <c r="P426" i="1"/>
  <c r="R426" i="1" s="1"/>
  <c r="S426" i="1" s="1"/>
  <c r="P424" i="1"/>
  <c r="R424" i="1" s="1"/>
  <c r="S424" i="1" s="1"/>
  <c r="P420" i="1"/>
  <c r="R420" i="1" s="1"/>
  <c r="S420" i="1" s="1"/>
  <c r="P418" i="1"/>
  <c r="J418" i="1"/>
  <c r="P413" i="1"/>
  <c r="J413" i="1"/>
  <c r="P412" i="1"/>
  <c r="J412" i="1"/>
  <c r="P409" i="1"/>
  <c r="J409" i="1"/>
  <c r="P408" i="1"/>
  <c r="J408" i="1"/>
  <c r="P407" i="1"/>
  <c r="J407" i="1"/>
  <c r="P406" i="1"/>
  <c r="J406" i="1"/>
  <c r="P404" i="1"/>
  <c r="R404" i="1" s="1"/>
  <c r="S404" i="1" s="1"/>
  <c r="P403" i="1"/>
  <c r="R403" i="1" s="1"/>
  <c r="S403" i="1" s="1"/>
  <c r="P402" i="1"/>
  <c r="R402" i="1" s="1"/>
  <c r="S402" i="1" s="1"/>
  <c r="P401" i="1"/>
  <c r="R401" i="1" s="1"/>
  <c r="S401" i="1" s="1"/>
  <c r="P400" i="1"/>
  <c r="R400" i="1" s="1"/>
  <c r="S400" i="1" s="1"/>
  <c r="P399" i="1"/>
  <c r="R399" i="1" s="1"/>
  <c r="S399" i="1" s="1"/>
  <c r="P396" i="1"/>
  <c r="R396" i="1" s="1"/>
  <c r="S396" i="1" s="1"/>
  <c r="P392" i="1"/>
  <c r="R392" i="1" s="1"/>
  <c r="S392" i="1" s="1"/>
  <c r="P390" i="1"/>
  <c r="R390" i="1" s="1"/>
  <c r="S390" i="1" s="1"/>
  <c r="P385" i="1"/>
  <c r="J385" i="1"/>
  <c r="P384" i="1"/>
  <c r="J384" i="1"/>
  <c r="P381" i="1"/>
  <c r="J381" i="1"/>
  <c r="P380" i="1"/>
  <c r="J380" i="1"/>
  <c r="P375" i="1"/>
  <c r="R375" i="1" s="1"/>
  <c r="S375" i="1" s="1"/>
  <c r="P374" i="1"/>
  <c r="R374" i="1" s="1"/>
  <c r="S374" i="1" s="1"/>
  <c r="P373" i="1"/>
  <c r="R373" i="1" s="1"/>
  <c r="S373" i="1" s="1"/>
  <c r="P372" i="1"/>
  <c r="R372" i="1" s="1"/>
  <c r="S372" i="1" s="1"/>
  <c r="P370" i="1"/>
  <c r="R370" i="1" s="1"/>
  <c r="S370" i="1" s="1"/>
  <c r="P368" i="1"/>
  <c r="R368" i="1" s="1"/>
  <c r="S368" i="1" s="1"/>
  <c r="P367" i="1"/>
  <c r="R367" i="1" s="1"/>
  <c r="S367" i="1" s="1"/>
  <c r="P366" i="1"/>
  <c r="R366" i="1" s="1"/>
  <c r="S366" i="1" s="1"/>
  <c r="P365" i="1"/>
  <c r="R365" i="1" s="1"/>
  <c r="S365" i="1" s="1"/>
  <c r="P364" i="1"/>
  <c r="R364" i="1" s="1"/>
  <c r="S364" i="1" s="1"/>
  <c r="P362" i="1"/>
  <c r="J362" i="1"/>
  <c r="P359" i="1"/>
  <c r="J359" i="1"/>
  <c r="P356" i="1"/>
  <c r="J356" i="1"/>
  <c r="P355" i="1"/>
  <c r="J355" i="1"/>
  <c r="P354" i="1"/>
  <c r="J354" i="1"/>
  <c r="P353" i="1"/>
  <c r="J353" i="1"/>
  <c r="P352" i="1"/>
  <c r="J352" i="1"/>
  <c r="P351" i="1"/>
  <c r="J351" i="1"/>
  <c r="P350" i="1"/>
  <c r="J350" i="1"/>
  <c r="P346" i="1"/>
  <c r="R346" i="1" s="1"/>
  <c r="S346" i="1" s="1"/>
  <c r="P343" i="1"/>
  <c r="R343" i="1" s="1"/>
  <c r="S343" i="1" s="1"/>
  <c r="P340" i="1"/>
  <c r="R340" i="1" s="1"/>
  <c r="S340" i="1" s="1"/>
  <c r="P336" i="1"/>
  <c r="J336" i="1"/>
  <c r="P335" i="1"/>
  <c r="J335" i="1"/>
  <c r="P332" i="1"/>
  <c r="R332" i="1" s="1"/>
  <c r="S332" i="1" s="1"/>
  <c r="P331" i="1"/>
  <c r="R331" i="1" s="1"/>
  <c r="S331" i="1" s="1"/>
  <c r="P330" i="1"/>
  <c r="R330" i="1" s="1"/>
  <c r="S330" i="1" s="1"/>
  <c r="P327" i="1"/>
  <c r="R327" i="1" s="1"/>
  <c r="S327" i="1" s="1"/>
  <c r="P324" i="1"/>
  <c r="J324" i="1"/>
  <c r="P323" i="1"/>
  <c r="J323" i="1"/>
  <c r="P321" i="1"/>
  <c r="J321" i="1"/>
  <c r="P319" i="1"/>
  <c r="R319" i="1" s="1"/>
  <c r="S319" i="1" s="1"/>
  <c r="P318" i="1"/>
  <c r="R318" i="1" s="1"/>
  <c r="S318" i="1" s="1"/>
  <c r="P317" i="1"/>
  <c r="R317" i="1" s="1"/>
  <c r="S317" i="1" s="1"/>
  <c r="P316" i="1"/>
  <c r="R316" i="1" s="1"/>
  <c r="S316" i="1" s="1"/>
  <c r="P313" i="1"/>
  <c r="J313" i="1"/>
  <c r="P312" i="1"/>
  <c r="J312" i="1"/>
  <c r="P310" i="1"/>
  <c r="R310" i="1" s="1"/>
  <c r="S310" i="1" s="1"/>
  <c r="P308" i="1"/>
  <c r="R308" i="1" s="1"/>
  <c r="S308" i="1" s="1"/>
  <c r="P305" i="1"/>
  <c r="J305" i="1"/>
  <c r="P304" i="1"/>
  <c r="R304" i="1" s="1"/>
  <c r="S304" i="1" s="1"/>
  <c r="P302" i="1"/>
  <c r="R302" i="1" s="1"/>
  <c r="S302" i="1" s="1"/>
  <c r="J300" i="1"/>
  <c r="P300" i="1"/>
  <c r="J299" i="1"/>
  <c r="J298" i="1"/>
  <c r="P298" i="1"/>
  <c r="P296" i="1"/>
  <c r="R296" i="1" s="1"/>
  <c r="S296" i="1" s="1"/>
  <c r="J295" i="1"/>
  <c r="H295" i="1"/>
  <c r="P295" i="1" s="1"/>
  <c r="P294" i="1"/>
  <c r="R294" i="1" s="1"/>
  <c r="S294" i="1" s="1"/>
  <c r="P293" i="1"/>
  <c r="R293" i="1" s="1"/>
  <c r="S293" i="1" s="1"/>
  <c r="P292" i="1"/>
  <c r="R292" i="1" s="1"/>
  <c r="S292" i="1" s="1"/>
  <c r="P291" i="1"/>
  <c r="R291" i="1" s="1"/>
  <c r="S291" i="1" s="1"/>
  <c r="P283" i="1"/>
  <c r="R283" i="1" s="1"/>
  <c r="S283" i="1" s="1"/>
  <c r="P282" i="1"/>
  <c r="R282" i="1" s="1"/>
  <c r="S282" i="1" s="1"/>
  <c r="P280" i="1"/>
  <c r="R280" i="1" s="1"/>
  <c r="S280" i="1" s="1"/>
  <c r="P277" i="1"/>
  <c r="R277" i="1" s="1"/>
  <c r="S277" i="1" s="1"/>
  <c r="P275" i="1"/>
  <c r="J275" i="1"/>
  <c r="P274" i="1"/>
  <c r="R274" i="1" s="1"/>
  <c r="S274" i="1" s="1"/>
  <c r="P273" i="1"/>
  <c r="J273" i="1"/>
  <c r="P270" i="1"/>
  <c r="R270" i="1" s="1"/>
  <c r="S270" i="1" s="1"/>
  <c r="P268" i="1"/>
  <c r="R268" i="1" s="1"/>
  <c r="S268" i="1" s="1"/>
  <c r="P266" i="1"/>
  <c r="R266" i="1" s="1"/>
  <c r="S266" i="1" s="1"/>
  <c r="P263" i="1"/>
  <c r="J263" i="1"/>
  <c r="P262" i="1"/>
  <c r="J262" i="1"/>
  <c r="J261" i="1"/>
  <c r="P261" i="1"/>
  <c r="J260" i="1"/>
  <c r="P260" i="1"/>
  <c r="P259" i="1"/>
  <c r="J259" i="1"/>
  <c r="P258" i="1"/>
  <c r="J258" i="1"/>
  <c r="P257" i="1"/>
  <c r="R257" i="1" s="1"/>
  <c r="S257" i="1" s="1"/>
  <c r="P256" i="1"/>
  <c r="R256" i="1" s="1"/>
  <c r="S256" i="1" s="1"/>
  <c r="P252" i="1"/>
  <c r="J252" i="1"/>
  <c r="P251" i="1"/>
  <c r="J251" i="1"/>
  <c r="P249" i="1"/>
  <c r="R249" i="1" s="1"/>
  <c r="S249" i="1" s="1"/>
  <c r="P248" i="1"/>
  <c r="R248" i="1" s="1"/>
  <c r="S248" i="1" s="1"/>
  <c r="P247" i="1"/>
  <c r="R247" i="1" s="1"/>
  <c r="S247" i="1" s="1"/>
  <c r="P246" i="1"/>
  <c r="R246" i="1" s="1"/>
  <c r="S246" i="1" s="1"/>
  <c r="P244" i="1"/>
  <c r="R244" i="1" s="1"/>
  <c r="S244" i="1" s="1"/>
  <c r="P242" i="1"/>
  <c r="R242" i="1" s="1"/>
  <c r="S242" i="1" s="1"/>
  <c r="P238" i="1"/>
  <c r="R238" i="1" s="1"/>
  <c r="S238" i="1" s="1"/>
  <c r="P234" i="1"/>
  <c r="R234" i="1" s="1"/>
  <c r="S234" i="1" s="1"/>
  <c r="J230" i="1"/>
  <c r="P230" i="1"/>
  <c r="P229" i="1"/>
  <c r="J229" i="1"/>
  <c r="P225" i="1"/>
  <c r="J225" i="1"/>
  <c r="P224" i="1"/>
  <c r="J224" i="1"/>
  <c r="P223" i="1"/>
  <c r="J223" i="1"/>
  <c r="P222" i="1"/>
  <c r="J222" i="1"/>
  <c r="J221" i="1"/>
  <c r="P221" i="1"/>
  <c r="P220" i="1"/>
  <c r="J220" i="1"/>
  <c r="P219" i="1"/>
  <c r="J219" i="1"/>
  <c r="P218" i="1"/>
  <c r="J218" i="1"/>
  <c r="P214" i="1"/>
  <c r="J214" i="1"/>
  <c r="P213" i="1"/>
  <c r="J213" i="1"/>
  <c r="P210" i="1"/>
  <c r="J210" i="1"/>
  <c r="P209" i="1"/>
  <c r="J209" i="1"/>
  <c r="P208" i="1"/>
  <c r="J208" i="1"/>
  <c r="P207" i="1"/>
  <c r="J207" i="1"/>
  <c r="P206" i="1"/>
  <c r="J206" i="1"/>
  <c r="P205" i="1"/>
  <c r="J205" i="1"/>
  <c r="J203" i="1"/>
  <c r="H203" i="1"/>
  <c r="P203" i="1" s="1"/>
  <c r="J202" i="1"/>
  <c r="H202" i="1"/>
  <c r="P202" i="1" s="1"/>
  <c r="P198" i="1"/>
  <c r="J198" i="1"/>
  <c r="P196" i="1"/>
  <c r="J196" i="1"/>
  <c r="P193" i="1"/>
  <c r="J193" i="1"/>
  <c r="P192" i="1"/>
  <c r="J192" i="1"/>
  <c r="J189" i="1"/>
  <c r="P189" i="1"/>
  <c r="P186" i="1"/>
  <c r="J186" i="1"/>
  <c r="J185" i="1"/>
  <c r="P185" i="1"/>
  <c r="P184" i="1"/>
  <c r="J184" i="1"/>
  <c r="P181" i="1"/>
  <c r="J181" i="1"/>
  <c r="J180" i="1"/>
  <c r="P180" i="1"/>
  <c r="P179" i="1"/>
  <c r="J179" i="1"/>
  <c r="P178" i="1"/>
  <c r="J178" i="1"/>
  <c r="J177" i="1"/>
  <c r="P177" i="1"/>
  <c r="J176" i="1"/>
  <c r="P175" i="1"/>
  <c r="J175" i="1"/>
  <c r="P174" i="1"/>
  <c r="J174" i="1"/>
  <c r="P172" i="1"/>
  <c r="R172" i="1" s="1"/>
  <c r="S172" i="1" s="1"/>
  <c r="P171" i="1"/>
  <c r="R171" i="1" s="1"/>
  <c r="S171" i="1" s="1"/>
  <c r="P170" i="1"/>
  <c r="J170" i="1"/>
  <c r="P169" i="1"/>
  <c r="R169" i="1" s="1"/>
  <c r="S169" i="1" s="1"/>
  <c r="P168" i="1"/>
  <c r="J168" i="1"/>
  <c r="P167" i="1"/>
  <c r="J167" i="1"/>
  <c r="P165" i="1"/>
  <c r="R165" i="1" s="1"/>
  <c r="S165" i="1" s="1"/>
  <c r="P164" i="1"/>
  <c r="R164" i="1" s="1"/>
  <c r="S164" i="1" s="1"/>
  <c r="P162" i="1"/>
  <c r="R162" i="1" s="1"/>
  <c r="S162" i="1" s="1"/>
  <c r="P161" i="1"/>
  <c r="R161" i="1" s="1"/>
  <c r="S161" i="1" s="1"/>
  <c r="P160" i="1"/>
  <c r="R160" i="1" s="1"/>
  <c r="S160" i="1" s="1"/>
  <c r="P159" i="1"/>
  <c r="R159" i="1" s="1"/>
  <c r="S159" i="1" s="1"/>
  <c r="P158" i="1"/>
  <c r="R158" i="1" s="1"/>
  <c r="S158" i="1" s="1"/>
  <c r="P157" i="1"/>
  <c r="R157" i="1" s="1"/>
  <c r="S157" i="1" s="1"/>
  <c r="P155" i="1"/>
  <c r="R155" i="1" s="1"/>
  <c r="S155" i="1" s="1"/>
  <c r="P150" i="1"/>
  <c r="J150" i="1"/>
  <c r="J149" i="1"/>
  <c r="P149" i="1"/>
  <c r="P148" i="1"/>
  <c r="J148" i="1"/>
  <c r="P147" i="1"/>
  <c r="J147" i="1"/>
  <c r="P145" i="1"/>
  <c r="R145" i="1" s="1"/>
  <c r="S145" i="1" s="1"/>
  <c r="P144" i="1"/>
  <c r="R144" i="1" s="1"/>
  <c r="S144" i="1" s="1"/>
  <c r="P143" i="1"/>
  <c r="R143" i="1" s="1"/>
  <c r="S143" i="1" s="1"/>
  <c r="P142" i="1"/>
  <c r="R142" i="1" s="1"/>
  <c r="S142" i="1" s="1"/>
  <c r="P139" i="1"/>
  <c r="J139" i="1"/>
  <c r="J137" i="1"/>
  <c r="P136" i="1"/>
  <c r="J136" i="1"/>
  <c r="J135" i="1"/>
  <c r="P135" i="1"/>
  <c r="J134" i="1"/>
  <c r="J133" i="1"/>
  <c r="P133" i="1"/>
  <c r="J132" i="1"/>
  <c r="P128" i="1"/>
  <c r="J128" i="1"/>
  <c r="P127" i="1"/>
  <c r="R127" i="1" s="1"/>
  <c r="S127" i="1" s="1"/>
  <c r="P126" i="1"/>
  <c r="R126" i="1" s="1"/>
  <c r="S126" i="1" s="1"/>
  <c r="P125" i="1"/>
  <c r="R125" i="1" s="1"/>
  <c r="S125" i="1" s="1"/>
  <c r="P124" i="1"/>
  <c r="R124" i="1" s="1"/>
  <c r="S124" i="1" s="1"/>
  <c r="P122" i="1"/>
  <c r="R122" i="1" s="1"/>
  <c r="S122" i="1" s="1"/>
  <c r="P121" i="1"/>
  <c r="R121" i="1" s="1"/>
  <c r="S121" i="1" s="1"/>
  <c r="P120" i="1"/>
  <c r="R120" i="1" s="1"/>
  <c r="S120" i="1" s="1"/>
  <c r="P119" i="1"/>
  <c r="R119" i="1" s="1"/>
  <c r="S119" i="1" s="1"/>
  <c r="P118" i="1"/>
  <c r="R118" i="1" s="1"/>
  <c r="S118" i="1" s="1"/>
  <c r="P117" i="1"/>
  <c r="R117" i="1" s="1"/>
  <c r="S117" i="1" s="1"/>
  <c r="P116" i="1"/>
  <c r="R116" i="1" s="1"/>
  <c r="S116" i="1" s="1"/>
  <c r="P115" i="1"/>
  <c r="R115" i="1" s="1"/>
  <c r="S115" i="1" s="1"/>
  <c r="P114" i="1"/>
  <c r="R114" i="1" s="1"/>
  <c r="S114" i="1" s="1"/>
  <c r="P110" i="1"/>
  <c r="R110" i="1" s="1"/>
  <c r="S110" i="1" s="1"/>
  <c r="P109" i="1"/>
  <c r="R109" i="1" s="1"/>
  <c r="S109" i="1" s="1"/>
  <c r="P104" i="1"/>
  <c r="R104" i="1" s="1"/>
  <c r="S104" i="1" s="1"/>
  <c r="P102" i="1"/>
  <c r="R102" i="1" s="1"/>
  <c r="S102" i="1" s="1"/>
  <c r="P100" i="1"/>
  <c r="R100" i="1" s="1"/>
  <c r="S100" i="1" s="1"/>
  <c r="P98" i="1"/>
  <c r="R98" i="1" s="1"/>
  <c r="S98" i="1" s="1"/>
  <c r="P97" i="1"/>
  <c r="R97" i="1" s="1"/>
  <c r="S97" i="1" s="1"/>
  <c r="P89" i="1"/>
  <c r="R89" i="1" s="1"/>
  <c r="S89" i="1" s="1"/>
  <c r="P85" i="1"/>
  <c r="R85" i="1" s="1"/>
  <c r="S85" i="1" s="1"/>
  <c r="P77" i="1"/>
  <c r="R77" i="1" s="1"/>
  <c r="S77" i="1" s="1"/>
  <c r="P76" i="1"/>
  <c r="R76" i="1" s="1"/>
  <c r="S76" i="1" s="1"/>
  <c r="P75" i="1"/>
  <c r="R75" i="1" s="1"/>
  <c r="S75" i="1" s="1"/>
  <c r="P74" i="1"/>
  <c r="R74" i="1" s="1"/>
  <c r="S74" i="1" s="1"/>
  <c r="P70" i="1"/>
  <c r="R70" i="1" s="1"/>
  <c r="S70" i="1" s="1"/>
  <c r="P69" i="1"/>
  <c r="R69" i="1" s="1"/>
  <c r="S69" i="1" s="1"/>
  <c r="P67" i="1"/>
  <c r="R67" i="1" s="1"/>
  <c r="S67" i="1" s="1"/>
  <c r="R64" i="1"/>
  <c r="S64" i="1" s="1"/>
  <c r="P61" i="1"/>
  <c r="R61" i="1" s="1"/>
  <c r="S61" i="1" s="1"/>
  <c r="P59" i="1"/>
  <c r="R59" i="1" s="1"/>
  <c r="S59" i="1" s="1"/>
  <c r="P58" i="1"/>
  <c r="R58" i="1" s="1"/>
  <c r="S58" i="1" s="1"/>
  <c r="P57" i="1"/>
  <c r="R57" i="1" s="1"/>
  <c r="S57" i="1" s="1"/>
  <c r="P50" i="1"/>
  <c r="R50" i="1" s="1"/>
  <c r="S50" i="1" s="1"/>
  <c r="P49" i="1"/>
  <c r="R49" i="1" s="1"/>
  <c r="S49" i="1" s="1"/>
  <c r="P48" i="1"/>
  <c r="R48" i="1" s="1"/>
  <c r="S48" i="1" s="1"/>
  <c r="J44" i="1"/>
  <c r="R44" i="1" s="1"/>
  <c r="S44" i="1" s="1"/>
  <c r="P43" i="1"/>
  <c r="J43" i="1"/>
  <c r="P42" i="1"/>
  <c r="J42" i="1"/>
  <c r="P40" i="1"/>
  <c r="J40" i="1"/>
  <c r="P38" i="1"/>
  <c r="R38" i="1" s="1"/>
  <c r="S38" i="1" s="1"/>
  <c r="P29" i="1"/>
  <c r="J29" i="1"/>
  <c r="P24" i="1"/>
  <c r="R24" i="1" s="1"/>
  <c r="S24" i="1" s="1"/>
  <c r="P22" i="1"/>
  <c r="R22" i="1" s="1"/>
  <c r="S22" i="1" s="1"/>
  <c r="P21" i="1"/>
  <c r="R21" i="1" s="1"/>
  <c r="S21" i="1" s="1"/>
  <c r="P18" i="1"/>
  <c r="R18" i="1" s="1"/>
  <c r="S18" i="1" s="1"/>
  <c r="P17" i="1"/>
  <c r="R17" i="1" s="1"/>
  <c r="S17" i="1" s="1"/>
  <c r="P16" i="1"/>
  <c r="R16" i="1" s="1"/>
  <c r="S16" i="1" s="1"/>
  <c r="P15" i="1"/>
  <c r="J15" i="1"/>
  <c r="P14" i="1"/>
  <c r="R14" i="1" s="1"/>
  <c r="S14" i="1" s="1"/>
  <c r="P13" i="1"/>
  <c r="J13" i="1"/>
  <c r="P12" i="1"/>
  <c r="R12" i="1" s="1"/>
  <c r="S12" i="1" s="1"/>
  <c r="P10" i="1"/>
  <c r="R10" i="1" s="1"/>
  <c r="S10" i="1" s="1"/>
  <c r="P9" i="1"/>
  <c r="R9" i="1" s="1"/>
  <c r="S9" i="1" s="1"/>
  <c r="P8" i="1"/>
  <c r="R8" i="1" s="1"/>
  <c r="S8" i="1" s="1"/>
  <c r="P7" i="1"/>
  <c r="R7" i="1" s="1"/>
  <c r="S7" i="1" s="1"/>
  <c r="P6" i="1"/>
  <c r="R6" i="1" s="1"/>
  <c r="S6" i="1" s="1"/>
  <c r="R128" i="1" l="1"/>
  <c r="S128" i="1" s="1"/>
  <c r="R1071" i="1"/>
  <c r="S1071" i="1" s="1"/>
  <c r="R549" i="1"/>
  <c r="S549" i="1" s="1"/>
  <c r="R1103" i="1"/>
  <c r="S1103" i="1" s="1"/>
  <c r="R1105" i="1"/>
  <c r="S1105" i="1" s="1"/>
  <c r="R1074" i="1"/>
  <c r="S1074" i="1" s="1"/>
  <c r="R1081" i="1"/>
  <c r="S1081" i="1" s="1"/>
  <c r="R1083" i="1"/>
  <c r="S1083" i="1" s="1"/>
  <c r="R1109" i="1"/>
  <c r="S1109" i="1" s="1"/>
  <c r="R1111" i="1"/>
  <c r="S1111" i="1" s="1"/>
  <c r="R1062" i="1"/>
  <c r="S1062" i="1" s="1"/>
  <c r="R998" i="1"/>
  <c r="S998" i="1" s="1"/>
  <c r="R1047" i="1"/>
  <c r="S1047" i="1" s="1"/>
  <c r="R919" i="1"/>
  <c r="S919" i="1" s="1"/>
  <c r="R942" i="1"/>
  <c r="S942" i="1" s="1"/>
  <c r="R946" i="1"/>
  <c r="S946" i="1" s="1"/>
  <c r="R570" i="1"/>
  <c r="S570" i="1" s="1"/>
  <c r="R593" i="1"/>
  <c r="S593" i="1" s="1"/>
  <c r="R697" i="1"/>
  <c r="S697" i="1" s="1"/>
  <c r="R800" i="1"/>
  <c r="S800" i="1" s="1"/>
  <c r="R839" i="1"/>
  <c r="S839" i="1" s="1"/>
  <c r="R503" i="1"/>
  <c r="S503" i="1" s="1"/>
  <c r="R513" i="1"/>
  <c r="S513" i="1" s="1"/>
  <c r="R550" i="1"/>
  <c r="S550" i="1" s="1"/>
  <c r="R557" i="1"/>
  <c r="S557" i="1" s="1"/>
  <c r="R569" i="1"/>
  <c r="S569" i="1" s="1"/>
  <c r="R594" i="1"/>
  <c r="S594" i="1" s="1"/>
  <c r="R920" i="1"/>
  <c r="S920" i="1" s="1"/>
  <c r="R943" i="1"/>
  <c r="S943" i="1" s="1"/>
  <c r="R626" i="1"/>
  <c r="S626" i="1" s="1"/>
  <c r="R844" i="1"/>
  <c r="S844" i="1" s="1"/>
  <c r="R198" i="1"/>
  <c r="S198" i="1" s="1"/>
  <c r="R300" i="1"/>
  <c r="S300" i="1" s="1"/>
  <c r="R644" i="1"/>
  <c r="S644" i="1" s="1"/>
  <c r="R406" i="1"/>
  <c r="S406" i="1" s="1"/>
  <c r="R407" i="1"/>
  <c r="S407" i="1" s="1"/>
  <c r="R409" i="1"/>
  <c r="S409" i="1" s="1"/>
  <c r="R413" i="1"/>
  <c r="S413" i="1" s="1"/>
  <c r="R645" i="1"/>
  <c r="S645" i="1" s="1"/>
  <c r="R295" i="1"/>
  <c r="S295" i="1" s="1"/>
  <c r="R335" i="1"/>
  <c r="S335" i="1" s="1"/>
  <c r="R760" i="1"/>
  <c r="S760" i="1" s="1"/>
  <c r="R135" i="1"/>
  <c r="S135" i="1" s="1"/>
  <c r="R221" i="1"/>
  <c r="S221" i="1" s="1"/>
  <c r="R224" i="1"/>
  <c r="S224" i="1" s="1"/>
  <c r="R229" i="1"/>
  <c r="S229" i="1" s="1"/>
  <c r="R350" i="1"/>
  <c r="S350" i="1" s="1"/>
  <c r="R489" i="1"/>
  <c r="S489" i="1" s="1"/>
  <c r="R491" i="1"/>
  <c r="S491" i="1" s="1"/>
  <c r="R196" i="1"/>
  <c r="S196" i="1" s="1"/>
  <c r="R408" i="1"/>
  <c r="S408" i="1" s="1"/>
  <c r="R412" i="1"/>
  <c r="S412" i="1" s="1"/>
  <c r="R418" i="1"/>
  <c r="S418" i="1" s="1"/>
  <c r="R708" i="1"/>
  <c r="S708" i="1" s="1"/>
  <c r="R714" i="1"/>
  <c r="S714" i="1" s="1"/>
  <c r="R724" i="1"/>
  <c r="S724" i="1" s="1"/>
  <c r="R757" i="1"/>
  <c r="S757" i="1" s="1"/>
  <c r="R763" i="1"/>
  <c r="S763" i="1" s="1"/>
  <c r="R799" i="1"/>
  <c r="S799" i="1" s="1"/>
  <c r="R147" i="1"/>
  <c r="S147" i="1" s="1"/>
  <c r="R139" i="1"/>
  <c r="S139" i="1" s="1"/>
  <c r="R148" i="1"/>
  <c r="S148" i="1" s="1"/>
  <c r="R193" i="1"/>
  <c r="S193" i="1" s="1"/>
  <c r="R203" i="1"/>
  <c r="S203" i="1" s="1"/>
  <c r="R230" i="1"/>
  <c r="S230" i="1" s="1"/>
  <c r="R352" i="1"/>
  <c r="S352" i="1" s="1"/>
  <c r="R488" i="1"/>
  <c r="S488" i="1" s="1"/>
  <c r="R490" i="1"/>
  <c r="S490" i="1" s="1"/>
  <c r="R493" i="1"/>
  <c r="S493" i="1" s="1"/>
  <c r="R508" i="1"/>
  <c r="S508" i="1" s="1"/>
  <c r="R514" i="1"/>
  <c r="S514" i="1" s="1"/>
  <c r="R758" i="1"/>
  <c r="S758" i="1" s="1"/>
  <c r="R991" i="1"/>
  <c r="S991" i="1" s="1"/>
  <c r="R13" i="1"/>
  <c r="S13" i="1" s="1"/>
  <c r="R179" i="1"/>
  <c r="S179" i="1" s="1"/>
  <c r="R181" i="1"/>
  <c r="S181" i="1" s="1"/>
  <c r="R205" i="1"/>
  <c r="S205" i="1" s="1"/>
  <c r="R207" i="1"/>
  <c r="S207" i="1" s="1"/>
  <c r="R548" i="1"/>
  <c r="S548" i="1" s="1"/>
  <c r="R705" i="1"/>
  <c r="S705" i="1" s="1"/>
  <c r="R723" i="1"/>
  <c r="S723" i="1" s="1"/>
  <c r="R727" i="1"/>
  <c r="S727" i="1" s="1"/>
  <c r="R765" i="1"/>
  <c r="S765" i="1" s="1"/>
  <c r="R769" i="1"/>
  <c r="S769" i="1" s="1"/>
  <c r="R843" i="1"/>
  <c r="S843" i="1" s="1"/>
  <c r="R845" i="1"/>
  <c r="S845" i="1" s="1"/>
  <c r="R847" i="1"/>
  <c r="S847" i="1" s="1"/>
  <c r="R890" i="1"/>
  <c r="S890" i="1" s="1"/>
  <c r="R903" i="1"/>
  <c r="S903" i="1" s="1"/>
  <c r="R907" i="1"/>
  <c r="S907" i="1" s="1"/>
  <c r="R952" i="1"/>
  <c r="S952" i="1" s="1"/>
  <c r="R959" i="1"/>
  <c r="S959" i="1" s="1"/>
  <c r="R1061" i="1"/>
  <c r="S1061" i="1" s="1"/>
  <c r="R1075" i="1"/>
  <c r="S1075" i="1" s="1"/>
  <c r="R1080" i="1"/>
  <c r="S1080" i="1" s="1"/>
  <c r="R1082" i="1"/>
  <c r="S1082" i="1" s="1"/>
  <c r="R1084" i="1"/>
  <c r="S1084" i="1" s="1"/>
  <c r="R627" i="1"/>
  <c r="S627" i="1" s="1"/>
  <c r="R698" i="1"/>
  <c r="S698" i="1" s="1"/>
  <c r="R704" i="1"/>
  <c r="S704" i="1" s="1"/>
  <c r="R840" i="1"/>
  <c r="S840" i="1" s="1"/>
  <c r="R995" i="1"/>
  <c r="S995" i="1" s="1"/>
  <c r="R997" i="1"/>
  <c r="S997" i="1" s="1"/>
  <c r="R1046" i="1"/>
  <c r="S1046" i="1" s="1"/>
  <c r="R178" i="1"/>
  <c r="S178" i="1" s="1"/>
  <c r="R184" i="1"/>
  <c r="S184" i="1" s="1"/>
  <c r="R202" i="1"/>
  <c r="S202" i="1" s="1"/>
  <c r="R206" i="1"/>
  <c r="S206" i="1" s="1"/>
  <c r="R208" i="1"/>
  <c r="S208" i="1" s="1"/>
  <c r="R261" i="1"/>
  <c r="S261" i="1" s="1"/>
  <c r="R273" i="1"/>
  <c r="S273" i="1" s="1"/>
  <c r="R484" i="1"/>
  <c r="S484" i="1" s="1"/>
  <c r="R653" i="1"/>
  <c r="S653" i="1" s="1"/>
  <c r="R766" i="1"/>
  <c r="S766" i="1" s="1"/>
  <c r="R846" i="1"/>
  <c r="S846" i="1" s="1"/>
  <c r="R848" i="1"/>
  <c r="S848" i="1" s="1"/>
  <c r="R904" i="1"/>
  <c r="S904" i="1" s="1"/>
  <c r="R908" i="1"/>
  <c r="S908" i="1" s="1"/>
  <c r="R951" i="1"/>
  <c r="S951" i="1" s="1"/>
  <c r="R15" i="1"/>
  <c r="S15" i="1" s="1"/>
  <c r="R42" i="1"/>
  <c r="S42" i="1" s="1"/>
  <c r="R136" i="1"/>
  <c r="S136" i="1" s="1"/>
  <c r="R149" i="1"/>
  <c r="S149" i="1" s="1"/>
  <c r="R168" i="1"/>
  <c r="S168" i="1" s="1"/>
  <c r="R174" i="1"/>
  <c r="S174" i="1" s="1"/>
  <c r="R177" i="1"/>
  <c r="S177" i="1" s="1"/>
  <c r="R185" i="1"/>
  <c r="S185" i="1" s="1"/>
  <c r="R189" i="1"/>
  <c r="S189" i="1" s="1"/>
  <c r="R192" i="1"/>
  <c r="S192" i="1" s="1"/>
  <c r="R209" i="1"/>
  <c r="S209" i="1" s="1"/>
  <c r="R214" i="1"/>
  <c r="S214" i="1" s="1"/>
  <c r="R219" i="1"/>
  <c r="S219" i="1" s="1"/>
  <c r="R259" i="1"/>
  <c r="S259" i="1" s="1"/>
  <c r="R263" i="1"/>
  <c r="S263" i="1" s="1"/>
  <c r="R298" i="1"/>
  <c r="S298" i="1" s="1"/>
  <c r="R321" i="1"/>
  <c r="S321" i="1" s="1"/>
  <c r="R324" i="1"/>
  <c r="S324" i="1" s="1"/>
  <c r="R353" i="1"/>
  <c r="S353" i="1" s="1"/>
  <c r="R356" i="1"/>
  <c r="S356" i="1" s="1"/>
  <c r="R362" i="1"/>
  <c r="S362" i="1" s="1"/>
  <c r="R380" i="1"/>
  <c r="S380" i="1" s="1"/>
  <c r="R384" i="1"/>
  <c r="S384" i="1" s="1"/>
  <c r="R495" i="1"/>
  <c r="S495" i="1" s="1"/>
  <c r="R497" i="1"/>
  <c r="S497" i="1" s="1"/>
  <c r="R502" i="1"/>
  <c r="S502" i="1" s="1"/>
  <c r="R512" i="1"/>
  <c r="S512" i="1" s="1"/>
  <c r="R533" i="1"/>
  <c r="S533" i="1" s="1"/>
  <c r="R559" i="1"/>
  <c r="S559" i="1" s="1"/>
  <c r="R632" i="1"/>
  <c r="S632" i="1" s="1"/>
  <c r="R636" i="1"/>
  <c r="S636" i="1" s="1"/>
  <c r="R641" i="1"/>
  <c r="S641" i="1" s="1"/>
  <c r="R647" i="1"/>
  <c r="S647" i="1" s="1"/>
  <c r="R651" i="1"/>
  <c r="S651" i="1" s="1"/>
  <c r="R655" i="1"/>
  <c r="S655" i="1" s="1"/>
  <c r="R657" i="1"/>
  <c r="S657" i="1" s="1"/>
  <c r="R755" i="1"/>
  <c r="S755" i="1" s="1"/>
  <c r="R770" i="1"/>
  <c r="S770" i="1" s="1"/>
  <c r="R796" i="1"/>
  <c r="S796" i="1" s="1"/>
  <c r="R842" i="1"/>
  <c r="S842" i="1" s="1"/>
  <c r="R902" i="1"/>
  <c r="S902" i="1" s="1"/>
  <c r="R909" i="1"/>
  <c r="S909" i="1" s="1"/>
  <c r="R967" i="1"/>
  <c r="S967" i="1" s="1"/>
  <c r="R981" i="1"/>
  <c r="S981" i="1" s="1"/>
  <c r="R983" i="1"/>
  <c r="S983" i="1" s="1"/>
  <c r="R985" i="1"/>
  <c r="S985" i="1" s="1"/>
  <c r="R990" i="1"/>
  <c r="S990" i="1" s="1"/>
  <c r="R996" i="1"/>
  <c r="S996" i="1" s="1"/>
  <c r="R1014" i="1"/>
  <c r="S1014" i="1" s="1"/>
  <c r="R1016" i="1"/>
  <c r="S1016" i="1" s="1"/>
  <c r="R1050" i="1"/>
  <c r="S1050" i="1" s="1"/>
  <c r="R1108" i="1"/>
  <c r="S1108" i="1" s="1"/>
  <c r="R1110" i="1"/>
  <c r="S1110" i="1" s="1"/>
  <c r="R1104" i="1"/>
  <c r="S1104" i="1" s="1"/>
  <c r="R1106" i="1"/>
  <c r="S1106" i="1" s="1"/>
  <c r="R43" i="1"/>
  <c r="S43" i="1" s="1"/>
  <c r="R133" i="1"/>
  <c r="S133" i="1" s="1"/>
  <c r="R167" i="1"/>
  <c r="S167" i="1" s="1"/>
  <c r="R175" i="1"/>
  <c r="S175" i="1" s="1"/>
  <c r="R180" i="1"/>
  <c r="S180" i="1" s="1"/>
  <c r="R210" i="1"/>
  <c r="S210" i="1" s="1"/>
  <c r="R213" i="1"/>
  <c r="S213" i="1" s="1"/>
  <c r="R218" i="1"/>
  <c r="S218" i="1" s="1"/>
  <c r="R220" i="1"/>
  <c r="S220" i="1" s="1"/>
  <c r="R258" i="1"/>
  <c r="S258" i="1" s="1"/>
  <c r="R262" i="1"/>
  <c r="S262" i="1" s="1"/>
  <c r="R323" i="1"/>
  <c r="S323" i="1" s="1"/>
  <c r="R359" i="1"/>
  <c r="S359" i="1" s="1"/>
  <c r="R381" i="1"/>
  <c r="S381" i="1" s="1"/>
  <c r="R385" i="1"/>
  <c r="S385" i="1" s="1"/>
  <c r="R469" i="1"/>
  <c r="S469" i="1" s="1"/>
  <c r="R470" i="1"/>
  <c r="S470" i="1" s="1"/>
  <c r="R510" i="1"/>
  <c r="S510" i="1" s="1"/>
  <c r="R532" i="1"/>
  <c r="S532" i="1" s="1"/>
  <c r="R534" i="1"/>
  <c r="S534" i="1" s="1"/>
  <c r="R633" i="1"/>
  <c r="S633" i="1" s="1"/>
  <c r="R643" i="1"/>
  <c r="S643" i="1" s="1"/>
  <c r="R650" i="1"/>
  <c r="S650" i="1" s="1"/>
  <c r="R652" i="1"/>
  <c r="S652" i="1" s="1"/>
  <c r="R654" i="1"/>
  <c r="S654" i="1" s="1"/>
  <c r="R703" i="1"/>
  <c r="S703" i="1" s="1"/>
  <c r="R756" i="1"/>
  <c r="S756" i="1" s="1"/>
  <c r="R762" i="1"/>
  <c r="S762" i="1" s="1"/>
  <c r="R764" i="1"/>
  <c r="S764" i="1" s="1"/>
  <c r="R841" i="1"/>
  <c r="S841" i="1" s="1"/>
  <c r="R910" i="1"/>
  <c r="S910" i="1" s="1"/>
  <c r="R979" i="1"/>
  <c r="S979" i="1" s="1"/>
  <c r="R980" i="1"/>
  <c r="S980" i="1" s="1"/>
  <c r="R984" i="1"/>
  <c r="S984" i="1" s="1"/>
  <c r="R986" i="1"/>
  <c r="S986" i="1" s="1"/>
  <c r="R993" i="1"/>
  <c r="S993" i="1" s="1"/>
  <c r="R1015" i="1"/>
  <c r="S1015" i="1" s="1"/>
  <c r="R1043" i="1"/>
  <c r="S1043" i="1" s="1"/>
  <c r="R862" i="1"/>
  <c r="S862" i="1" s="1"/>
  <c r="R150" i="1"/>
  <c r="S150" i="1" s="1"/>
  <c r="R504" i="1"/>
  <c r="S504" i="1" s="1"/>
  <c r="R506" i="1"/>
  <c r="S506" i="1" s="1"/>
  <c r="R648" i="1"/>
  <c r="S648" i="1" s="1"/>
  <c r="R251" i="1"/>
  <c r="S251" i="1" s="1"/>
  <c r="R938" i="1"/>
  <c r="S938" i="1" s="1"/>
  <c r="R989" i="1"/>
  <c r="S989" i="1" s="1"/>
  <c r="R351" i="1"/>
  <c r="S351" i="1" s="1"/>
  <c r="R496" i="1"/>
  <c r="S496" i="1" s="1"/>
  <c r="R29" i="1"/>
  <c r="S29" i="1" s="1"/>
  <c r="R170" i="1"/>
  <c r="S170" i="1" s="1"/>
  <c r="R186" i="1"/>
  <c r="S186" i="1" s="1"/>
  <c r="R354" i="1"/>
  <c r="S354" i="1" s="1"/>
  <c r="R505" i="1"/>
  <c r="S505" i="1" s="1"/>
  <c r="R507" i="1"/>
  <c r="S507" i="1" s="1"/>
  <c r="R222" i="1"/>
  <c r="S222" i="1" s="1"/>
  <c r="R223" i="1"/>
  <c r="S223" i="1" s="1"/>
  <c r="R225" i="1"/>
  <c r="S225" i="1" s="1"/>
  <c r="R252" i="1"/>
  <c r="S252" i="1" s="1"/>
  <c r="R275" i="1"/>
  <c r="S275" i="1" s="1"/>
  <c r="R336" i="1"/>
  <c r="S336" i="1" s="1"/>
  <c r="R476" i="1"/>
  <c r="S476" i="1" s="1"/>
  <c r="R478" i="1"/>
  <c r="S478" i="1" s="1"/>
  <c r="R753" i="1"/>
  <c r="S753" i="1" s="1"/>
  <c r="R767" i="1"/>
  <c r="S767" i="1" s="1"/>
  <c r="R901" i="1"/>
  <c r="S901" i="1" s="1"/>
  <c r="R939" i="1"/>
  <c r="S939" i="1" s="1"/>
  <c r="R988" i="1"/>
  <c r="S988" i="1" s="1"/>
  <c r="R305" i="1"/>
  <c r="S305" i="1" s="1"/>
  <c r="R477" i="1"/>
  <c r="S477" i="1" s="1"/>
  <c r="R589" i="1"/>
  <c r="S589" i="1" s="1"/>
  <c r="R656" i="1"/>
  <c r="S656" i="1" s="1"/>
  <c r="R759" i="1"/>
  <c r="S759" i="1" s="1"/>
  <c r="R768" i="1"/>
  <c r="S768" i="1" s="1"/>
  <c r="R771" i="1"/>
  <c r="S771" i="1" s="1"/>
  <c r="R797" i="1"/>
  <c r="S797" i="1" s="1"/>
  <c r="R947" i="1"/>
  <c r="S947" i="1" s="1"/>
  <c r="P176" i="1"/>
  <c r="R176" i="1" s="1"/>
  <c r="S176" i="1" s="1"/>
  <c r="R260" i="1"/>
  <c r="S260" i="1" s="1"/>
  <c r="P132" i="1"/>
  <c r="R132" i="1" s="1"/>
  <c r="S132" i="1" s="1"/>
  <c r="P299" i="1"/>
  <c r="R299" i="1" s="1"/>
  <c r="S299" i="1" s="1"/>
  <c r="R40" i="1"/>
  <c r="S40" i="1" s="1"/>
  <c r="P134" i="1"/>
  <c r="R134" i="1" s="1"/>
  <c r="S134" i="1" s="1"/>
  <c r="P137" i="1"/>
  <c r="R137" i="1" s="1"/>
  <c r="S137" i="1" s="1"/>
  <c r="R312" i="1"/>
  <c r="S312" i="1" s="1"/>
  <c r="R355" i="1"/>
  <c r="S355" i="1" s="1"/>
  <c r="P473" i="1"/>
  <c r="R473" i="1" s="1"/>
  <c r="S473" i="1" s="1"/>
  <c r="R558" i="1"/>
  <c r="S558" i="1" s="1"/>
  <c r="R313" i="1"/>
  <c r="S313" i="1" s="1"/>
  <c r="R535" i="1"/>
  <c r="S535" i="1" s="1"/>
  <c r="R630" i="1"/>
  <c r="S630" i="1" s="1"/>
  <c r="R629" i="1"/>
  <c r="S629" i="1" s="1"/>
  <c r="P743" i="1"/>
  <c r="R743" i="1" s="1"/>
  <c r="S743" i="1" s="1"/>
  <c r="R814" i="1"/>
  <c r="S814" i="1" s="1"/>
  <c r="R905" i="1"/>
  <c r="S905" i="1" s="1"/>
  <c r="R662" i="1"/>
  <c r="S662" i="1" s="1"/>
  <c r="R715" i="1"/>
  <c r="S715" i="1" s="1"/>
  <c r="R1042" i="1"/>
  <c r="S1042" i="1" s="1"/>
  <c r="R982" i="1"/>
  <c r="S982" i="1" s="1"/>
  <c r="P1034" i="1"/>
  <c r="R1034" i="1" s="1"/>
  <c r="S1034" i="1" s="1"/>
  <c r="S1134" i="1" l="1"/>
  <c r="R1134" i="1"/>
</calcChain>
</file>

<file path=xl/sharedStrings.xml><?xml version="1.0" encoding="utf-8"?>
<sst xmlns="http://schemas.openxmlformats.org/spreadsheetml/2006/main" count="7042" uniqueCount="946">
  <si>
    <t>NAMA BARANG</t>
  </si>
  <si>
    <t>SUPLIER</t>
  </si>
  <si>
    <t>STOCK AWAL</t>
  </si>
  <si>
    <t>JML PER KARTON</t>
  </si>
  <si>
    <t>HARGA SATUAN</t>
  </si>
  <si>
    <t>JUMLAH TERJUAL</t>
  </si>
  <si>
    <t>SISA STOCK</t>
  </si>
  <si>
    <t>JUMLAH AKHIR BAHAN</t>
  </si>
  <si>
    <t>JMLH DPP (11%) AKHIR BAHAN</t>
  </si>
  <si>
    <t>M</t>
  </si>
  <si>
    <t>S</t>
  </si>
  <si>
    <t>+PPN</t>
  </si>
  <si>
    <t>UNIT</t>
  </si>
  <si>
    <t>DISK 1 (%)</t>
  </si>
  <si>
    <t>DISK 2 (%)</t>
  </si>
  <si>
    <t>ASAHAN / SHARPENER</t>
  </si>
  <si>
    <t>ASAHAN MEJA</t>
  </si>
  <si>
    <t>ASAHAN MEJA JOYKO A-5M</t>
  </si>
  <si>
    <t>PT ATALI MAKMUR</t>
  </si>
  <si>
    <t>PC</t>
  </si>
  <si>
    <t>C</t>
  </si>
  <si>
    <t>ASAHAN MEJA JOYKO A-19 KERETA KECIL</t>
  </si>
  <si>
    <t>ASAHAN MEJA JOYKO A-20 RUMAH</t>
  </si>
  <si>
    <t>ASAHAN MEJA JOYKO A-30 KUCING</t>
  </si>
  <si>
    <t>ASAHAN MEJA KENKO A-1</t>
  </si>
  <si>
    <t>PT KENKO SINAR INDONESIA</t>
  </si>
  <si>
    <t>ASAHAN MEJA KENKO A-2</t>
  </si>
  <si>
    <t>ASAHAN MEJA KENKO A-3</t>
  </si>
  <si>
    <t>ASAHAN MEJA KENKO A-5B</t>
  </si>
  <si>
    <t>ASAHAN MEJA KENKO F-4 FT</t>
  </si>
  <si>
    <t>ASAHAN MEJA KENKO F-4T</t>
  </si>
  <si>
    <t>ASAHAN TANGAN</t>
  </si>
  <si>
    <t>ASAHAN JOYKO B-23 (isi 12 pc) TONG 1 LOBANG</t>
  </si>
  <si>
    <t>BOX</t>
  </si>
  <si>
    <t>ASAHAN JOYKO SP-362 (isi 24 pc)</t>
  </si>
  <si>
    <t>ASAHAN JOYKO B-153 (isi 36 pc)</t>
  </si>
  <si>
    <t>BUKU</t>
  </si>
  <si>
    <t>BUKU TAMU</t>
  </si>
  <si>
    <t>BUKU TAMU JOYART GB-2833 R-7 (BATIK)</t>
  </si>
  <si>
    <t>BUKU TAMU KENKO BT-2920-01/03 (BUNGA)</t>
  </si>
  <si>
    <t>LS</t>
  </si>
  <si>
    <t>BUKU TAMU KENKO BT-2920-BTK02/03 (BATIK)</t>
  </si>
  <si>
    <t>BUKU TAMU KENKO BT-3224-BTK (BATIK)</t>
  </si>
  <si>
    <t>CALCULATOR</t>
  </si>
  <si>
    <t>CALCULATOR JOYKO CC-6</t>
  </si>
  <si>
    <t>PT KALINDO SUKSES</t>
  </si>
  <si>
    <t>CALCULATOR JOYKO CC-8A</t>
  </si>
  <si>
    <t>CALCULATOR JOYKO CC-8CO (Br,Hj,Or)</t>
  </si>
  <si>
    <t>CALCULATOR JOYKO CC-11A</t>
  </si>
  <si>
    <t>CALCULATOR JOYKO CC-12CO</t>
  </si>
  <si>
    <t>CALCULATOR JOYKO CC-15A</t>
  </si>
  <si>
    <t>CALCULATOR JOYKO CC-21 WARNA (Ung,Kn,Br)</t>
  </si>
  <si>
    <t>CALCULATOR JOYKO CC-23</t>
  </si>
  <si>
    <t>CALCULATOR JOYKO CC-25</t>
  </si>
  <si>
    <t>CALCULATOR JOYKO CC-33</t>
  </si>
  <si>
    <t>CALCULATOR JOYKO CC-35</t>
  </si>
  <si>
    <t>CALCULATOR JOYKO CC-36 WARNA (Br,Kn,Hj)</t>
  </si>
  <si>
    <t>CALCULATOR JOYKO CC-37</t>
  </si>
  <si>
    <t>CALCULATOR JOYKO CC-38</t>
  </si>
  <si>
    <t>CALCULATOR JOYKO CC-40</t>
  </si>
  <si>
    <t>CALCULATOR JOYKO CC-41</t>
  </si>
  <si>
    <t>CALCULATOR JOYKO CC-46</t>
  </si>
  <si>
    <t>CALCULATOR JOYKO CC-47CO</t>
  </si>
  <si>
    <t>CALCULATOR JOYKO CC-800</t>
  </si>
  <si>
    <t>CALCULATOR JOYKO CC-800CH</t>
  </si>
  <si>
    <t>CALCULATOR JOYKO CC-810CH</t>
  </si>
  <si>
    <t>CALCULATOR JOYKO CC-868</t>
  </si>
  <si>
    <t>CALCULATOR JOYKO DTC-1313CH</t>
  </si>
  <si>
    <t>CALCULATOR JOYKO DTC-1516</t>
  </si>
  <si>
    <t>CALCULATOR JOYKO PKC-0711HC</t>
  </si>
  <si>
    <t>CASH BOX</t>
  </si>
  <si>
    <t>CASH BOX JOYKO CB-27A</t>
  </si>
  <si>
    <t>CASH BOX JOYKO CB-32A</t>
  </si>
  <si>
    <t>CLIP</t>
  </si>
  <si>
    <t>CLIP BINDER</t>
  </si>
  <si>
    <t>BINDER CLIP JOYKO NO. 105 CD (isi 60pc)</t>
  </si>
  <si>
    <t>DRM</t>
  </si>
  <si>
    <t>BINDER CLIP JOYKO NO. 107 CD (isi 40 pc)</t>
  </si>
  <si>
    <t>BINDER CLIP JOYKO NO. 111 CD (isi 48 pc)</t>
  </si>
  <si>
    <t>BINDER CLIP JOYKO NO. 155 CD (isi 24 pc)</t>
  </si>
  <si>
    <t>BINDER CLIP JOYKO NO. 200 CD (isi 24 pc)</t>
  </si>
  <si>
    <t>BINDER CLIP JOYKO NO. 260 CD (isi 12 pc)</t>
  </si>
  <si>
    <t>BINDER CLIP JOYKO 105</t>
  </si>
  <si>
    <t>GRS</t>
  </si>
  <si>
    <t>BINDER CLIP JOYKO 107</t>
  </si>
  <si>
    <t>BINDER CLIP JOYKO 111</t>
  </si>
  <si>
    <t>BINDER CLIP JOYKO 155</t>
  </si>
  <si>
    <t>BINDER CLIP JOYKO 200</t>
  </si>
  <si>
    <t>BINDER CLIP JOYKO 260</t>
  </si>
  <si>
    <t>BINDER CLIP JOYKO 280</t>
  </si>
  <si>
    <t>BINDER CLIP KENKO NO. 105</t>
  </si>
  <si>
    <t>BINDER CLIP KENKO NO. 107</t>
  </si>
  <si>
    <t>BINDER CLIP KENKO NO. 111</t>
  </si>
  <si>
    <t>BINDER CLIP KENKO NO. 155</t>
  </si>
  <si>
    <t>BINDER CLIP KENKO NO. 200</t>
  </si>
  <si>
    <t>BINDER CLIP KENKO NO. 260</t>
  </si>
  <si>
    <t>CLIP PAPER</t>
  </si>
  <si>
    <t>PAPER TRIGONAL CLIP JOYKO NO. 1</t>
  </si>
  <si>
    <t>PAK</t>
  </si>
  <si>
    <t>PAPER TRIGONAL CLIP JOYKO NO. 3</t>
  </si>
  <si>
    <t>PAPER JUMBO CLIP JOYKO NO. 5</t>
  </si>
  <si>
    <t>PAPER CLIP WARNA JOYKO C-3100</t>
  </si>
  <si>
    <t>CAD</t>
  </si>
  <si>
    <t>PAPER TRIGONAL CLIP KENKO NO. 1</t>
  </si>
  <si>
    <t>PAPER TRIGONAL CLIP KENKO NO. 3</t>
  </si>
  <si>
    <t>PAPER JUMBO CLIP KENKO NO. 5</t>
  </si>
  <si>
    <t>PAPER CLIP WARNA KENKO 3100</t>
  </si>
  <si>
    <t>CORRECTION</t>
  </si>
  <si>
    <t>CORRECTION FLUID</t>
  </si>
  <si>
    <t>CORRECTION FLUID JOYKO JK-01</t>
  </si>
  <si>
    <t>CORRECTION FLUID JOYKO JK-101</t>
  </si>
  <si>
    <t>CORRECTION FLUID JOYKO CF-P231</t>
  </si>
  <si>
    <t>CORRECTION FLUID JOYKO CF-S201PT BESI</t>
  </si>
  <si>
    <t>CORRECTION FLUID JOYKO CF-S203A</t>
  </si>
  <si>
    <t>CORRECTION FLUID JOYKO CF-S209</t>
  </si>
  <si>
    <t>CORRECTION FLUID JOYKO CF-S209A</t>
  </si>
  <si>
    <t>CORRECTION FLUID JOYKO CF-S221</t>
  </si>
  <si>
    <t>CORRECTION FLUID JOYKO CF-S224</t>
  </si>
  <si>
    <t>CORRECTION FLUID JOYKO CF-S225</t>
  </si>
  <si>
    <t>CORRECTION FLUID JOYKO CF-S227</t>
  </si>
  <si>
    <t>CORRECTION FLUID JOYKO CF-S233</t>
  </si>
  <si>
    <t>CORRECTION FLUID KENKO BTK-01 BATIK</t>
  </si>
  <si>
    <t>CORRECTION FLUID KENKO FANCY-01 (CB/KR/UR/GP/HH)</t>
  </si>
  <si>
    <t>CORRECTION FLUID KENKO KE-01</t>
  </si>
  <si>
    <t>CORRECTION FLUID KENKO KE-107M</t>
  </si>
  <si>
    <t>CORRECTION FLUID KENKO KE-108</t>
  </si>
  <si>
    <t>CORRECTION FLUID KENKO KE-301</t>
  </si>
  <si>
    <t>CORRECTION FLUID KENKO KE-823M</t>
  </si>
  <si>
    <t>CORRECTION FLUID KENKO KE-826M</t>
  </si>
  <si>
    <t>CORRECTION TAPE</t>
  </si>
  <si>
    <t>CORRECTION TAPE JOYKO CT-507</t>
  </si>
  <si>
    <t>CORRECTION TAPE JOYKO CT-508</t>
  </si>
  <si>
    <t>CORRECTION TAPE JOYKO CT-510A</t>
  </si>
  <si>
    <t>CORRECTION TAPE JOYKO CT-522</t>
  </si>
  <si>
    <t>CORRECTION TAPE JOYKO CT-531</t>
  </si>
  <si>
    <t>CORRECTION TAPE JOYKO CT-533</t>
  </si>
  <si>
    <t>CORRECTION TAPE JOYKO CT-547 (22M)</t>
  </si>
  <si>
    <t>CORRECTION TAPE KENKO CT-202N (6M x 5MM)</t>
  </si>
  <si>
    <t>CORRECTION TAPE KENKO CT-306 (6M x 5MM)</t>
  </si>
  <si>
    <t>CORRECTION TAPE KENKO CT-309 (12M x 5MM)</t>
  </si>
  <si>
    <t>CORRECTION TAPE KENKO CT-363 BTK (6M x 5MM)</t>
  </si>
  <si>
    <t>CORRECTION TAPE KENKO CT-802N (8M x 5MM)</t>
  </si>
  <si>
    <t>CORRECTION TAPE KENKO CT-821N i PUSH (6M x 5MM)</t>
  </si>
  <si>
    <t>CORRECTION TAPE KENKO CT-828 BTK (8M x 5MM)</t>
  </si>
  <si>
    <t>CORRECTION TAPE KENKO CT-831 (8M x 5MM)</t>
  </si>
  <si>
    <t>CORRECTION TAPE KENKO CT-902P (12M x 5MM) TRANSPARAN</t>
  </si>
  <si>
    <t>CORRECTION TAPE KENKO CT-903 (12M x 5MM)</t>
  </si>
  <si>
    <t>CORRECTION TAPE KENKO CT-905 (12M x 5MM)</t>
  </si>
  <si>
    <t>CORRECTION TAPE KENKO CT-906 (12M x 5MM)</t>
  </si>
  <si>
    <t>CRAYON / OIL PASTEL</t>
  </si>
  <si>
    <t>CRAYON / OIL PASTEL JOYKO OP-12CHC COMPACT</t>
  </si>
  <si>
    <t>SET</t>
  </si>
  <si>
    <t>CRAYON / OIL PASTEL JOYKO OP-12CR ROUND (MINI)</t>
  </si>
  <si>
    <t>CRAYON / OIL PASTEL JOYKO OP-12S PP CASE SEA WORLD</t>
  </si>
  <si>
    <t>CRAYON / OIL PASTEL JOYKO OP-18S PP CASE SEA WORLD</t>
  </si>
  <si>
    <t>CRAYON / OIL PASTEL JOYKO OP-24S PP CASE SEA WORLD</t>
  </si>
  <si>
    <t>CRAYON / OIL PASTEL JOYKO OP-36S PP CASE SEA WORLD</t>
  </si>
  <si>
    <t>CRAYON / OIL PASTEL JOYKO OP-48S PP CASE SEA WORLD</t>
  </si>
  <si>
    <t>CRAYON / OIL PASTEL JOYKO OP-55S PP CASE SEA WORLD</t>
  </si>
  <si>
    <t>CRAYON / OIL PASTEL KENKO 12W GARDEN</t>
  </si>
  <si>
    <t>CRAYON / OIL PASTEL KENKO 18W GARDEN</t>
  </si>
  <si>
    <t>CRAYON / OIL PASTEL TITI PL-12NM NEON METALLIC</t>
  </si>
  <si>
    <t>CRAYON / OIL PASTEL TITI OP-12CHC COMPACT/HEXAGONAL</t>
  </si>
  <si>
    <t>CRAYON / OIL PASTEL TITI TI-P-12S</t>
  </si>
  <si>
    <t>CRAYON / OIL PASTEL TITI TI-P-18S</t>
  </si>
  <si>
    <t>CRAYON / OIL PASTEL TITI TI-P-24S</t>
  </si>
  <si>
    <t>CRAYON / OIL PASTEL TITI TI-P-36S</t>
  </si>
  <si>
    <t>CRAYON / OIL PASTEL TITI TI-P-48S</t>
  </si>
  <si>
    <t>CRAYON / OIL PASTEL TITI TI-P-55S</t>
  </si>
  <si>
    <t>CRAYON PUTAR</t>
  </si>
  <si>
    <t>CRAYON / OIL PASTEL PUTAR 1012-L PANJANG MIX</t>
  </si>
  <si>
    <t>CV SAMUDERA ANGKASA JAYA</t>
  </si>
  <si>
    <t>CRAYON / OIL PASTEL PUTAR JOYKO TWCR-12MINI (PENDEK)</t>
  </si>
  <si>
    <t>CRAYON / OIL PASTEL PUTAR JOYKO TWCR-12S (PANJANG)</t>
  </si>
  <si>
    <t>CRAYON / OIL PASTEL PUTAR JOYKO TWCR-24S (PANJANG)</t>
  </si>
  <si>
    <t>CRAYON / OIL PASTEL PUTAR KENKO 12 MINI TWIST</t>
  </si>
  <si>
    <t>CRAYON / OIL PASTEL PUTAR KENKO 12C TWIST</t>
  </si>
  <si>
    <t>CRAYON / OIL PASTEL PUTAR TITI TI-CP-12T TWIST</t>
  </si>
  <si>
    <t>CRAYON / OIL PASTEL PUTAR TITI TI-CP-12 MINI</t>
  </si>
  <si>
    <t>COLORING</t>
  </si>
  <si>
    <t>CAT ACRYLIC MARIES 12C (12 ML)</t>
  </si>
  <si>
    <t>PT LAUTAN MAS ASIA</t>
  </si>
  <si>
    <t>CAT POSTER / POSTER COLOR JOYKO POC-10ML-12 BOTOL</t>
  </si>
  <si>
    <t>CUTTER &amp; ISI</t>
  </si>
  <si>
    <t>CUTTER</t>
  </si>
  <si>
    <t>CUTTER JOYKO CU-15BC</t>
  </si>
  <si>
    <t>CUTTER 9 MM JOYKO K-200 (KECIL)</t>
  </si>
  <si>
    <t>CUTTER 9 MM JOYKO A-300A AUTOLOCK (KECIL)</t>
  </si>
  <si>
    <t>CUTTER 18 MM JOYKO L-500 + ISI (BESAR)</t>
  </si>
  <si>
    <t>CUTTER 9 MM KENKO K-200 (KECIL)</t>
  </si>
  <si>
    <t>CUTTER 9 MM KENKO A-300 (KECIL)</t>
  </si>
  <si>
    <t>CUTTER 18 MM KENKO L-500 (BESAR)</t>
  </si>
  <si>
    <t>ISI CUTTER</t>
  </si>
  <si>
    <t>ISI CUTTER 18 MM JOYKO A-100 AM (KECIL)</t>
  </si>
  <si>
    <t>ISI CUTTER 9 MM KENKO A-100 (KECIL)</t>
  </si>
  <si>
    <t>ISI CUTTER 18 MM KENKO L-150 (BESAR)</t>
  </si>
  <si>
    <t>PAPER CUTTER</t>
  </si>
  <si>
    <t>PAPER CUTTER JOYKO PC-2638 (BESI FOLIO)</t>
  </si>
  <si>
    <t>PAPER CUTTER JOYKO PC-3038 (BESI B4)</t>
  </si>
  <si>
    <t>PAPER CUTTER JOYKO PC-3846 (BESI A3)</t>
  </si>
  <si>
    <t>PAPER TRIMMER KENKO 10"X15" (FC BESI)</t>
  </si>
  <si>
    <t>PAPER TRIMMER KENKO 12"X15" (B4 BESI)</t>
  </si>
  <si>
    <t>PAPER TRIMMER KENKO 18"X15" (A3 BESI)</t>
  </si>
  <si>
    <t>DESK SET</t>
  </si>
  <si>
    <t>DESK SET JOYKO DS-1015</t>
  </si>
  <si>
    <t>DESK SET JOYKO DS-338</t>
  </si>
  <si>
    <t>DESK SET KENKO K-238</t>
  </si>
  <si>
    <t>DESK SET KENKO K-8312 ORGANIZER</t>
  </si>
  <si>
    <t>DOKUMEN</t>
  </si>
  <si>
    <t>EXPANDING FILE</t>
  </si>
  <si>
    <t>EXPANDING FILE JOYKO EF-2638 (Folio)</t>
  </si>
  <si>
    <t>MAP</t>
  </si>
  <si>
    <t>GARISAN</t>
  </si>
  <si>
    <t>GARISAN BESI</t>
  </si>
  <si>
    <t>GARISAN BESI (STAINLESS STEEL) KENKO 15 CM</t>
  </si>
  <si>
    <t>GARISAN BESI (STAINLESS STEEL) KENKO 30 CM</t>
  </si>
  <si>
    <t>GARISAN BESI (STAINLESS STEEL) KENKO 40 CM</t>
  </si>
  <si>
    <t>GARISAN BESI (STAINLESS STEEL) KENKO 50 CM</t>
  </si>
  <si>
    <t>GARISAN BESI (STAINLESS STEEL) KENKO 60 CM</t>
  </si>
  <si>
    <t>GARISAN BESI (STAINLESS STEEL) KENKO 100 CM / 1 M</t>
  </si>
  <si>
    <t>GUNTING / SCISSOR</t>
  </si>
  <si>
    <t>GUNTING JOYART SC-09</t>
  </si>
  <si>
    <t>GUNTING JOYKO SC-13</t>
  </si>
  <si>
    <t>GUNTING JOYKO SC-14</t>
  </si>
  <si>
    <t>GUNTING JOYKO SC-828</t>
  </si>
  <si>
    <t>GUNTING JOYKO SC-838</t>
  </si>
  <si>
    <t>GUNTING JOYKO SC-848</t>
  </si>
  <si>
    <t>GUNTING JOYKO SC-868</t>
  </si>
  <si>
    <t>GUNTING JOYKO SC-828 SG</t>
  </si>
  <si>
    <t>GUNTING JOYKO SC-838 SG</t>
  </si>
  <si>
    <t>GUNTING JOYKO SC-848 SG</t>
  </si>
  <si>
    <t>GUNTING JOYKO ZZ-65 (6.5" GERIGI)</t>
  </si>
  <si>
    <t>GUNTING JOYKO ZZ-85 (8.5" GERIGI)</t>
  </si>
  <si>
    <t>GUNTING KENKO SC-828</t>
  </si>
  <si>
    <t>GUNTING KENKO SC-838N</t>
  </si>
  <si>
    <t>GUNTING KENKO SC-848N</t>
  </si>
  <si>
    <t>GUNTING KENKO SC-848SG</t>
  </si>
  <si>
    <t>HAND TALLY COUNTER</t>
  </si>
  <si>
    <t>HAND TALLY COUNTER KENKO HT-302</t>
  </si>
  <si>
    <t>HAND TALLY COUNTER KENKO HT-303</t>
  </si>
  <si>
    <t>JANGKA</t>
  </si>
  <si>
    <t>JANGKA (MATH SET) JOYKO MS-25</t>
  </si>
  <si>
    <t>JANGKA (MATH SET) JOYKO MS-55</t>
  </si>
  <si>
    <t>JANGKA (MATH SET) JOYKO MS-75</t>
  </si>
  <si>
    <t>JANGKA (MATH SET) JOYKO MS-402</t>
  </si>
  <si>
    <t>JANGKA (MATH SET) JOYKO MS-403</t>
  </si>
  <si>
    <t>JANGKA (MATH SET) JOYKO MS-404</t>
  </si>
  <si>
    <t>JANGKA (MATH SET) JOYKO MS-405</t>
  </si>
  <si>
    <t>JANGKA (MATH SET) JOYKO MS-406</t>
  </si>
  <si>
    <t>JANGKA (MATH SET) JOYKO MS-410</t>
  </si>
  <si>
    <t>JANGKA (COMPASS SET) KENKO C-168 / MS-75</t>
  </si>
  <si>
    <t>JANGKA (COMPASS SET) KENKO C-288 / MS-25</t>
  </si>
  <si>
    <t>KACA PEMBESAR / MAGNIFIER</t>
  </si>
  <si>
    <t>KACA PEMBESAR (MAGNIFIER) JOYKO MF-50</t>
  </si>
  <si>
    <t>KACA PEMBESAR (MAGNIFIER) JOYKO MF-60</t>
  </si>
  <si>
    <t>KERTAS</t>
  </si>
  <si>
    <t>KERTAS FOTO</t>
  </si>
  <si>
    <t>GLOSSY PHOTO PAPER KENKO 230 GSM A4 (isi 100 pc)</t>
  </si>
  <si>
    <t>KARBON</t>
  </si>
  <si>
    <t>KERTAS KARBON DOUBLE BIRU E-1021</t>
  </si>
  <si>
    <t>PT SEMBILAN-SEMBILAN JAYA UTAMA</t>
  </si>
  <si>
    <t>KEY RING</t>
  </si>
  <si>
    <t>KEY RING JOYKO KR-6</t>
  </si>
  <si>
    <t>KEY RING JOYKO KR-8 ISI 50 PC</t>
  </si>
  <si>
    <t>KEY RING JOYKO KR-9 ISI 50 PC</t>
  </si>
  <si>
    <t>KEY RING KENKO KR-6 ISI 6 PC</t>
  </si>
  <si>
    <t>KEY RING KENKO KR-50 ISI 50 PC</t>
  </si>
  <si>
    <t>KUAS / BRUSH</t>
  </si>
  <si>
    <t>KUAS SET JOYKO BR-1</t>
  </si>
  <si>
    <t>KUAS SET JOYKO BR-2</t>
  </si>
  <si>
    <t>KUAS SET JOYKO BR-3</t>
  </si>
  <si>
    <t>KUAS SET JOYKO BR-4 (FLAT)</t>
  </si>
  <si>
    <t>KUAS SET JOYKO BR-5</t>
  </si>
  <si>
    <t>KUAS SET JOYKO BR-8</t>
  </si>
  <si>
    <t>LABEL &amp; LABELLER (MESIN)</t>
  </si>
  <si>
    <t>LABEL</t>
  </si>
  <si>
    <t>LABEL HARGA JOYKO LB-2RL (1 LINE PUTIH)</t>
  </si>
  <si>
    <t>ROL</t>
  </si>
  <si>
    <t>LABEL HARGA JOYKO LB-1LY (1 LINE KUNING)</t>
  </si>
  <si>
    <t>LABEL HARGA JOYKO LB-P2LN (2 LINE PUTIH)</t>
  </si>
  <si>
    <t>LABEL HARGA JOYKO LB-P2CY (2 LINE KUNING)</t>
  </si>
  <si>
    <t>LABEL HARGA JOYKO LB-3 (2 LINE KUNING FLUOR)</t>
  </si>
  <si>
    <t>LABEL HARGA JOYKO LB-6 (1 LINE KUNING FLUOR)</t>
  </si>
  <si>
    <t>LABEL HARGA JOYKO LB-9 (1 LINE HIJAU FLUOR)</t>
  </si>
  <si>
    <t>LABEL HARGA JOYKO LB-10 (2 LINE HIJAU FLUOR)</t>
  </si>
  <si>
    <t>LABEL STICKER PAPER JOYKO LSP-09</t>
  </si>
  <si>
    <t>LABEL HARGA KENKO 6001-2R (1 LINE) isi 10 rol</t>
  </si>
  <si>
    <t>SLOP</t>
  </si>
  <si>
    <t>LABEL HARGA KENKO 5002-2R (2 LINE) isi 10 rol</t>
  </si>
  <si>
    <t>MESIN LABEL</t>
  </si>
  <si>
    <t>MESIN LABEL HARGA JOYKO MX-5500M (8 DIGITS, 1 LINE)</t>
  </si>
  <si>
    <t>MESIN LABEL HARGA KENKO MX-5500 (8 DIGITS, 1 LINE)</t>
  </si>
  <si>
    <t>MESIN LABEL HARGA KENKO MX-5500EOS (8 DIGITS, 1 LINE)</t>
  </si>
  <si>
    <t>MESIN LABEL HARGA KENKO MX-6600N (10 Dgt, 2 Line, A/N-N)</t>
  </si>
  <si>
    <t>LAMINATING FILM</t>
  </si>
  <si>
    <t>LAMINATING FILM JOYKO LF100-2234 (F4)</t>
  </si>
  <si>
    <t>LAMINATING FILM KENKO LF100-2234 (FC)</t>
  </si>
  <si>
    <t>LEM / GLUE</t>
  </si>
  <si>
    <t>LEM CAIR / LIQUID</t>
  </si>
  <si>
    <t>LEM LIQUID (CAIR) JOYKO GL-30</t>
  </si>
  <si>
    <t>LEM LIQUID (CAIR) JOYKO GL-R35 (35 ML)</t>
  </si>
  <si>
    <t>LEM LIQUID (CAIR) JOYKO GL-R50 (50 ML)</t>
  </si>
  <si>
    <t>LEM LIQUID (CAIR) JOYKO GL-W02</t>
  </si>
  <si>
    <t>LEM CAIR 35 ML KENKO LG-35</t>
  </si>
  <si>
    <t>LEM CAIR 50 ML KENKO LG-50</t>
  </si>
  <si>
    <t>LEM CAIR 50 ML KENKO LG-50A</t>
  </si>
  <si>
    <t>LEM STICK</t>
  </si>
  <si>
    <t>LEM STICK JOYKO 8 GR GS-09 isi 12 pc</t>
  </si>
  <si>
    <t>LEM STICK JOYKO 15 GR GS-15 isi 12 pc</t>
  </si>
  <si>
    <t>LEM STICK JOYKO 8 GR GS-100 isi 24 pc</t>
  </si>
  <si>
    <t>LEM STICK JOYKO 15 GR GS-104 TG (ANIMAL KINGDOM) isi 24 pc</t>
  </si>
  <si>
    <t>LEM STICK KENKO 8 GR (KECIL) isi 30 pc</t>
  </si>
  <si>
    <t>LEM STICK KENKO 15 GR (TANGGUNG) isi 20 pc</t>
  </si>
  <si>
    <t>LEM STICK KENKO 25 GR (BESAR) isi 12 pc</t>
  </si>
  <si>
    <t>LEM SUPER 3 GR KENKO SG-03A (isi 12 pc)</t>
  </si>
  <si>
    <t>LEM TEMBAK / BAKAR</t>
  </si>
  <si>
    <t>LEM TEMBAK/BAKAR KECIL ADETECK</t>
  </si>
  <si>
    <t>PT ERA LARIS ABADI</t>
  </si>
  <si>
    <t>KG</t>
  </si>
  <si>
    <t>LOOSE LEAF</t>
  </si>
  <si>
    <t>LOOSE LEAF JOYART A5-2070 (50S)</t>
  </si>
  <si>
    <t>LOOSE LEAF JOYART B5-2670 (50S)</t>
  </si>
  <si>
    <t>LOOSE LEAF JOYKO A5-7020 (50S)</t>
  </si>
  <si>
    <t>LOOSE LEAF JOYKO A5-7020 (100S)</t>
  </si>
  <si>
    <t>LOOSE LEAF JOYKO B5-7026 (100S)</t>
  </si>
  <si>
    <t>LOOSE LEAF KENKO A5-LL 50-2070</t>
  </si>
  <si>
    <t>LOOSE LEAF KENKO A5-LL 100-2070</t>
  </si>
  <si>
    <t>LOOSE LEAF KENKO B5-LL 50-2670</t>
  </si>
  <si>
    <t>LOOSE LEAF KENKO B5-LL 100-2670</t>
  </si>
  <si>
    <t>NOTE</t>
  </si>
  <si>
    <t>NOTE BINDER</t>
  </si>
  <si>
    <t>BINDER COMPUTER JOYKO SC-1301</t>
  </si>
  <si>
    <t>BINDER NOTE JOYKO A5 (CAMPUS/CLASSIC)</t>
  </si>
  <si>
    <t>BINDER NOTE JOYKO A5 (FANCY)</t>
  </si>
  <si>
    <t>BINDER NOTE JOYKO B5 (CAMPUS/CLASSIC)</t>
  </si>
  <si>
    <t>BINDER NOTE JOYKO B5 (FANCY)</t>
  </si>
  <si>
    <t>BINDER NOTE KENKO A5 (CAMPUS/CLASSIC)</t>
  </si>
  <si>
    <t>BINDER NOTE KENKO B5 (CAMPUS/CLASSIC)</t>
  </si>
  <si>
    <t>BINDER RING NOTE KENKO A5-RNPP</t>
  </si>
  <si>
    <t>NOTE BOOK</t>
  </si>
  <si>
    <t>NOTEBOOK JOYKO A5 NB-661 (Br,Or,Mrh,Kn)</t>
  </si>
  <si>
    <t>POCKET NOTE SPIRAL KENKO PN-403</t>
  </si>
  <si>
    <t>POCKET NOTE SPIRAL KENKO PN-404</t>
  </si>
  <si>
    <t>POCKET NOTE SPIRAL KENKO PN-501</t>
  </si>
  <si>
    <t>NOTE STICK</t>
  </si>
  <si>
    <t>INDEX MEMO STICK JOYKO IM-43 (Plastik Kotak)</t>
  </si>
  <si>
    <t>INDEX MEMO STICK JOYKO IM-45 (Kertas Kotak)</t>
  </si>
  <si>
    <t>PAPER FASTENER / ACCO</t>
  </si>
  <si>
    <t>PAPER FASTENER (ACCO) KENKO PF-508 ISI 50 PC PUTIH</t>
  </si>
  <si>
    <t>PAPER FASTENER (ACCO) KENKO PF-508 ISI 50 PC WARNA</t>
  </si>
  <si>
    <t>PAPER FASTENER (ACCO) JOYKO PF-50 PUTIH</t>
  </si>
  <si>
    <t>PAPER FASTENER (ACCO) JOYKO PF-50 WARNA</t>
  </si>
  <si>
    <t>PEN</t>
  </si>
  <si>
    <t>PEN BALL</t>
  </si>
  <si>
    <t>BALLPEN JOYKO BP-184 CULTURE</t>
  </si>
  <si>
    <t>BALLPEN JOYKO BP-248 SUMA</t>
  </si>
  <si>
    <t>BALLPEN JOYKO BP-249 LINO</t>
  </si>
  <si>
    <t>BALLPEN JOYKO BP-251 FRODO</t>
  </si>
  <si>
    <t>BALLPEN JOYKO BP-327 MAZE</t>
  </si>
  <si>
    <t>BALLPEN JOYKO BP-338 VOCUS</t>
  </si>
  <si>
    <t>BALLPEN KENKO EASY FLOW 6</t>
  </si>
  <si>
    <t>BALLPEN KENKO NK-7 / 7B</t>
  </si>
  <si>
    <t>BALLPEN KENKO NK-7 / 7B  BATIK</t>
  </si>
  <si>
    <t>BALLPEN KENKO NK-7 / 7B  DOTS</t>
  </si>
  <si>
    <t>BALLPEN KENKO NK-7 / 7B  LOLLIPOP</t>
  </si>
  <si>
    <t>BALLPEN KENKO NK-7 SOCUTE</t>
  </si>
  <si>
    <t>BALLPEN KENKO NOJI N-9</t>
  </si>
  <si>
    <t>PEN GEL</t>
  </si>
  <si>
    <t>GEL PEN AODEMI MASTONA 010 LOL</t>
  </si>
  <si>
    <t>GEL PEN AODEMI MASTONA 011 PONY</t>
  </si>
  <si>
    <t>GEL PEN AODEMI MASTONA 021 AVENGER</t>
  </si>
  <si>
    <t>GEL PEN AODEMI MASTONA 022 BTS-KARAKTER</t>
  </si>
  <si>
    <t>GEL PEN JOYKO GP-100</t>
  </si>
  <si>
    <t>GEL PEN JOYKO GP-100NT</t>
  </si>
  <si>
    <t>GEL PEN JOYKO GP-190 PINO</t>
  </si>
  <si>
    <t>GEL PEN JOYKO GP-237 X-TECH</t>
  </si>
  <si>
    <t>GEL PEN JOYKO GP-243 WHIZ GEL</t>
  </si>
  <si>
    <t>GEL PEN JOYKO GP-265 Q-GEL</t>
  </si>
  <si>
    <t>GEL PEN JOYKO GP-266 ITECH 2</t>
  </si>
  <si>
    <t>GEL PEN JOYKO GP-279 ERASABLE</t>
  </si>
  <si>
    <t>GEL PEN JOYKO GP-330</t>
  </si>
  <si>
    <t>GEL PEN JOYKO JK-100 KING JELLER</t>
  </si>
  <si>
    <t>GEL PEN KENKO BG-16 (BATIK)</t>
  </si>
  <si>
    <t>GEL PEN KENKO BG-20 (BATIK)</t>
  </si>
  <si>
    <t>GEL PEN KENKO EASY GEL</t>
  </si>
  <si>
    <t>GEL PEN KENKO FUN GEL</t>
  </si>
  <si>
    <t>GEL PEN KENKO INDO GEL</t>
  </si>
  <si>
    <t>GEL PEN KENKO HI-TECH-H 0.28 MM</t>
  </si>
  <si>
    <t>GEL PEN KENKO HI-TECH-H 0.28 MM FUN COLOR</t>
  </si>
  <si>
    <t>GEL PEN KENKO HI-TECH-H 0.4 MM (Hj,Or,Pink,Ungu)</t>
  </si>
  <si>
    <t>GEL PEN KENKO K-1</t>
  </si>
  <si>
    <t>GEL PEN KENKO KE-100</t>
  </si>
  <si>
    <t>GEL PEN KENKO KE-100 TJ (Tip Jarum)</t>
  </si>
  <si>
    <t>GEL PEN KENKO KE-100BTK (Batik)</t>
  </si>
  <si>
    <t>GEL PEN KENKO KE-20 ZOO N ZOO</t>
  </si>
  <si>
    <t>GEL PEN KENKO KE-200</t>
  </si>
  <si>
    <t>GEL PEN KENKO KE-303 T-GEL TRIANGULAR</t>
  </si>
  <si>
    <t>GEL PEN KENKO KE-600 WINJELLER</t>
  </si>
  <si>
    <t>GEL PEN KENKO SAHARA (HITAM/BIRU/MERAH)</t>
  </si>
  <si>
    <t>GEL PEN KENKO SAHARA DOTS (HITAM/BIRU/MERAH)</t>
  </si>
  <si>
    <t>GEL PEN KENKO SAHARA SNACK (HITAM/BIRU/MERAH)</t>
  </si>
  <si>
    <t>GEL PEN DEBOZZ 0.5 MM DB-G05</t>
  </si>
  <si>
    <t>GEL INK TIANJIAO TZ-501</t>
  </si>
  <si>
    <t>GEL PEN TIZO 0.7 MM TG-395-B/D</t>
  </si>
  <si>
    <t>GEL PEN TIZO 1.0 MM TG-340</t>
  </si>
  <si>
    <t>GEL PEN ZUI ZHUA HY-1020</t>
  </si>
  <si>
    <t>PEN SET</t>
  </si>
  <si>
    <t>GEL PEN SET JOYKO GPC-296 (isi 8 pc)</t>
  </si>
  <si>
    <t>GEL PEN SET WARNA JOYKO GPC-316 RETRO GEL</t>
  </si>
  <si>
    <t>GEL PEN SET WARNA JOYKO GPC-325 (I Tech 3)</t>
  </si>
  <si>
    <t>GEL PEN SET JOYKO GPC-309S DIAMOND ART</t>
  </si>
  <si>
    <t>GEL PEN SET JOYKO GPC-310S DIAMOND ART</t>
  </si>
  <si>
    <t>GEL PEN SET KENKO K-1/CS6 (isi 6 pc)</t>
  </si>
  <si>
    <t>PEN STAND</t>
  </si>
  <si>
    <t>STAND PEN JOYKO PSGP-147</t>
  </si>
  <si>
    <t>REFILL / ISI PEN</t>
  </si>
  <si>
    <t>REFILL / ISI GEL PEN JOYKO GPR-263 isi 3pc/24set</t>
  </si>
  <si>
    <t>REFILL / ISI GEL PEN JOYKO GPR-267 isi 24 pc</t>
  </si>
  <si>
    <t>REFILL / ISI GEL INK TIANJIAO TZ-501R</t>
  </si>
  <si>
    <t>REFILL / ISI GEL PEN KENKO K-1</t>
  </si>
  <si>
    <t>REFILL / ISI GEL PEN KENKO EASY GEL / KE-SERIES</t>
  </si>
  <si>
    <t>REFILL / ISI GEL PEN AODEMI MASTONA 613-OFFC isi 20 pc</t>
  </si>
  <si>
    <t>PENSIL</t>
  </si>
  <si>
    <t>PENSIL JOYKO 2B P-88</t>
  </si>
  <si>
    <t>PENSIL JOYKO 2B P-91</t>
  </si>
  <si>
    <t>PENSIL JOYKO 2B P-93</t>
  </si>
  <si>
    <t>PENSIL JOYKO 2B P-94</t>
  </si>
  <si>
    <t>PENSIL KENKO 2B-0810 FLOURESCENT</t>
  </si>
  <si>
    <t>PENSIL KENKO 2B-3181 TRIANGULAR  HITAM CAP MERAH</t>
  </si>
  <si>
    <t>PENSIL KENKO 2B-3282 TRIANGULAR HITAM CAP BINTANG</t>
  </si>
  <si>
    <t>PENSIL KENKO 2B-3663 WARNA</t>
  </si>
  <si>
    <t>PENSIL KENKO 2B-6019 ANTIBACTERIAL</t>
  </si>
  <si>
    <t>PENSIL KENKO HB-6151 MERAH HITAM + ERASER</t>
  </si>
  <si>
    <t>PENSIL KENKO 2B-6161 BIRU STRIP HITAM</t>
  </si>
  <si>
    <t>PENSIL KENKO 2B-6181 BIRU CAP HITAM</t>
  </si>
  <si>
    <t>PENSIL KENKO 2B-6191 HIJAU CAP HITAM</t>
  </si>
  <si>
    <t>PENSIL KENKO 2B-6363 MATTE BLACK</t>
  </si>
  <si>
    <t>PENSIL KENKO 2B-6371 SILVER CAP BIRU</t>
  </si>
  <si>
    <t>PENSIL KENKO 2B-6373 METALLIC</t>
  </si>
  <si>
    <t>PENSIL KENKO 2B-6800 PLATINUM</t>
  </si>
  <si>
    <t>PENSIL KENKO 2B-6900 FUN COLOR</t>
  </si>
  <si>
    <t>PENSIL ZHONG HUA M/B CARPENTER 120 KECIL</t>
  </si>
  <si>
    <t>PENSIL BENSIA</t>
  </si>
  <si>
    <t>BENSIA SF-9925 A ISI 42 PC (PELUIT)</t>
  </si>
  <si>
    <t>BENSIA SF-9925 B ISI 42 PC (TANGAN)</t>
  </si>
  <si>
    <t>BENSIA SF-9925 C ISI 42 PC (SENDOK GARPU)</t>
  </si>
  <si>
    <t>BENSIA SF-9927 W ISI 42 PC (KIPAS/KINCIR)</t>
  </si>
  <si>
    <t>BENSIA SF-9939 A ISI 32 PC (LOVE DADU)</t>
  </si>
  <si>
    <t>PENSIL KACA (PENCIL GLASS)</t>
  </si>
  <si>
    <t>PENCIL GLASS JOYKO PG-100</t>
  </si>
  <si>
    <t>PENCIL GLASS MITSUKO</t>
  </si>
  <si>
    <t>PENSIL MECHANICAL</t>
  </si>
  <si>
    <t>MECHANICAL PENCIL 0.5 MM JOYKO MP-01</t>
  </si>
  <si>
    <t>MECHANICAL PENCIL 0.5 MM JOYKO MP-07</t>
  </si>
  <si>
    <t>MECHANICAL PENCIL 0.5 MM JOYKO MP-15 CRISTAL</t>
  </si>
  <si>
    <t>MECHANICAL PENCIL 0.5 MM JOYKO MP-19</t>
  </si>
  <si>
    <t>MECHANICAL PENCIL 2.0 MM JOYKO MP-21</t>
  </si>
  <si>
    <t>MECHANICAL PENCIL 0.5 MM KENKO MP-01</t>
  </si>
  <si>
    <t>MECHANICAL PENCIL 0.5 MM KENKO MP-07</t>
  </si>
  <si>
    <t>MECHANICAL PENCIL 0.5 MM KENKO NOJI MP-07-OJ</t>
  </si>
  <si>
    <t>MECHANICAL PENCIL 0.5 MM KENKO MP-070</t>
  </si>
  <si>
    <t>MECHANICAL PENCIL 0.5 MM KENKO MP-707</t>
  </si>
  <si>
    <t>MECHANICAL PENCIL 0,5 MM TIZO G-9001</t>
  </si>
  <si>
    <t>MECHANICAL PENCIL 0,5 MM TIZO G-9004</t>
  </si>
  <si>
    <t>MECHANICAL PENCIL 2,0 MM TIZO TM-030</t>
  </si>
  <si>
    <t>PENSIL WARNA</t>
  </si>
  <si>
    <t>PENSIL WARNA JOYKO CP-S12 MINI (PENDEK)</t>
  </si>
  <si>
    <t>PENSIL WARNA JOYKO CP-S24 MINI (PENDEK)</t>
  </si>
  <si>
    <t>PENSIL WARNA JOYKO CP-12PB (PANJANG)</t>
  </si>
  <si>
    <t>PENSIL WARNA JOYKO CP-24PB (PANJANG)</t>
  </si>
  <si>
    <t>PENSIL WARNA JOYKO CP-36PB (PANJANG)</t>
  </si>
  <si>
    <t>PENSIL WARNA JOYKO CP-100 (12W PANJANG)</t>
  </si>
  <si>
    <t>PENSIL WARNA JOYKO CP-101 (24W PANJANG)</t>
  </si>
  <si>
    <t>PENSIL WARNA JOYKO CP-102 (PENDEK)</t>
  </si>
  <si>
    <t>PENSIL WARNA JOYKO CP-103 (12W)</t>
  </si>
  <si>
    <t>PENSIL WARNA JOYKO CP-105 (12W)</t>
  </si>
  <si>
    <t>PENSIL WARNA JOYKO CP-107 (12W)</t>
  </si>
  <si>
    <t>PENSIL WARNA KALENG JOYKO CP-12TC (PANJANG)</t>
  </si>
  <si>
    <t>PENSIL WARNA KALENG JOYKO CP-24TC (PANJANG)</t>
  </si>
  <si>
    <t>PENSIL WARNA KENKO CP-12HALF CLASSIC (PENDEK)</t>
  </si>
  <si>
    <t>PENSIL WARNA KENKO CP-12F CLASSIC (PANJANG)</t>
  </si>
  <si>
    <t>PENSIL WARNA KENKO CP-24F CLASSIC (PANJANG)</t>
  </si>
  <si>
    <t>PENSIL WARNA KENKO CP-12FNW (NON WOOD)</t>
  </si>
  <si>
    <t>PENSIL WARNA KENKO CP-12FNWE (NON WOOD ERASABLE)</t>
  </si>
  <si>
    <t>PENSIL WARNA KALENG KENKO CP-12F TIN CASE CLASSIC</t>
  </si>
  <si>
    <t>PENSIL WARNA KALENG KENKO CP-24F TIN CASE CLASSIC</t>
  </si>
  <si>
    <t>PENSIL WARNA KENKO BI-COLOR CP-12FBC (12/24) CLASSIC</t>
  </si>
  <si>
    <t>PENSIL WARNA KENKO BI-COLOR CP-18FBC (18/36) CLASSIC</t>
  </si>
  <si>
    <t>PENSIL WARNA KENKO BI-COLOR CP-24 FBC (24/48)</t>
  </si>
  <si>
    <t>PENCIL CASE</t>
  </si>
  <si>
    <t>PENCIL CASE JOYKO PC-0717</t>
  </si>
  <si>
    <t>PENCIL CASE JOYKO PC-0618</t>
  </si>
  <si>
    <t>PENCIL CASE JOYKO PC-0719</t>
  </si>
  <si>
    <t>PENCIL CASE KENKO PC-0719</t>
  </si>
  <si>
    <t>PENCIL CASE KLG F-39 MOBIL SUSUN 3 (22x9)</t>
  </si>
  <si>
    <t>PENCIL CASE KRT 3320 + LAMPU SUSUN 3</t>
  </si>
  <si>
    <t>PIN</t>
  </si>
  <si>
    <t>PUSH PIN</t>
  </si>
  <si>
    <t>PUNCH / PEMBOLONG</t>
  </si>
  <si>
    <t>PUNCH JOYKO 30XL</t>
  </si>
  <si>
    <t>PUNCH JOYKO 40XL</t>
  </si>
  <si>
    <t>PUNCH JOYKO 85</t>
  </si>
  <si>
    <t>PUNCH JOYKO 85B</t>
  </si>
  <si>
    <t>PUNCH NOJI KENKO NO. 30-OJ</t>
  </si>
  <si>
    <t>PUNCH KENKO NO. 30</t>
  </si>
  <si>
    <t>PUNCH KENKO NO. 30DL</t>
  </si>
  <si>
    <t>PUNCH KENKO NO. 30XL</t>
  </si>
  <si>
    <t>PUNCH KENKO NO. 40</t>
  </si>
  <si>
    <t>PUNCH KENKO NO. 40XL</t>
  </si>
  <si>
    <t>PUNCH KENKO NO. 85</t>
  </si>
  <si>
    <t>PUNCH KENKO NO. 85N</t>
  </si>
  <si>
    <t>PUNCH KENKO NO. 85XL</t>
  </si>
  <si>
    <t>SPIDOL PERMANEN / PERMANENT MARKER</t>
  </si>
  <si>
    <t>SPIDOL PERMANEN KENKO PM-100</t>
  </si>
  <si>
    <t>SPIDOL PERMANEN KENKO KE-10 (KECIL)</t>
  </si>
  <si>
    <t>SPIDOL WHITEBOARD / WHITEBOARD MARKER</t>
  </si>
  <si>
    <t>SPIDOL WHITEBOARD KENKO WM-100</t>
  </si>
  <si>
    <t>SPIDOL WARNA / COLOR MARKER</t>
  </si>
  <si>
    <t>COLOR BRUSH PEN JOYKO CLP-04 (12 WARNA)</t>
  </si>
  <si>
    <t>COLOR BRUSH PEN JOYKO CLP-05 (24 WARNA)</t>
  </si>
  <si>
    <t>COLOR BRUSH PEN JOYKO CLP-06 (12 WARNA)</t>
  </si>
  <si>
    <t>COLOR BRUSH PEN JOYKO CLP-07 (24 WARNA)</t>
  </si>
  <si>
    <t>COLOR BRUSH PEN JOYKO CLP-08 (12 WARNA)</t>
  </si>
  <si>
    <t>STABILLO / HIGHLIGHTER</t>
  </si>
  <si>
    <t>HIGHLIGHTER / STABILLO JOYKO HL-1/2/3/4/5 (Kn/Hj/Br/Pink/Or)</t>
  </si>
  <si>
    <t>HIGHLIGHTER / STABILLO JOYKO HL-46 (isi 5 pc)</t>
  </si>
  <si>
    <t>HIGHLIGHTER / STABILO KENKO HL-100 (Br,Hj,Or,Pink,Ungu,Kn)</t>
  </si>
  <si>
    <t>HIGHLIGHTER / STABILO KENKO PHL-100 PASTEL</t>
  </si>
  <si>
    <t>HIGHLIGHTER / STABILO KENKO WINLINER</t>
  </si>
  <si>
    <t>HIGHLIGHTER / STABILLO TIZO TF-610 (isi 54 pc)</t>
  </si>
  <si>
    <t>HIGHLIGHTER / STABILLO VANCO HL-510</t>
  </si>
  <si>
    <t>STAMP</t>
  </si>
  <si>
    <t>STAMP DATE</t>
  </si>
  <si>
    <t>DATE STAMP JOYKO D-3</t>
  </si>
  <si>
    <t>DATE STAMP JOYKO S-68 (Lunas)</t>
  </si>
  <si>
    <t>DATE STAMP KENKO D-3 (Cap Tanggal 5 Mm)</t>
  </si>
  <si>
    <t>DATE STAMP KENKO D-4 (Cap Tanggal 4 Mm)</t>
  </si>
  <si>
    <t>NUMERING MACHINE 45 KENKO (6 Digits)</t>
  </si>
  <si>
    <t>NUMERING MACHINE 51 KENKO (7 Digits)</t>
  </si>
  <si>
    <t>STAMP PLATE NUMBER KENKO N-38 (Cap Nomer)</t>
  </si>
  <si>
    <t>STAMP PLATE DATER KENKO S-68 (Cap Lunas)</t>
  </si>
  <si>
    <t>STAMP PAD</t>
  </si>
  <si>
    <t>STAMP PAD JOYKO NO. 0</t>
  </si>
  <si>
    <t>STAMP PAD JOYKO NO. 00</t>
  </si>
  <si>
    <t>STAMP PAD JOYKO NO. 1</t>
  </si>
  <si>
    <t>STAMP PAD JOYKO NO. 2</t>
  </si>
  <si>
    <t>STAMP PAD KENKO NO. 0</t>
  </si>
  <si>
    <t>STAMP PAD KENKO NO. 1</t>
  </si>
  <si>
    <t>STAPLER &amp; STAPLES (ISI)</t>
  </si>
  <si>
    <t>GUNTACKER</t>
  </si>
  <si>
    <t>STAPLER GUNTACKER JOYKO GT-701</t>
  </si>
  <si>
    <t>STAPLER GUNTACKER KENKO GT-801</t>
  </si>
  <si>
    <t>STAPLER</t>
  </si>
  <si>
    <t>STAPLER JOYKO HD-10</t>
  </si>
  <si>
    <t>STAPLER JOYKO HD-10D</t>
  </si>
  <si>
    <t>STAPLER JOYKO HD-10M (Mini)</t>
  </si>
  <si>
    <t>STAPLER JOYKO HD-10CL</t>
  </si>
  <si>
    <t>STAPLER JOYKO HD-50</t>
  </si>
  <si>
    <t>STAPLER JOYKO HD-50CL</t>
  </si>
  <si>
    <t>STAPLER JOYKO HS-6</t>
  </si>
  <si>
    <t>STAPLER LONG REACH JOYKO HD-35LA</t>
  </si>
  <si>
    <t>STAPLER HEAVY DUTY JOYKO HD-12A/13</t>
  </si>
  <si>
    <t>STAPLER HEAVY DUTY JOYKO HD-12N/13</t>
  </si>
  <si>
    <t>STAPLER HEAVY DUTY JOYKO HD-12N/24</t>
  </si>
  <si>
    <t>STAPLER HEAVY DUTY JOYKO HD-12L/24</t>
  </si>
  <si>
    <t>STAPLER KENKO HD-10</t>
  </si>
  <si>
    <t>STAPLER KENKO HD-10 NEW COLOR</t>
  </si>
  <si>
    <t>STAPLER KENKO HD-10 PASTEL COLOR</t>
  </si>
  <si>
    <t>STAPLER KENKO HD-10D</t>
  </si>
  <si>
    <t>STAPLER KENKO HD-10D PASTEL COLOR</t>
  </si>
  <si>
    <t>STAPLER KENKO HD-10MP (MINI PLASTIK)</t>
  </si>
  <si>
    <t>STAPLER KENKO HD-10N</t>
  </si>
  <si>
    <t>STAPLER KENKO HD-10S (MINI)</t>
  </si>
  <si>
    <t>STAPLER NOJI KENKO HD-50 OJ</t>
  </si>
  <si>
    <t>STAPLER KENKO HD-50</t>
  </si>
  <si>
    <t>STAPLER KENKO HD-50 PASTEL COLOR</t>
  </si>
  <si>
    <t>STAPLER KENKO HD-50 NEW COLOR</t>
  </si>
  <si>
    <t>STAPLER KENKO HD-50N</t>
  </si>
  <si>
    <t>STAPLER HEAVY DUTY KENKO HD-12L/24</t>
  </si>
  <si>
    <t>STAPLER HEAVY DUTY KENKO HD-12N/24</t>
  </si>
  <si>
    <t>STAPLER HEAVY DUTY KENKO HD-12N/13</t>
  </si>
  <si>
    <t>STAPLER HEAVY DUTY KENKO HD-120YF/PS</t>
  </si>
  <si>
    <t>STAPLER SDI 1102 NO.10 (HD-10)</t>
  </si>
  <si>
    <t>PT MITRA GLOBAL NIAGA</t>
  </si>
  <si>
    <t>STAPLER SDI 1104</t>
  </si>
  <si>
    <t>STAPLER SDI 1105</t>
  </si>
  <si>
    <t>STAPLER SDI 1106</t>
  </si>
  <si>
    <t>STAPLER SDI 1123</t>
  </si>
  <si>
    <t>STAPLER YUAN CHANG 414</t>
  </si>
  <si>
    <t>STAPLES (ISI STAPLER)</t>
  </si>
  <si>
    <t>ISI STAPLER (STAPLES) JOYKO NO. 10S</t>
  </si>
  <si>
    <t>ISI STAPLER (STAPLES) GREATWALL GW-NO. 10 (KECIL)</t>
  </si>
  <si>
    <t>ISI STAPLER (STAPLES) GREATWALL GW-369 (BESAR)</t>
  </si>
  <si>
    <t>ISI STAPLER (STAPLES) KENKO NO. 10 - 1M PREMIUM</t>
  </si>
  <si>
    <t>ISI STAPLER (STAPLES) KENKO 1210 PREMIUM (23/10)</t>
  </si>
  <si>
    <t>ISI STAPLER (STAPLES) KENKO NO.3 (isi 20 box)</t>
  </si>
  <si>
    <t>ISI STAPLER (STAPLES) SDI 1210 (23/10)</t>
  </si>
  <si>
    <t>PT DWI TUNGGAL INDAH JAYA</t>
  </si>
  <si>
    <t>STIP / PENGHAPUS / ERASER</t>
  </si>
  <si>
    <t>STIP / PENGHAPUS GOZTAR B-24 WARNA BESAR</t>
  </si>
  <si>
    <t>STIP / PENGHAPUS JOYKO 526-B20 PUTIH</t>
  </si>
  <si>
    <t>STIP / PENGHAPUS JOYKO ER-B20BL HITAM</t>
  </si>
  <si>
    <t>STIP / PENGHAPUS JOYKO EB-30 HITAM</t>
  </si>
  <si>
    <t>STIP / PENGHAPUS JOYKO ER-30W PUTIH</t>
  </si>
  <si>
    <t>STIP / PENGHAPUS JOYKO ER-107 ANIMAL (isi 30 pc)</t>
  </si>
  <si>
    <t>STIP / PENGHAPUS JOYKO ER-109 (isi 30 pc)</t>
  </si>
  <si>
    <t>STIP / PENGHAPUS JOYKO ER-116 (isi 20 pc)</t>
  </si>
  <si>
    <t>STIP / PENGHAPUS JOYKO 526-B40P PUTIH</t>
  </si>
  <si>
    <t>STIP / PENGHAPUS JOYKO 526-B40BL HITAM</t>
  </si>
  <si>
    <t>STIP / PENGHAPUS JOYKO 526-B40CO WARNA</t>
  </si>
  <si>
    <t>STIP / PENGHAPUS KENKO ERW-20SQ PUTIH</t>
  </si>
  <si>
    <t>STIP / PENGHAPUS KENKO ERB-20SQ HITAM</t>
  </si>
  <si>
    <t>STIP / PENGHAPUS KENKO ER-30F FAUNA</t>
  </si>
  <si>
    <t>STIP / PENGHAPUS KENKO ERW-40SQ PUTIH</t>
  </si>
  <si>
    <t>STIP / PENGHAPUS KENKO ERB-40SQ HITAM</t>
  </si>
  <si>
    <t>TAPE (SELOTIP/PLAKBAND)</t>
  </si>
  <si>
    <t>DOUBLE TAPE / FOAM</t>
  </si>
  <si>
    <t>DOUBLE FOAM POLAR BEAR SP-015</t>
  </si>
  <si>
    <t>DOUBLE FOAM POLAR BEAR SP-016</t>
  </si>
  <si>
    <t>DOUBLE FOAM POLAR BEAR SP-017</t>
  </si>
  <si>
    <t>DOUBLE TAPE JOYKO 12 MM x 15 YARDS - CORE BLUE (1/2")</t>
  </si>
  <si>
    <t>DOUBLE TAPE JOYKO  24 MM x 15 YARDS - CORE BLUE (1")</t>
  </si>
  <si>
    <t>DOUBLE TAPE KENKO 6 MM - BLUE CORE (1/4")</t>
  </si>
  <si>
    <t>DOUBLE TAPE KENKO 12 MM - BLUE CORE (1/2")</t>
  </si>
  <si>
    <t>DOUBLE TAPE KENKO 24 MM - BLUE CORE (1")</t>
  </si>
  <si>
    <t>DOUBLE TAPE KENKO 48 MM - BLUE CORE (2")</t>
  </si>
  <si>
    <t>PLAKBAND / OPP TAPE</t>
  </si>
  <si>
    <t>PLAKBAND COKLAT 80 M KENKO 48 MM RED CORE</t>
  </si>
  <si>
    <t>PLAKBAND KAIN / CLOTH TAPE</t>
  </si>
  <si>
    <t>PLAKBAND KAIN HITAM KENKO 36 MM (1,5") BLUE CORE</t>
  </si>
  <si>
    <t>PLAKBAND KAIN HITAM KENKO 48 MM (2") RED CORE SQ</t>
  </si>
  <si>
    <t>TAPE DISPENSER / CUTTER</t>
  </si>
  <si>
    <t>TAPE CUTTER JOYKO TC-114</t>
  </si>
  <si>
    <t>TAPE CUTTER JOYKO TD-09N</t>
  </si>
  <si>
    <t>TAPE CUTTER JOYKO TD-101</t>
  </si>
  <si>
    <t>TAPE CUTTER JOYKO TD-102</t>
  </si>
  <si>
    <t>TAPE CUTTER JOYKO TD-103</t>
  </si>
  <si>
    <t>TAPE CUTTER 2" JOYKO TD-2 PLASTIK</t>
  </si>
  <si>
    <t>TAPE CUTTER 2" JOYKO TD-2H HANDLE</t>
  </si>
  <si>
    <t>TAPE CUTTER 2" JOYKO TD-2S BESI</t>
  </si>
  <si>
    <t>TAPE DISPENSER KENKO TD-321 (1" &amp; 3" CORE)</t>
  </si>
  <si>
    <t>TAPE DISPENSER KENKO TD-323 (1" &amp; 3" CORE)</t>
  </si>
  <si>
    <t>TAPE DISPENSER NOJI KENKO TD-323 OJ (1" &amp; 3" CORE)</t>
  </si>
  <si>
    <t>TAPE DISPENSER KENKO TD-503 (3" CORE)</t>
  </si>
  <si>
    <t>TAPE DISPENSER KENKO TD-505 (3" CORE)</t>
  </si>
  <si>
    <t>TAPE DISPENSER POLAR BEAR MN-305 @12pc</t>
  </si>
  <si>
    <t>TAPE DISPENSER ZRM 2066</t>
  </si>
  <si>
    <t>TAPE CUTTER JOYKO TC-117</t>
  </si>
  <si>
    <t>CL / KRT</t>
  </si>
  <si>
    <t>BALLPEN JOYKO BP-273 ZETO</t>
  </si>
  <si>
    <t>TAS</t>
  </si>
  <si>
    <t>TAS SHOPING BAG JOYKO SPB-3029CT-29A/B CULTURE</t>
  </si>
  <si>
    <t>STAPLER KENKO HD-10D NEW COLOR</t>
  </si>
  <si>
    <t>PLAKBAND KAIN HITAM KENKO 36 MM (1,5") RED CORE SQ</t>
  </si>
  <si>
    <t>PENSIL JOYKO 2B P-90</t>
  </si>
  <si>
    <t>JANGKA (MATH SET) JOYKO MS-28</t>
  </si>
  <si>
    <t>HANDY TAPE DISPENSER KENKO TDB-2 (BESI)</t>
  </si>
  <si>
    <t>PENSIL KENKO 2B-3030 TRIANGULAR</t>
  </si>
  <si>
    <t>GEL PEN JOYKO GP-147</t>
  </si>
  <si>
    <t>PUNCH JOYKO 30</t>
  </si>
  <si>
    <t>PUNCH JOYKO 30-2T</t>
  </si>
  <si>
    <t>ISI STAPLER (STAPLES) SDI 1213 (23/13)</t>
  </si>
  <si>
    <t>CUTTER 9 MM ZRM A-300 A.LOCK (KECIL)</t>
  </si>
  <si>
    <t>HIGHLIGHTER / STABILLO ZRM ZH-103 (Br,Hj,Or,Pink,Ungu,Kn)</t>
  </si>
  <si>
    <t>GARISAN MIKA</t>
  </si>
  <si>
    <t>PENSIL LEAD (ISI PENSIL)</t>
  </si>
  <si>
    <t>ISI PENSIL 2B 0.5 MM JOYKO PL-05</t>
  </si>
  <si>
    <t>ISI PENSIL 2B 0.7 MM JOYKO PL-07</t>
  </si>
  <si>
    <t>ISI PENSIL 2B 2.0 MM JOYKO PL-10</t>
  </si>
  <si>
    <t>ISI PENSIL 2B 2.0 MM JOYKO PL-11</t>
  </si>
  <si>
    <t>ISI PENSIL 2B 2.0 MM JOYKO PL-16</t>
  </si>
  <si>
    <t>ISI PENSIL 2B 0.5 MM KENKO PL-05 HI-POLYMER</t>
  </si>
  <si>
    <t>ISI PENSIL 2,0 MM 2B KENKO PL-209</t>
  </si>
  <si>
    <t>ISI PENSIL 2,0 MM 2B KENKO PL-212 (12 TUBE)</t>
  </si>
  <si>
    <t>GEL PEN KENKO KE-16 DOT N DOT</t>
  </si>
  <si>
    <t>GEL PEN SET KENKO DM-100S DIAMOND (isi 8 pc)</t>
  </si>
  <si>
    <t>TAPE DISPENSER KENKO TD-201 (1" CORE)</t>
  </si>
  <si>
    <t>PENSIL WARNA KENKO CP-36F CLASSIC (PANJANG)</t>
  </si>
  <si>
    <t>GUNTING KENKO SC-838SG</t>
  </si>
  <si>
    <t>ASAHAN KENKO SP-818 1 HOLE (isi 24 pc)</t>
  </si>
  <si>
    <t>PENSIL WARNA KENKO CP-24FNW (NON WOOD)</t>
  </si>
  <si>
    <t>PENCIL CASE / TEMPAT PENSIL MAGNET B-35145</t>
  </si>
  <si>
    <t>PENCIL CASE / TEMPAT PENSIL MAGNET OGGY O-022</t>
  </si>
  <si>
    <t>PENCIL CASE / TEMPAT PENSIL MAGNET B-3513-15</t>
  </si>
  <si>
    <t>PENCIL CASE / TEMPAT PENSIL MAGNET B-35165</t>
  </si>
  <si>
    <t>PENCIL CASE / TEMPAT PENSIL MAGNET B-35138-21</t>
  </si>
  <si>
    <t>CORRECTION FLUID JOYKO CF-P235</t>
  </si>
  <si>
    <t>PENCIL CASE 22 x 7.5 MAGNET LC-1059</t>
  </si>
  <si>
    <t>PENCIL CASE 22 x 7.5 MAGNET TC-1057 (LC-10)</t>
  </si>
  <si>
    <t>PENCIL CASE 22 x 7.5 MAGNET TC-1756</t>
  </si>
  <si>
    <t>PT RAPINAN BROTHER</t>
  </si>
  <si>
    <t>CUTTER JOYKO CU-10BC</t>
  </si>
  <si>
    <t>CORRECTION FLUID JOYKO CF-S205PT BESI</t>
  </si>
  <si>
    <t>CORRECTION TAPE JOYKO CT-509</t>
  </si>
  <si>
    <t>ASAHAN JOYKO B-75 (isi 24 pc) KAPAL</t>
  </si>
  <si>
    <t>BALLPEN JOYKO BP-275 TRIS</t>
  </si>
  <si>
    <t>CRAYON / OIL PASTEL JOYKO OP-72S PP CASE SEA WORLD</t>
  </si>
  <si>
    <t>BUKU ADMINISTRASI</t>
  </si>
  <si>
    <t>BUKU PERSEDIAAN BARANG (BPB) FOLIO</t>
  </si>
  <si>
    <t>BUKU NOTA PEMBELIAN DAN PENJUALAN (BNPP) FOLIO</t>
  </si>
  <si>
    <t>LIE ARMAND (KUNCI MATAHARI)</t>
  </si>
  <si>
    <t>GEL PEN JOYKO GP-337 PASPEM</t>
  </si>
  <si>
    <t>CRAYON / OIL PASTEL JOYKO OP-12CH HEXAGONAL</t>
  </si>
  <si>
    <t>STAPLER GUNTACKER JOYKO GT-700</t>
  </si>
  <si>
    <t>GEL PEN TRIFELLO HI-TECH TF-1190 (Hitam, Biru)</t>
  </si>
  <si>
    <t>PLAKBAND BENING 80 M KENKO 48 MM RED CORE</t>
  </si>
  <si>
    <t>ASAHAN MEJA KENKO A-5</t>
  </si>
  <si>
    <t>BINDER CLIP KENKO NO. 280 (isi 6 pc)</t>
  </si>
  <si>
    <t>TAPE DISPENSER KENKO TD-323 NC (1" &amp; 3" CORE)</t>
  </si>
  <si>
    <t>GEL PEN KENKO KS-97 SIGN PEN HITAM</t>
  </si>
  <si>
    <t>PENSIL KENKO 2B-6388 ZOO N ZOO</t>
  </si>
  <si>
    <t>TAPE DISPENSER KENKO TD-501 (1" CORE)</t>
  </si>
  <si>
    <t>CUTTER 18 MM JOYKO L-500-CU</t>
  </si>
  <si>
    <t>CAT AIR / WATER COLOR JOYKO WAC-6ML-12C SCREW TYPE</t>
  </si>
  <si>
    <t>GEL PEN JOYKO GP-212 I-DIAMOND</t>
  </si>
  <si>
    <t>GEL PEN TIZO TG-30103</t>
  </si>
  <si>
    <t>PENCIL CASE KRT KK-2C 8D S 2 BD</t>
  </si>
  <si>
    <t>LEM STICK JOYKO 25 GR GS-25 isi 12 pc</t>
  </si>
  <si>
    <t>CORRECTION TAPE JOYKO CT-520</t>
  </si>
  <si>
    <t>BALLPEN JOYKO BP-254 MORA</t>
  </si>
  <si>
    <t>LEM STICK JOYART 8 GR GS-108 isi 12 pc</t>
  </si>
  <si>
    <t>LEM STICK JOYKO 8 GR GS-103 (BATIK) isi 24 pc</t>
  </si>
  <si>
    <t>LEM LIQUID (CAIR) JOYKO GL-50</t>
  </si>
  <si>
    <t>STIP / PENGHAPUS JOYKO ER-110 (isi 40 pc)</t>
  </si>
  <si>
    <t>CORRECTION FLUID JOYKO JK-101A (BESI)</t>
  </si>
  <si>
    <t>CORRECTION TAPE KENKO CT-2001 (20M X 5MM)</t>
  </si>
  <si>
    <t>STIP / PENGHAPUS KENKO ER-36BTK BATIK</t>
  </si>
  <si>
    <t>TAPE CUTTER JOYKO TC-111</t>
  </si>
  <si>
    <t>TAPE CUTTER JOYKO TC-106</t>
  </si>
  <si>
    <t>ISI CUTTER 18 MM JOYKO L-150 AM/MH (BESAR)</t>
  </si>
  <si>
    <t>MAP TAS / BAG JOYKO B-2637-3 (Br,Mrh,Pth,Kn)</t>
  </si>
  <si>
    <t>NOTEBOOK JOYKO A6 NB-665</t>
  </si>
  <si>
    <t>ASAHAN MEJA JOYKO A-18 PENGUIN</t>
  </si>
  <si>
    <t>PENSIL JOYKO 2B P-101 ANIMAL KINGDOM 2</t>
  </si>
  <si>
    <t>MECHANICAL PENCIL 0.5 MM JOYKO MP-47 SAFARI</t>
  </si>
  <si>
    <t>ISI PENSIL 2B 2.0 MM JOYKO PL-17</t>
  </si>
  <si>
    <t>KUAS SET JOYKO BR-9</t>
  </si>
  <si>
    <t>STAPLES REMOVER</t>
  </si>
  <si>
    <t>STAPLES REMOVER SDI 1164</t>
  </si>
  <si>
    <t>SPIDOL WHITEBOARD SDI S530VP - BIRU</t>
  </si>
  <si>
    <t>CUTTING MAT</t>
  </si>
  <si>
    <t>CUTTING MAT SDI 1007 (A3/18"X12")</t>
  </si>
  <si>
    <t>GEL PEN DEBOZZ 0.7 MM DB-530 + REFILL</t>
  </si>
  <si>
    <t>GEL PEN VANCO GP-559 HI-TOUCH</t>
  </si>
  <si>
    <t>PENSIL KENKO 2B-0820 PELANGI</t>
  </si>
  <si>
    <t>PENSIL KENKO 2B-6906 BATIK</t>
  </si>
  <si>
    <t>GEL PEN KENKO MICROTECH 0.28 MM</t>
  </si>
  <si>
    <t>GEL PEN KENKO MICROTECH 0.4 MM</t>
  </si>
  <si>
    <t>GARISAN BESI (STAINLESS STEEL) KENKO 20 CM</t>
  </si>
  <si>
    <t>CORRECTION TAPE KENKO CT-310SL (12M x 5MM)</t>
  </si>
  <si>
    <t>CORRECTION TAPE KENKO CT-210SL (6M x 5MM)</t>
  </si>
  <si>
    <t>ASAHAN KENKO SP-71 1 HOLE (isi 12 pc)</t>
  </si>
  <si>
    <t>PENSIL KENKO 2B-0192 PEARL</t>
  </si>
  <si>
    <t>BALLPEN JOYKO BP-250 BRIZ</t>
  </si>
  <si>
    <t>LOOSE LEAF JOYKO B5-7026 (50S)</t>
  </si>
  <si>
    <t>STAPLER JOYKO HS-7</t>
  </si>
  <si>
    <t>TALI</t>
  </si>
  <si>
    <t>BUKU KAS FOLIO</t>
  </si>
  <si>
    <t>TALI CANTOL PLASTIK 1.0 / TALI JEPITAN PEONY (Mr, Br, Hj)</t>
  </si>
  <si>
    <t>GARISAN MIKA VANCO VC-084 OFFICE 30 CM</t>
  </si>
  <si>
    <t>BUSINESS FILE</t>
  </si>
  <si>
    <t>BUSINESS FILE KENKO FP320HG-A4 (Br,Hj,Kn,Abu,Mrh)</t>
  </si>
  <si>
    <t>ASAHAN KENKO SP-61  (isi 24 pc)</t>
  </si>
  <si>
    <t>LEM STICK JOYKO 15 GR GS-102 isi 24 pc</t>
  </si>
  <si>
    <t>PUSH PIN JOYKO PP-30</t>
  </si>
  <si>
    <t>PUSH PIN KENKO PN-30</t>
  </si>
  <si>
    <t>CALCULATOR JOYKO CC-31</t>
  </si>
  <si>
    <t>CALCULATOR JOYKO CC-23CO</t>
  </si>
  <si>
    <t>CUTTER 128 ISI 12 PC TRANSPARAN (KECIL)</t>
  </si>
  <si>
    <t>LEM TUBE / RENTENG</t>
  </si>
  <si>
    <t>LEM RENTENG 1588 15 ML (isi 12 pc)</t>
  </si>
  <si>
    <t>STAND PEN SPIRAL KENKO STP-18M2 SMILE</t>
  </si>
  <si>
    <t>STAND PEN SPIRAL KENKO STP-100SG</t>
  </si>
  <si>
    <t>STAND PEN SPIRAL KENKO STP-300SG</t>
  </si>
  <si>
    <t>CUTTER VANCO V-750 (BESAR)</t>
  </si>
  <si>
    <t>MEJA</t>
  </si>
  <si>
    <t>MEJA LIPAT HANDLE WARNA</t>
  </si>
  <si>
    <t>ISI BENSIA LANTU LT 11-32 (40 SET)</t>
  </si>
  <si>
    <t>GEL PEN KENKO ERASO 16</t>
  </si>
  <si>
    <t>STAPLER KENKO HD-10L</t>
  </si>
  <si>
    <t>GEL PEN KENKO KE-303ER T-GEL ERASABLE</t>
  </si>
  <si>
    <t>BINDER NOTE KENKO A5-BNPC/BNPP (BASIC/POLOS)</t>
  </si>
  <si>
    <t>CORRECTION TAPE KENKO CT-3001 (30M X 5MM)</t>
  </si>
  <si>
    <t>JANGKA (COMPASS SET) KENKO C-528 / MS-55</t>
  </si>
  <si>
    <t>JANGKA (COMPASS SET) KENKO C-2011</t>
  </si>
  <si>
    <t>PLAKBAND KAIN HITAM JOYKO 48 MM (2") ORANGE</t>
  </si>
  <si>
    <t>LAMINATING FILM JOYKO LF100-2231 (A4)</t>
  </si>
  <si>
    <t>PLAKBAND KERTAS / MASKING TAPE</t>
  </si>
  <si>
    <t>PLAKBAND KERTAS JOYKO 24 MM x 20 M (1")</t>
  </si>
  <si>
    <t>GEL PEN JOYKO GP-157</t>
  </si>
  <si>
    <t>PAPER CUTTER JOYKO PC-1938 (A4)</t>
  </si>
  <si>
    <t>CORRECTION TAPE JOYKO CT-545</t>
  </si>
  <si>
    <t>CORRECTION TAPE JOYKO CT-572</t>
  </si>
  <si>
    <t>CORRECTION TAPE JOYKO CT-573</t>
  </si>
  <si>
    <t>MECHANICAL PENCIL 2.0 MM JOYKO MP-50</t>
  </si>
  <si>
    <t>BINDER CLIP JOYKO NO. 105 PTL (isi 60pc)</t>
  </si>
  <si>
    <t>BINDER CLIP JOYKO NO. 107 FC2 (isi 40 pc)</t>
  </si>
  <si>
    <t>PENSIL JOYKO 2B P-99 ANIMAL KINGDOM 2</t>
  </si>
  <si>
    <t>GEL PEN JOYKO JK-100SN</t>
  </si>
  <si>
    <t>GEL PEN SET WARNA JOYKO GPC-315</t>
  </si>
  <si>
    <t>DESK SET JOYKO DS-16 CO (Mr, Hj, Br)</t>
  </si>
  <si>
    <t>TIMBANGAN / SCALE</t>
  </si>
  <si>
    <t>ISI STAPLER (STAPLES) SDI 1204 NO. 3</t>
  </si>
  <si>
    <t>PENSIL WARNA JOYKO CP-104 (24W)</t>
  </si>
  <si>
    <t>Stok 2023</t>
  </si>
  <si>
    <t>SPIDOL PERMANENT JOYKO PM-34 (bonus)</t>
  </si>
  <si>
    <t>PLAKBAND BENING KENKO 45 MM x 100 Y GREEN CORE</t>
  </si>
  <si>
    <t>PLAKBAND COKLAT KENKO 45 MM x 100 Y GREEN CORE</t>
  </si>
  <si>
    <t>PLAKBAND KAIN HITAM KENKO 24 MM (1") BLUE CORE</t>
  </si>
  <si>
    <t>PLAKBAND KAIN HITAM KENKO 48 MM (2") BLUE CORE</t>
  </si>
  <si>
    <t>BUKU TAMU JOYKO GB-2833 R-5 (BATIK)</t>
  </si>
  <si>
    <t>CALCULATOR JOYKO CC-19A</t>
  </si>
  <si>
    <t>CALCULATOR JOYKO CC-56</t>
  </si>
  <si>
    <t>CALCULATOR JOYKO CC-57</t>
  </si>
  <si>
    <t>CORRECTION TAPE JOYKO CT-549</t>
  </si>
  <si>
    <t>CRAYON / OIL PASTEL KENKO 24W GARDEN</t>
  </si>
  <si>
    <t>CRAYON / OIL PASTEL KENKO 36W GARDEN</t>
  </si>
  <si>
    <t>GEL PEN ZHIXIN G-3093 + ISI</t>
  </si>
  <si>
    <t>GEL PEN ZHIXIN G-3103 + ISI</t>
  </si>
  <si>
    <t>GEL PEN ZHIXIN G-3112 + ISI</t>
  </si>
  <si>
    <t>GEL PEN ZHIXIN G-3118 + ISI</t>
  </si>
  <si>
    <t>CORRECTION TAPE KENKO CT-1505FC (15M X 5MM)</t>
  </si>
  <si>
    <t>CORRECTION TAPE KENKO CT-909 (12M x 5MM)</t>
  </si>
  <si>
    <t>GUNTING JOYKO SC-12</t>
  </si>
  <si>
    <t>LEM LIQUID (CAIR) JOYKO GL-W01</t>
  </si>
  <si>
    <t>PENCIL CASE JOYKO PC-0618FZ-1 A/D (FRUITZY)</t>
  </si>
  <si>
    <t>TAPE CUTTER JOYKO TC-113</t>
  </si>
  <si>
    <t>ASAHAN JOYKO B-24 PTL (isi 12 pc)</t>
  </si>
  <si>
    <t>CASH BOX JOYKO CB-21A</t>
  </si>
  <si>
    <t>CASH BOX JOYKO CB-26A</t>
  </si>
  <si>
    <t>PENCIL CASE 22 x 7.5 MAGNET C-1758</t>
  </si>
  <si>
    <r>
      <t xml:space="preserve">BALLPEN JOYKO BP-338 VOCUS </t>
    </r>
    <r>
      <rPr>
        <sz val="10"/>
        <color rgb="FFFF0000"/>
        <rFont val="Arial Narrow"/>
        <family val="2"/>
      </rPr>
      <t>(bonus)</t>
    </r>
  </si>
  <si>
    <t>GEL PEN TIZO TG-FANCY</t>
  </si>
  <si>
    <t>HIGHLIGHTER / STABILLO VANCO HL-520</t>
  </si>
  <si>
    <t>LEM CAIR G-5036 (50 ML)</t>
  </si>
  <si>
    <t>PCS</t>
  </si>
  <si>
    <t>PENCIL CASE 22 x 7.5 MAGNET C-1756</t>
  </si>
  <si>
    <t>ASAHAN JOYKO B-82 BERUANG (isi 24 pc)</t>
  </si>
  <si>
    <t>DESK SET JOYKO DS-0812</t>
  </si>
  <si>
    <t>STAPLER JOYKO HD-10MP</t>
  </si>
  <si>
    <t>LEM CAIR F-5036 (50 ML)</t>
  </si>
  <si>
    <t>ASAHAN JOYKO B-72 (isi 24 pc)</t>
  </si>
  <si>
    <t>ASAHAN KENKO SP-71S 1 HOLE KECIL (isi 12 pc)</t>
  </si>
  <si>
    <t>ASAHAN KENKO SP-72 2 HOLE (isi 12 pc)</t>
  </si>
  <si>
    <t>BUKU KAS KWARTO</t>
  </si>
  <si>
    <t>KARTU STOCK</t>
  </si>
  <si>
    <t>KARTU STOCK KWARTO</t>
  </si>
  <si>
    <t>KARTU STOCK FOLIO</t>
  </si>
  <si>
    <t>CORRECTION TAPE JOYKO CT-522-02</t>
  </si>
  <si>
    <t>CORRECTION TAPE JOYKO CT-534</t>
  </si>
  <si>
    <t>CORRECTION TAPE JOYKO CT-540</t>
  </si>
  <si>
    <t>CORRECTION TAPE JOYKO CT-546</t>
  </si>
  <si>
    <t>CORRECTION TAPE KENKO CT-634 / N / DT (8M x 5MM)</t>
  </si>
  <si>
    <t>CORRECTION TAPE KENKO CT-809 (8M x 5MM)</t>
  </si>
  <si>
    <t>CORRECTION TAPE KENKO CT-902 CL / DT (12M x 5MM)</t>
  </si>
  <si>
    <t>KUAS SET JOYKO BR-6 NO.0</t>
  </si>
  <si>
    <t>KUAS SET JOYKO BR-6 NO.1</t>
  </si>
  <si>
    <t>KUAS SET JOYKO BR-6 NO.2</t>
  </si>
  <si>
    <t>KUAS SET JOYKO BR-6 NO.3</t>
  </si>
  <si>
    <t>KUAS SET JOYKO BR-6 NO.4</t>
  </si>
  <si>
    <t>KUAS SET JOYKO BR-6 NO.5</t>
  </si>
  <si>
    <t>KUAS SET JOYKO BR-6 NO.6</t>
  </si>
  <si>
    <t>KUAS SET JOYKO BR-6 NO.7</t>
  </si>
  <si>
    <t>KUAS SET JOYKO BR-6 NO.8</t>
  </si>
  <si>
    <t>KUAS SET JOYKO BR-6 NO.9</t>
  </si>
  <si>
    <t>KUAS SET JOYKO BR-6 NO.10</t>
  </si>
  <si>
    <t>KUAS SET JOYKO BR-6 NO.11</t>
  </si>
  <si>
    <t>KUAS SET JOYKO BR-6 NO.12</t>
  </si>
  <si>
    <t>MESIN LABEL HARGA JOYKO MX-6600A (10 DIGITS, 2 LINE)</t>
  </si>
  <si>
    <r>
      <t xml:space="preserve">GEL PEN JOYKO GP-265 Q-GEL </t>
    </r>
    <r>
      <rPr>
        <sz val="10"/>
        <color rgb="FFFF0000"/>
        <rFont val="Arial Narrow"/>
        <family val="2"/>
      </rPr>
      <t>(bonus)</t>
    </r>
  </si>
  <si>
    <t>GEL PEN KENKO HIGHLIGHTER GP-20 HL</t>
  </si>
  <si>
    <r>
      <t xml:space="preserve">SPIDOL WHITEBOARD SDI S530VP  </t>
    </r>
    <r>
      <rPr>
        <sz val="10"/>
        <color rgb="FFFF0000"/>
        <rFont val="Arial Narrow"/>
        <family val="2"/>
      </rPr>
      <t>(bonus)</t>
    </r>
  </si>
  <si>
    <r>
      <t xml:space="preserve">TIMBANGAN / DIGITAL SCALE JOYKO DSL-A3 (Kitchen Scale) </t>
    </r>
    <r>
      <rPr>
        <sz val="10"/>
        <color rgb="FFFF0000"/>
        <rFont val="Arial Narrow"/>
        <family val="2"/>
      </rPr>
      <t>(bonus)</t>
    </r>
  </si>
  <si>
    <t>GEL PEN KENKO HI-TECH-H 0.4 MM HITAM</t>
  </si>
  <si>
    <t>KACA PEMBESAR (MAGNIFIER) JOYKO MF-90</t>
  </si>
  <si>
    <t>COLOR BRUSH PEN KENKO DBP-12 DUAL TIP  (12 WARNA)</t>
  </si>
  <si>
    <t>CORRECTION TAPE JOYKO CT-562</t>
  </si>
  <si>
    <t>DATE STAMP JOYKO D-4</t>
  </si>
  <si>
    <t>HIGHLIGHTER / STABILLO TIZO TF-616 (isi 24 pc)</t>
  </si>
  <si>
    <t>REFILL/ ISI GEL 1.0 TG308-AR</t>
  </si>
  <si>
    <t>TAPE CUTTER JOYKO TC-116</t>
  </si>
  <si>
    <t>PENSIL WARNA KAYAGI KY-CP0724</t>
  </si>
  <si>
    <t>PENSIL WARNA KAYAGI KY-CP1210 PANJANG</t>
  </si>
  <si>
    <t>PENSIL WARNA KAYAGI KY-CP1224 TWIN</t>
  </si>
  <si>
    <t>LABEL HARGA JOYKO LB-P2CC (2 LINE)</t>
  </si>
  <si>
    <t>GEL PEN TIZO TG31763-EL</t>
  </si>
  <si>
    <t>CORRECTION TAPE KENKO CT-819 (8M x 5MM)</t>
  </si>
  <si>
    <t>CORRECTION TAPE KENKO CT-919 (12M x 5MM)</t>
  </si>
  <si>
    <t>GEL PEN ZHIXIN G-3111 + ISI</t>
  </si>
  <si>
    <t>GEL PEN ZHIXIN G-3117 + ISI</t>
  </si>
  <si>
    <t>GEL PEN ZHIXIN G-3132 + ISI</t>
  </si>
  <si>
    <t>GEL PEN ZHIXIN G-3136 + ISI</t>
  </si>
  <si>
    <t>GEL PEN ZHIXIN G-5001 + ISI</t>
  </si>
  <si>
    <t>GEL PEN ZHIXIN G-5002 + ISI</t>
  </si>
  <si>
    <t>GEL PEN ZHIXIN G-5004 + ISI</t>
  </si>
  <si>
    <t>GEL PEN ZHIXIN G-5009 + ISI</t>
  </si>
  <si>
    <t>GEL PEN ZHIXIN G-5016 L + ISI</t>
  </si>
  <si>
    <t>PENCIL CASE 22 x 7.5 MAGNET FC-1757</t>
  </si>
  <si>
    <t>PENCIL CASE 22 x 7.5 MAGNET FC-1758</t>
  </si>
  <si>
    <t>BALLPEN JOYKO BP-349-12 VOKUS TRANS HITAM (BONUS)</t>
  </si>
  <si>
    <t>CORRECTION TAPE JOYKO CT-553</t>
  </si>
  <si>
    <t>CORRECTION TAPE KENKO CT-606 (6M x 5MM)</t>
  </si>
  <si>
    <t>CORRECTION TAPE KENKO CT-608FC (6M x 5MM)</t>
  </si>
  <si>
    <t>CORRECTION TAPE KENKO CT-818 (8M x 5MM)</t>
  </si>
  <si>
    <t>STIP / PENGHAPUS JOYKO ER-102 (isi 36 pc)</t>
  </si>
  <si>
    <t>BUKU TAMU KENKO BT-3224-01/02 (BUNGA/KEMBANG)</t>
  </si>
  <si>
    <r>
      <t xml:space="preserve">ISI CUTTER 18 MM JOYKO L-150 AM/MH (BESAR) </t>
    </r>
    <r>
      <rPr>
        <sz val="10"/>
        <color rgb="FFFF0000"/>
        <rFont val="Arial Narrow"/>
        <family val="2"/>
      </rPr>
      <t>(BONUS)</t>
    </r>
  </si>
  <si>
    <t>CALCULATOR JOYKO CC-868CH</t>
  </si>
  <si>
    <t>BULLDOG CLIP JOYKO 6-145</t>
  </si>
  <si>
    <t>BINDER CLIP JOYKO 300</t>
  </si>
  <si>
    <t>BINDER CLIP KENKO NO. 300</t>
  </si>
  <si>
    <t>CALCULATOR JOYKO CC-27</t>
  </si>
  <si>
    <t>CAT AIR / WATER COLOR JOYKO WC-4-12</t>
  </si>
  <si>
    <t>CAT AIR / WATER COLOR JOYKO WC-4-24</t>
  </si>
  <si>
    <t>COLOR BRUSH PEN KENKO DBP-24 DUAL TIP  (24 WARNA)</t>
  </si>
  <si>
    <t>CORRECTION FLUID JOYKO CF-S210</t>
  </si>
  <si>
    <t>CORRECTION TAPE JOYKO CT-522 PTL</t>
  </si>
  <si>
    <t>CRAYON / OIL PASTEL PUTAR JOYKO TWCR-24MINI (PENDEK)</t>
  </si>
  <si>
    <t>FLASHLIGHT</t>
  </si>
  <si>
    <t>GEL PEN JOYKO GP-182 ITECH</t>
  </si>
  <si>
    <t>GUNTING JOYKO SC-858</t>
  </si>
  <si>
    <t>GEL PEN JOYKO GP-285 TRIGO</t>
  </si>
  <si>
    <t>GEL PEN KENKO HI-TECH-H 0.4 MM BIRU</t>
  </si>
  <si>
    <t>GEL PEN KENKO K-1 MINI</t>
  </si>
  <si>
    <t>JANGKA (MATH SET) JOYKO MS-18</t>
  </si>
  <si>
    <t>JANGKA (MATH SET) JOYKO MS-85</t>
  </si>
  <si>
    <t>JANGKA (MATH SET) JOYKO MS-87</t>
  </si>
  <si>
    <t>KUAS SET JOYKO BR-6 NO.00</t>
  </si>
  <si>
    <t>LEM STICK JOYKO 8 GR GS-105 isi 24 pc</t>
  </si>
  <si>
    <t>PENCIL CASE JOYKO PC-0719PL-32</t>
  </si>
  <si>
    <t>PENSIL JOYKO 2B 6161</t>
  </si>
  <si>
    <t>PENSIL WARNA JOYKO CP-8 (12W)</t>
  </si>
  <si>
    <t>TAPE CUTTER JOYKO TC-110</t>
  </si>
  <si>
    <t>PENSIL ZHONG HUA 5925-2B/B OVAL</t>
  </si>
  <si>
    <t>GEL MINI COLOR + ISI G-212C</t>
  </si>
  <si>
    <t>LSN</t>
  </si>
  <si>
    <t>PENCIL CASE 22 x 7.5 MAGNET FC-1760 (TIMBUL)</t>
  </si>
  <si>
    <t>PENCIL CASE 22 x 7.5 MAGNET FC-1761 (3D)</t>
  </si>
  <si>
    <t>PENCIL CASE 22 x 7.5 MAGNET FX-2275 (METALIK)</t>
  </si>
  <si>
    <t>PENCIL CASE 22 x 7.5 MAGNET FX-2276 (METALIK)</t>
  </si>
  <si>
    <t>PREMIUM OIL COLOR PENCIL CP-TC126-48 JK (Bonus)</t>
  </si>
  <si>
    <t>FLASHLIGHT FL-91 JK (Bonus)</t>
  </si>
  <si>
    <t>KAOS</t>
  </si>
  <si>
    <t>KAOS JOYKO (Bonus)</t>
  </si>
  <si>
    <t>TINTA / INK</t>
  </si>
  <si>
    <t>TINTA HERO K 1054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</si>
</sst>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0.0"/>
    <numFmt numFmtId="167" formatCode="0.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1"/>
      <name val="Khiara Script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FF00"/>
      <name val="Maiandra GD"/>
      <family val="2"/>
    </font>
    <font>
      <sz val="10"/>
      <name val="Maiandra GD"/>
      <family val="2"/>
    </font>
    <font>
      <sz val="8"/>
      <color rgb="FFFFFF00"/>
      <name val="Maiandra GD"/>
      <family val="2"/>
    </font>
    <font>
      <sz val="7"/>
      <color rgb="FFFFFF00"/>
      <name val="Maiandra GD"/>
      <family val="2"/>
    </font>
    <font>
      <b/>
      <sz val="12"/>
      <color theme="1"/>
      <name val="Arial Narrow"/>
      <family val="2"/>
    </font>
    <font>
      <sz val="10"/>
      <color rgb="FFFF0000"/>
      <name val="Arial Narrow"/>
      <family val="2"/>
    </font>
    <font>
      <sz val="10"/>
      <name val="Arial"/>
      <family val="2"/>
    </font>
    <font>
      <sz val="12"/>
      <color theme="1"/>
      <name val="Arial Narrow"/>
      <family val="2"/>
    </font>
    <font>
      <sz val="10"/>
      <color rgb="FF00B050"/>
      <name val="Arial Narrow"/>
      <family val="2"/>
    </font>
    <font>
      <b/>
      <sz val="11"/>
      <color rgb="FFFF0000"/>
      <name val="Arial Narrow"/>
      <family val="2"/>
    </font>
    <font>
      <b/>
      <sz val="12"/>
      <name val="Arial Narrow"/>
      <family val="2"/>
    </font>
    <font>
      <sz val="10"/>
      <name val="Cambria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/>
      <top style="thin">
        <color rgb="FFFFFF00"/>
      </top>
      <bottom/>
      <diagonal/>
    </border>
    <border>
      <left/>
      <right style="thin">
        <color rgb="FFFFFF00"/>
      </right>
      <top style="thin">
        <color rgb="FFFFFF00"/>
      </top>
      <bottom/>
      <diagonal/>
    </border>
    <border>
      <left style="thin">
        <color rgb="FFFFFF00"/>
      </left>
      <right/>
      <top/>
      <bottom style="thin">
        <color rgb="FFFFFF00"/>
      </bottom>
      <diagonal/>
    </border>
    <border>
      <left/>
      <right style="thin">
        <color rgb="FFFFFF00"/>
      </right>
      <top/>
      <bottom style="thin">
        <color rgb="FFFFFF00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173">
    <xf numFmtId="0" fontId="0" fillId="0" borderId="0" xfId="0"/>
    <xf numFmtId="0" fontId="2" fillId="0" borderId="0" xfId="0" quotePrefix="1" applyFont="1" applyBorder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3" fillId="0" borderId="0" xfId="0" applyNumberFormat="1" applyFont="1" applyAlignment="1"/>
    <xf numFmtId="0" fontId="3" fillId="0" borderId="0" xfId="0" applyFont="1" applyAlignment="1"/>
    <xf numFmtId="4" fontId="3" fillId="0" borderId="0" xfId="0" applyNumberFormat="1" applyFont="1"/>
    <xf numFmtId="10" fontId="3" fillId="0" borderId="0" xfId="0" applyNumberFormat="1" applyFont="1" applyAlignment="1">
      <alignment horizontal="center"/>
    </xf>
    <xf numFmtId="0" fontId="6" fillId="0" borderId="0" xfId="0" applyFont="1" applyFill="1"/>
    <xf numFmtId="4" fontId="5" fillId="2" borderId="2" xfId="0" quotePrefix="1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8" fillId="2" borderId="2" xfId="0" applyNumberFormat="1" applyFont="1" applyFill="1" applyBorder="1" applyAlignment="1">
      <alignment horizontal="center" vertical="center"/>
    </xf>
    <xf numFmtId="0" fontId="9" fillId="0" borderId="0" xfId="0" applyFont="1" applyBorder="1"/>
    <xf numFmtId="0" fontId="4" fillId="0" borderId="0" xfId="0" applyFont="1" applyBorder="1"/>
    <xf numFmtId="4" fontId="10" fillId="0" borderId="0" xfId="0" applyNumberFormat="1" applyFont="1"/>
    <xf numFmtId="0" fontId="3" fillId="0" borderId="0" xfId="0" applyFont="1" applyBorder="1"/>
    <xf numFmtId="0" fontId="3" fillId="0" borderId="0" xfId="0" applyFont="1" applyFill="1" applyBorder="1"/>
    <xf numFmtId="0" fontId="3" fillId="0" borderId="0" xfId="0" applyFont="1" applyFill="1"/>
    <xf numFmtId="3" fontId="3" fillId="0" borderId="0" xfId="0" applyNumberFormat="1" applyFont="1" applyFill="1"/>
    <xf numFmtId="0" fontId="3" fillId="0" borderId="0" xfId="0" applyFont="1" applyFill="1" applyAlignment="1">
      <alignment horizontal="center"/>
    </xf>
    <xf numFmtId="3" fontId="3" fillId="0" borderId="0" xfId="0" applyNumberFormat="1" applyFont="1" applyFill="1" applyAlignment="1"/>
    <xf numFmtId="0" fontId="3" fillId="0" borderId="0" xfId="0" applyFont="1" applyFill="1" applyAlignment="1"/>
    <xf numFmtId="4" fontId="3" fillId="0" borderId="0" xfId="0" applyNumberFormat="1" applyFont="1" applyFill="1"/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Fill="1" applyAlignment="1">
      <alignment horizontal="center"/>
    </xf>
    <xf numFmtId="4" fontId="14" fillId="3" borderId="0" xfId="0" applyNumberFormat="1" applyFont="1" applyFill="1"/>
    <xf numFmtId="4" fontId="13" fillId="0" borderId="0" xfId="0" applyNumberFormat="1" applyFont="1"/>
    <xf numFmtId="4" fontId="3" fillId="0" borderId="0" xfId="0" applyNumberFormat="1" applyFont="1" applyFill="1" applyBorder="1"/>
    <xf numFmtId="4" fontId="13" fillId="0" borderId="0" xfId="0" applyNumberFormat="1" applyFont="1" applyFill="1" applyBorder="1"/>
    <xf numFmtId="0" fontId="3" fillId="3" borderId="0" xfId="0" applyFont="1" applyFill="1" applyBorder="1"/>
    <xf numFmtId="4" fontId="3" fillId="3" borderId="0" xfId="0" applyNumberFormat="1" applyFont="1" applyFill="1"/>
    <xf numFmtId="10" fontId="3" fillId="3" borderId="0" xfId="0" applyNumberFormat="1" applyFont="1" applyFill="1" applyAlignment="1">
      <alignment horizontal="center"/>
    </xf>
    <xf numFmtId="10" fontId="3" fillId="0" borderId="0" xfId="0" applyNumberFormat="1" applyFont="1" applyBorder="1"/>
    <xf numFmtId="3" fontId="4" fillId="0" borderId="0" xfId="0" applyNumberFormat="1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43" fontId="3" fillId="0" borderId="0" xfId="0" applyNumberFormat="1" applyFont="1"/>
    <xf numFmtId="0" fontId="9" fillId="0" borderId="0" xfId="0" applyFont="1" applyFill="1" applyBorder="1"/>
    <xf numFmtId="164" fontId="16" fillId="0" borderId="0" xfId="1" applyNumberFormat="1" applyFont="1" applyFill="1" applyAlignment="1">
      <alignment vertical="center"/>
    </xf>
    <xf numFmtId="164" fontId="16" fillId="0" borderId="0" xfId="1" applyNumberFormat="1" applyFont="1" applyFill="1" applyBorder="1" applyAlignment="1">
      <alignment vertical="center"/>
    </xf>
    <xf numFmtId="166" fontId="3" fillId="0" borderId="0" xfId="0" applyNumberFormat="1" applyFont="1" applyFill="1" applyAlignment="1"/>
    <xf numFmtId="0" fontId="3" fillId="0" borderId="0" xfId="0" applyFont="1" applyFill="1" applyBorder="1" applyAlignment="1"/>
    <xf numFmtId="0" fontId="3" fillId="0" borderId="0" xfId="2" applyFont="1" applyFill="1" applyBorder="1"/>
    <xf numFmtId="3" fontId="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/>
    <xf numFmtId="10" fontId="3" fillId="0" borderId="0" xfId="0" applyNumberFormat="1" applyFont="1" applyFill="1" applyBorder="1" applyAlignment="1">
      <alignment horizontal="center"/>
    </xf>
    <xf numFmtId="0" fontId="3" fillId="0" borderId="9" xfId="2" applyFont="1" applyFill="1" applyBorder="1"/>
    <xf numFmtId="0" fontId="3" fillId="0" borderId="9" xfId="0" applyFont="1" applyFill="1" applyBorder="1" applyAlignment="1"/>
    <xf numFmtId="3" fontId="4" fillId="0" borderId="0" xfId="0" applyNumberFormat="1" applyFont="1" applyFill="1"/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" fontId="3" fillId="0" borderId="0" xfId="0" applyNumberFormat="1" applyFont="1" applyBorder="1"/>
    <xf numFmtId="0" fontId="3" fillId="0" borderId="0" xfId="0" applyFont="1" applyBorder="1" applyAlignment="1">
      <alignment horizontal="center"/>
    </xf>
    <xf numFmtId="3" fontId="3" fillId="0" borderId="0" xfId="0" applyNumberFormat="1" applyFont="1" applyBorder="1" applyAlignment="1"/>
    <xf numFmtId="0" fontId="3" fillId="0" borderId="0" xfId="0" applyFont="1" applyBorder="1" applyAlignment="1"/>
    <xf numFmtId="4" fontId="3" fillId="0" borderId="0" xfId="0" applyNumberFormat="1" applyFont="1" applyBorder="1"/>
    <xf numFmtId="10" fontId="3" fillId="0" borderId="0" xfId="0" applyNumberFormat="1" applyFont="1" applyBorder="1" applyAlignment="1">
      <alignment horizontal="center"/>
    </xf>
    <xf numFmtId="165" fontId="3" fillId="0" borderId="0" xfId="0" applyNumberFormat="1" applyFont="1" applyBorder="1" applyAlignment="1"/>
    <xf numFmtId="1" fontId="3" fillId="0" borderId="0" xfId="0" applyNumberFormat="1" applyFont="1" applyAlignment="1"/>
    <xf numFmtId="43" fontId="10" fillId="0" borderId="0" xfId="0" applyNumberFormat="1" applyFont="1" applyFill="1"/>
    <xf numFmtId="4" fontId="10" fillId="0" borderId="0" xfId="0" applyNumberFormat="1" applyFont="1" applyFill="1" applyBorder="1"/>
    <xf numFmtId="4" fontId="15" fillId="0" borderId="0" xfId="0" applyNumberFormat="1" applyFont="1" applyFill="1" applyBorder="1"/>
    <xf numFmtId="0" fontId="4" fillId="0" borderId="0" xfId="0" applyFont="1" applyFill="1" applyBorder="1"/>
    <xf numFmtId="0" fontId="12" fillId="0" borderId="0" xfId="0" applyFont="1" applyFill="1" applyBorder="1"/>
    <xf numFmtId="4" fontId="3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/>
    <xf numFmtId="165" fontId="3" fillId="0" borderId="0" xfId="0" applyNumberFormat="1" applyFont="1" applyFill="1" applyAlignment="1"/>
    <xf numFmtId="167" fontId="3" fillId="0" borderId="0" xfId="0" applyNumberFormat="1" applyFont="1" applyFill="1" applyAlignment="1">
      <alignment horizontal="center"/>
    </xf>
    <xf numFmtId="0" fontId="10" fillId="0" borderId="0" xfId="0" applyFont="1" applyBorder="1"/>
    <xf numFmtId="0" fontId="10" fillId="0" borderId="0" xfId="0" applyFont="1"/>
    <xf numFmtId="3" fontId="10" fillId="0" borderId="0" xfId="0" applyNumberFormat="1" applyFont="1"/>
    <xf numFmtId="0" fontId="10" fillId="0" borderId="0" xfId="0" applyFont="1" applyAlignment="1">
      <alignment horizontal="center"/>
    </xf>
    <xf numFmtId="3" fontId="18" fillId="0" borderId="0" xfId="0" applyNumberFormat="1" applyFont="1" applyAlignment="1">
      <alignment horizontal="center"/>
    </xf>
    <xf numFmtId="3" fontId="10" fillId="0" borderId="0" xfId="0" applyNumberFormat="1" applyFont="1" applyAlignment="1"/>
    <xf numFmtId="0" fontId="10" fillId="0" borderId="0" xfId="0" applyFont="1" applyAlignment="1"/>
    <xf numFmtId="10" fontId="10" fillId="0" borderId="0" xfId="0" applyNumberFormat="1" applyFont="1" applyAlignment="1">
      <alignment horizontal="center"/>
    </xf>
    <xf numFmtId="3" fontId="10" fillId="0" borderId="0" xfId="0" applyNumberFormat="1" applyFont="1" applyFill="1"/>
    <xf numFmtId="0" fontId="10" fillId="0" borderId="0" xfId="0" applyFont="1" applyFill="1" applyBorder="1"/>
    <xf numFmtId="0" fontId="10" fillId="0" borderId="0" xfId="0" applyFont="1" applyFill="1"/>
    <xf numFmtId="0" fontId="10" fillId="0" borderId="0" xfId="0" applyFont="1" applyFill="1" applyAlignment="1">
      <alignment horizontal="center"/>
    </xf>
    <xf numFmtId="3" fontId="18" fillId="0" borderId="0" xfId="0" applyNumberFormat="1" applyFont="1" applyFill="1" applyAlignment="1">
      <alignment horizontal="center"/>
    </xf>
    <xf numFmtId="3" fontId="10" fillId="0" borderId="0" xfId="0" applyNumberFormat="1" applyFont="1" applyFill="1" applyAlignment="1"/>
    <xf numFmtId="0" fontId="10" fillId="0" borderId="0" xfId="0" applyFont="1" applyFill="1" applyAlignment="1"/>
    <xf numFmtId="4" fontId="10" fillId="0" borderId="0" xfId="0" applyNumberFormat="1" applyFont="1" applyFill="1"/>
    <xf numFmtId="10" fontId="10" fillId="0" borderId="0" xfId="0" applyNumberFormat="1" applyFont="1" applyFill="1" applyAlignment="1">
      <alignment horizontal="center"/>
    </xf>
    <xf numFmtId="0" fontId="19" fillId="0" borderId="0" xfId="0" applyFont="1"/>
    <xf numFmtId="166" fontId="10" fillId="0" borderId="0" xfId="0" applyNumberFormat="1" applyFont="1" applyFill="1" applyAlignment="1"/>
    <xf numFmtId="0" fontId="19" fillId="0" borderId="0" xfId="0" applyFont="1" applyFill="1" applyBorder="1"/>
    <xf numFmtId="3" fontId="19" fillId="0" borderId="0" xfId="0" applyNumberFormat="1" applyFont="1"/>
    <xf numFmtId="0" fontId="19" fillId="0" borderId="0" xfId="0" applyFont="1" applyAlignment="1">
      <alignment horizontal="center"/>
    </xf>
    <xf numFmtId="3" fontId="20" fillId="0" borderId="0" xfId="0" applyNumberFormat="1" applyFont="1" applyAlignment="1">
      <alignment horizontal="center"/>
    </xf>
    <xf numFmtId="3" fontId="19" fillId="0" borderId="0" xfId="0" applyNumberFormat="1" applyFont="1" applyAlignment="1"/>
    <xf numFmtId="0" fontId="19" fillId="0" borderId="0" xfId="0" applyFont="1" applyAlignment="1"/>
    <xf numFmtId="4" fontId="19" fillId="0" borderId="0" xfId="0" applyNumberFormat="1" applyFont="1"/>
    <xf numFmtId="10" fontId="19" fillId="0" borderId="0" xfId="0" applyNumberFormat="1" applyFont="1" applyAlignment="1">
      <alignment horizontal="center"/>
    </xf>
    <xf numFmtId="0" fontId="19" fillId="0" borderId="0" xfId="0" applyFont="1" applyFill="1"/>
    <xf numFmtId="3" fontId="19" fillId="0" borderId="0" xfId="0" applyNumberFormat="1" applyFont="1" applyFill="1"/>
    <xf numFmtId="0" fontId="19" fillId="0" borderId="0" xfId="0" applyFont="1" applyFill="1" applyAlignment="1">
      <alignment horizontal="center"/>
    </xf>
    <xf numFmtId="3" fontId="20" fillId="0" borderId="0" xfId="0" applyNumberFormat="1" applyFont="1" applyFill="1" applyAlignment="1">
      <alignment horizontal="center"/>
    </xf>
    <xf numFmtId="3" fontId="19" fillId="0" borderId="0" xfId="0" applyNumberFormat="1" applyFont="1" applyFill="1" applyAlignment="1"/>
    <xf numFmtId="0" fontId="19" fillId="0" borderId="0" xfId="0" applyFont="1" applyFill="1" applyAlignment="1"/>
    <xf numFmtId="4" fontId="19" fillId="0" borderId="0" xfId="0" applyNumberFormat="1" applyFont="1" applyFill="1"/>
    <xf numFmtId="10" fontId="19" fillId="0" borderId="0" xfId="0" applyNumberFormat="1" applyFont="1" applyFill="1" applyAlignment="1">
      <alignment horizontal="center"/>
    </xf>
    <xf numFmtId="166" fontId="19" fillId="0" borderId="0" xfId="0" applyNumberFormat="1" applyFont="1" applyFill="1" applyAlignment="1"/>
    <xf numFmtId="0" fontId="19" fillId="0" borderId="0" xfId="0" applyFont="1" applyBorder="1"/>
    <xf numFmtId="0" fontId="19" fillId="3" borderId="0" xfId="0" applyFont="1" applyFill="1" applyBorder="1"/>
    <xf numFmtId="4" fontId="19" fillId="3" borderId="0" xfId="0" applyNumberFormat="1" applyFont="1" applyFill="1"/>
    <xf numFmtId="10" fontId="19" fillId="3" borderId="0" xfId="0" applyNumberFormat="1" applyFont="1" applyFill="1" applyAlignment="1">
      <alignment horizontal="center"/>
    </xf>
    <xf numFmtId="0" fontId="10" fillId="0" borderId="0" xfId="2" applyFont="1" applyFill="1" applyBorder="1" applyAlignment="1">
      <alignment horizontal="left"/>
    </xf>
    <xf numFmtId="0" fontId="10" fillId="0" borderId="0" xfId="0" applyFont="1" applyFill="1" applyBorder="1" applyAlignment="1"/>
    <xf numFmtId="0" fontId="10" fillId="0" borderId="0" xfId="2" applyFont="1" applyFill="1" applyBorder="1"/>
    <xf numFmtId="3" fontId="17" fillId="0" borderId="0" xfId="0" quotePrefix="1" applyNumberFormat="1" applyFont="1" applyFill="1"/>
    <xf numFmtId="0" fontId="10" fillId="0" borderId="9" xfId="0" applyFont="1" applyFill="1" applyBorder="1" applyAlignment="1"/>
    <xf numFmtId="0" fontId="10" fillId="0" borderId="9" xfId="2" applyFont="1" applyFill="1" applyBorder="1"/>
    <xf numFmtId="3" fontId="18" fillId="0" borderId="0" xfId="0" applyNumberFormat="1" applyFont="1" applyFill="1"/>
    <xf numFmtId="0" fontId="10" fillId="0" borderId="9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3" fontId="10" fillId="0" borderId="0" xfId="0" applyNumberFormat="1" applyFont="1" applyBorder="1"/>
    <xf numFmtId="0" fontId="10" fillId="0" borderId="0" xfId="0" applyFont="1" applyBorder="1" applyAlignment="1">
      <alignment horizontal="center"/>
    </xf>
    <xf numFmtId="3" fontId="18" fillId="0" borderId="0" xfId="0" applyNumberFormat="1" applyFont="1" applyBorder="1" applyAlignment="1">
      <alignment horizontal="center"/>
    </xf>
    <xf numFmtId="3" fontId="10" fillId="0" borderId="0" xfId="0" applyNumberFormat="1" applyFont="1" applyBorder="1" applyAlignment="1"/>
    <xf numFmtId="0" fontId="10" fillId="0" borderId="0" xfId="0" applyFont="1" applyBorder="1" applyAlignment="1"/>
    <xf numFmtId="4" fontId="10" fillId="0" borderId="0" xfId="0" applyNumberFormat="1" applyFont="1" applyBorder="1"/>
    <xf numFmtId="10" fontId="10" fillId="0" borderId="0" xfId="0" applyNumberFormat="1" applyFont="1" applyBorder="1" applyAlignment="1">
      <alignment horizontal="center"/>
    </xf>
    <xf numFmtId="3" fontId="10" fillId="0" borderId="0" xfId="0" applyNumberFormat="1" applyFont="1" applyFill="1" applyBorder="1"/>
    <xf numFmtId="0" fontId="19" fillId="0" borderId="0" xfId="2" applyFont="1" applyFill="1" applyBorder="1"/>
    <xf numFmtId="0" fontId="19" fillId="0" borderId="9" xfId="0" applyFont="1" applyFill="1" applyBorder="1" applyAlignment="1"/>
    <xf numFmtId="0" fontId="19" fillId="0" borderId="0" xfId="2" applyFont="1" applyFill="1" applyBorder="1" applyAlignment="1">
      <alignment horizontal="left"/>
    </xf>
    <xf numFmtId="0" fontId="19" fillId="0" borderId="9" xfId="2" applyFont="1" applyFill="1" applyBorder="1"/>
    <xf numFmtId="0" fontId="19" fillId="0" borderId="9" xfId="0" applyFont="1" applyFill="1" applyBorder="1" applyAlignment="1">
      <alignment vertical="center"/>
    </xf>
    <xf numFmtId="10" fontId="3" fillId="4" borderId="0" xfId="0" applyNumberFormat="1" applyFont="1" applyFill="1" applyAlignment="1">
      <alignment horizontal="center"/>
    </xf>
    <xf numFmtId="0" fontId="3" fillId="4" borderId="0" xfId="0" applyFont="1" applyFill="1" applyBorder="1"/>
    <xf numFmtId="0" fontId="19" fillId="4" borderId="0" xfId="0" applyFont="1" applyFill="1" applyBorder="1"/>
    <xf numFmtId="10" fontId="19" fillId="4" borderId="0" xfId="0" applyNumberFormat="1" applyFont="1" applyFill="1" applyAlignment="1">
      <alignment horizontal="center"/>
    </xf>
    <xf numFmtId="4" fontId="19" fillId="4" borderId="0" xfId="0" applyNumberFormat="1" applyFont="1" applyFill="1"/>
    <xf numFmtId="4" fontId="3" fillId="4" borderId="0" xfId="0" applyNumberFormat="1" applyFont="1" applyFill="1"/>
    <xf numFmtId="0" fontId="19" fillId="4" borderId="0" xfId="2" applyFont="1" applyFill="1" applyBorder="1"/>
    <xf numFmtId="0" fontId="3" fillId="4" borderId="0" xfId="2" applyFont="1" applyFill="1" applyBorder="1"/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left"/>
    </xf>
    <xf numFmtId="0" fontId="3" fillId="3" borderId="0" xfId="0" applyFont="1" applyFill="1" applyAlignment="1">
      <alignment horizontal="center"/>
    </xf>
    <xf numFmtId="0" fontId="19" fillId="5" borderId="0" xfId="0" applyFont="1" applyFill="1" applyBorder="1"/>
    <xf numFmtId="0" fontId="3" fillId="5" borderId="0" xfId="0" applyFont="1" applyFill="1" applyBorder="1"/>
    <xf numFmtId="0" fontId="19" fillId="5" borderId="0" xfId="2" applyFont="1" applyFill="1" applyBorder="1"/>
    <xf numFmtId="0" fontId="3" fillId="5" borderId="0" xfId="2" applyFont="1" applyFill="1" applyBorder="1"/>
    <xf numFmtId="0" fontId="3" fillId="5" borderId="0" xfId="0" applyFont="1" applyFill="1" applyBorder="1" applyAlignment="1">
      <alignment horizontal="left"/>
    </xf>
    <xf numFmtId="0" fontId="3" fillId="5" borderId="9" xfId="2" applyFont="1" applyFill="1" applyBorder="1"/>
    <xf numFmtId="0" fontId="3" fillId="6" borderId="0" xfId="0" applyFont="1" applyFill="1" applyBorder="1"/>
    <xf numFmtId="0" fontId="3" fillId="5" borderId="0" xfId="0" applyFont="1" applyFill="1" applyBorder="1" applyAlignment="1"/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 wrapText="1"/>
    </xf>
    <xf numFmtId="0" fontId="3" fillId="7" borderId="0" xfId="0" applyFont="1" applyFill="1" applyBorder="1"/>
    <xf numFmtId="0" fontId="3" fillId="7" borderId="0" xfId="0" applyFont="1" applyFill="1"/>
    <xf numFmtId="3" fontId="3" fillId="7" borderId="0" xfId="0" applyNumberFormat="1" applyFont="1" applyFill="1"/>
    <xf numFmtId="0" fontId="3" fillId="7" borderId="0" xfId="0" applyFont="1" applyFill="1" applyAlignment="1">
      <alignment horizontal="center"/>
    </xf>
    <xf numFmtId="3" fontId="4" fillId="7" borderId="0" xfId="0" applyNumberFormat="1" applyFont="1" applyFill="1" applyAlignment="1">
      <alignment horizontal="center"/>
    </xf>
    <xf numFmtId="3" fontId="3" fillId="7" borderId="0" xfId="0" applyNumberFormat="1" applyFont="1" applyFill="1" applyAlignment="1"/>
    <xf numFmtId="0" fontId="3" fillId="7" borderId="0" xfId="0" applyFont="1" applyFill="1" applyAlignment="1"/>
    <xf numFmtId="4" fontId="3" fillId="7" borderId="0" xfId="0" applyNumberFormat="1" applyFont="1" applyFill="1"/>
    <xf numFmtId="10" fontId="3" fillId="7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6464"/>
      <color rgb="FFFF3232"/>
      <color rgb="FFFF0000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0"/>
  <sheetViews>
    <sheetView tabSelected="1" zoomScaleNormal="100" workbookViewId="0">
      <pane xSplit="1" ySplit="3" topLeftCell="B175" activePane="bottomRight" state="frozen"/>
      <selection pane="topRight" activeCell="B1" sqref="B1"/>
      <selection pane="bottomLeft" activeCell="A4" sqref="A4"/>
      <selection pane="bottomRight" activeCell="A184" sqref="A184"/>
    </sheetView>
  </sheetViews>
  <sheetFormatPr defaultRowHeight="12.75" x14ac:dyDescent="0.2"/>
  <cols>
    <col min="1" max="1" width="51.85546875" style="17" bestFit="1" customWidth="1"/>
    <col min="2" max="2" width="30.140625" style="2" bestFit="1" customWidth="1"/>
    <col min="3" max="3" width="5.7109375" style="3" bestFit="1" customWidth="1"/>
    <col min="4" max="4" width="5" style="4" bestFit="1" customWidth="1"/>
    <col min="5" max="5" width="4.7109375" style="5" customWidth="1"/>
    <col min="6" max="6" width="4.7109375" style="6" customWidth="1"/>
    <col min="7" max="7" width="5" style="7" bestFit="1" customWidth="1"/>
    <col min="8" max="8" width="4.7109375" style="6" customWidth="1"/>
    <col min="9" max="9" width="5" style="7" bestFit="1" customWidth="1"/>
    <col min="10" max="10" width="9.7109375" style="8" customWidth="1"/>
    <col min="11" max="11" width="5.5703125" style="4" bestFit="1" customWidth="1"/>
    <col min="12" max="12" width="7.28515625" style="9" bestFit="1" customWidth="1"/>
    <col min="13" max="13" width="7.5703125" style="9" bestFit="1" customWidth="1"/>
    <col min="14" max="14" width="6.5703125" style="6" customWidth="1"/>
    <col min="15" max="15" width="5" style="7" customWidth="1"/>
    <col min="16" max="16" width="5.7109375" style="3" bestFit="1" customWidth="1"/>
    <col min="17" max="17" width="5" style="7" bestFit="1" customWidth="1"/>
    <col min="18" max="19" width="16.7109375" style="8" customWidth="1"/>
    <col min="20" max="20" width="11.28515625" style="2" bestFit="1" customWidth="1"/>
    <col min="21" max="21" width="15" style="2" bestFit="1" customWidth="1"/>
    <col min="22" max="16384" width="9.140625" style="2"/>
  </cols>
  <sheetData>
    <row r="1" spans="1:19" ht="33" x14ac:dyDescent="0.6">
      <c r="A1" s="1" t="s">
        <v>804</v>
      </c>
    </row>
    <row r="2" spans="1:19" s="10" customFormat="1" x14ac:dyDescent="0.2">
      <c r="A2" s="162" t="s">
        <v>0</v>
      </c>
      <c r="B2" s="161" t="s">
        <v>1</v>
      </c>
      <c r="C2" s="156" t="s">
        <v>2</v>
      </c>
      <c r="D2" s="156"/>
      <c r="E2" s="163" t="s">
        <v>648</v>
      </c>
      <c r="F2" s="158" t="s">
        <v>3</v>
      </c>
      <c r="G2" s="158"/>
      <c r="H2" s="158"/>
      <c r="I2" s="158"/>
      <c r="J2" s="159" t="s">
        <v>4</v>
      </c>
      <c r="K2" s="160"/>
      <c r="L2" s="160"/>
      <c r="M2" s="161"/>
      <c r="N2" s="152" t="s">
        <v>5</v>
      </c>
      <c r="O2" s="153"/>
      <c r="P2" s="156" t="s">
        <v>6</v>
      </c>
      <c r="Q2" s="156"/>
      <c r="R2" s="157" t="s">
        <v>7</v>
      </c>
      <c r="S2" s="157" t="s">
        <v>8</v>
      </c>
    </row>
    <row r="3" spans="1:19" s="10" customFormat="1" x14ac:dyDescent="0.2">
      <c r="A3" s="162"/>
      <c r="B3" s="161"/>
      <c r="C3" s="156"/>
      <c r="D3" s="156"/>
      <c r="E3" s="163"/>
      <c r="F3" s="158" t="s">
        <v>9</v>
      </c>
      <c r="G3" s="158"/>
      <c r="H3" s="158" t="s">
        <v>10</v>
      </c>
      <c r="I3" s="158"/>
      <c r="J3" s="11" t="s">
        <v>11</v>
      </c>
      <c r="K3" s="12" t="s">
        <v>12</v>
      </c>
      <c r="L3" s="13" t="s">
        <v>13</v>
      </c>
      <c r="M3" s="13" t="s">
        <v>14</v>
      </c>
      <c r="N3" s="154"/>
      <c r="O3" s="155"/>
      <c r="P3" s="156"/>
      <c r="Q3" s="156"/>
      <c r="R3" s="157"/>
      <c r="S3" s="157"/>
    </row>
    <row r="4" spans="1:19" ht="15.75" x14ac:dyDescent="0.25">
      <c r="A4" s="14" t="s">
        <v>15</v>
      </c>
    </row>
    <row r="5" spans="1:19" x14ac:dyDescent="0.2">
      <c r="A5" s="15" t="s">
        <v>16</v>
      </c>
    </row>
    <row r="6" spans="1:19" s="72" customFormat="1" x14ac:dyDescent="0.2">
      <c r="A6" s="71" t="s">
        <v>17</v>
      </c>
      <c r="B6" s="72" t="s">
        <v>18</v>
      </c>
      <c r="C6" s="73"/>
      <c r="D6" s="74" t="s">
        <v>19</v>
      </c>
      <c r="E6" s="75"/>
      <c r="F6" s="76">
        <v>1</v>
      </c>
      <c r="G6" s="77" t="s">
        <v>20</v>
      </c>
      <c r="H6" s="76">
        <v>60</v>
      </c>
      <c r="I6" s="77" t="s">
        <v>19</v>
      </c>
      <c r="J6" s="16">
        <v>45500</v>
      </c>
      <c r="K6" s="74" t="s">
        <v>19</v>
      </c>
      <c r="L6" s="78">
        <v>0.125</v>
      </c>
      <c r="M6" s="78">
        <v>0.05</v>
      </c>
      <c r="N6" s="76"/>
      <c r="O6" s="77" t="s">
        <v>19</v>
      </c>
      <c r="P6" s="73">
        <f>(C6+(E6*F6*H6))-N6</f>
        <v>0</v>
      </c>
      <c r="Q6" s="77" t="s">
        <v>19</v>
      </c>
      <c r="R6" s="16">
        <f>P6*(J6-(J6*L6)-((J6-(J6*L6))*M6))</f>
        <v>0</v>
      </c>
      <c r="S6" s="16">
        <f>R6/1.11</f>
        <v>0</v>
      </c>
    </row>
    <row r="7" spans="1:19" s="72" customFormat="1" x14ac:dyDescent="0.2">
      <c r="A7" s="71" t="s">
        <v>732</v>
      </c>
      <c r="B7" s="72" t="s">
        <v>18</v>
      </c>
      <c r="C7" s="73"/>
      <c r="D7" s="74" t="s">
        <v>19</v>
      </c>
      <c r="E7" s="75"/>
      <c r="F7" s="76">
        <v>1</v>
      </c>
      <c r="G7" s="77" t="s">
        <v>20</v>
      </c>
      <c r="H7" s="76">
        <v>48</v>
      </c>
      <c r="I7" s="77" t="s">
        <v>19</v>
      </c>
      <c r="J7" s="16">
        <v>26000</v>
      </c>
      <c r="K7" s="74" t="s">
        <v>19</v>
      </c>
      <c r="L7" s="78">
        <v>0.125</v>
      </c>
      <c r="M7" s="78">
        <v>0.05</v>
      </c>
      <c r="N7" s="76"/>
      <c r="O7" s="77" t="s">
        <v>19</v>
      </c>
      <c r="P7" s="73">
        <f>(C7+(E7*F7*H7))-N7</f>
        <v>0</v>
      </c>
      <c r="Q7" s="77" t="s">
        <v>19</v>
      </c>
      <c r="R7" s="16">
        <f>P7*(J7-(J7*L7)-((J7-(J7*L7))*M7))</f>
        <v>0</v>
      </c>
      <c r="S7" s="16">
        <f t="shared" ref="S7:S120" si="0">R7/1.11</f>
        <v>0</v>
      </c>
    </row>
    <row r="8" spans="1:19" s="72" customFormat="1" x14ac:dyDescent="0.2">
      <c r="A8" s="71" t="s">
        <v>21</v>
      </c>
      <c r="B8" s="72" t="s">
        <v>18</v>
      </c>
      <c r="C8" s="73"/>
      <c r="D8" s="74" t="s">
        <v>19</v>
      </c>
      <c r="E8" s="75"/>
      <c r="F8" s="76">
        <v>1</v>
      </c>
      <c r="G8" s="77" t="s">
        <v>20</v>
      </c>
      <c r="H8" s="76">
        <v>48</v>
      </c>
      <c r="I8" s="77" t="s">
        <v>19</v>
      </c>
      <c r="J8" s="16">
        <v>28000</v>
      </c>
      <c r="K8" s="74" t="s">
        <v>19</v>
      </c>
      <c r="L8" s="78">
        <v>0.125</v>
      </c>
      <c r="M8" s="78">
        <v>0.05</v>
      </c>
      <c r="N8" s="76"/>
      <c r="O8" s="77" t="s">
        <v>19</v>
      </c>
      <c r="P8" s="73">
        <f>(C8+(E8*F8*H8))-N8</f>
        <v>0</v>
      </c>
      <c r="Q8" s="77" t="s">
        <v>19</v>
      </c>
      <c r="R8" s="16">
        <f>P8*(J8-(J8*L8)-((J8-(J8*L8))*M8))</f>
        <v>0</v>
      </c>
      <c r="S8" s="16">
        <f t="shared" si="0"/>
        <v>0</v>
      </c>
    </row>
    <row r="9" spans="1:19" s="72" customFormat="1" x14ac:dyDescent="0.2">
      <c r="A9" s="71" t="s">
        <v>22</v>
      </c>
      <c r="B9" s="72" t="s">
        <v>18</v>
      </c>
      <c r="C9" s="73"/>
      <c r="D9" s="74" t="s">
        <v>19</v>
      </c>
      <c r="E9" s="75"/>
      <c r="F9" s="76">
        <v>1</v>
      </c>
      <c r="G9" s="77" t="s">
        <v>20</v>
      </c>
      <c r="H9" s="76">
        <v>48</v>
      </c>
      <c r="I9" s="77" t="s">
        <v>19</v>
      </c>
      <c r="J9" s="16">
        <v>31700</v>
      </c>
      <c r="K9" s="74" t="s">
        <v>19</v>
      </c>
      <c r="L9" s="78">
        <v>0.125</v>
      </c>
      <c r="M9" s="78">
        <v>0.05</v>
      </c>
      <c r="N9" s="76"/>
      <c r="O9" s="77" t="s">
        <v>19</v>
      </c>
      <c r="P9" s="73">
        <f>(C9+(E9*F9*H9))-N9</f>
        <v>0</v>
      </c>
      <c r="Q9" s="77" t="s">
        <v>19</v>
      </c>
      <c r="R9" s="16">
        <f>P9*(J9-(J9*L9)-((J9-(J9*L9))*M9))</f>
        <v>0</v>
      </c>
      <c r="S9" s="16">
        <f t="shared" si="0"/>
        <v>0</v>
      </c>
    </row>
    <row r="10" spans="1:19" s="72" customFormat="1" x14ac:dyDescent="0.2">
      <c r="A10" s="71" t="s">
        <v>23</v>
      </c>
      <c r="B10" s="72" t="s">
        <v>18</v>
      </c>
      <c r="C10" s="73"/>
      <c r="D10" s="74" t="s">
        <v>19</v>
      </c>
      <c r="E10" s="75"/>
      <c r="F10" s="76">
        <v>1</v>
      </c>
      <c r="G10" s="77" t="s">
        <v>20</v>
      </c>
      <c r="H10" s="76">
        <v>48</v>
      </c>
      <c r="I10" s="77" t="s">
        <v>19</v>
      </c>
      <c r="J10" s="16">
        <v>25000</v>
      </c>
      <c r="K10" s="74" t="s">
        <v>19</v>
      </c>
      <c r="L10" s="78">
        <v>0.125</v>
      </c>
      <c r="M10" s="78">
        <v>0.05</v>
      </c>
      <c r="N10" s="76"/>
      <c r="O10" s="77" t="s">
        <v>19</v>
      </c>
      <c r="P10" s="73">
        <f>(C10+(E10*F10*H10))-N10</f>
        <v>0</v>
      </c>
      <c r="Q10" s="77" t="s">
        <v>19</v>
      </c>
      <c r="R10" s="16">
        <f>P10*(J10-(J10*L10)-((J10-(J10*L10))*M10))</f>
        <v>0</v>
      </c>
      <c r="S10" s="16">
        <f t="shared" si="0"/>
        <v>0</v>
      </c>
    </row>
    <row r="12" spans="1:19" s="72" customFormat="1" x14ac:dyDescent="0.2">
      <c r="A12" s="71" t="s">
        <v>24</v>
      </c>
      <c r="B12" s="72" t="s">
        <v>25</v>
      </c>
      <c r="C12" s="73"/>
      <c r="D12" s="74" t="s">
        <v>19</v>
      </c>
      <c r="E12" s="75"/>
      <c r="F12" s="76">
        <v>1</v>
      </c>
      <c r="G12" s="77" t="s">
        <v>20</v>
      </c>
      <c r="H12" s="76">
        <v>60</v>
      </c>
      <c r="I12" s="77" t="s">
        <v>19</v>
      </c>
      <c r="J12" s="16">
        <v>23800</v>
      </c>
      <c r="K12" s="74" t="s">
        <v>19</v>
      </c>
      <c r="L12" s="78"/>
      <c r="M12" s="78">
        <v>0.17</v>
      </c>
      <c r="N12" s="76"/>
      <c r="O12" s="77" t="s">
        <v>19</v>
      </c>
      <c r="P12" s="73">
        <f t="shared" ref="P12:P18" si="1">(C12+(E12*F12*H12))-N12</f>
        <v>0</v>
      </c>
      <c r="Q12" s="77" t="s">
        <v>19</v>
      </c>
      <c r="R12" s="16">
        <f t="shared" ref="R12:R18" si="2">P12*(J12-(J12*L12)-((J12-(J12*L12))*M12))</f>
        <v>0</v>
      </c>
      <c r="S12" s="16">
        <f t="shared" si="0"/>
        <v>0</v>
      </c>
    </row>
    <row r="13" spans="1:19" x14ac:dyDescent="0.2">
      <c r="A13" s="17" t="s">
        <v>26</v>
      </c>
      <c r="B13" s="2" t="s">
        <v>25</v>
      </c>
      <c r="C13" s="3">
        <v>42</v>
      </c>
      <c r="D13" s="4" t="s">
        <v>19</v>
      </c>
      <c r="F13" s="6">
        <v>1</v>
      </c>
      <c r="G13" s="7" t="s">
        <v>20</v>
      </c>
      <c r="H13" s="6">
        <v>60</v>
      </c>
      <c r="I13" s="7" t="s">
        <v>19</v>
      </c>
      <c r="J13" s="8">
        <f>1500000/60</f>
        <v>25000</v>
      </c>
      <c r="K13" s="4" t="s">
        <v>19</v>
      </c>
      <c r="M13" s="9">
        <v>0.17</v>
      </c>
      <c r="O13" s="7" t="s">
        <v>19</v>
      </c>
      <c r="P13" s="3">
        <f t="shared" si="1"/>
        <v>42</v>
      </c>
      <c r="Q13" s="7" t="s">
        <v>19</v>
      </c>
      <c r="R13" s="8">
        <f t="shared" si="2"/>
        <v>871500</v>
      </c>
      <c r="S13" s="8">
        <f t="shared" si="0"/>
        <v>785135.13513513503</v>
      </c>
    </row>
    <row r="14" spans="1:19" s="72" customFormat="1" x14ac:dyDescent="0.2">
      <c r="A14" s="71" t="s">
        <v>27</v>
      </c>
      <c r="B14" s="72" t="s">
        <v>25</v>
      </c>
      <c r="C14" s="79"/>
      <c r="D14" s="74" t="s">
        <v>19</v>
      </c>
      <c r="E14" s="75"/>
      <c r="F14" s="76">
        <v>1</v>
      </c>
      <c r="G14" s="77" t="s">
        <v>20</v>
      </c>
      <c r="H14" s="76">
        <v>60</v>
      </c>
      <c r="I14" s="77" t="s">
        <v>19</v>
      </c>
      <c r="J14" s="16">
        <v>27500</v>
      </c>
      <c r="K14" s="74" t="s">
        <v>19</v>
      </c>
      <c r="L14" s="78"/>
      <c r="M14" s="78">
        <v>0.17</v>
      </c>
      <c r="N14" s="76"/>
      <c r="O14" s="77" t="s">
        <v>19</v>
      </c>
      <c r="P14" s="73">
        <f t="shared" si="1"/>
        <v>0</v>
      </c>
      <c r="Q14" s="77" t="s">
        <v>19</v>
      </c>
      <c r="R14" s="16">
        <f t="shared" si="2"/>
        <v>0</v>
      </c>
      <c r="S14" s="16">
        <f t="shared" si="0"/>
        <v>0</v>
      </c>
    </row>
    <row r="15" spans="1:19" s="72" customFormat="1" x14ac:dyDescent="0.2">
      <c r="A15" s="71" t="s">
        <v>706</v>
      </c>
      <c r="B15" s="72" t="s">
        <v>25</v>
      </c>
      <c r="C15" s="79"/>
      <c r="D15" s="74" t="s">
        <v>19</v>
      </c>
      <c r="E15" s="75"/>
      <c r="F15" s="76">
        <v>1</v>
      </c>
      <c r="G15" s="77" t="s">
        <v>20</v>
      </c>
      <c r="H15" s="76">
        <v>36</v>
      </c>
      <c r="I15" s="77" t="s">
        <v>19</v>
      </c>
      <c r="J15" s="16">
        <f>2520000/36</f>
        <v>70000</v>
      </c>
      <c r="K15" s="74" t="s">
        <v>19</v>
      </c>
      <c r="L15" s="78"/>
      <c r="M15" s="78">
        <v>0.17</v>
      </c>
      <c r="N15" s="76"/>
      <c r="O15" s="77" t="s">
        <v>19</v>
      </c>
      <c r="P15" s="73">
        <f t="shared" si="1"/>
        <v>0</v>
      </c>
      <c r="Q15" s="77" t="s">
        <v>19</v>
      </c>
      <c r="R15" s="16">
        <f t="shared" si="2"/>
        <v>0</v>
      </c>
      <c r="S15" s="16">
        <f t="shared" si="0"/>
        <v>0</v>
      </c>
    </row>
    <row r="16" spans="1:19" s="72" customFormat="1" x14ac:dyDescent="0.2">
      <c r="A16" s="71" t="s">
        <v>28</v>
      </c>
      <c r="B16" s="72" t="s">
        <v>25</v>
      </c>
      <c r="C16" s="79"/>
      <c r="D16" s="74" t="s">
        <v>19</v>
      </c>
      <c r="E16" s="75"/>
      <c r="F16" s="76">
        <v>1</v>
      </c>
      <c r="G16" s="77" t="s">
        <v>20</v>
      </c>
      <c r="H16" s="76">
        <v>36</v>
      </c>
      <c r="I16" s="77" t="s">
        <v>19</v>
      </c>
      <c r="J16" s="16">
        <v>50500</v>
      </c>
      <c r="K16" s="74" t="s">
        <v>19</v>
      </c>
      <c r="L16" s="78"/>
      <c r="M16" s="78">
        <v>0.17</v>
      </c>
      <c r="N16" s="76"/>
      <c r="O16" s="77" t="s">
        <v>19</v>
      </c>
      <c r="P16" s="73">
        <f t="shared" si="1"/>
        <v>0</v>
      </c>
      <c r="Q16" s="77" t="s">
        <v>19</v>
      </c>
      <c r="R16" s="16">
        <f t="shared" si="2"/>
        <v>0</v>
      </c>
      <c r="S16" s="16">
        <f t="shared" si="0"/>
        <v>0</v>
      </c>
    </row>
    <row r="17" spans="1:19" s="81" customFormat="1" x14ac:dyDescent="0.2">
      <c r="A17" s="80" t="s">
        <v>29</v>
      </c>
      <c r="B17" s="81" t="s">
        <v>25</v>
      </c>
      <c r="C17" s="79"/>
      <c r="D17" s="82" t="s">
        <v>19</v>
      </c>
      <c r="E17" s="83"/>
      <c r="F17" s="84">
        <v>1</v>
      </c>
      <c r="G17" s="85" t="s">
        <v>20</v>
      </c>
      <c r="H17" s="84">
        <v>72</v>
      </c>
      <c r="I17" s="85" t="s">
        <v>19</v>
      </c>
      <c r="J17" s="86">
        <v>37000</v>
      </c>
      <c r="K17" s="82" t="s">
        <v>19</v>
      </c>
      <c r="L17" s="87"/>
      <c r="M17" s="87">
        <v>0.17</v>
      </c>
      <c r="N17" s="84"/>
      <c r="O17" s="85" t="s">
        <v>19</v>
      </c>
      <c r="P17" s="79">
        <f t="shared" si="1"/>
        <v>0</v>
      </c>
      <c r="Q17" s="85" t="s">
        <v>19</v>
      </c>
      <c r="R17" s="86">
        <f t="shared" si="2"/>
        <v>0</v>
      </c>
      <c r="S17" s="86">
        <f t="shared" si="0"/>
        <v>0</v>
      </c>
    </row>
    <row r="18" spans="1:19" s="72" customFormat="1" x14ac:dyDescent="0.2">
      <c r="A18" s="71" t="s">
        <v>30</v>
      </c>
      <c r="B18" s="72" t="s">
        <v>25</v>
      </c>
      <c r="C18" s="79"/>
      <c r="D18" s="74" t="s">
        <v>19</v>
      </c>
      <c r="E18" s="75"/>
      <c r="F18" s="76">
        <v>1</v>
      </c>
      <c r="G18" s="77" t="s">
        <v>20</v>
      </c>
      <c r="H18" s="76">
        <v>72</v>
      </c>
      <c r="I18" s="77" t="s">
        <v>19</v>
      </c>
      <c r="J18" s="16">
        <v>30000</v>
      </c>
      <c r="K18" s="74" t="s">
        <v>19</v>
      </c>
      <c r="L18" s="78"/>
      <c r="M18" s="78">
        <v>0.17</v>
      </c>
      <c r="N18" s="76"/>
      <c r="O18" s="77" t="s">
        <v>19</v>
      </c>
      <c r="P18" s="73">
        <f t="shared" si="1"/>
        <v>0</v>
      </c>
      <c r="Q18" s="77" t="s">
        <v>19</v>
      </c>
      <c r="R18" s="16">
        <f t="shared" si="2"/>
        <v>0</v>
      </c>
      <c r="S18" s="16">
        <f t="shared" si="0"/>
        <v>0</v>
      </c>
    </row>
    <row r="20" spans="1:19" x14ac:dyDescent="0.2">
      <c r="A20" s="15" t="s">
        <v>31</v>
      </c>
    </row>
    <row r="21" spans="1:19" x14ac:dyDescent="0.2">
      <c r="A21" s="17" t="s">
        <v>32</v>
      </c>
      <c r="B21" s="2" t="s">
        <v>18</v>
      </c>
      <c r="C21" s="3">
        <v>117</v>
      </c>
      <c r="D21" s="4" t="s">
        <v>33</v>
      </c>
      <c r="E21" s="5">
        <v>3</v>
      </c>
      <c r="F21" s="6">
        <v>1</v>
      </c>
      <c r="G21" s="7" t="s">
        <v>20</v>
      </c>
      <c r="H21" s="6">
        <v>60</v>
      </c>
      <c r="I21" s="7" t="s">
        <v>33</v>
      </c>
      <c r="J21" s="8">
        <v>22200</v>
      </c>
      <c r="K21" s="4" t="s">
        <v>33</v>
      </c>
      <c r="L21" s="9">
        <v>0.125</v>
      </c>
      <c r="M21" s="9">
        <v>0.05</v>
      </c>
      <c r="O21" s="7" t="s">
        <v>33</v>
      </c>
      <c r="P21" s="3">
        <f t="shared" ref="P21:P27" si="3">(C21+(E21*F21*H21))-N21</f>
        <v>297</v>
      </c>
      <c r="Q21" s="7" t="s">
        <v>33</v>
      </c>
      <c r="R21" s="8">
        <f t="shared" ref="R21:R27" si="4">P21*(J21-(J21*L21)-((J21-(J21*L21))*M21))</f>
        <v>5480763.75</v>
      </c>
      <c r="S21" s="8">
        <f t="shared" si="0"/>
        <v>4937625</v>
      </c>
    </row>
    <row r="22" spans="1:19" x14ac:dyDescent="0.2">
      <c r="A22" s="17" t="s">
        <v>827</v>
      </c>
      <c r="B22" s="2" t="s">
        <v>18</v>
      </c>
      <c r="C22" s="3">
        <v>60</v>
      </c>
      <c r="D22" s="4" t="s">
        <v>33</v>
      </c>
      <c r="E22" s="5">
        <v>1</v>
      </c>
      <c r="F22" s="6">
        <v>1</v>
      </c>
      <c r="G22" s="7" t="s">
        <v>20</v>
      </c>
      <c r="H22" s="6">
        <v>60</v>
      </c>
      <c r="I22" s="7" t="s">
        <v>33</v>
      </c>
      <c r="J22" s="8">
        <v>31500</v>
      </c>
      <c r="K22" s="4" t="s">
        <v>33</v>
      </c>
      <c r="L22" s="9">
        <v>0.125</v>
      </c>
      <c r="M22" s="9">
        <v>0.05</v>
      </c>
      <c r="O22" s="7" t="s">
        <v>33</v>
      </c>
      <c r="P22" s="3">
        <f t="shared" si="3"/>
        <v>120</v>
      </c>
      <c r="Q22" s="7" t="s">
        <v>33</v>
      </c>
      <c r="R22" s="8">
        <f t="shared" si="4"/>
        <v>3142125</v>
      </c>
      <c r="S22" s="8">
        <f t="shared" si="0"/>
        <v>2830743.2432432431</v>
      </c>
    </row>
    <row r="23" spans="1:19" s="72" customFormat="1" x14ac:dyDescent="0.2">
      <c r="A23" s="71" t="s">
        <v>841</v>
      </c>
      <c r="B23" s="72" t="s">
        <v>18</v>
      </c>
      <c r="C23" s="73"/>
      <c r="D23" s="74" t="s">
        <v>33</v>
      </c>
      <c r="E23" s="75"/>
      <c r="F23" s="76">
        <v>1</v>
      </c>
      <c r="G23" s="77" t="s">
        <v>20</v>
      </c>
      <c r="H23" s="76">
        <v>60</v>
      </c>
      <c r="I23" s="77" t="s">
        <v>33</v>
      </c>
      <c r="J23" s="16">
        <v>31200</v>
      </c>
      <c r="K23" s="74" t="s">
        <v>33</v>
      </c>
      <c r="L23" s="78">
        <v>0.125</v>
      </c>
      <c r="M23" s="78">
        <v>0.05</v>
      </c>
      <c r="N23" s="76"/>
      <c r="O23" s="77" t="s">
        <v>33</v>
      </c>
      <c r="P23" s="73">
        <f t="shared" si="3"/>
        <v>0</v>
      </c>
      <c r="Q23" s="77" t="s">
        <v>33</v>
      </c>
      <c r="R23" s="16">
        <f t="shared" si="4"/>
        <v>0</v>
      </c>
      <c r="S23" s="16">
        <f t="shared" si="0"/>
        <v>0</v>
      </c>
    </row>
    <row r="24" spans="1:19" s="72" customFormat="1" x14ac:dyDescent="0.2">
      <c r="A24" s="71" t="s">
        <v>694</v>
      </c>
      <c r="B24" s="72" t="s">
        <v>18</v>
      </c>
      <c r="C24" s="73"/>
      <c r="D24" s="74" t="s">
        <v>33</v>
      </c>
      <c r="E24" s="75"/>
      <c r="F24" s="76">
        <v>1</v>
      </c>
      <c r="G24" s="77" t="s">
        <v>20</v>
      </c>
      <c r="H24" s="76">
        <v>50</v>
      </c>
      <c r="I24" s="77" t="s">
        <v>33</v>
      </c>
      <c r="J24" s="16">
        <v>66000</v>
      </c>
      <c r="K24" s="74" t="s">
        <v>33</v>
      </c>
      <c r="L24" s="78">
        <v>0.125</v>
      </c>
      <c r="M24" s="78">
        <v>0.05</v>
      </c>
      <c r="N24" s="76"/>
      <c r="O24" s="77" t="s">
        <v>33</v>
      </c>
      <c r="P24" s="73">
        <f t="shared" si="3"/>
        <v>0</v>
      </c>
      <c r="Q24" s="77" t="s">
        <v>33</v>
      </c>
      <c r="R24" s="16">
        <f t="shared" si="4"/>
        <v>0</v>
      </c>
      <c r="S24" s="16">
        <f t="shared" si="0"/>
        <v>0</v>
      </c>
    </row>
    <row r="25" spans="1:19" s="19" customFormat="1" x14ac:dyDescent="0.2">
      <c r="A25" s="18" t="s">
        <v>837</v>
      </c>
      <c r="B25" s="19" t="s">
        <v>18</v>
      </c>
      <c r="C25" s="20"/>
      <c r="D25" s="21" t="s">
        <v>33</v>
      </c>
      <c r="E25" s="26">
        <v>1</v>
      </c>
      <c r="F25" s="22">
        <v>1</v>
      </c>
      <c r="G25" s="23" t="s">
        <v>20</v>
      </c>
      <c r="H25" s="22">
        <v>60</v>
      </c>
      <c r="I25" s="23" t="s">
        <v>33</v>
      </c>
      <c r="J25" s="24">
        <v>31800</v>
      </c>
      <c r="K25" s="21" t="s">
        <v>33</v>
      </c>
      <c r="L25" s="25">
        <v>0.125</v>
      </c>
      <c r="M25" s="25">
        <v>0.05</v>
      </c>
      <c r="N25" s="22"/>
      <c r="O25" s="23" t="s">
        <v>33</v>
      </c>
      <c r="P25" s="20">
        <f t="shared" ref="P25" si="5">(C25+(E25*F25*H25))-N25</f>
        <v>60</v>
      </c>
      <c r="Q25" s="23" t="s">
        <v>33</v>
      </c>
      <c r="R25" s="24">
        <f t="shared" ref="R25" si="6">P25*(J25-(J25*L25)-((J25-(J25*L25))*M25))</f>
        <v>1586025</v>
      </c>
      <c r="S25" s="24">
        <f t="shared" ref="S25" si="7">R25/1.11</f>
        <v>1428851.3513513512</v>
      </c>
    </row>
    <row r="26" spans="1:19" s="98" customFormat="1" x14ac:dyDescent="0.2">
      <c r="A26" s="90" t="s">
        <v>34</v>
      </c>
      <c r="B26" s="98" t="s">
        <v>18</v>
      </c>
      <c r="C26" s="99"/>
      <c r="D26" s="100" t="s">
        <v>33</v>
      </c>
      <c r="E26" s="101">
        <v>2</v>
      </c>
      <c r="F26" s="102">
        <v>1</v>
      </c>
      <c r="G26" s="103" t="s">
        <v>20</v>
      </c>
      <c r="H26" s="102">
        <v>180</v>
      </c>
      <c r="I26" s="103" t="s">
        <v>33</v>
      </c>
      <c r="J26" s="104">
        <v>9000</v>
      </c>
      <c r="K26" s="100" t="s">
        <v>33</v>
      </c>
      <c r="L26" s="105">
        <v>0.125</v>
      </c>
      <c r="M26" s="105">
        <v>0.05</v>
      </c>
      <c r="N26" s="102"/>
      <c r="O26" s="103" t="s">
        <v>33</v>
      </c>
      <c r="P26" s="99">
        <f t="shared" ref="P26" si="8">(C26+(E26*F26*H26))-N26</f>
        <v>360</v>
      </c>
      <c r="Q26" s="103" t="s">
        <v>33</v>
      </c>
      <c r="R26" s="104">
        <f t="shared" ref="R26" si="9">P26*(J26-(J26*L26)-((J26-(J26*L26))*M26))</f>
        <v>2693250</v>
      </c>
      <c r="S26" s="104">
        <f t="shared" ref="S26" si="10">R26/1.11</f>
        <v>2426351.351351351</v>
      </c>
    </row>
    <row r="27" spans="1:19" s="72" customFormat="1" x14ac:dyDescent="0.2">
      <c r="A27" s="71" t="s">
        <v>35</v>
      </c>
      <c r="B27" s="72" t="s">
        <v>18</v>
      </c>
      <c r="C27" s="73"/>
      <c r="D27" s="74" t="s">
        <v>33</v>
      </c>
      <c r="E27" s="75"/>
      <c r="F27" s="76">
        <v>1</v>
      </c>
      <c r="G27" s="77" t="s">
        <v>20</v>
      </c>
      <c r="H27" s="76">
        <v>32</v>
      </c>
      <c r="I27" s="77" t="s">
        <v>33</v>
      </c>
      <c r="J27" s="16">
        <v>64800</v>
      </c>
      <c r="K27" s="74" t="s">
        <v>33</v>
      </c>
      <c r="L27" s="78">
        <v>0.125</v>
      </c>
      <c r="M27" s="78">
        <v>0.05</v>
      </c>
      <c r="N27" s="76"/>
      <c r="O27" s="77" t="s">
        <v>33</v>
      </c>
      <c r="P27" s="73">
        <f t="shared" si="3"/>
        <v>0</v>
      </c>
      <c r="Q27" s="77" t="s">
        <v>33</v>
      </c>
      <c r="R27" s="16">
        <f t="shared" si="4"/>
        <v>0</v>
      </c>
      <c r="S27" s="16">
        <f t="shared" si="0"/>
        <v>0</v>
      </c>
    </row>
    <row r="29" spans="1:19" x14ac:dyDescent="0.2">
      <c r="A29" s="17" t="s">
        <v>762</v>
      </c>
      <c r="B29" s="2" t="s">
        <v>25</v>
      </c>
      <c r="C29" s="3">
        <v>60</v>
      </c>
      <c r="D29" s="4" t="s">
        <v>33</v>
      </c>
      <c r="F29" s="6">
        <v>2</v>
      </c>
      <c r="G29" s="7" t="s">
        <v>98</v>
      </c>
      <c r="H29" s="6">
        <v>30</v>
      </c>
      <c r="I29" s="7" t="s">
        <v>33</v>
      </c>
      <c r="J29" s="8">
        <f>1800000/2/30</f>
        <v>30000</v>
      </c>
      <c r="K29" s="4" t="s">
        <v>33</v>
      </c>
      <c r="M29" s="9">
        <v>0.17</v>
      </c>
      <c r="O29" s="7" t="s">
        <v>33</v>
      </c>
      <c r="P29" s="3">
        <f>(C29+(E29*F29*H29))-N29</f>
        <v>60</v>
      </c>
      <c r="Q29" s="7" t="s">
        <v>33</v>
      </c>
      <c r="R29" s="8">
        <f>P29*(J29-(J29*L29)-((J29-(J29*L29))*M29))</f>
        <v>1494000</v>
      </c>
      <c r="S29" s="8">
        <f t="shared" ref="S29:S33" si="11">R29/1.11</f>
        <v>1345945.9459459458</v>
      </c>
    </row>
    <row r="30" spans="1:19" s="72" customFormat="1" x14ac:dyDescent="0.2">
      <c r="A30" s="71" t="s">
        <v>751</v>
      </c>
      <c r="B30" s="72" t="s">
        <v>25</v>
      </c>
      <c r="C30" s="73"/>
      <c r="D30" s="74" t="s">
        <v>40</v>
      </c>
      <c r="E30" s="75"/>
      <c r="F30" s="76">
        <v>1</v>
      </c>
      <c r="G30" s="77" t="s">
        <v>20</v>
      </c>
      <c r="H30" s="76">
        <v>60</v>
      </c>
      <c r="I30" s="77" t="s">
        <v>40</v>
      </c>
      <c r="J30" s="16">
        <f>1080000/60</f>
        <v>18000</v>
      </c>
      <c r="K30" s="74" t="s">
        <v>40</v>
      </c>
      <c r="L30" s="78"/>
      <c r="M30" s="78">
        <v>0.17</v>
      </c>
      <c r="N30" s="76"/>
      <c r="O30" s="77" t="s">
        <v>33</v>
      </c>
      <c r="P30" s="73">
        <f>(C30+(E30*F30*H30))-N30</f>
        <v>0</v>
      </c>
      <c r="Q30" s="77" t="s">
        <v>40</v>
      </c>
      <c r="R30" s="16">
        <f>P30*(J30-(J30*L30)-((J30-(J30*L30))*M30))</f>
        <v>0</v>
      </c>
      <c r="S30" s="16">
        <f t="shared" si="11"/>
        <v>0</v>
      </c>
    </row>
    <row r="31" spans="1:19" s="72" customFormat="1" x14ac:dyDescent="0.2">
      <c r="A31" s="71" t="s">
        <v>842</v>
      </c>
      <c r="B31" s="72" t="s">
        <v>25</v>
      </c>
      <c r="C31" s="73"/>
      <c r="D31" s="74" t="s">
        <v>40</v>
      </c>
      <c r="E31" s="75"/>
      <c r="F31" s="76">
        <v>1</v>
      </c>
      <c r="G31" s="77" t="s">
        <v>20</v>
      </c>
      <c r="H31" s="76">
        <v>120</v>
      </c>
      <c r="I31" s="77" t="s">
        <v>40</v>
      </c>
      <c r="J31" s="16">
        <f>1908000/120</f>
        <v>15900</v>
      </c>
      <c r="K31" s="74" t="s">
        <v>40</v>
      </c>
      <c r="L31" s="78"/>
      <c r="M31" s="78">
        <v>0.17</v>
      </c>
      <c r="N31" s="76"/>
      <c r="O31" s="77" t="s">
        <v>33</v>
      </c>
      <c r="P31" s="73">
        <f>(C31+(E31*F31*H31))-N31</f>
        <v>0</v>
      </c>
      <c r="Q31" s="77" t="s">
        <v>40</v>
      </c>
      <c r="R31" s="16">
        <f>P31*(J31-(J31*L31)-((J31-(J31*L31))*M31))</f>
        <v>0</v>
      </c>
      <c r="S31" s="16">
        <f t="shared" si="11"/>
        <v>0</v>
      </c>
    </row>
    <row r="32" spans="1:19" s="72" customFormat="1" x14ac:dyDescent="0.2">
      <c r="A32" s="71" t="s">
        <v>843</v>
      </c>
      <c r="B32" s="72" t="s">
        <v>25</v>
      </c>
      <c r="C32" s="73"/>
      <c r="D32" s="74" t="s">
        <v>40</v>
      </c>
      <c r="E32" s="75"/>
      <c r="F32" s="76">
        <v>1</v>
      </c>
      <c r="G32" s="77" t="s">
        <v>20</v>
      </c>
      <c r="H32" s="76">
        <v>60</v>
      </c>
      <c r="I32" s="77" t="s">
        <v>40</v>
      </c>
      <c r="J32" s="16">
        <f>1728000/60</f>
        <v>28800</v>
      </c>
      <c r="K32" s="74" t="s">
        <v>40</v>
      </c>
      <c r="L32" s="78"/>
      <c r="M32" s="78">
        <v>0.17</v>
      </c>
      <c r="N32" s="76"/>
      <c r="O32" s="77" t="s">
        <v>33</v>
      </c>
      <c r="P32" s="73">
        <f>(C32+(E32*F32*H32))-N32</f>
        <v>0</v>
      </c>
      <c r="Q32" s="77" t="s">
        <v>40</v>
      </c>
      <c r="R32" s="16">
        <f>P32*(J32-(J32*L32)-((J32-(J32*L32))*M32))</f>
        <v>0</v>
      </c>
      <c r="S32" s="16">
        <f t="shared" si="11"/>
        <v>0</v>
      </c>
    </row>
    <row r="33" spans="1:19" s="72" customFormat="1" x14ac:dyDescent="0.2">
      <c r="A33" s="71" t="s">
        <v>679</v>
      </c>
      <c r="B33" s="72" t="s">
        <v>25</v>
      </c>
      <c r="C33" s="73"/>
      <c r="D33" s="74" t="s">
        <v>33</v>
      </c>
      <c r="E33" s="75"/>
      <c r="F33" s="76">
        <v>1</v>
      </c>
      <c r="G33" s="77" t="s">
        <v>20</v>
      </c>
      <c r="H33" s="76">
        <v>32</v>
      </c>
      <c r="I33" s="77" t="s">
        <v>33</v>
      </c>
      <c r="J33" s="16">
        <f>1113600/32</f>
        <v>34800</v>
      </c>
      <c r="K33" s="74" t="s">
        <v>33</v>
      </c>
      <c r="L33" s="78"/>
      <c r="M33" s="78">
        <v>0.17</v>
      </c>
      <c r="N33" s="76"/>
      <c r="O33" s="77" t="s">
        <v>33</v>
      </c>
      <c r="P33" s="73">
        <f>(C33+(E33*F33*H33))-N33</f>
        <v>0</v>
      </c>
      <c r="Q33" s="77" t="s">
        <v>33</v>
      </c>
      <c r="R33" s="16">
        <f>P33*(J33-(J33*L33)-((J33-(J33*L33))*M33))</f>
        <v>0</v>
      </c>
      <c r="S33" s="16">
        <f t="shared" si="11"/>
        <v>0</v>
      </c>
    </row>
    <row r="35" spans="1:19" ht="15.75" x14ac:dyDescent="0.25">
      <c r="A35" s="14" t="s">
        <v>36</v>
      </c>
    </row>
    <row r="36" spans="1:19" x14ac:dyDescent="0.2">
      <c r="A36" s="15" t="s">
        <v>37</v>
      </c>
    </row>
    <row r="37" spans="1:19" s="19" customFormat="1" x14ac:dyDescent="0.2">
      <c r="A37" s="18" t="s">
        <v>810</v>
      </c>
      <c r="B37" s="19" t="s">
        <v>18</v>
      </c>
      <c r="C37" s="20"/>
      <c r="D37" s="21" t="s">
        <v>19</v>
      </c>
      <c r="E37" s="26">
        <v>2</v>
      </c>
      <c r="F37" s="22">
        <v>1</v>
      </c>
      <c r="G37" s="23" t="s">
        <v>20</v>
      </c>
      <c r="H37" s="22">
        <v>60</v>
      </c>
      <c r="I37" s="23" t="s">
        <v>19</v>
      </c>
      <c r="J37" s="24">
        <v>20800</v>
      </c>
      <c r="K37" s="21" t="s">
        <v>19</v>
      </c>
      <c r="L37" s="25">
        <v>0.125</v>
      </c>
      <c r="M37" s="25">
        <v>0.05</v>
      </c>
      <c r="N37" s="22"/>
      <c r="O37" s="23" t="s">
        <v>19</v>
      </c>
      <c r="P37" s="20">
        <f>(C37+(E37*F37*H37))-N37</f>
        <v>120</v>
      </c>
      <c r="Q37" s="23" t="s">
        <v>19</v>
      </c>
      <c r="R37" s="24">
        <f>P37*(J37-(J37*L37)-((J37-(J37*L37))*M37))</f>
        <v>2074800</v>
      </c>
      <c r="S37" s="24">
        <f t="shared" ref="S37" si="12">R37/1.11</f>
        <v>1869189.1891891891</v>
      </c>
    </row>
    <row r="38" spans="1:19" s="72" customFormat="1" x14ac:dyDescent="0.2">
      <c r="A38" s="71" t="s">
        <v>38</v>
      </c>
      <c r="B38" s="72" t="s">
        <v>18</v>
      </c>
      <c r="C38" s="73"/>
      <c r="D38" s="74" t="s">
        <v>19</v>
      </c>
      <c r="E38" s="75"/>
      <c r="F38" s="76">
        <v>1</v>
      </c>
      <c r="G38" s="77" t="s">
        <v>20</v>
      </c>
      <c r="H38" s="76">
        <v>60</v>
      </c>
      <c r="I38" s="77" t="s">
        <v>19</v>
      </c>
      <c r="J38" s="16">
        <v>18500</v>
      </c>
      <c r="K38" s="74" t="s">
        <v>19</v>
      </c>
      <c r="L38" s="78">
        <v>0.125</v>
      </c>
      <c r="M38" s="78">
        <v>0.05</v>
      </c>
      <c r="N38" s="76"/>
      <c r="O38" s="77" t="s">
        <v>19</v>
      </c>
      <c r="P38" s="73">
        <f>(C38+(E38*F38*H38))-N38</f>
        <v>0</v>
      </c>
      <c r="Q38" s="77" t="s">
        <v>19</v>
      </c>
      <c r="R38" s="16">
        <f>P38*(J38-(J38*L38)-((J38-(J38*L38))*M38))</f>
        <v>0</v>
      </c>
      <c r="S38" s="16">
        <f t="shared" si="0"/>
        <v>0</v>
      </c>
    </row>
    <row r="40" spans="1:19" s="98" customFormat="1" x14ac:dyDescent="0.2">
      <c r="A40" s="90" t="s">
        <v>39</v>
      </c>
      <c r="B40" s="98" t="s">
        <v>25</v>
      </c>
      <c r="C40" s="99"/>
      <c r="D40" s="100" t="s">
        <v>40</v>
      </c>
      <c r="E40" s="101">
        <v>1</v>
      </c>
      <c r="F40" s="102">
        <v>1</v>
      </c>
      <c r="G40" s="103" t="s">
        <v>20</v>
      </c>
      <c r="H40" s="102">
        <v>5</v>
      </c>
      <c r="I40" s="103" t="s">
        <v>40</v>
      </c>
      <c r="J40" s="104">
        <f>780000/5</f>
        <v>156000</v>
      </c>
      <c r="K40" s="100" t="s">
        <v>40</v>
      </c>
      <c r="L40" s="105"/>
      <c r="M40" s="105">
        <v>0.17</v>
      </c>
      <c r="N40" s="102"/>
      <c r="O40" s="106" t="s">
        <v>40</v>
      </c>
      <c r="P40" s="99">
        <f t="shared" ref="P40:P43" si="13">(C40+(E40*F40*H40))-N40</f>
        <v>5</v>
      </c>
      <c r="Q40" s="103" t="s">
        <v>40</v>
      </c>
      <c r="R40" s="104">
        <f t="shared" ref="R40:R43" si="14">P40*(J40-(J40*L40)-((J40-(J40*L40))*M40))</f>
        <v>647400</v>
      </c>
      <c r="S40" s="104">
        <f t="shared" si="0"/>
        <v>583243.2432432432</v>
      </c>
    </row>
    <row r="41" spans="1:19" s="81" customFormat="1" x14ac:dyDescent="0.2">
      <c r="A41" s="31" t="s">
        <v>41</v>
      </c>
      <c r="B41" s="19" t="s">
        <v>25</v>
      </c>
      <c r="C41" s="20"/>
      <c r="D41" s="21" t="s">
        <v>40</v>
      </c>
      <c r="E41" s="26">
        <v>1</v>
      </c>
      <c r="F41" s="22">
        <v>1</v>
      </c>
      <c r="G41" s="23" t="s">
        <v>20</v>
      </c>
      <c r="H41" s="22">
        <v>5</v>
      </c>
      <c r="I41" s="23" t="s">
        <v>40</v>
      </c>
      <c r="J41" s="32">
        <v>153600</v>
      </c>
      <c r="K41" s="21" t="s">
        <v>40</v>
      </c>
      <c r="L41" s="25"/>
      <c r="M41" s="25">
        <v>0.17</v>
      </c>
      <c r="N41" s="22"/>
      <c r="O41" s="41" t="s">
        <v>40</v>
      </c>
      <c r="P41" s="20">
        <f t="shared" ref="P41" si="15">(C41+(E41*F41*H41))-N41</f>
        <v>5</v>
      </c>
      <c r="Q41" s="23" t="s">
        <v>40</v>
      </c>
      <c r="R41" s="24">
        <f t="shared" ref="R41" si="16">P41*(J41-(J41*L41)-((J41-(J41*L41))*M41))</f>
        <v>637440</v>
      </c>
      <c r="S41" s="24">
        <f t="shared" ref="S41" si="17">R41/1.11</f>
        <v>574270.27027027018</v>
      </c>
    </row>
    <row r="42" spans="1:19" s="19" customFormat="1" x14ac:dyDescent="0.2">
      <c r="A42" s="31" t="s">
        <v>41</v>
      </c>
      <c r="B42" s="19" t="s">
        <v>25</v>
      </c>
      <c r="C42" s="20">
        <v>17</v>
      </c>
      <c r="D42" s="21" t="s">
        <v>40</v>
      </c>
      <c r="E42" s="26"/>
      <c r="F42" s="22">
        <v>1</v>
      </c>
      <c r="G42" s="23" t="s">
        <v>20</v>
      </c>
      <c r="H42" s="22">
        <v>5</v>
      </c>
      <c r="I42" s="23" t="s">
        <v>40</v>
      </c>
      <c r="J42" s="32">
        <f>708000/5</f>
        <v>141600</v>
      </c>
      <c r="K42" s="21" t="s">
        <v>40</v>
      </c>
      <c r="L42" s="25"/>
      <c r="M42" s="25">
        <v>0.17</v>
      </c>
      <c r="N42" s="22"/>
      <c r="O42" s="41" t="s">
        <v>40</v>
      </c>
      <c r="P42" s="20">
        <f t="shared" si="13"/>
        <v>17</v>
      </c>
      <c r="Q42" s="23" t="s">
        <v>40</v>
      </c>
      <c r="R42" s="24">
        <f t="shared" si="14"/>
        <v>1997976</v>
      </c>
      <c r="S42" s="24">
        <f t="shared" si="0"/>
        <v>1799978.3783783782</v>
      </c>
    </row>
    <row r="43" spans="1:19" s="98" customFormat="1" x14ac:dyDescent="0.2">
      <c r="A43" s="90" t="s">
        <v>905</v>
      </c>
      <c r="B43" s="98" t="s">
        <v>25</v>
      </c>
      <c r="C43" s="99"/>
      <c r="D43" s="100" t="s">
        <v>40</v>
      </c>
      <c r="E43" s="101">
        <v>1</v>
      </c>
      <c r="F43" s="102">
        <v>1</v>
      </c>
      <c r="G43" s="103" t="s">
        <v>20</v>
      </c>
      <c r="H43" s="102">
        <v>5</v>
      </c>
      <c r="I43" s="103" t="s">
        <v>40</v>
      </c>
      <c r="J43" s="104">
        <f>990000/5</f>
        <v>198000</v>
      </c>
      <c r="K43" s="100" t="s">
        <v>40</v>
      </c>
      <c r="L43" s="105"/>
      <c r="M43" s="105">
        <v>0.17</v>
      </c>
      <c r="N43" s="102"/>
      <c r="O43" s="106" t="s">
        <v>40</v>
      </c>
      <c r="P43" s="99">
        <f t="shared" si="13"/>
        <v>5</v>
      </c>
      <c r="Q43" s="103" t="s">
        <v>40</v>
      </c>
      <c r="R43" s="104">
        <f t="shared" si="14"/>
        <v>821700</v>
      </c>
      <c r="S43" s="104">
        <f t="shared" si="0"/>
        <v>740270.27027027018</v>
      </c>
    </row>
    <row r="44" spans="1:19" s="98" customFormat="1" x14ac:dyDescent="0.2">
      <c r="A44" s="90" t="s">
        <v>42</v>
      </c>
      <c r="B44" s="98" t="s">
        <v>25</v>
      </c>
      <c r="C44" s="99"/>
      <c r="D44" s="100" t="s">
        <v>40</v>
      </c>
      <c r="E44" s="101">
        <v>1</v>
      </c>
      <c r="F44" s="102">
        <v>1</v>
      </c>
      <c r="G44" s="103" t="s">
        <v>20</v>
      </c>
      <c r="H44" s="102">
        <v>5</v>
      </c>
      <c r="I44" s="103" t="s">
        <v>40</v>
      </c>
      <c r="J44" s="104">
        <f>975000/5</f>
        <v>195000</v>
      </c>
      <c r="K44" s="100" t="s">
        <v>40</v>
      </c>
      <c r="L44" s="105"/>
      <c r="M44" s="105">
        <v>0.17</v>
      </c>
      <c r="N44" s="102"/>
      <c r="O44" s="106" t="s">
        <v>40</v>
      </c>
      <c r="P44" s="99">
        <f t="shared" ref="P44" si="18">(C44+(E44*F44*H44))-N44</f>
        <v>5</v>
      </c>
      <c r="Q44" s="103" t="s">
        <v>40</v>
      </c>
      <c r="R44" s="104">
        <f t="shared" ref="R44" si="19">P44*(J44-(J44*L44)-((J44-(J44*L44))*M44))</f>
        <v>809250</v>
      </c>
      <c r="S44" s="104">
        <f t="shared" ref="S44" si="20">R44/1.11</f>
        <v>729054.05405405397</v>
      </c>
    </row>
    <row r="45" spans="1:19" s="19" customFormat="1" x14ac:dyDescent="0.2">
      <c r="A45" s="18"/>
      <c r="C45" s="20"/>
      <c r="D45" s="21"/>
      <c r="E45" s="26"/>
      <c r="F45" s="22"/>
      <c r="G45" s="23"/>
      <c r="H45" s="22"/>
      <c r="I45" s="23"/>
      <c r="J45" s="24"/>
      <c r="K45" s="21"/>
      <c r="L45" s="25"/>
      <c r="M45" s="25"/>
      <c r="N45" s="22"/>
      <c r="O45" s="41"/>
      <c r="P45" s="20"/>
      <c r="Q45" s="23"/>
      <c r="R45" s="24"/>
      <c r="S45" s="24"/>
    </row>
    <row r="46" spans="1:19" s="19" customFormat="1" x14ac:dyDescent="0.2">
      <c r="A46" s="65" t="s">
        <v>697</v>
      </c>
      <c r="C46" s="20"/>
      <c r="D46" s="21"/>
      <c r="E46" s="26"/>
      <c r="F46" s="22"/>
      <c r="G46" s="23"/>
      <c r="H46" s="22"/>
      <c r="I46" s="23"/>
      <c r="J46" s="24"/>
      <c r="K46" s="21"/>
      <c r="L46" s="25"/>
      <c r="M46" s="25"/>
      <c r="N46" s="22"/>
      <c r="O46" s="23"/>
      <c r="P46" s="20"/>
      <c r="Q46" s="23"/>
      <c r="R46" s="24"/>
      <c r="S46" s="24"/>
    </row>
    <row r="47" spans="1:19" s="88" customFormat="1" x14ac:dyDescent="0.2">
      <c r="A47" s="90" t="s">
        <v>844</v>
      </c>
      <c r="B47" s="88" t="s">
        <v>700</v>
      </c>
      <c r="C47" s="91">
        <v>520</v>
      </c>
      <c r="D47" s="92" t="s">
        <v>19</v>
      </c>
      <c r="E47" s="93">
        <v>10</v>
      </c>
      <c r="F47" s="94">
        <v>1</v>
      </c>
      <c r="G47" s="95" t="s">
        <v>20</v>
      </c>
      <c r="H47" s="94">
        <v>100</v>
      </c>
      <c r="I47" s="95" t="s">
        <v>19</v>
      </c>
      <c r="J47" s="96">
        <v>6610</v>
      </c>
      <c r="K47" s="92" t="s">
        <v>19</v>
      </c>
      <c r="L47" s="97"/>
      <c r="M47" s="97"/>
      <c r="N47" s="94"/>
      <c r="O47" s="95" t="s">
        <v>19</v>
      </c>
      <c r="P47" s="91">
        <f>(C47+(E47*F47*H47))-N47</f>
        <v>1520</v>
      </c>
      <c r="Q47" s="95" t="s">
        <v>19</v>
      </c>
      <c r="R47" s="96">
        <f>P47*(J47-(J47*L47)-((J47-(J47*L47))*M47))</f>
        <v>10047200</v>
      </c>
      <c r="S47" s="96">
        <f t="shared" ref="S47" si="21">R47/1.11</f>
        <v>9051531.5315315314</v>
      </c>
    </row>
    <row r="48" spans="1:19" s="19" customFormat="1" x14ac:dyDescent="0.2">
      <c r="A48" s="18" t="s">
        <v>757</v>
      </c>
      <c r="B48" s="19" t="s">
        <v>700</v>
      </c>
      <c r="C48" s="20">
        <v>75</v>
      </c>
      <c r="D48" s="21" t="s">
        <v>19</v>
      </c>
      <c r="E48" s="26">
        <v>11</v>
      </c>
      <c r="F48" s="22">
        <v>1</v>
      </c>
      <c r="G48" s="23" t="s">
        <v>20</v>
      </c>
      <c r="H48" s="22">
        <v>50</v>
      </c>
      <c r="I48" s="23" t="s">
        <v>19</v>
      </c>
      <c r="J48" s="24">
        <v>12870</v>
      </c>
      <c r="K48" s="21" t="s">
        <v>19</v>
      </c>
      <c r="L48" s="25"/>
      <c r="M48" s="25"/>
      <c r="N48" s="22"/>
      <c r="O48" s="23" t="s">
        <v>19</v>
      </c>
      <c r="P48" s="20">
        <f>(C48+(E48*F48*H48))-N48</f>
        <v>625</v>
      </c>
      <c r="Q48" s="23" t="s">
        <v>19</v>
      </c>
      <c r="R48" s="24">
        <f>P48*(J48-(J48*L48)-((J48-(J48*L48))*M48))</f>
        <v>8043750</v>
      </c>
      <c r="S48" s="24">
        <f t="shared" ref="S48:S50" si="22">R48/1.11</f>
        <v>7246621.6216216208</v>
      </c>
    </row>
    <row r="49" spans="1:21" s="81" customFormat="1" x14ac:dyDescent="0.2">
      <c r="A49" s="80" t="s">
        <v>698</v>
      </c>
      <c r="B49" s="81" t="s">
        <v>700</v>
      </c>
      <c r="C49" s="79"/>
      <c r="D49" s="82" t="s">
        <v>19</v>
      </c>
      <c r="E49" s="83"/>
      <c r="F49" s="84">
        <v>1</v>
      </c>
      <c r="G49" s="85" t="s">
        <v>20</v>
      </c>
      <c r="H49" s="84">
        <v>50</v>
      </c>
      <c r="I49" s="85" t="s">
        <v>19</v>
      </c>
      <c r="J49" s="86">
        <v>12870</v>
      </c>
      <c r="K49" s="82" t="s">
        <v>19</v>
      </c>
      <c r="L49" s="87"/>
      <c r="M49" s="87"/>
      <c r="N49" s="84"/>
      <c r="O49" s="85" t="s">
        <v>19</v>
      </c>
      <c r="P49" s="79">
        <f>(C49+(E49*F49*H49))-N49</f>
        <v>0</v>
      </c>
      <c r="Q49" s="85" t="s">
        <v>19</v>
      </c>
      <c r="R49" s="86">
        <f>P49*(J49-(J49*L49)-((J49-(J49*L49))*M49))</f>
        <v>0</v>
      </c>
      <c r="S49" s="86">
        <f t="shared" si="22"/>
        <v>0</v>
      </c>
    </row>
    <row r="50" spans="1:21" s="19" customFormat="1" x14ac:dyDescent="0.2">
      <c r="A50" s="18" t="s">
        <v>699</v>
      </c>
      <c r="B50" s="19" t="s">
        <v>700</v>
      </c>
      <c r="C50" s="20">
        <v>5</v>
      </c>
      <c r="D50" s="21" t="s">
        <v>19</v>
      </c>
      <c r="E50" s="26"/>
      <c r="F50" s="22">
        <v>1</v>
      </c>
      <c r="G50" s="23" t="s">
        <v>20</v>
      </c>
      <c r="H50" s="22">
        <v>50</v>
      </c>
      <c r="I50" s="23" t="s">
        <v>19</v>
      </c>
      <c r="J50" s="24">
        <v>12870</v>
      </c>
      <c r="K50" s="21" t="s">
        <v>19</v>
      </c>
      <c r="L50" s="25"/>
      <c r="M50" s="25"/>
      <c r="N50" s="22"/>
      <c r="O50" s="23" t="s">
        <v>19</v>
      </c>
      <c r="P50" s="20">
        <f>(C50+(E50*F50*H50))-N50</f>
        <v>5</v>
      </c>
      <c r="Q50" s="23" t="s">
        <v>19</v>
      </c>
      <c r="R50" s="24">
        <f>P50*(J50-(J50*L50)-((J50-(J50*L50))*M50))</f>
        <v>64350</v>
      </c>
      <c r="S50" s="24">
        <f t="shared" si="22"/>
        <v>57972.972972972966</v>
      </c>
    </row>
    <row r="51" spans="1:21" s="98" customFormat="1" x14ac:dyDescent="0.2">
      <c r="A51" s="90"/>
      <c r="C51" s="99"/>
      <c r="D51" s="100"/>
      <c r="E51" s="101"/>
      <c r="F51" s="102"/>
      <c r="G51" s="103"/>
      <c r="H51" s="102"/>
      <c r="I51" s="103"/>
      <c r="J51" s="104"/>
      <c r="K51" s="100"/>
      <c r="L51" s="105"/>
      <c r="M51" s="105"/>
      <c r="N51" s="102"/>
      <c r="O51" s="106"/>
      <c r="P51" s="99"/>
      <c r="Q51" s="103"/>
      <c r="R51" s="104"/>
      <c r="S51" s="104"/>
    </row>
    <row r="52" spans="1:21" x14ac:dyDescent="0.2">
      <c r="A52" s="15" t="s">
        <v>845</v>
      </c>
      <c r="S52" s="16"/>
    </row>
    <row r="53" spans="1:21" s="88" customFormat="1" x14ac:dyDescent="0.2">
      <c r="A53" s="90" t="s">
        <v>846</v>
      </c>
      <c r="B53" s="88" t="s">
        <v>700</v>
      </c>
      <c r="C53" s="91">
        <v>80</v>
      </c>
      <c r="D53" s="92" t="s">
        <v>98</v>
      </c>
      <c r="E53" s="93">
        <v>6</v>
      </c>
      <c r="F53" s="94">
        <v>1</v>
      </c>
      <c r="G53" s="95" t="s">
        <v>20</v>
      </c>
      <c r="H53" s="94">
        <v>20</v>
      </c>
      <c r="I53" s="95" t="s">
        <v>98</v>
      </c>
      <c r="J53" s="96">
        <v>14900</v>
      </c>
      <c r="K53" s="92" t="s">
        <v>98</v>
      </c>
      <c r="L53" s="97"/>
      <c r="M53" s="97"/>
      <c r="N53" s="94"/>
      <c r="O53" s="95" t="s">
        <v>98</v>
      </c>
      <c r="P53" s="91">
        <f>(C53+(E53*F53*H53))-N53</f>
        <v>200</v>
      </c>
      <c r="Q53" s="95" t="s">
        <v>98</v>
      </c>
      <c r="R53" s="96">
        <f>P53*(J53-(J53*L53)-((J53-(J53*L53))*M53))</f>
        <v>2980000</v>
      </c>
      <c r="S53" s="96">
        <f t="shared" ref="S53:S54" si="23">R53/1.11</f>
        <v>2684684.6846846845</v>
      </c>
    </row>
    <row r="54" spans="1:21" s="88" customFormat="1" x14ac:dyDescent="0.2">
      <c r="A54" s="90" t="s">
        <v>847</v>
      </c>
      <c r="B54" s="88" t="s">
        <v>700</v>
      </c>
      <c r="C54" s="91">
        <v>20</v>
      </c>
      <c r="D54" s="92" t="s">
        <v>98</v>
      </c>
      <c r="E54" s="93"/>
      <c r="F54" s="94">
        <v>1</v>
      </c>
      <c r="G54" s="95" t="s">
        <v>20</v>
      </c>
      <c r="H54" s="94">
        <v>10</v>
      </c>
      <c r="I54" s="95" t="s">
        <v>98</v>
      </c>
      <c r="J54" s="96">
        <v>29900</v>
      </c>
      <c r="K54" s="92" t="s">
        <v>98</v>
      </c>
      <c r="L54" s="97"/>
      <c r="M54" s="97"/>
      <c r="N54" s="94"/>
      <c r="O54" s="95" t="s">
        <v>98</v>
      </c>
      <c r="P54" s="91">
        <f>(C54+(E54*F54*H54))-N54</f>
        <v>20</v>
      </c>
      <c r="Q54" s="95" t="s">
        <v>98</v>
      </c>
      <c r="R54" s="96">
        <f>P54*(J54-(J54*L54)-((J54-(J54*L54))*M54))</f>
        <v>598000</v>
      </c>
      <c r="S54" s="96">
        <f t="shared" si="23"/>
        <v>538738.7387387387</v>
      </c>
    </row>
    <row r="55" spans="1:21" s="19" customFormat="1" x14ac:dyDescent="0.2">
      <c r="A55" s="18"/>
      <c r="C55" s="20"/>
      <c r="D55" s="21"/>
      <c r="E55" s="26"/>
      <c r="F55" s="22"/>
      <c r="G55" s="23"/>
      <c r="H55" s="22"/>
      <c r="I55" s="23"/>
      <c r="J55" s="24"/>
      <c r="K55" s="21"/>
      <c r="L55" s="25"/>
      <c r="M55" s="25"/>
      <c r="N55" s="22"/>
      <c r="O55" s="23"/>
      <c r="P55" s="20"/>
      <c r="Q55" s="23"/>
      <c r="R55" s="24"/>
      <c r="S55" s="24"/>
    </row>
    <row r="56" spans="1:21" s="19" customFormat="1" ht="15.75" x14ac:dyDescent="0.25">
      <c r="A56" s="38" t="s">
        <v>43</v>
      </c>
      <c r="C56" s="20"/>
      <c r="D56" s="21"/>
      <c r="E56" s="26"/>
      <c r="F56" s="22"/>
      <c r="G56" s="23"/>
      <c r="H56" s="22"/>
      <c r="I56" s="23"/>
      <c r="J56" s="24"/>
      <c r="K56" s="21"/>
      <c r="L56" s="25"/>
      <c r="M56" s="25"/>
      <c r="N56" s="22"/>
      <c r="O56" s="23"/>
      <c r="P56" s="20"/>
      <c r="Q56" s="23"/>
      <c r="R56" s="24"/>
      <c r="S56" s="24"/>
    </row>
    <row r="57" spans="1:21" s="19" customFormat="1" x14ac:dyDescent="0.2">
      <c r="A57" s="80" t="s">
        <v>44</v>
      </c>
      <c r="B57" s="81" t="s">
        <v>45</v>
      </c>
      <c r="C57" s="79"/>
      <c r="D57" s="82" t="s">
        <v>19</v>
      </c>
      <c r="E57" s="83"/>
      <c r="F57" s="84">
        <v>2</v>
      </c>
      <c r="G57" s="85" t="s">
        <v>33</v>
      </c>
      <c r="H57" s="84">
        <v>20</v>
      </c>
      <c r="I57" s="85" t="s">
        <v>19</v>
      </c>
      <c r="J57" s="86">
        <v>64000</v>
      </c>
      <c r="K57" s="82" t="s">
        <v>19</v>
      </c>
      <c r="L57" s="87">
        <v>0.125</v>
      </c>
      <c r="M57" s="87">
        <v>0.05</v>
      </c>
      <c r="N57" s="84"/>
      <c r="O57" s="85" t="s">
        <v>19</v>
      </c>
      <c r="P57" s="79">
        <f t="shared" ref="P57:P104" si="24">(C57+(E57*F57*H57))-N57</f>
        <v>0</v>
      </c>
      <c r="Q57" s="85" t="s">
        <v>19</v>
      </c>
      <c r="R57" s="86">
        <f t="shared" ref="R57:R104" si="25">P57*(J57-(J57*L57)-((J57-(J57*L57))*M57))</f>
        <v>0</v>
      </c>
      <c r="S57" s="86">
        <f t="shared" ref="S57:S104" si="26">R57/1.11</f>
        <v>0</v>
      </c>
      <c r="T57" s="81"/>
      <c r="U57" s="81"/>
    </row>
    <row r="58" spans="1:21" s="98" customFormat="1" x14ac:dyDescent="0.2">
      <c r="A58" s="18" t="s">
        <v>46</v>
      </c>
      <c r="B58" s="19" t="s">
        <v>45</v>
      </c>
      <c r="C58" s="20">
        <v>35</v>
      </c>
      <c r="D58" s="21" t="s">
        <v>19</v>
      </c>
      <c r="E58" s="26">
        <v>2</v>
      </c>
      <c r="F58" s="22">
        <v>6</v>
      </c>
      <c r="G58" s="23" t="s">
        <v>33</v>
      </c>
      <c r="H58" s="22">
        <v>20</v>
      </c>
      <c r="I58" s="23" t="s">
        <v>19</v>
      </c>
      <c r="J58" s="24">
        <v>47000</v>
      </c>
      <c r="K58" s="21" t="s">
        <v>19</v>
      </c>
      <c r="L58" s="25">
        <v>0.125</v>
      </c>
      <c r="M58" s="25">
        <v>0.05</v>
      </c>
      <c r="N58" s="22"/>
      <c r="O58" s="23" t="s">
        <v>19</v>
      </c>
      <c r="P58" s="20">
        <f t="shared" si="24"/>
        <v>275</v>
      </c>
      <c r="Q58" s="23" t="s">
        <v>19</v>
      </c>
      <c r="R58" s="24">
        <f t="shared" si="25"/>
        <v>10743906.25</v>
      </c>
      <c r="S58" s="24">
        <f t="shared" si="26"/>
        <v>9679194.8198198192</v>
      </c>
      <c r="T58" s="19"/>
      <c r="U58" s="19"/>
    </row>
    <row r="59" spans="1:21" s="19" customFormat="1" x14ac:dyDescent="0.2">
      <c r="A59" s="134" t="s">
        <v>47</v>
      </c>
      <c r="B59" s="19" t="s">
        <v>45</v>
      </c>
      <c r="C59" s="20"/>
      <c r="D59" s="21" t="s">
        <v>19</v>
      </c>
      <c r="E59" s="26">
        <v>4</v>
      </c>
      <c r="F59" s="22">
        <v>6</v>
      </c>
      <c r="G59" s="23" t="s">
        <v>33</v>
      </c>
      <c r="H59" s="22">
        <v>20</v>
      </c>
      <c r="I59" s="23" t="s">
        <v>19</v>
      </c>
      <c r="J59" s="24">
        <v>47000</v>
      </c>
      <c r="K59" s="21" t="s">
        <v>19</v>
      </c>
      <c r="L59" s="133">
        <v>0.125</v>
      </c>
      <c r="M59" s="133">
        <v>0.05</v>
      </c>
      <c r="N59" s="22"/>
      <c r="O59" s="23" t="s">
        <v>19</v>
      </c>
      <c r="P59" s="20">
        <f t="shared" si="24"/>
        <v>480</v>
      </c>
      <c r="Q59" s="23" t="s">
        <v>19</v>
      </c>
      <c r="R59" s="24">
        <f t="shared" si="25"/>
        <v>18753000</v>
      </c>
      <c r="S59" s="24">
        <f t="shared" si="26"/>
        <v>16894594.594594594</v>
      </c>
    </row>
    <row r="60" spans="1:21" s="98" customFormat="1" x14ac:dyDescent="0.2">
      <c r="A60" s="134" t="s">
        <v>47</v>
      </c>
      <c r="B60" s="19" t="s">
        <v>45</v>
      </c>
      <c r="C60" s="20"/>
      <c r="D60" s="21" t="s">
        <v>19</v>
      </c>
      <c r="E60" s="26">
        <v>3</v>
      </c>
      <c r="F60" s="22">
        <v>6</v>
      </c>
      <c r="G60" s="23" t="s">
        <v>33</v>
      </c>
      <c r="H60" s="22">
        <v>20</v>
      </c>
      <c r="I60" s="23" t="s">
        <v>19</v>
      </c>
      <c r="J60" s="24">
        <v>47000</v>
      </c>
      <c r="K60" s="21" t="s">
        <v>19</v>
      </c>
      <c r="L60" s="133">
        <v>0.125</v>
      </c>
      <c r="M60" s="133">
        <v>0.1</v>
      </c>
      <c r="N60" s="22"/>
      <c r="O60" s="23" t="s">
        <v>19</v>
      </c>
      <c r="P60" s="20">
        <f t="shared" si="24"/>
        <v>360</v>
      </c>
      <c r="Q60" s="23" t="s">
        <v>19</v>
      </c>
      <c r="R60" s="24">
        <f t="shared" si="25"/>
        <v>13324500</v>
      </c>
      <c r="S60" s="24">
        <f t="shared" si="26"/>
        <v>12004054.054054054</v>
      </c>
      <c r="T60" s="19"/>
      <c r="U60" s="19"/>
    </row>
    <row r="61" spans="1:21" s="81" customFormat="1" x14ac:dyDescent="0.2">
      <c r="A61" s="90" t="s">
        <v>48</v>
      </c>
      <c r="B61" s="98" t="s">
        <v>45</v>
      </c>
      <c r="C61" s="99"/>
      <c r="D61" s="100" t="s">
        <v>19</v>
      </c>
      <c r="E61" s="101">
        <v>1</v>
      </c>
      <c r="F61" s="102">
        <v>6</v>
      </c>
      <c r="G61" s="103" t="s">
        <v>33</v>
      </c>
      <c r="H61" s="102">
        <v>20</v>
      </c>
      <c r="I61" s="103" t="s">
        <v>19</v>
      </c>
      <c r="J61" s="104">
        <v>49000</v>
      </c>
      <c r="K61" s="100" t="s">
        <v>19</v>
      </c>
      <c r="L61" s="105">
        <v>0.125</v>
      </c>
      <c r="M61" s="105">
        <v>0.05</v>
      </c>
      <c r="N61" s="102"/>
      <c r="O61" s="103" t="s">
        <v>19</v>
      </c>
      <c r="P61" s="99">
        <f t="shared" si="24"/>
        <v>120</v>
      </c>
      <c r="Q61" s="103" t="s">
        <v>19</v>
      </c>
      <c r="R61" s="104">
        <f t="shared" si="25"/>
        <v>4887750</v>
      </c>
      <c r="S61" s="104">
        <f t="shared" si="26"/>
        <v>4403378.3783783782</v>
      </c>
      <c r="T61" s="98"/>
      <c r="U61" s="98"/>
    </row>
    <row r="62" spans="1:21" s="19" customFormat="1" x14ac:dyDescent="0.2">
      <c r="A62" s="135" t="s">
        <v>49</v>
      </c>
      <c r="B62" s="98" t="s">
        <v>45</v>
      </c>
      <c r="C62" s="99"/>
      <c r="D62" s="100" t="s">
        <v>19</v>
      </c>
      <c r="E62" s="101">
        <v>5</v>
      </c>
      <c r="F62" s="102">
        <v>4</v>
      </c>
      <c r="G62" s="103" t="s">
        <v>33</v>
      </c>
      <c r="H62" s="102">
        <v>20</v>
      </c>
      <c r="I62" s="103" t="s">
        <v>19</v>
      </c>
      <c r="J62" s="104">
        <v>56000</v>
      </c>
      <c r="K62" s="100" t="s">
        <v>19</v>
      </c>
      <c r="L62" s="136">
        <v>0.125</v>
      </c>
      <c r="M62" s="136">
        <v>0.1</v>
      </c>
      <c r="N62" s="102"/>
      <c r="O62" s="103" t="s">
        <v>19</v>
      </c>
      <c r="P62" s="20">
        <f t="shared" si="24"/>
        <v>400</v>
      </c>
      <c r="Q62" s="103" t="s">
        <v>19</v>
      </c>
      <c r="R62" s="24">
        <f t="shared" si="25"/>
        <v>17640000</v>
      </c>
      <c r="S62" s="24">
        <f t="shared" si="26"/>
        <v>15891891.891891891</v>
      </c>
      <c r="T62" s="98"/>
      <c r="U62" s="98"/>
    </row>
    <row r="63" spans="1:21" s="19" customFormat="1" x14ac:dyDescent="0.2">
      <c r="A63" s="134" t="s">
        <v>49</v>
      </c>
      <c r="B63" s="19" t="s">
        <v>45</v>
      </c>
      <c r="C63" s="20"/>
      <c r="D63" s="21" t="s">
        <v>19</v>
      </c>
      <c r="E63" s="26">
        <v>1</v>
      </c>
      <c r="F63" s="22">
        <v>4</v>
      </c>
      <c r="G63" s="23" t="s">
        <v>33</v>
      </c>
      <c r="H63" s="22">
        <v>20</v>
      </c>
      <c r="I63" s="23" t="s">
        <v>19</v>
      </c>
      <c r="J63" s="24">
        <v>56000</v>
      </c>
      <c r="K63" s="21" t="s">
        <v>19</v>
      </c>
      <c r="L63" s="133">
        <v>0.125</v>
      </c>
      <c r="M63" s="133">
        <v>0.05</v>
      </c>
      <c r="N63" s="22"/>
      <c r="O63" s="23" t="s">
        <v>19</v>
      </c>
      <c r="P63" s="20">
        <f t="shared" si="24"/>
        <v>80</v>
      </c>
      <c r="Q63" s="23" t="s">
        <v>19</v>
      </c>
      <c r="R63" s="24">
        <f t="shared" si="25"/>
        <v>3724000</v>
      </c>
      <c r="S63" s="24">
        <f t="shared" si="26"/>
        <v>3354954.9549549548</v>
      </c>
    </row>
    <row r="64" spans="1:21" s="19" customFormat="1" x14ac:dyDescent="0.2">
      <c r="A64" s="31" t="s">
        <v>50</v>
      </c>
      <c r="B64" s="19" t="s">
        <v>45</v>
      </c>
      <c r="C64" s="20">
        <v>55</v>
      </c>
      <c r="D64" s="21" t="s">
        <v>19</v>
      </c>
      <c r="E64" s="26">
        <v>1</v>
      </c>
      <c r="F64" s="22">
        <v>6</v>
      </c>
      <c r="G64" s="23" t="s">
        <v>33</v>
      </c>
      <c r="H64" s="22">
        <v>20</v>
      </c>
      <c r="I64" s="23" t="s">
        <v>19</v>
      </c>
      <c r="J64" s="24">
        <v>47000</v>
      </c>
      <c r="K64" s="21" t="s">
        <v>19</v>
      </c>
      <c r="L64" s="33">
        <v>0.125</v>
      </c>
      <c r="M64" s="33">
        <v>0.05</v>
      </c>
      <c r="N64" s="22"/>
      <c r="O64" s="23" t="s">
        <v>19</v>
      </c>
      <c r="P64" s="20">
        <f t="shared" si="24"/>
        <v>175</v>
      </c>
      <c r="Q64" s="23" t="s">
        <v>19</v>
      </c>
      <c r="R64" s="24">
        <f t="shared" si="25"/>
        <v>6837031.25</v>
      </c>
      <c r="S64" s="24">
        <f t="shared" si="26"/>
        <v>6159487.6126126116</v>
      </c>
    </row>
    <row r="65" spans="1:21" s="98" customFormat="1" x14ac:dyDescent="0.2">
      <c r="A65" s="31" t="s">
        <v>50</v>
      </c>
      <c r="B65" s="19" t="s">
        <v>45</v>
      </c>
      <c r="C65" s="20"/>
      <c r="D65" s="21" t="s">
        <v>19</v>
      </c>
      <c r="E65" s="26">
        <v>3</v>
      </c>
      <c r="F65" s="22">
        <v>6</v>
      </c>
      <c r="G65" s="23" t="s">
        <v>33</v>
      </c>
      <c r="H65" s="22">
        <v>20</v>
      </c>
      <c r="I65" s="23" t="s">
        <v>19</v>
      </c>
      <c r="J65" s="24">
        <v>47000</v>
      </c>
      <c r="K65" s="21" t="s">
        <v>19</v>
      </c>
      <c r="L65" s="33">
        <v>0.125</v>
      </c>
      <c r="M65" s="33">
        <v>0.1</v>
      </c>
      <c r="N65" s="22"/>
      <c r="O65" s="23" t="s">
        <v>19</v>
      </c>
      <c r="P65" s="20">
        <f t="shared" si="24"/>
        <v>360</v>
      </c>
      <c r="Q65" s="23" t="s">
        <v>19</v>
      </c>
      <c r="R65" s="24">
        <f t="shared" si="25"/>
        <v>13324500</v>
      </c>
      <c r="S65" s="24">
        <f t="shared" si="26"/>
        <v>12004054.054054054</v>
      </c>
      <c r="T65" s="19"/>
      <c r="U65" s="19"/>
    </row>
    <row r="66" spans="1:21" s="98" customFormat="1" x14ac:dyDescent="0.2">
      <c r="A66" s="18" t="s">
        <v>811</v>
      </c>
      <c r="B66" s="19" t="s">
        <v>45</v>
      </c>
      <c r="C66" s="20"/>
      <c r="D66" s="21" t="s">
        <v>19</v>
      </c>
      <c r="E66" s="26">
        <v>2</v>
      </c>
      <c r="F66" s="22">
        <v>4</v>
      </c>
      <c r="G66" s="23" t="s">
        <v>33</v>
      </c>
      <c r="H66" s="22">
        <v>20</v>
      </c>
      <c r="I66" s="23" t="s">
        <v>19</v>
      </c>
      <c r="J66" s="24">
        <v>60000</v>
      </c>
      <c r="K66" s="21" t="s">
        <v>19</v>
      </c>
      <c r="L66" s="25">
        <v>0.125</v>
      </c>
      <c r="M66" s="25">
        <v>0.1</v>
      </c>
      <c r="N66" s="22"/>
      <c r="O66" s="23" t="s">
        <v>19</v>
      </c>
      <c r="P66" s="20">
        <f t="shared" si="24"/>
        <v>160</v>
      </c>
      <c r="Q66" s="23" t="s">
        <v>19</v>
      </c>
      <c r="R66" s="24">
        <f t="shared" si="25"/>
        <v>7560000</v>
      </c>
      <c r="S66" s="24">
        <f t="shared" si="26"/>
        <v>6810810.81081081</v>
      </c>
      <c r="T66" s="19"/>
      <c r="U66" s="19"/>
    </row>
    <row r="67" spans="1:21" s="19" customFormat="1" x14ac:dyDescent="0.2">
      <c r="A67" s="80" t="s">
        <v>51</v>
      </c>
      <c r="B67" s="81" t="s">
        <v>45</v>
      </c>
      <c r="C67" s="79"/>
      <c r="D67" s="82" t="s">
        <v>19</v>
      </c>
      <c r="E67" s="83"/>
      <c r="F67" s="84">
        <v>4</v>
      </c>
      <c r="G67" s="85" t="s">
        <v>33</v>
      </c>
      <c r="H67" s="84">
        <v>40</v>
      </c>
      <c r="I67" s="85" t="s">
        <v>19</v>
      </c>
      <c r="J67" s="86">
        <v>37000</v>
      </c>
      <c r="K67" s="82" t="s">
        <v>19</v>
      </c>
      <c r="L67" s="87">
        <v>0.125</v>
      </c>
      <c r="M67" s="87">
        <v>0.05</v>
      </c>
      <c r="N67" s="84"/>
      <c r="O67" s="85" t="s">
        <v>19</v>
      </c>
      <c r="P67" s="79">
        <f t="shared" si="24"/>
        <v>0</v>
      </c>
      <c r="Q67" s="85" t="s">
        <v>19</v>
      </c>
      <c r="R67" s="86">
        <f t="shared" si="25"/>
        <v>0</v>
      </c>
      <c r="S67" s="86">
        <f t="shared" si="26"/>
        <v>0</v>
      </c>
      <c r="T67" s="81"/>
      <c r="U67" s="81"/>
    </row>
    <row r="68" spans="1:21" s="19" customFormat="1" x14ac:dyDescent="0.2">
      <c r="A68" s="134" t="s">
        <v>52</v>
      </c>
      <c r="B68" s="19" t="s">
        <v>45</v>
      </c>
      <c r="C68" s="20"/>
      <c r="D68" s="21" t="s">
        <v>19</v>
      </c>
      <c r="E68" s="26">
        <v>2</v>
      </c>
      <c r="F68" s="22">
        <v>4</v>
      </c>
      <c r="G68" s="23" t="s">
        <v>33</v>
      </c>
      <c r="H68" s="22">
        <v>20</v>
      </c>
      <c r="I68" s="23" t="s">
        <v>19</v>
      </c>
      <c r="J68" s="24">
        <v>50000</v>
      </c>
      <c r="K68" s="21" t="s">
        <v>19</v>
      </c>
      <c r="L68" s="133">
        <v>0.125</v>
      </c>
      <c r="M68" s="133">
        <v>0.1</v>
      </c>
      <c r="N68" s="22"/>
      <c r="O68" s="23" t="s">
        <v>19</v>
      </c>
      <c r="P68" s="20">
        <f t="shared" si="24"/>
        <v>160</v>
      </c>
      <c r="Q68" s="23" t="s">
        <v>19</v>
      </c>
      <c r="R68" s="24">
        <f t="shared" si="25"/>
        <v>6300000</v>
      </c>
      <c r="S68" s="24">
        <f t="shared" si="26"/>
        <v>5675675.6756756753</v>
      </c>
    </row>
    <row r="69" spans="1:21" s="19" customFormat="1" x14ac:dyDescent="0.2">
      <c r="A69" s="135" t="s">
        <v>52</v>
      </c>
      <c r="B69" s="98" t="s">
        <v>45</v>
      </c>
      <c r="C69" s="99"/>
      <c r="D69" s="100" t="s">
        <v>19</v>
      </c>
      <c r="E69" s="101">
        <v>2</v>
      </c>
      <c r="F69" s="102">
        <v>4</v>
      </c>
      <c r="G69" s="103" t="s">
        <v>33</v>
      </c>
      <c r="H69" s="102">
        <v>20</v>
      </c>
      <c r="I69" s="103" t="s">
        <v>19</v>
      </c>
      <c r="J69" s="104">
        <v>50000</v>
      </c>
      <c r="K69" s="100" t="s">
        <v>19</v>
      </c>
      <c r="L69" s="136">
        <v>0.125</v>
      </c>
      <c r="M69" s="136">
        <v>0.05</v>
      </c>
      <c r="N69" s="102"/>
      <c r="O69" s="103" t="s">
        <v>19</v>
      </c>
      <c r="P69" s="99">
        <f t="shared" si="24"/>
        <v>160</v>
      </c>
      <c r="Q69" s="103" t="s">
        <v>19</v>
      </c>
      <c r="R69" s="104">
        <f t="shared" si="25"/>
        <v>6650000</v>
      </c>
      <c r="S69" s="104">
        <f t="shared" si="26"/>
        <v>5990990.9909909908</v>
      </c>
      <c r="T69" s="98"/>
      <c r="U69" s="98"/>
    </row>
    <row r="70" spans="1:21" s="19" customFormat="1" x14ac:dyDescent="0.2">
      <c r="A70" s="80" t="s">
        <v>767</v>
      </c>
      <c r="B70" s="81" t="s">
        <v>45</v>
      </c>
      <c r="C70" s="79"/>
      <c r="D70" s="82" t="s">
        <v>19</v>
      </c>
      <c r="E70" s="83">
        <v>1</v>
      </c>
      <c r="F70" s="84">
        <v>4</v>
      </c>
      <c r="G70" s="85" t="s">
        <v>33</v>
      </c>
      <c r="H70" s="84">
        <v>20</v>
      </c>
      <c r="I70" s="85" t="s">
        <v>19</v>
      </c>
      <c r="J70" s="86">
        <v>50000</v>
      </c>
      <c r="K70" s="82" t="s">
        <v>19</v>
      </c>
      <c r="L70" s="87">
        <v>0.125</v>
      </c>
      <c r="M70" s="87">
        <v>0.05</v>
      </c>
      <c r="N70" s="84"/>
      <c r="O70" s="85" t="s">
        <v>19</v>
      </c>
      <c r="P70" s="79">
        <f t="shared" si="24"/>
        <v>80</v>
      </c>
      <c r="Q70" s="85" t="s">
        <v>19</v>
      </c>
      <c r="R70" s="86">
        <f t="shared" si="25"/>
        <v>3325000</v>
      </c>
      <c r="S70" s="86">
        <f t="shared" si="26"/>
        <v>2995495.4954954954</v>
      </c>
      <c r="T70" s="81"/>
      <c r="U70" s="81"/>
    </row>
    <row r="71" spans="1:21" s="19" customFormat="1" x14ac:dyDescent="0.2">
      <c r="A71" s="134" t="s">
        <v>53</v>
      </c>
      <c r="B71" s="19" t="s">
        <v>45</v>
      </c>
      <c r="C71" s="20"/>
      <c r="D71" s="21" t="s">
        <v>19</v>
      </c>
      <c r="E71" s="26">
        <v>2</v>
      </c>
      <c r="F71" s="22">
        <v>4</v>
      </c>
      <c r="G71" s="23" t="s">
        <v>33</v>
      </c>
      <c r="H71" s="22">
        <v>20</v>
      </c>
      <c r="I71" s="23" t="s">
        <v>19</v>
      </c>
      <c r="J71" s="24">
        <v>67000</v>
      </c>
      <c r="K71" s="21" t="s">
        <v>19</v>
      </c>
      <c r="L71" s="133">
        <v>0.125</v>
      </c>
      <c r="M71" s="133">
        <v>0.1</v>
      </c>
      <c r="N71" s="22"/>
      <c r="O71" s="23" t="s">
        <v>19</v>
      </c>
      <c r="P71" s="20">
        <f t="shared" ref="P71" si="27">(C71+(E71*F71*H71))-N71</f>
        <v>160</v>
      </c>
      <c r="Q71" s="23" t="s">
        <v>19</v>
      </c>
      <c r="R71" s="24">
        <f t="shared" ref="R71" si="28">P71*(J71-(J71*L71)-((J71-(J71*L71))*M71))</f>
        <v>8442000</v>
      </c>
      <c r="S71" s="24">
        <f t="shared" ref="S71" si="29">R71/1.11</f>
        <v>7605405.405405405</v>
      </c>
    </row>
    <row r="72" spans="1:21" s="19" customFormat="1" x14ac:dyDescent="0.2">
      <c r="A72" s="134" t="s">
        <v>53</v>
      </c>
      <c r="B72" s="19" t="s">
        <v>45</v>
      </c>
      <c r="C72" s="20"/>
      <c r="D72" s="21" t="s">
        <v>19</v>
      </c>
      <c r="E72" s="26">
        <v>1</v>
      </c>
      <c r="F72" s="22">
        <v>4</v>
      </c>
      <c r="G72" s="23" t="s">
        <v>33</v>
      </c>
      <c r="H72" s="22">
        <v>20</v>
      </c>
      <c r="I72" s="23" t="s">
        <v>19</v>
      </c>
      <c r="J72" s="24">
        <v>67000</v>
      </c>
      <c r="K72" s="21" t="s">
        <v>19</v>
      </c>
      <c r="L72" s="133">
        <v>0.125</v>
      </c>
      <c r="M72" s="133">
        <v>0.05</v>
      </c>
      <c r="N72" s="22"/>
      <c r="O72" s="23" t="s">
        <v>19</v>
      </c>
      <c r="P72" s="20">
        <f t="shared" si="24"/>
        <v>80</v>
      </c>
      <c r="Q72" s="23" t="s">
        <v>19</v>
      </c>
      <c r="R72" s="24">
        <f t="shared" si="25"/>
        <v>4455500</v>
      </c>
      <c r="S72" s="24">
        <f t="shared" si="26"/>
        <v>4013963.9639639636</v>
      </c>
    </row>
    <row r="73" spans="1:21" s="19" customFormat="1" x14ac:dyDescent="0.2">
      <c r="A73" s="164" t="s">
        <v>911</v>
      </c>
      <c r="B73" s="165" t="s">
        <v>45</v>
      </c>
      <c r="C73" s="166"/>
      <c r="D73" s="167" t="s">
        <v>19</v>
      </c>
      <c r="E73" s="168">
        <v>1</v>
      </c>
      <c r="F73" s="169">
        <v>4</v>
      </c>
      <c r="G73" s="170" t="s">
        <v>33</v>
      </c>
      <c r="H73" s="169">
        <v>20</v>
      </c>
      <c r="I73" s="170" t="s">
        <v>19</v>
      </c>
      <c r="J73" s="171">
        <v>50000</v>
      </c>
      <c r="K73" s="167" t="s">
        <v>19</v>
      </c>
      <c r="L73" s="172">
        <v>0.125</v>
      </c>
      <c r="M73" s="172">
        <v>0.05</v>
      </c>
      <c r="N73" s="169"/>
      <c r="O73" s="170" t="s">
        <v>19</v>
      </c>
      <c r="P73" s="166">
        <f t="shared" ref="P73" si="30">(C73+(E73*F73*H73))-N73</f>
        <v>80</v>
      </c>
      <c r="Q73" s="170" t="s">
        <v>19</v>
      </c>
      <c r="R73" s="171">
        <f t="shared" ref="R73" si="31">P73*(J73-(J73*L73)-((J73-(J73*L73))*M73))</f>
        <v>3325000</v>
      </c>
      <c r="S73" s="171">
        <f t="shared" ref="S73" si="32">R73/1.11</f>
        <v>2995495.4954954954</v>
      </c>
    </row>
    <row r="74" spans="1:21" s="19" customFormat="1" x14ac:dyDescent="0.2">
      <c r="A74" s="80" t="s">
        <v>766</v>
      </c>
      <c r="B74" s="81" t="s">
        <v>45</v>
      </c>
      <c r="C74" s="79"/>
      <c r="D74" s="82" t="s">
        <v>19</v>
      </c>
      <c r="E74" s="83"/>
      <c r="F74" s="84">
        <v>6</v>
      </c>
      <c r="G74" s="85" t="s">
        <v>33</v>
      </c>
      <c r="H74" s="84">
        <v>10</v>
      </c>
      <c r="I74" s="85" t="s">
        <v>19</v>
      </c>
      <c r="J74" s="86">
        <v>77000</v>
      </c>
      <c r="K74" s="82" t="s">
        <v>19</v>
      </c>
      <c r="L74" s="87">
        <v>0.125</v>
      </c>
      <c r="M74" s="87">
        <v>0.05</v>
      </c>
      <c r="N74" s="84"/>
      <c r="O74" s="85" t="s">
        <v>19</v>
      </c>
      <c r="P74" s="79">
        <f t="shared" si="24"/>
        <v>0</v>
      </c>
      <c r="Q74" s="85" t="s">
        <v>19</v>
      </c>
      <c r="R74" s="86">
        <f t="shared" si="25"/>
        <v>0</v>
      </c>
      <c r="S74" s="86">
        <f t="shared" si="26"/>
        <v>0</v>
      </c>
      <c r="T74" s="81"/>
      <c r="U74" s="81"/>
    </row>
    <row r="75" spans="1:21" s="19" customFormat="1" x14ac:dyDescent="0.2">
      <c r="A75" s="80" t="s">
        <v>54</v>
      </c>
      <c r="B75" s="81" t="s">
        <v>45</v>
      </c>
      <c r="C75" s="79"/>
      <c r="D75" s="82" t="s">
        <v>19</v>
      </c>
      <c r="E75" s="83"/>
      <c r="F75" s="84">
        <v>6</v>
      </c>
      <c r="G75" s="85" t="s">
        <v>33</v>
      </c>
      <c r="H75" s="84">
        <v>10</v>
      </c>
      <c r="I75" s="85" t="s">
        <v>19</v>
      </c>
      <c r="J75" s="86">
        <v>73000</v>
      </c>
      <c r="K75" s="82" t="s">
        <v>19</v>
      </c>
      <c r="L75" s="87">
        <v>0.125</v>
      </c>
      <c r="M75" s="87">
        <v>0.05</v>
      </c>
      <c r="N75" s="84"/>
      <c r="O75" s="85" t="s">
        <v>19</v>
      </c>
      <c r="P75" s="79">
        <f t="shared" si="24"/>
        <v>0</v>
      </c>
      <c r="Q75" s="85" t="s">
        <v>19</v>
      </c>
      <c r="R75" s="86">
        <f t="shared" si="25"/>
        <v>0</v>
      </c>
      <c r="S75" s="86">
        <f t="shared" si="26"/>
        <v>0</v>
      </c>
      <c r="T75" s="81"/>
      <c r="U75" s="81"/>
    </row>
    <row r="76" spans="1:21" s="19" customFormat="1" x14ac:dyDescent="0.2">
      <c r="A76" s="80" t="s">
        <v>55</v>
      </c>
      <c r="B76" s="81" t="s">
        <v>45</v>
      </c>
      <c r="C76" s="79"/>
      <c r="D76" s="82" t="s">
        <v>19</v>
      </c>
      <c r="E76" s="83"/>
      <c r="F76" s="84">
        <v>8</v>
      </c>
      <c r="G76" s="85" t="s">
        <v>33</v>
      </c>
      <c r="H76" s="84">
        <v>10</v>
      </c>
      <c r="I76" s="85" t="s">
        <v>19</v>
      </c>
      <c r="J76" s="86">
        <v>56000</v>
      </c>
      <c r="K76" s="82" t="s">
        <v>19</v>
      </c>
      <c r="L76" s="87">
        <v>0.125</v>
      </c>
      <c r="M76" s="87">
        <v>0.05</v>
      </c>
      <c r="N76" s="84"/>
      <c r="O76" s="85" t="s">
        <v>19</v>
      </c>
      <c r="P76" s="79">
        <f t="shared" si="24"/>
        <v>0</v>
      </c>
      <c r="Q76" s="85" t="s">
        <v>19</v>
      </c>
      <c r="R76" s="86">
        <f t="shared" si="25"/>
        <v>0</v>
      </c>
      <c r="S76" s="86">
        <f t="shared" si="26"/>
        <v>0</v>
      </c>
      <c r="T76" s="81"/>
      <c r="U76" s="81"/>
    </row>
    <row r="77" spans="1:21" s="19" customFormat="1" x14ac:dyDescent="0.2">
      <c r="A77" s="18" t="s">
        <v>56</v>
      </c>
      <c r="B77" s="19" t="s">
        <v>45</v>
      </c>
      <c r="C77" s="20">
        <v>112</v>
      </c>
      <c r="D77" s="21" t="s">
        <v>19</v>
      </c>
      <c r="E77" s="26">
        <v>1</v>
      </c>
      <c r="F77" s="22">
        <v>6</v>
      </c>
      <c r="G77" s="23" t="s">
        <v>33</v>
      </c>
      <c r="H77" s="22">
        <v>20</v>
      </c>
      <c r="I77" s="23" t="s">
        <v>19</v>
      </c>
      <c r="J77" s="24">
        <v>47000</v>
      </c>
      <c r="K77" s="21" t="s">
        <v>19</v>
      </c>
      <c r="L77" s="25">
        <v>0.125</v>
      </c>
      <c r="M77" s="25">
        <v>0.05</v>
      </c>
      <c r="N77" s="22"/>
      <c r="O77" s="23" t="s">
        <v>19</v>
      </c>
      <c r="P77" s="20">
        <f t="shared" si="24"/>
        <v>232</v>
      </c>
      <c r="Q77" s="23" t="s">
        <v>19</v>
      </c>
      <c r="R77" s="24">
        <f t="shared" si="25"/>
        <v>9063950</v>
      </c>
      <c r="S77" s="24">
        <f t="shared" si="26"/>
        <v>8165720.7207207195</v>
      </c>
    </row>
    <row r="78" spans="1:21" s="19" customFormat="1" x14ac:dyDescent="0.2">
      <c r="A78" s="135" t="s">
        <v>57</v>
      </c>
      <c r="B78" s="98" t="s">
        <v>45</v>
      </c>
      <c r="C78" s="99">
        <v>82</v>
      </c>
      <c r="D78" s="100" t="s">
        <v>19</v>
      </c>
      <c r="E78" s="101">
        <v>1</v>
      </c>
      <c r="F78" s="102">
        <v>8</v>
      </c>
      <c r="G78" s="103" t="s">
        <v>33</v>
      </c>
      <c r="H78" s="102">
        <v>20</v>
      </c>
      <c r="I78" s="103" t="s">
        <v>19</v>
      </c>
      <c r="J78" s="104">
        <v>32000</v>
      </c>
      <c r="K78" s="100" t="s">
        <v>19</v>
      </c>
      <c r="L78" s="136">
        <v>0.125</v>
      </c>
      <c r="M78" s="136">
        <v>0.05</v>
      </c>
      <c r="N78" s="102"/>
      <c r="O78" s="103" t="s">
        <v>19</v>
      </c>
      <c r="P78" s="99">
        <f t="shared" si="24"/>
        <v>242</v>
      </c>
      <c r="Q78" s="103" t="s">
        <v>19</v>
      </c>
      <c r="R78" s="104">
        <f t="shared" si="25"/>
        <v>6437200</v>
      </c>
      <c r="S78" s="104">
        <f t="shared" si="26"/>
        <v>5799279.2792792786</v>
      </c>
      <c r="T78" s="98"/>
      <c r="U78" s="98"/>
    </row>
    <row r="79" spans="1:21" s="81" customFormat="1" x14ac:dyDescent="0.2">
      <c r="A79" s="134" t="s">
        <v>57</v>
      </c>
      <c r="B79" s="19" t="s">
        <v>45</v>
      </c>
      <c r="C79" s="20"/>
      <c r="D79" s="21" t="s">
        <v>19</v>
      </c>
      <c r="E79" s="26">
        <v>1</v>
      </c>
      <c r="F79" s="22">
        <v>8</v>
      </c>
      <c r="G79" s="23" t="s">
        <v>33</v>
      </c>
      <c r="H79" s="22">
        <v>20</v>
      </c>
      <c r="I79" s="23" t="s">
        <v>19</v>
      </c>
      <c r="J79" s="24">
        <v>32000</v>
      </c>
      <c r="K79" s="21" t="s">
        <v>19</v>
      </c>
      <c r="L79" s="133">
        <v>0.125</v>
      </c>
      <c r="M79" s="133">
        <v>0.1</v>
      </c>
      <c r="N79" s="22"/>
      <c r="O79" s="23" t="s">
        <v>19</v>
      </c>
      <c r="P79" s="20">
        <f t="shared" si="24"/>
        <v>160</v>
      </c>
      <c r="Q79" s="23" t="s">
        <v>19</v>
      </c>
      <c r="R79" s="24">
        <f t="shared" si="25"/>
        <v>4032000</v>
      </c>
      <c r="S79" s="24">
        <f t="shared" si="26"/>
        <v>3632432.4324324322</v>
      </c>
      <c r="T79" s="19"/>
      <c r="U79" s="19"/>
    </row>
    <row r="80" spans="1:21" s="98" customFormat="1" x14ac:dyDescent="0.2">
      <c r="A80" s="108" t="s">
        <v>58</v>
      </c>
      <c r="B80" s="98" t="s">
        <v>45</v>
      </c>
      <c r="C80" s="99">
        <v>3</v>
      </c>
      <c r="D80" s="100" t="s">
        <v>19</v>
      </c>
      <c r="E80" s="101">
        <v>2</v>
      </c>
      <c r="F80" s="102">
        <v>8</v>
      </c>
      <c r="G80" s="103" t="s">
        <v>33</v>
      </c>
      <c r="H80" s="102">
        <v>20</v>
      </c>
      <c r="I80" s="103" t="s">
        <v>19</v>
      </c>
      <c r="J80" s="104">
        <v>27500</v>
      </c>
      <c r="K80" s="100" t="s">
        <v>19</v>
      </c>
      <c r="L80" s="110">
        <v>0.125</v>
      </c>
      <c r="M80" s="110">
        <v>0.05</v>
      </c>
      <c r="N80" s="102"/>
      <c r="O80" s="103" t="s">
        <v>19</v>
      </c>
      <c r="P80" s="99">
        <f t="shared" si="24"/>
        <v>323</v>
      </c>
      <c r="Q80" s="103" t="s">
        <v>19</v>
      </c>
      <c r="R80" s="104">
        <f t="shared" si="25"/>
        <v>7383578.125</v>
      </c>
      <c r="S80" s="104">
        <f t="shared" si="26"/>
        <v>6651872.1846846845</v>
      </c>
    </row>
    <row r="81" spans="1:21" s="81" customFormat="1" x14ac:dyDescent="0.2">
      <c r="A81" s="31" t="s">
        <v>58</v>
      </c>
      <c r="B81" s="19" t="s">
        <v>45</v>
      </c>
      <c r="C81" s="20"/>
      <c r="D81" s="21" t="s">
        <v>19</v>
      </c>
      <c r="E81" s="26">
        <v>1</v>
      </c>
      <c r="F81" s="22">
        <v>8</v>
      </c>
      <c r="G81" s="23" t="s">
        <v>33</v>
      </c>
      <c r="H81" s="22">
        <v>20</v>
      </c>
      <c r="I81" s="23" t="s">
        <v>19</v>
      </c>
      <c r="J81" s="24">
        <v>27500</v>
      </c>
      <c r="K81" s="21" t="s">
        <v>19</v>
      </c>
      <c r="L81" s="33">
        <v>0.125</v>
      </c>
      <c r="M81" s="33">
        <v>0.1</v>
      </c>
      <c r="N81" s="22"/>
      <c r="O81" s="23" t="s">
        <v>19</v>
      </c>
      <c r="P81" s="20">
        <f t="shared" si="24"/>
        <v>160</v>
      </c>
      <c r="Q81" s="23" t="s">
        <v>19</v>
      </c>
      <c r="R81" s="24">
        <f t="shared" si="25"/>
        <v>3465000</v>
      </c>
      <c r="S81" s="24">
        <f t="shared" si="26"/>
        <v>3121621.6216216213</v>
      </c>
      <c r="T81" s="19"/>
      <c r="U81" s="19"/>
    </row>
    <row r="82" spans="1:21" s="81" customFormat="1" x14ac:dyDescent="0.2">
      <c r="A82" s="135" t="s">
        <v>59</v>
      </c>
      <c r="B82" s="98" t="s">
        <v>45</v>
      </c>
      <c r="C82" s="99">
        <v>9</v>
      </c>
      <c r="D82" s="100" t="s">
        <v>19</v>
      </c>
      <c r="E82" s="101"/>
      <c r="F82" s="102">
        <v>4</v>
      </c>
      <c r="G82" s="103" t="s">
        <v>33</v>
      </c>
      <c r="H82" s="102">
        <v>20</v>
      </c>
      <c r="I82" s="103" t="s">
        <v>19</v>
      </c>
      <c r="J82" s="137">
        <v>54000</v>
      </c>
      <c r="K82" s="100" t="s">
        <v>19</v>
      </c>
      <c r="L82" s="105">
        <v>0.125</v>
      </c>
      <c r="M82" s="105">
        <v>0.05</v>
      </c>
      <c r="N82" s="102"/>
      <c r="O82" s="103" t="s">
        <v>19</v>
      </c>
      <c r="P82" s="99">
        <f t="shared" si="24"/>
        <v>9</v>
      </c>
      <c r="Q82" s="103" t="s">
        <v>19</v>
      </c>
      <c r="R82" s="104">
        <f t="shared" si="25"/>
        <v>403987.5</v>
      </c>
      <c r="S82" s="104">
        <f t="shared" si="26"/>
        <v>363952.70270270266</v>
      </c>
      <c r="T82" s="98"/>
      <c r="U82" s="98"/>
    </row>
    <row r="83" spans="1:21" s="81" customFormat="1" x14ac:dyDescent="0.2">
      <c r="A83" s="134" t="s">
        <v>59</v>
      </c>
      <c r="B83" s="19" t="s">
        <v>45</v>
      </c>
      <c r="C83" s="20"/>
      <c r="D83" s="21" t="s">
        <v>19</v>
      </c>
      <c r="E83" s="26">
        <v>1</v>
      </c>
      <c r="F83" s="22">
        <v>4</v>
      </c>
      <c r="G83" s="23" t="s">
        <v>33</v>
      </c>
      <c r="H83" s="22">
        <v>20</v>
      </c>
      <c r="I83" s="23" t="s">
        <v>19</v>
      </c>
      <c r="J83" s="138">
        <v>55000</v>
      </c>
      <c r="K83" s="21" t="s">
        <v>19</v>
      </c>
      <c r="L83" s="25">
        <v>0.125</v>
      </c>
      <c r="M83" s="25">
        <v>0.05</v>
      </c>
      <c r="N83" s="22"/>
      <c r="O83" s="23" t="s">
        <v>19</v>
      </c>
      <c r="P83" s="20">
        <f t="shared" si="24"/>
        <v>80</v>
      </c>
      <c r="Q83" s="23" t="s">
        <v>19</v>
      </c>
      <c r="R83" s="24">
        <f t="shared" si="25"/>
        <v>3657500</v>
      </c>
      <c r="S83" s="24">
        <f t="shared" si="26"/>
        <v>3295045.0450450447</v>
      </c>
      <c r="T83" s="19"/>
      <c r="U83" s="19"/>
    </row>
    <row r="84" spans="1:21" s="81" customFormat="1" x14ac:dyDescent="0.2">
      <c r="A84" s="31" t="s">
        <v>60</v>
      </c>
      <c r="B84" s="19" t="s">
        <v>45</v>
      </c>
      <c r="C84" s="20"/>
      <c r="D84" s="21" t="s">
        <v>19</v>
      </c>
      <c r="E84" s="26">
        <v>2</v>
      </c>
      <c r="F84" s="22">
        <v>6</v>
      </c>
      <c r="G84" s="23" t="s">
        <v>33</v>
      </c>
      <c r="H84" s="22">
        <v>10</v>
      </c>
      <c r="I84" s="23" t="s">
        <v>19</v>
      </c>
      <c r="J84" s="24">
        <v>74000</v>
      </c>
      <c r="K84" s="21" t="s">
        <v>19</v>
      </c>
      <c r="L84" s="33">
        <v>0.125</v>
      </c>
      <c r="M84" s="33">
        <v>0.1</v>
      </c>
      <c r="N84" s="22"/>
      <c r="O84" s="23" t="s">
        <v>19</v>
      </c>
      <c r="P84" s="20">
        <f t="shared" si="24"/>
        <v>120</v>
      </c>
      <c r="Q84" s="23" t="s">
        <v>19</v>
      </c>
      <c r="R84" s="24">
        <f t="shared" si="25"/>
        <v>6993000</v>
      </c>
      <c r="S84" s="24">
        <f t="shared" si="26"/>
        <v>6299999.9999999991</v>
      </c>
      <c r="T84" s="19"/>
      <c r="U84" s="19"/>
    </row>
    <row r="85" spans="1:21" s="81" customFormat="1" x14ac:dyDescent="0.2">
      <c r="A85" s="31" t="s">
        <v>60</v>
      </c>
      <c r="B85" s="19" t="s">
        <v>45</v>
      </c>
      <c r="C85" s="20">
        <v>20</v>
      </c>
      <c r="D85" s="21" t="s">
        <v>19</v>
      </c>
      <c r="E85" s="26">
        <v>2</v>
      </c>
      <c r="F85" s="22">
        <v>6</v>
      </c>
      <c r="G85" s="23" t="s">
        <v>33</v>
      </c>
      <c r="H85" s="22">
        <v>10</v>
      </c>
      <c r="I85" s="23" t="s">
        <v>19</v>
      </c>
      <c r="J85" s="24">
        <v>74000</v>
      </c>
      <c r="K85" s="21" t="s">
        <v>19</v>
      </c>
      <c r="L85" s="33">
        <v>0.125</v>
      </c>
      <c r="M85" s="33">
        <v>0.05</v>
      </c>
      <c r="N85" s="22"/>
      <c r="O85" s="23" t="s">
        <v>19</v>
      </c>
      <c r="P85" s="20">
        <f t="shared" si="24"/>
        <v>140</v>
      </c>
      <c r="Q85" s="23" t="s">
        <v>19</v>
      </c>
      <c r="R85" s="24">
        <f t="shared" si="25"/>
        <v>8611750</v>
      </c>
      <c r="S85" s="24">
        <f t="shared" si="26"/>
        <v>7758333.333333333</v>
      </c>
      <c r="T85" s="19"/>
      <c r="U85" s="19"/>
    </row>
    <row r="86" spans="1:21" s="19" customFormat="1" x14ac:dyDescent="0.2">
      <c r="A86" s="135" t="s">
        <v>61</v>
      </c>
      <c r="B86" s="98" t="s">
        <v>45</v>
      </c>
      <c r="C86" s="99">
        <v>4</v>
      </c>
      <c r="D86" s="100" t="s">
        <v>19</v>
      </c>
      <c r="E86" s="101"/>
      <c r="F86" s="102">
        <v>6</v>
      </c>
      <c r="G86" s="103" t="s">
        <v>33</v>
      </c>
      <c r="H86" s="102">
        <v>20</v>
      </c>
      <c r="I86" s="103" t="s">
        <v>19</v>
      </c>
      <c r="J86" s="104">
        <v>52000</v>
      </c>
      <c r="K86" s="100" t="s">
        <v>19</v>
      </c>
      <c r="L86" s="136">
        <v>0.125</v>
      </c>
      <c r="M86" s="136">
        <v>0.1</v>
      </c>
      <c r="N86" s="102"/>
      <c r="O86" s="103" t="s">
        <v>19</v>
      </c>
      <c r="P86" s="99">
        <f t="shared" si="24"/>
        <v>4</v>
      </c>
      <c r="Q86" s="103" t="s">
        <v>19</v>
      </c>
      <c r="R86" s="104">
        <f t="shared" si="25"/>
        <v>163800</v>
      </c>
      <c r="S86" s="104">
        <f t="shared" si="26"/>
        <v>147567.56756756754</v>
      </c>
      <c r="T86" s="98"/>
      <c r="U86" s="98"/>
    </row>
    <row r="87" spans="1:21" s="98" customFormat="1" x14ac:dyDescent="0.2">
      <c r="A87" s="134" t="s">
        <v>61</v>
      </c>
      <c r="B87" s="19" t="s">
        <v>45</v>
      </c>
      <c r="C87" s="20"/>
      <c r="D87" s="21" t="s">
        <v>19</v>
      </c>
      <c r="E87" s="26">
        <v>1</v>
      </c>
      <c r="F87" s="22">
        <v>6</v>
      </c>
      <c r="G87" s="23" t="s">
        <v>33</v>
      </c>
      <c r="H87" s="22">
        <v>20</v>
      </c>
      <c r="I87" s="23" t="s">
        <v>19</v>
      </c>
      <c r="J87" s="24">
        <v>52000</v>
      </c>
      <c r="K87" s="21" t="s">
        <v>19</v>
      </c>
      <c r="L87" s="133">
        <v>0.125</v>
      </c>
      <c r="M87" s="133">
        <v>0.05</v>
      </c>
      <c r="N87" s="22"/>
      <c r="O87" s="23" t="s">
        <v>19</v>
      </c>
      <c r="P87" s="20">
        <f t="shared" si="24"/>
        <v>120</v>
      </c>
      <c r="Q87" s="23" t="s">
        <v>19</v>
      </c>
      <c r="R87" s="24">
        <f t="shared" si="25"/>
        <v>5187000</v>
      </c>
      <c r="S87" s="24">
        <f t="shared" si="26"/>
        <v>4672972.9729729723</v>
      </c>
      <c r="T87" s="19"/>
      <c r="U87" s="19"/>
    </row>
    <row r="88" spans="1:21" s="19" customFormat="1" x14ac:dyDescent="0.2">
      <c r="A88" s="31" t="s">
        <v>62</v>
      </c>
      <c r="B88" s="19" t="s">
        <v>45</v>
      </c>
      <c r="C88" s="20"/>
      <c r="D88" s="21" t="s">
        <v>19</v>
      </c>
      <c r="E88" s="26">
        <v>3</v>
      </c>
      <c r="F88" s="22">
        <v>6</v>
      </c>
      <c r="G88" s="23" t="s">
        <v>33</v>
      </c>
      <c r="H88" s="22">
        <v>20</v>
      </c>
      <c r="I88" s="23" t="s">
        <v>19</v>
      </c>
      <c r="J88" s="24">
        <v>32500</v>
      </c>
      <c r="K88" s="21" t="s">
        <v>19</v>
      </c>
      <c r="L88" s="33">
        <v>0.125</v>
      </c>
      <c r="M88" s="33">
        <v>0.1</v>
      </c>
      <c r="N88" s="22"/>
      <c r="O88" s="23" t="s">
        <v>19</v>
      </c>
      <c r="P88" s="20">
        <f t="shared" si="24"/>
        <v>360</v>
      </c>
      <c r="Q88" s="23" t="s">
        <v>19</v>
      </c>
      <c r="R88" s="24">
        <f t="shared" si="25"/>
        <v>9213750</v>
      </c>
      <c r="S88" s="24">
        <f t="shared" si="26"/>
        <v>8300675.6756756753</v>
      </c>
    </row>
    <row r="89" spans="1:21" s="98" customFormat="1" x14ac:dyDescent="0.2">
      <c r="A89" s="31" t="s">
        <v>62</v>
      </c>
      <c r="B89" s="19" t="s">
        <v>45</v>
      </c>
      <c r="C89" s="20">
        <v>330</v>
      </c>
      <c r="D89" s="21" t="s">
        <v>19</v>
      </c>
      <c r="E89" s="26">
        <v>1</v>
      </c>
      <c r="F89" s="22">
        <v>6</v>
      </c>
      <c r="G89" s="23" t="s">
        <v>33</v>
      </c>
      <c r="H89" s="22">
        <v>20</v>
      </c>
      <c r="I89" s="23" t="s">
        <v>19</v>
      </c>
      <c r="J89" s="24">
        <v>32500</v>
      </c>
      <c r="K89" s="21" t="s">
        <v>19</v>
      </c>
      <c r="L89" s="33">
        <v>0.125</v>
      </c>
      <c r="M89" s="33">
        <v>0.05</v>
      </c>
      <c r="N89" s="22"/>
      <c r="O89" s="23" t="s">
        <v>19</v>
      </c>
      <c r="P89" s="20">
        <f t="shared" si="24"/>
        <v>450</v>
      </c>
      <c r="Q89" s="23" t="s">
        <v>19</v>
      </c>
      <c r="R89" s="24">
        <f t="shared" si="25"/>
        <v>12157031.25</v>
      </c>
      <c r="S89" s="24">
        <f t="shared" si="26"/>
        <v>10952280.405405404</v>
      </c>
      <c r="T89" s="19"/>
      <c r="U89" s="19"/>
    </row>
    <row r="90" spans="1:21" s="19" customFormat="1" x14ac:dyDescent="0.2">
      <c r="A90" s="18" t="s">
        <v>812</v>
      </c>
      <c r="B90" s="19" t="s">
        <v>45</v>
      </c>
      <c r="C90" s="20"/>
      <c r="D90" s="21" t="s">
        <v>19</v>
      </c>
      <c r="E90" s="26">
        <v>2</v>
      </c>
      <c r="F90" s="22">
        <v>8</v>
      </c>
      <c r="G90" s="23" t="s">
        <v>33</v>
      </c>
      <c r="H90" s="22">
        <v>10</v>
      </c>
      <c r="I90" s="23" t="s">
        <v>19</v>
      </c>
      <c r="J90" s="24">
        <v>62000</v>
      </c>
      <c r="K90" s="21" t="s">
        <v>19</v>
      </c>
      <c r="L90" s="25">
        <v>0.125</v>
      </c>
      <c r="M90" s="25">
        <v>0.1</v>
      </c>
      <c r="N90" s="22"/>
      <c r="O90" s="23" t="s">
        <v>19</v>
      </c>
      <c r="P90" s="20">
        <f t="shared" si="24"/>
        <v>160</v>
      </c>
      <c r="Q90" s="23" t="s">
        <v>19</v>
      </c>
      <c r="R90" s="24">
        <f t="shared" si="25"/>
        <v>7812000</v>
      </c>
      <c r="S90" s="24">
        <f t="shared" si="26"/>
        <v>7037837.8378378376</v>
      </c>
    </row>
    <row r="91" spans="1:21" s="98" customFormat="1" x14ac:dyDescent="0.2">
      <c r="A91" s="18" t="s">
        <v>813</v>
      </c>
      <c r="B91" s="19" t="s">
        <v>45</v>
      </c>
      <c r="C91" s="20"/>
      <c r="D91" s="21" t="s">
        <v>19</v>
      </c>
      <c r="E91" s="26">
        <v>2</v>
      </c>
      <c r="F91" s="22">
        <v>6</v>
      </c>
      <c r="G91" s="23" t="s">
        <v>33</v>
      </c>
      <c r="H91" s="22">
        <v>10</v>
      </c>
      <c r="I91" s="23" t="s">
        <v>19</v>
      </c>
      <c r="J91" s="24">
        <v>88000</v>
      </c>
      <c r="K91" s="21" t="s">
        <v>19</v>
      </c>
      <c r="L91" s="25">
        <v>0.125</v>
      </c>
      <c r="M91" s="25">
        <v>0.1</v>
      </c>
      <c r="N91" s="22"/>
      <c r="O91" s="23" t="s">
        <v>19</v>
      </c>
      <c r="P91" s="20">
        <f t="shared" si="24"/>
        <v>120</v>
      </c>
      <c r="Q91" s="23" t="s">
        <v>19</v>
      </c>
      <c r="R91" s="24">
        <f t="shared" si="25"/>
        <v>8316000</v>
      </c>
      <c r="S91" s="24">
        <f t="shared" si="26"/>
        <v>7491891.8918918911</v>
      </c>
      <c r="T91" s="19"/>
      <c r="U91" s="19"/>
    </row>
    <row r="92" spans="1:21" s="19" customFormat="1" x14ac:dyDescent="0.2">
      <c r="A92" s="90" t="s">
        <v>63</v>
      </c>
      <c r="B92" s="98" t="s">
        <v>45</v>
      </c>
      <c r="C92" s="99"/>
      <c r="D92" s="100" t="s">
        <v>19</v>
      </c>
      <c r="E92" s="101">
        <v>1</v>
      </c>
      <c r="F92" s="102">
        <v>6</v>
      </c>
      <c r="G92" s="103" t="s">
        <v>33</v>
      </c>
      <c r="H92" s="102">
        <v>10</v>
      </c>
      <c r="I92" s="103" t="s">
        <v>19</v>
      </c>
      <c r="J92" s="104">
        <v>75000</v>
      </c>
      <c r="K92" s="100" t="s">
        <v>19</v>
      </c>
      <c r="L92" s="105">
        <v>0.125</v>
      </c>
      <c r="M92" s="105">
        <v>0.05</v>
      </c>
      <c r="N92" s="102"/>
      <c r="O92" s="103" t="s">
        <v>19</v>
      </c>
      <c r="P92" s="99">
        <f t="shared" si="24"/>
        <v>60</v>
      </c>
      <c r="Q92" s="103" t="s">
        <v>19</v>
      </c>
      <c r="R92" s="104">
        <f t="shared" si="25"/>
        <v>3740625</v>
      </c>
      <c r="S92" s="104">
        <f t="shared" si="26"/>
        <v>3369932.4324324322</v>
      </c>
      <c r="T92" s="98"/>
      <c r="U92" s="98"/>
    </row>
    <row r="93" spans="1:21" s="19" customFormat="1" x14ac:dyDescent="0.2">
      <c r="A93" s="134" t="s">
        <v>64</v>
      </c>
      <c r="B93" s="19" t="s">
        <v>45</v>
      </c>
      <c r="C93" s="20"/>
      <c r="D93" s="21" t="s">
        <v>19</v>
      </c>
      <c r="E93" s="26">
        <v>2</v>
      </c>
      <c r="F93" s="22">
        <v>6</v>
      </c>
      <c r="G93" s="23" t="s">
        <v>33</v>
      </c>
      <c r="H93" s="22">
        <v>10</v>
      </c>
      <c r="I93" s="23" t="s">
        <v>19</v>
      </c>
      <c r="J93" s="24">
        <v>79000</v>
      </c>
      <c r="K93" s="21" t="s">
        <v>19</v>
      </c>
      <c r="L93" s="133">
        <v>0.125</v>
      </c>
      <c r="M93" s="133">
        <v>0.1</v>
      </c>
      <c r="N93" s="22"/>
      <c r="O93" s="23" t="s">
        <v>19</v>
      </c>
      <c r="P93" s="20">
        <f t="shared" si="24"/>
        <v>120</v>
      </c>
      <c r="Q93" s="23" t="s">
        <v>19</v>
      </c>
      <c r="R93" s="24">
        <f t="shared" si="25"/>
        <v>7465500</v>
      </c>
      <c r="S93" s="24">
        <f t="shared" si="26"/>
        <v>6725675.6756756753</v>
      </c>
    </row>
    <row r="94" spans="1:21" s="98" customFormat="1" x14ac:dyDescent="0.2">
      <c r="A94" s="134" t="s">
        <v>64</v>
      </c>
      <c r="B94" s="19" t="s">
        <v>45</v>
      </c>
      <c r="C94" s="20"/>
      <c r="D94" s="21" t="s">
        <v>19</v>
      </c>
      <c r="E94" s="26">
        <v>1</v>
      </c>
      <c r="F94" s="22">
        <v>6</v>
      </c>
      <c r="G94" s="23" t="s">
        <v>33</v>
      </c>
      <c r="H94" s="22">
        <v>10</v>
      </c>
      <c r="I94" s="23" t="s">
        <v>19</v>
      </c>
      <c r="J94" s="24">
        <v>79000</v>
      </c>
      <c r="K94" s="21" t="s">
        <v>19</v>
      </c>
      <c r="L94" s="133">
        <v>0.125</v>
      </c>
      <c r="M94" s="133">
        <v>0.05</v>
      </c>
      <c r="N94" s="22"/>
      <c r="O94" s="23" t="s">
        <v>19</v>
      </c>
      <c r="P94" s="20">
        <f t="shared" si="24"/>
        <v>60</v>
      </c>
      <c r="Q94" s="23" t="s">
        <v>19</v>
      </c>
      <c r="R94" s="24">
        <f t="shared" si="25"/>
        <v>3940125</v>
      </c>
      <c r="S94" s="24">
        <f t="shared" si="26"/>
        <v>3549662.1621621619</v>
      </c>
      <c r="T94" s="19"/>
      <c r="U94" s="19"/>
    </row>
    <row r="95" spans="1:21" s="19" customFormat="1" x14ac:dyDescent="0.2">
      <c r="A95" s="108" t="s">
        <v>65</v>
      </c>
      <c r="B95" s="98" t="s">
        <v>45</v>
      </c>
      <c r="C95" s="99">
        <v>83</v>
      </c>
      <c r="D95" s="100" t="s">
        <v>19</v>
      </c>
      <c r="E95" s="101"/>
      <c r="F95" s="102">
        <v>6</v>
      </c>
      <c r="G95" s="103" t="s">
        <v>33</v>
      </c>
      <c r="H95" s="102">
        <v>10</v>
      </c>
      <c r="I95" s="103" t="s">
        <v>19</v>
      </c>
      <c r="J95" s="109">
        <v>75000</v>
      </c>
      <c r="K95" s="100" t="s">
        <v>19</v>
      </c>
      <c r="L95" s="105">
        <v>0.125</v>
      </c>
      <c r="M95" s="105">
        <v>0.05</v>
      </c>
      <c r="N95" s="102"/>
      <c r="O95" s="103" t="s">
        <v>19</v>
      </c>
      <c r="P95" s="99">
        <f t="shared" si="24"/>
        <v>83</v>
      </c>
      <c r="Q95" s="103" t="s">
        <v>19</v>
      </c>
      <c r="R95" s="104">
        <f t="shared" si="25"/>
        <v>5174531.25</v>
      </c>
      <c r="S95" s="104">
        <f t="shared" si="26"/>
        <v>4661739.8648648644</v>
      </c>
      <c r="T95" s="98"/>
      <c r="U95" s="98"/>
    </row>
    <row r="96" spans="1:21" s="19" customFormat="1" x14ac:dyDescent="0.2">
      <c r="A96" s="31" t="s">
        <v>65</v>
      </c>
      <c r="B96" s="19" t="s">
        <v>45</v>
      </c>
      <c r="C96" s="20"/>
      <c r="D96" s="21" t="s">
        <v>19</v>
      </c>
      <c r="E96" s="26">
        <v>1</v>
      </c>
      <c r="F96" s="22">
        <v>6</v>
      </c>
      <c r="G96" s="23" t="s">
        <v>33</v>
      </c>
      <c r="H96" s="22">
        <v>10</v>
      </c>
      <c r="I96" s="23" t="s">
        <v>19</v>
      </c>
      <c r="J96" s="32">
        <v>82000</v>
      </c>
      <c r="K96" s="21" t="s">
        <v>19</v>
      </c>
      <c r="L96" s="25">
        <v>0.125</v>
      </c>
      <c r="M96" s="25">
        <v>0.05</v>
      </c>
      <c r="N96" s="22"/>
      <c r="O96" s="23" t="s">
        <v>19</v>
      </c>
      <c r="P96" s="20">
        <f t="shared" si="24"/>
        <v>60</v>
      </c>
      <c r="Q96" s="23" t="s">
        <v>19</v>
      </c>
      <c r="R96" s="24">
        <f t="shared" si="25"/>
        <v>4089750</v>
      </c>
      <c r="S96" s="24">
        <f t="shared" si="26"/>
        <v>3684459.4594594589</v>
      </c>
    </row>
    <row r="97" spans="1:19" s="19" customFormat="1" x14ac:dyDescent="0.2">
      <c r="A97" s="18" t="s">
        <v>66</v>
      </c>
      <c r="B97" s="19" t="s">
        <v>45</v>
      </c>
      <c r="C97" s="20">
        <v>27</v>
      </c>
      <c r="D97" s="21" t="s">
        <v>19</v>
      </c>
      <c r="E97" s="26">
        <v>1</v>
      </c>
      <c r="F97" s="22">
        <v>6</v>
      </c>
      <c r="G97" s="23" t="s">
        <v>33</v>
      </c>
      <c r="H97" s="22">
        <v>10</v>
      </c>
      <c r="I97" s="23" t="s">
        <v>19</v>
      </c>
      <c r="J97" s="24">
        <v>54000</v>
      </c>
      <c r="K97" s="21" t="s">
        <v>19</v>
      </c>
      <c r="L97" s="25">
        <v>0.125</v>
      </c>
      <c r="M97" s="25">
        <v>0.05</v>
      </c>
      <c r="N97" s="22"/>
      <c r="O97" s="23" t="s">
        <v>19</v>
      </c>
      <c r="P97" s="20">
        <f t="shared" si="24"/>
        <v>87</v>
      </c>
      <c r="Q97" s="23" t="s">
        <v>19</v>
      </c>
      <c r="R97" s="24">
        <f t="shared" si="25"/>
        <v>3905212.5</v>
      </c>
      <c r="S97" s="24">
        <f t="shared" si="26"/>
        <v>3518209.4594594589</v>
      </c>
    </row>
    <row r="98" spans="1:19" s="19" customFormat="1" x14ac:dyDescent="0.2">
      <c r="A98" s="18" t="s">
        <v>907</v>
      </c>
      <c r="B98" s="19" t="s">
        <v>45</v>
      </c>
      <c r="C98" s="20">
        <v>4</v>
      </c>
      <c r="D98" s="21" t="s">
        <v>19</v>
      </c>
      <c r="E98" s="26"/>
      <c r="F98" s="22">
        <v>6</v>
      </c>
      <c r="G98" s="23" t="s">
        <v>33</v>
      </c>
      <c r="H98" s="22">
        <v>10</v>
      </c>
      <c r="I98" s="23" t="s">
        <v>19</v>
      </c>
      <c r="J98" s="24">
        <v>56000</v>
      </c>
      <c r="K98" s="21" t="s">
        <v>19</v>
      </c>
      <c r="L98" s="25">
        <v>0.125</v>
      </c>
      <c r="M98" s="25">
        <v>0.05</v>
      </c>
      <c r="N98" s="22"/>
      <c r="O98" s="23" t="s">
        <v>19</v>
      </c>
      <c r="P98" s="20">
        <f t="shared" si="24"/>
        <v>4</v>
      </c>
      <c r="Q98" s="23" t="s">
        <v>19</v>
      </c>
      <c r="R98" s="24">
        <f t="shared" si="25"/>
        <v>186200</v>
      </c>
      <c r="S98" s="24">
        <f t="shared" si="26"/>
        <v>167747.74774774772</v>
      </c>
    </row>
    <row r="99" spans="1:19" s="19" customFormat="1" x14ac:dyDescent="0.2">
      <c r="A99" s="31" t="s">
        <v>67</v>
      </c>
      <c r="B99" s="19" t="s">
        <v>45</v>
      </c>
      <c r="C99" s="20"/>
      <c r="D99" s="21" t="s">
        <v>19</v>
      </c>
      <c r="E99" s="26">
        <v>4</v>
      </c>
      <c r="F99" s="22">
        <v>6</v>
      </c>
      <c r="G99" s="23" t="s">
        <v>33</v>
      </c>
      <c r="H99" s="22">
        <v>20</v>
      </c>
      <c r="I99" s="23" t="s">
        <v>19</v>
      </c>
      <c r="J99" s="24">
        <v>40000</v>
      </c>
      <c r="K99" s="21" t="s">
        <v>19</v>
      </c>
      <c r="L99" s="33">
        <v>0.125</v>
      </c>
      <c r="M99" s="33">
        <v>0.1</v>
      </c>
      <c r="N99" s="22"/>
      <c r="O99" s="23" t="s">
        <v>19</v>
      </c>
      <c r="P99" s="20">
        <f t="shared" si="24"/>
        <v>480</v>
      </c>
      <c r="Q99" s="23" t="s">
        <v>19</v>
      </c>
      <c r="R99" s="24">
        <f t="shared" si="25"/>
        <v>15120000</v>
      </c>
      <c r="S99" s="24">
        <f t="shared" si="26"/>
        <v>13621621.62162162</v>
      </c>
    </row>
    <row r="100" spans="1:19" s="19" customFormat="1" x14ac:dyDescent="0.2">
      <c r="A100" s="31" t="s">
        <v>67</v>
      </c>
      <c r="B100" s="19" t="s">
        <v>45</v>
      </c>
      <c r="C100" s="20">
        <v>311</v>
      </c>
      <c r="D100" s="21" t="s">
        <v>19</v>
      </c>
      <c r="E100" s="26">
        <v>3</v>
      </c>
      <c r="F100" s="22">
        <v>6</v>
      </c>
      <c r="G100" s="23" t="s">
        <v>33</v>
      </c>
      <c r="H100" s="22">
        <v>20</v>
      </c>
      <c r="I100" s="23" t="s">
        <v>19</v>
      </c>
      <c r="J100" s="24">
        <v>40000</v>
      </c>
      <c r="K100" s="21" t="s">
        <v>19</v>
      </c>
      <c r="L100" s="33">
        <v>0.125</v>
      </c>
      <c r="M100" s="33">
        <v>0.05</v>
      </c>
      <c r="N100" s="22"/>
      <c r="O100" s="23" t="s">
        <v>19</v>
      </c>
      <c r="P100" s="20">
        <f t="shared" si="24"/>
        <v>671</v>
      </c>
      <c r="Q100" s="23" t="s">
        <v>19</v>
      </c>
      <c r="R100" s="24">
        <f t="shared" si="25"/>
        <v>22310750</v>
      </c>
      <c r="S100" s="24">
        <f t="shared" si="26"/>
        <v>20099774.774774771</v>
      </c>
    </row>
    <row r="101" spans="1:19" s="19" customFormat="1" x14ac:dyDescent="0.2">
      <c r="A101" s="134" t="s">
        <v>68</v>
      </c>
      <c r="B101" s="19" t="s">
        <v>45</v>
      </c>
      <c r="C101" s="20"/>
      <c r="D101" s="21" t="s">
        <v>19</v>
      </c>
      <c r="E101" s="26">
        <v>2</v>
      </c>
      <c r="F101" s="22">
        <v>1</v>
      </c>
      <c r="G101" s="23" t="s">
        <v>20</v>
      </c>
      <c r="H101" s="22">
        <v>60</v>
      </c>
      <c r="I101" s="23" t="s">
        <v>19</v>
      </c>
      <c r="J101" s="138">
        <v>74000</v>
      </c>
      <c r="K101" s="21" t="s">
        <v>19</v>
      </c>
      <c r="L101" s="25">
        <v>0.125</v>
      </c>
      <c r="M101" s="25">
        <v>0.1</v>
      </c>
      <c r="N101" s="22"/>
      <c r="O101" s="23" t="s">
        <v>19</v>
      </c>
      <c r="P101" s="20">
        <f t="shared" si="24"/>
        <v>120</v>
      </c>
      <c r="Q101" s="23" t="s">
        <v>19</v>
      </c>
      <c r="R101" s="24">
        <f t="shared" si="25"/>
        <v>6993000</v>
      </c>
      <c r="S101" s="24">
        <f t="shared" si="26"/>
        <v>6299999.9999999991</v>
      </c>
    </row>
    <row r="102" spans="1:19" s="19" customFormat="1" x14ac:dyDescent="0.2">
      <c r="A102" s="134" t="s">
        <v>68</v>
      </c>
      <c r="B102" s="19" t="s">
        <v>45</v>
      </c>
      <c r="C102" s="20">
        <v>114</v>
      </c>
      <c r="D102" s="21" t="s">
        <v>19</v>
      </c>
      <c r="E102" s="26"/>
      <c r="F102" s="22">
        <v>6</v>
      </c>
      <c r="G102" s="23" t="s">
        <v>33</v>
      </c>
      <c r="H102" s="22">
        <v>10</v>
      </c>
      <c r="I102" s="23" t="s">
        <v>19</v>
      </c>
      <c r="J102" s="138">
        <v>66000</v>
      </c>
      <c r="K102" s="21" t="s">
        <v>19</v>
      </c>
      <c r="L102" s="25">
        <v>0.125</v>
      </c>
      <c r="M102" s="25">
        <v>0.1</v>
      </c>
      <c r="N102" s="22"/>
      <c r="O102" s="23" t="s">
        <v>19</v>
      </c>
      <c r="P102" s="20">
        <f t="shared" si="24"/>
        <v>114</v>
      </c>
      <c r="Q102" s="23" t="s">
        <v>19</v>
      </c>
      <c r="R102" s="24">
        <f t="shared" si="25"/>
        <v>5925150</v>
      </c>
      <c r="S102" s="24">
        <f t="shared" si="26"/>
        <v>5337972.9729729723</v>
      </c>
    </row>
    <row r="103" spans="1:19" s="19" customFormat="1" x14ac:dyDescent="0.2">
      <c r="A103" s="31" t="s">
        <v>69</v>
      </c>
      <c r="B103" s="19" t="s">
        <v>45</v>
      </c>
      <c r="C103" s="20"/>
      <c r="D103" s="21" t="s">
        <v>19</v>
      </c>
      <c r="E103" s="26">
        <v>2</v>
      </c>
      <c r="F103" s="22">
        <v>4</v>
      </c>
      <c r="G103" s="23" t="s">
        <v>33</v>
      </c>
      <c r="H103" s="22">
        <v>40</v>
      </c>
      <c r="I103" s="23" t="s">
        <v>19</v>
      </c>
      <c r="J103" s="32">
        <v>28000</v>
      </c>
      <c r="K103" s="143" t="s">
        <v>19</v>
      </c>
      <c r="L103" s="33">
        <v>0.125</v>
      </c>
      <c r="M103" s="33">
        <v>0.1</v>
      </c>
      <c r="N103" s="22"/>
      <c r="O103" s="23" t="s">
        <v>19</v>
      </c>
      <c r="P103" s="20">
        <f t="shared" si="24"/>
        <v>320</v>
      </c>
      <c r="Q103" s="23" t="s">
        <v>19</v>
      </c>
      <c r="R103" s="24">
        <f t="shared" si="25"/>
        <v>7056000</v>
      </c>
      <c r="S103" s="24">
        <f t="shared" si="26"/>
        <v>6356756.7567567565</v>
      </c>
    </row>
    <row r="104" spans="1:19" s="19" customFormat="1" x14ac:dyDescent="0.2">
      <c r="A104" s="31" t="s">
        <v>69</v>
      </c>
      <c r="B104" s="19" t="s">
        <v>45</v>
      </c>
      <c r="C104" s="20">
        <v>281</v>
      </c>
      <c r="D104" s="21" t="s">
        <v>19</v>
      </c>
      <c r="E104" s="26"/>
      <c r="F104" s="22">
        <v>4</v>
      </c>
      <c r="G104" s="23" t="s">
        <v>33</v>
      </c>
      <c r="H104" s="22">
        <v>40</v>
      </c>
      <c r="I104" s="23" t="s">
        <v>19</v>
      </c>
      <c r="J104" s="32">
        <v>27000</v>
      </c>
      <c r="K104" s="143" t="s">
        <v>19</v>
      </c>
      <c r="L104" s="33">
        <v>0.125</v>
      </c>
      <c r="M104" s="33">
        <v>0.05</v>
      </c>
      <c r="N104" s="22"/>
      <c r="O104" s="23" t="s">
        <v>19</v>
      </c>
      <c r="P104" s="20">
        <f t="shared" si="24"/>
        <v>281</v>
      </c>
      <c r="Q104" s="23" t="s">
        <v>19</v>
      </c>
      <c r="R104" s="24">
        <f t="shared" si="25"/>
        <v>6306693.75</v>
      </c>
      <c r="S104" s="24">
        <f t="shared" si="26"/>
        <v>5681706.0810810803</v>
      </c>
    </row>
    <row r="105" spans="1:19" s="19" customFormat="1" x14ac:dyDescent="0.2">
      <c r="A105" s="18"/>
      <c r="C105" s="20"/>
      <c r="D105" s="21"/>
      <c r="E105" s="26"/>
      <c r="F105" s="22"/>
      <c r="G105" s="23"/>
      <c r="H105" s="22"/>
      <c r="I105" s="23"/>
      <c r="J105" s="24"/>
      <c r="K105" s="21"/>
      <c r="L105" s="25"/>
      <c r="M105" s="25"/>
      <c r="N105" s="22"/>
      <c r="O105" s="23"/>
      <c r="P105" s="20"/>
      <c r="Q105" s="23"/>
      <c r="R105" s="24"/>
      <c r="S105" s="24"/>
    </row>
    <row r="106" spans="1:19" s="19" customFormat="1" ht="15.75" x14ac:dyDescent="0.25">
      <c r="A106" s="38" t="s">
        <v>70</v>
      </c>
      <c r="C106" s="20"/>
      <c r="D106" s="21"/>
      <c r="E106" s="26"/>
      <c r="F106" s="22"/>
      <c r="G106" s="23"/>
      <c r="H106" s="22"/>
      <c r="I106" s="23"/>
      <c r="J106" s="24"/>
      <c r="K106" s="21"/>
      <c r="L106" s="25"/>
      <c r="M106" s="25"/>
      <c r="N106" s="22"/>
      <c r="O106" s="23"/>
      <c r="P106" s="20"/>
      <c r="Q106" s="23"/>
      <c r="R106" s="24"/>
      <c r="S106" s="24"/>
    </row>
    <row r="107" spans="1:19" s="19" customFormat="1" x14ac:dyDescent="0.2">
      <c r="A107" s="18" t="s">
        <v>828</v>
      </c>
      <c r="B107" s="19" t="s">
        <v>18</v>
      </c>
      <c r="C107" s="20"/>
      <c r="D107" s="21" t="s">
        <v>19</v>
      </c>
      <c r="E107" s="26">
        <v>1</v>
      </c>
      <c r="F107" s="22">
        <v>1</v>
      </c>
      <c r="G107" s="23" t="s">
        <v>20</v>
      </c>
      <c r="H107" s="22">
        <v>20</v>
      </c>
      <c r="I107" s="23" t="s">
        <v>19</v>
      </c>
      <c r="J107" s="24">
        <v>160000</v>
      </c>
      <c r="K107" s="21" t="s">
        <v>19</v>
      </c>
      <c r="L107" s="25">
        <v>0.125</v>
      </c>
      <c r="M107" s="25">
        <v>0.05</v>
      </c>
      <c r="N107" s="22"/>
      <c r="O107" s="23" t="s">
        <v>19</v>
      </c>
      <c r="P107" s="20">
        <f t="shared" ref="P107:P108" si="33">(C107+(E107*F107*H107))-N107</f>
        <v>20</v>
      </c>
      <c r="Q107" s="23" t="s">
        <v>19</v>
      </c>
      <c r="R107" s="24">
        <f t="shared" ref="R107:R108" si="34">P107*(J107-(J107*L107)-((J107-(J107*L107))*M107))</f>
        <v>2660000</v>
      </c>
      <c r="S107" s="24">
        <f t="shared" ref="S107:S108" si="35">R107/1.11</f>
        <v>2396396.3963963962</v>
      </c>
    </row>
    <row r="108" spans="1:19" s="19" customFormat="1" x14ac:dyDescent="0.2">
      <c r="A108" s="18" t="s">
        <v>829</v>
      </c>
      <c r="B108" s="19" t="s">
        <v>18</v>
      </c>
      <c r="C108" s="20"/>
      <c r="D108" s="21" t="s">
        <v>19</v>
      </c>
      <c r="E108" s="26">
        <v>1</v>
      </c>
      <c r="F108" s="22">
        <v>1</v>
      </c>
      <c r="G108" s="23" t="s">
        <v>20</v>
      </c>
      <c r="H108" s="22">
        <v>16</v>
      </c>
      <c r="I108" s="23" t="s">
        <v>19</v>
      </c>
      <c r="J108" s="24">
        <v>187000</v>
      </c>
      <c r="K108" s="21" t="s">
        <v>19</v>
      </c>
      <c r="L108" s="25">
        <v>0.125</v>
      </c>
      <c r="M108" s="25">
        <v>0.05</v>
      </c>
      <c r="N108" s="22"/>
      <c r="O108" s="23" t="s">
        <v>19</v>
      </c>
      <c r="P108" s="20">
        <f t="shared" si="33"/>
        <v>16</v>
      </c>
      <c r="Q108" s="23" t="s">
        <v>19</v>
      </c>
      <c r="R108" s="24">
        <f t="shared" si="34"/>
        <v>2487100</v>
      </c>
      <c r="S108" s="24">
        <f t="shared" si="35"/>
        <v>2240630.6306306305</v>
      </c>
    </row>
    <row r="109" spans="1:19" s="81" customFormat="1" x14ac:dyDescent="0.2">
      <c r="A109" s="80" t="s">
        <v>71</v>
      </c>
      <c r="B109" s="81" t="s">
        <v>18</v>
      </c>
      <c r="C109" s="79"/>
      <c r="D109" s="82" t="s">
        <v>19</v>
      </c>
      <c r="E109" s="83"/>
      <c r="F109" s="84">
        <v>1</v>
      </c>
      <c r="G109" s="85" t="s">
        <v>20</v>
      </c>
      <c r="H109" s="84">
        <v>6</v>
      </c>
      <c r="I109" s="85" t="s">
        <v>19</v>
      </c>
      <c r="J109" s="86">
        <v>390000</v>
      </c>
      <c r="K109" s="82" t="s">
        <v>19</v>
      </c>
      <c r="L109" s="87">
        <v>0.125</v>
      </c>
      <c r="M109" s="87">
        <v>0.05</v>
      </c>
      <c r="N109" s="84"/>
      <c r="O109" s="85" t="s">
        <v>19</v>
      </c>
      <c r="P109" s="79">
        <f>(C109+(E109*F109*H109))-N109</f>
        <v>0</v>
      </c>
      <c r="Q109" s="85" t="s">
        <v>19</v>
      </c>
      <c r="R109" s="86">
        <f>P109*(J109-(J109*L109)-((J109-(J109*L109))*M109))</f>
        <v>0</v>
      </c>
      <c r="S109" s="86">
        <f t="shared" si="0"/>
        <v>0</v>
      </c>
    </row>
    <row r="110" spans="1:19" s="81" customFormat="1" x14ac:dyDescent="0.2">
      <c r="A110" s="80" t="s">
        <v>72</v>
      </c>
      <c r="B110" s="81" t="s">
        <v>18</v>
      </c>
      <c r="C110" s="79"/>
      <c r="D110" s="82" t="s">
        <v>19</v>
      </c>
      <c r="E110" s="83"/>
      <c r="F110" s="84">
        <v>1</v>
      </c>
      <c r="G110" s="85" t="s">
        <v>20</v>
      </c>
      <c r="H110" s="84">
        <v>6</v>
      </c>
      <c r="I110" s="85" t="s">
        <v>19</v>
      </c>
      <c r="J110" s="86">
        <v>500000</v>
      </c>
      <c r="K110" s="82" t="s">
        <v>19</v>
      </c>
      <c r="L110" s="87">
        <v>0.125</v>
      </c>
      <c r="M110" s="87">
        <v>0.05</v>
      </c>
      <c r="N110" s="84"/>
      <c r="O110" s="85" t="s">
        <v>19</v>
      </c>
      <c r="P110" s="79">
        <f>(C110+(E110*F110*H110))-N110</f>
        <v>0</v>
      </c>
      <c r="Q110" s="85" t="s">
        <v>19</v>
      </c>
      <c r="R110" s="86">
        <f>P110*(J110-(J110*L110)-((J110-(J110*L110))*M110))</f>
        <v>0</v>
      </c>
      <c r="S110" s="86">
        <f t="shared" si="0"/>
        <v>0</v>
      </c>
    </row>
    <row r="111" spans="1:19" s="19" customFormat="1" x14ac:dyDescent="0.2">
      <c r="A111" s="18"/>
      <c r="C111" s="20"/>
      <c r="D111" s="21"/>
      <c r="E111" s="26"/>
      <c r="F111" s="22"/>
      <c r="G111" s="23"/>
      <c r="H111" s="22"/>
      <c r="I111" s="23"/>
      <c r="J111" s="24"/>
      <c r="K111" s="21"/>
      <c r="L111" s="25"/>
      <c r="M111" s="25"/>
      <c r="N111" s="22"/>
      <c r="O111" s="23"/>
      <c r="P111" s="20"/>
      <c r="Q111" s="23"/>
      <c r="R111" s="24"/>
      <c r="S111" s="24"/>
    </row>
    <row r="112" spans="1:19" s="19" customFormat="1" ht="15.75" x14ac:dyDescent="0.25">
      <c r="A112" s="38" t="s">
        <v>73</v>
      </c>
      <c r="C112" s="20"/>
      <c r="D112" s="21"/>
      <c r="E112" s="26"/>
      <c r="F112" s="22"/>
      <c r="G112" s="23"/>
      <c r="H112" s="22"/>
      <c r="I112" s="23"/>
      <c r="J112" s="24"/>
      <c r="K112" s="21"/>
      <c r="L112" s="25"/>
      <c r="M112" s="25"/>
      <c r="N112" s="22"/>
      <c r="O112" s="23"/>
      <c r="P112" s="20"/>
      <c r="Q112" s="23"/>
      <c r="R112" s="24"/>
      <c r="S112" s="24"/>
    </row>
    <row r="113" spans="1:19" s="19" customFormat="1" x14ac:dyDescent="0.2">
      <c r="A113" s="65" t="s">
        <v>74</v>
      </c>
      <c r="C113" s="20"/>
      <c r="D113" s="21"/>
      <c r="E113" s="26"/>
      <c r="F113" s="22"/>
      <c r="G113" s="23"/>
      <c r="H113" s="22"/>
      <c r="I113" s="23"/>
      <c r="J113" s="24"/>
      <c r="K113" s="21"/>
      <c r="L113" s="25"/>
      <c r="M113" s="25"/>
      <c r="N113" s="22"/>
      <c r="O113" s="23"/>
      <c r="P113" s="20"/>
      <c r="Q113" s="23"/>
      <c r="R113" s="24"/>
      <c r="S113" s="24"/>
    </row>
    <row r="114" spans="1:19" s="81" customFormat="1" x14ac:dyDescent="0.2">
      <c r="A114" s="111" t="s">
        <v>75</v>
      </c>
      <c r="B114" s="81" t="s">
        <v>18</v>
      </c>
      <c r="C114" s="79"/>
      <c r="D114" s="82" t="s">
        <v>76</v>
      </c>
      <c r="E114" s="83"/>
      <c r="F114" s="84">
        <v>1</v>
      </c>
      <c r="G114" s="85" t="s">
        <v>20</v>
      </c>
      <c r="H114" s="84">
        <v>48</v>
      </c>
      <c r="I114" s="85" t="s">
        <v>76</v>
      </c>
      <c r="J114" s="86">
        <v>14500</v>
      </c>
      <c r="K114" s="82" t="s">
        <v>76</v>
      </c>
      <c r="L114" s="87">
        <v>0.125</v>
      </c>
      <c r="M114" s="87">
        <v>0.05</v>
      </c>
      <c r="N114" s="84"/>
      <c r="O114" s="85" t="s">
        <v>76</v>
      </c>
      <c r="P114" s="79">
        <f t="shared" ref="P114:P128" si="36">(C114+(E114*F114*H114))-N114</f>
        <v>0</v>
      </c>
      <c r="Q114" s="85" t="s">
        <v>76</v>
      </c>
      <c r="R114" s="86">
        <f t="shared" ref="R114:R124" si="37">P114*(J114-(J114*L114)-((J114-(J114*L114))*M114))</f>
        <v>0</v>
      </c>
      <c r="S114" s="86">
        <f t="shared" si="0"/>
        <v>0</v>
      </c>
    </row>
    <row r="115" spans="1:19" s="81" customFormat="1" x14ac:dyDescent="0.2">
      <c r="A115" s="111" t="s">
        <v>795</v>
      </c>
      <c r="B115" s="81" t="s">
        <v>18</v>
      </c>
      <c r="C115" s="79"/>
      <c r="D115" s="82" t="s">
        <v>76</v>
      </c>
      <c r="E115" s="83"/>
      <c r="F115" s="84">
        <v>1</v>
      </c>
      <c r="G115" s="85" t="s">
        <v>20</v>
      </c>
      <c r="H115" s="84">
        <v>96</v>
      </c>
      <c r="I115" s="85" t="s">
        <v>76</v>
      </c>
      <c r="J115" s="86">
        <v>15500</v>
      </c>
      <c r="K115" s="82" t="s">
        <v>76</v>
      </c>
      <c r="L115" s="87">
        <v>0.125</v>
      </c>
      <c r="M115" s="87">
        <v>0.05</v>
      </c>
      <c r="N115" s="84"/>
      <c r="O115" s="85" t="s">
        <v>76</v>
      </c>
      <c r="P115" s="79">
        <f t="shared" si="36"/>
        <v>0</v>
      </c>
      <c r="Q115" s="85" t="s">
        <v>76</v>
      </c>
      <c r="R115" s="86">
        <f t="shared" si="37"/>
        <v>0</v>
      </c>
      <c r="S115" s="86">
        <f t="shared" si="0"/>
        <v>0</v>
      </c>
    </row>
    <row r="116" spans="1:19" s="81" customFormat="1" x14ac:dyDescent="0.2">
      <c r="A116" s="111" t="s">
        <v>77</v>
      </c>
      <c r="B116" s="81" t="s">
        <v>18</v>
      </c>
      <c r="C116" s="79"/>
      <c r="D116" s="82" t="s">
        <v>76</v>
      </c>
      <c r="E116" s="83"/>
      <c r="F116" s="84">
        <v>1</v>
      </c>
      <c r="G116" s="85" t="s">
        <v>20</v>
      </c>
      <c r="H116" s="84">
        <v>96</v>
      </c>
      <c r="I116" s="85" t="s">
        <v>76</v>
      </c>
      <c r="J116" s="86">
        <v>12000</v>
      </c>
      <c r="K116" s="82" t="s">
        <v>76</v>
      </c>
      <c r="L116" s="87">
        <v>0.125</v>
      </c>
      <c r="M116" s="87">
        <v>0.05</v>
      </c>
      <c r="N116" s="84"/>
      <c r="O116" s="85" t="s">
        <v>76</v>
      </c>
      <c r="P116" s="79">
        <f t="shared" si="36"/>
        <v>0</v>
      </c>
      <c r="Q116" s="85" t="s">
        <v>76</v>
      </c>
      <c r="R116" s="86">
        <f t="shared" si="37"/>
        <v>0</v>
      </c>
      <c r="S116" s="86">
        <f t="shared" si="0"/>
        <v>0</v>
      </c>
    </row>
    <row r="117" spans="1:19" s="81" customFormat="1" x14ac:dyDescent="0.2">
      <c r="A117" s="111" t="s">
        <v>78</v>
      </c>
      <c r="B117" s="81" t="s">
        <v>18</v>
      </c>
      <c r="C117" s="79"/>
      <c r="D117" s="82" t="s">
        <v>76</v>
      </c>
      <c r="E117" s="83"/>
      <c r="F117" s="84">
        <v>1</v>
      </c>
      <c r="G117" s="85" t="s">
        <v>20</v>
      </c>
      <c r="H117" s="84">
        <v>48</v>
      </c>
      <c r="I117" s="85" t="s">
        <v>76</v>
      </c>
      <c r="J117" s="86">
        <v>19500</v>
      </c>
      <c r="K117" s="82" t="s">
        <v>76</v>
      </c>
      <c r="L117" s="87">
        <v>0.125</v>
      </c>
      <c r="M117" s="87">
        <v>0.05</v>
      </c>
      <c r="N117" s="84"/>
      <c r="O117" s="85" t="s">
        <v>76</v>
      </c>
      <c r="P117" s="79">
        <f t="shared" si="36"/>
        <v>0</v>
      </c>
      <c r="Q117" s="85" t="s">
        <v>76</v>
      </c>
      <c r="R117" s="86">
        <f t="shared" si="37"/>
        <v>0</v>
      </c>
      <c r="S117" s="86">
        <f t="shared" si="0"/>
        <v>0</v>
      </c>
    </row>
    <row r="118" spans="1:19" s="81" customFormat="1" x14ac:dyDescent="0.2">
      <c r="A118" s="111" t="s">
        <v>79</v>
      </c>
      <c r="B118" s="81" t="s">
        <v>18</v>
      </c>
      <c r="C118" s="79"/>
      <c r="D118" s="82" t="s">
        <v>76</v>
      </c>
      <c r="E118" s="83"/>
      <c r="F118" s="84">
        <v>1</v>
      </c>
      <c r="G118" s="85" t="s">
        <v>20</v>
      </c>
      <c r="H118" s="84">
        <v>48</v>
      </c>
      <c r="I118" s="85" t="s">
        <v>76</v>
      </c>
      <c r="J118" s="86">
        <v>14800</v>
      </c>
      <c r="K118" s="82" t="s">
        <v>76</v>
      </c>
      <c r="L118" s="87">
        <v>0.125</v>
      </c>
      <c r="M118" s="87">
        <v>0.05</v>
      </c>
      <c r="N118" s="84"/>
      <c r="O118" s="85" t="s">
        <v>76</v>
      </c>
      <c r="P118" s="79">
        <f t="shared" si="36"/>
        <v>0</v>
      </c>
      <c r="Q118" s="85" t="s">
        <v>76</v>
      </c>
      <c r="R118" s="86">
        <f t="shared" si="37"/>
        <v>0</v>
      </c>
      <c r="S118" s="86">
        <f t="shared" si="0"/>
        <v>0</v>
      </c>
    </row>
    <row r="119" spans="1:19" s="81" customFormat="1" x14ac:dyDescent="0.2">
      <c r="A119" s="112" t="s">
        <v>80</v>
      </c>
      <c r="B119" s="81" t="s">
        <v>18</v>
      </c>
      <c r="C119" s="79"/>
      <c r="D119" s="82" t="s">
        <v>76</v>
      </c>
      <c r="E119" s="83"/>
      <c r="F119" s="84">
        <v>1</v>
      </c>
      <c r="G119" s="85" t="s">
        <v>20</v>
      </c>
      <c r="H119" s="84">
        <v>24</v>
      </c>
      <c r="I119" s="85" t="s">
        <v>76</v>
      </c>
      <c r="J119" s="86">
        <v>25200</v>
      </c>
      <c r="K119" s="82" t="s">
        <v>76</v>
      </c>
      <c r="L119" s="87">
        <v>0.125</v>
      </c>
      <c r="M119" s="87">
        <v>0.05</v>
      </c>
      <c r="N119" s="84"/>
      <c r="O119" s="85" t="s">
        <v>76</v>
      </c>
      <c r="P119" s="79">
        <f t="shared" si="36"/>
        <v>0</v>
      </c>
      <c r="Q119" s="85" t="s">
        <v>76</v>
      </c>
      <c r="R119" s="86">
        <f t="shared" si="37"/>
        <v>0</v>
      </c>
      <c r="S119" s="86">
        <f t="shared" si="0"/>
        <v>0</v>
      </c>
    </row>
    <row r="120" spans="1:19" s="81" customFormat="1" x14ac:dyDescent="0.2">
      <c r="A120" s="112" t="s">
        <v>81</v>
      </c>
      <c r="B120" s="81" t="s">
        <v>18</v>
      </c>
      <c r="C120" s="79"/>
      <c r="D120" s="82" t="s">
        <v>76</v>
      </c>
      <c r="E120" s="83"/>
      <c r="F120" s="84">
        <v>1</v>
      </c>
      <c r="G120" s="85" t="s">
        <v>20</v>
      </c>
      <c r="H120" s="84">
        <v>24</v>
      </c>
      <c r="I120" s="85" t="s">
        <v>76</v>
      </c>
      <c r="J120" s="86">
        <v>20200</v>
      </c>
      <c r="K120" s="82" t="s">
        <v>76</v>
      </c>
      <c r="L120" s="87">
        <v>0.125</v>
      </c>
      <c r="M120" s="87">
        <v>0.05</v>
      </c>
      <c r="N120" s="84"/>
      <c r="O120" s="85" t="s">
        <v>76</v>
      </c>
      <c r="P120" s="79">
        <f t="shared" si="36"/>
        <v>0</v>
      </c>
      <c r="Q120" s="85" t="s">
        <v>76</v>
      </c>
      <c r="R120" s="86">
        <f t="shared" si="37"/>
        <v>0</v>
      </c>
      <c r="S120" s="86">
        <f t="shared" si="0"/>
        <v>0</v>
      </c>
    </row>
    <row r="121" spans="1:19" s="98" customFormat="1" x14ac:dyDescent="0.2">
      <c r="A121" s="130" t="s">
        <v>796</v>
      </c>
      <c r="B121" s="98" t="s">
        <v>18</v>
      </c>
      <c r="C121" s="99"/>
      <c r="D121" s="100" t="s">
        <v>76</v>
      </c>
      <c r="E121" s="101">
        <v>2</v>
      </c>
      <c r="F121" s="102">
        <v>1</v>
      </c>
      <c r="G121" s="103" t="s">
        <v>20</v>
      </c>
      <c r="H121" s="102">
        <v>96</v>
      </c>
      <c r="I121" s="103" t="s">
        <v>76</v>
      </c>
      <c r="J121" s="104">
        <v>16500</v>
      </c>
      <c r="K121" s="100" t="s">
        <v>76</v>
      </c>
      <c r="L121" s="105">
        <v>0.125</v>
      </c>
      <c r="M121" s="105">
        <v>0.05</v>
      </c>
      <c r="N121" s="102"/>
      <c r="O121" s="103" t="s">
        <v>76</v>
      </c>
      <c r="P121" s="99">
        <f t="shared" si="36"/>
        <v>192</v>
      </c>
      <c r="Q121" s="103" t="s">
        <v>76</v>
      </c>
      <c r="R121" s="104">
        <f t="shared" si="37"/>
        <v>2633400</v>
      </c>
      <c r="S121" s="104">
        <f t="shared" ref="S121:S214" si="38">R121/1.11</f>
        <v>2372432.4324324322</v>
      </c>
    </row>
    <row r="122" spans="1:19" s="19" customFormat="1" x14ac:dyDescent="0.2">
      <c r="A122" s="18" t="s">
        <v>82</v>
      </c>
      <c r="B122" s="19" t="s">
        <v>18</v>
      </c>
      <c r="C122" s="20">
        <v>53</v>
      </c>
      <c r="D122" s="21" t="s">
        <v>83</v>
      </c>
      <c r="E122" s="26">
        <v>5</v>
      </c>
      <c r="F122" s="22">
        <v>1</v>
      </c>
      <c r="G122" s="23" t="s">
        <v>20</v>
      </c>
      <c r="H122" s="22">
        <v>60</v>
      </c>
      <c r="I122" s="23" t="s">
        <v>83</v>
      </c>
      <c r="J122" s="24">
        <v>27600</v>
      </c>
      <c r="K122" s="21" t="s">
        <v>83</v>
      </c>
      <c r="L122" s="25">
        <v>0.125</v>
      </c>
      <c r="M122" s="25">
        <v>0.05</v>
      </c>
      <c r="N122" s="22"/>
      <c r="O122" s="23" t="s">
        <v>83</v>
      </c>
      <c r="P122" s="20">
        <f t="shared" si="36"/>
        <v>353</v>
      </c>
      <c r="Q122" s="23" t="s">
        <v>83</v>
      </c>
      <c r="R122" s="24">
        <f t="shared" si="37"/>
        <v>8098702.5</v>
      </c>
      <c r="S122" s="24">
        <f t="shared" si="38"/>
        <v>7296128.3783783773</v>
      </c>
    </row>
    <row r="123" spans="1:19" s="98" customFormat="1" x14ac:dyDescent="0.2">
      <c r="A123" s="90" t="s">
        <v>84</v>
      </c>
      <c r="B123" s="98" t="s">
        <v>18</v>
      </c>
      <c r="C123" s="99"/>
      <c r="D123" s="100" t="s">
        <v>83</v>
      </c>
      <c r="E123" s="101">
        <v>7</v>
      </c>
      <c r="F123" s="102">
        <v>1</v>
      </c>
      <c r="G123" s="103" t="s">
        <v>20</v>
      </c>
      <c r="H123" s="102">
        <v>50</v>
      </c>
      <c r="I123" s="103" t="s">
        <v>83</v>
      </c>
      <c r="J123" s="104">
        <v>31200</v>
      </c>
      <c r="K123" s="100" t="s">
        <v>83</v>
      </c>
      <c r="L123" s="105">
        <v>0.125</v>
      </c>
      <c r="M123" s="105">
        <v>0.05</v>
      </c>
      <c r="N123" s="102"/>
      <c r="O123" s="103" t="s">
        <v>83</v>
      </c>
      <c r="P123" s="99">
        <f t="shared" ref="P123" si="39">(C123+(E123*F123*H123))-N123</f>
        <v>350</v>
      </c>
      <c r="Q123" s="103" t="s">
        <v>83</v>
      </c>
      <c r="R123" s="104">
        <f t="shared" ref="R123" si="40">P123*(J123-(J123*L123)-((J123-(J123*L123))*M123))</f>
        <v>9077250</v>
      </c>
      <c r="S123" s="104">
        <f t="shared" ref="S123" si="41">R123/1.11</f>
        <v>8177702.702702702</v>
      </c>
    </row>
    <row r="124" spans="1:19" s="98" customFormat="1" x14ac:dyDescent="0.2">
      <c r="A124" s="90" t="s">
        <v>85</v>
      </c>
      <c r="B124" s="98" t="s">
        <v>18</v>
      </c>
      <c r="C124" s="99"/>
      <c r="D124" s="100" t="s">
        <v>83</v>
      </c>
      <c r="E124" s="101">
        <v>10</v>
      </c>
      <c r="F124" s="102">
        <v>1</v>
      </c>
      <c r="G124" s="103" t="s">
        <v>20</v>
      </c>
      <c r="H124" s="102">
        <v>30</v>
      </c>
      <c r="I124" s="103" t="s">
        <v>83</v>
      </c>
      <c r="J124" s="104">
        <v>48600</v>
      </c>
      <c r="K124" s="100" t="s">
        <v>83</v>
      </c>
      <c r="L124" s="105">
        <v>0.125</v>
      </c>
      <c r="M124" s="105">
        <v>0.05</v>
      </c>
      <c r="N124" s="102"/>
      <c r="O124" s="103" t="s">
        <v>83</v>
      </c>
      <c r="P124" s="99">
        <f t="shared" si="36"/>
        <v>300</v>
      </c>
      <c r="Q124" s="103" t="s">
        <v>83</v>
      </c>
      <c r="R124" s="104">
        <f t="shared" si="37"/>
        <v>12119625</v>
      </c>
      <c r="S124" s="104">
        <f t="shared" si="38"/>
        <v>10918581.081081079</v>
      </c>
    </row>
    <row r="125" spans="1:19" s="19" customFormat="1" x14ac:dyDescent="0.2">
      <c r="A125" s="18" t="s">
        <v>86</v>
      </c>
      <c r="B125" s="19" t="s">
        <v>18</v>
      </c>
      <c r="C125" s="20"/>
      <c r="D125" s="21" t="s">
        <v>83</v>
      </c>
      <c r="E125" s="26">
        <v>12</v>
      </c>
      <c r="F125" s="22">
        <v>1</v>
      </c>
      <c r="G125" s="23" t="s">
        <v>20</v>
      </c>
      <c r="H125" s="22">
        <v>20</v>
      </c>
      <c r="I125" s="23" t="s">
        <v>83</v>
      </c>
      <c r="J125" s="24">
        <v>67800</v>
      </c>
      <c r="K125" s="21" t="s">
        <v>83</v>
      </c>
      <c r="L125" s="25">
        <v>0.125</v>
      </c>
      <c r="M125" s="25">
        <v>0.05</v>
      </c>
      <c r="N125" s="22"/>
      <c r="O125" s="23" t="s">
        <v>83</v>
      </c>
      <c r="P125" s="20">
        <f t="shared" si="36"/>
        <v>240</v>
      </c>
      <c r="Q125" s="23" t="s">
        <v>83</v>
      </c>
      <c r="R125" s="24">
        <f t="shared" ref="R125:R130" si="42">P125*(J125-(J125*L125)-((J125-(J125*L125))*M125))</f>
        <v>13526100</v>
      </c>
      <c r="S125" s="24">
        <f t="shared" ref="S125:S130" si="43">R125/1.11</f>
        <v>12185675.675675675</v>
      </c>
    </row>
    <row r="126" spans="1:19" s="98" customFormat="1" x14ac:dyDescent="0.2">
      <c r="A126" s="90" t="s">
        <v>87</v>
      </c>
      <c r="B126" s="98" t="s">
        <v>18</v>
      </c>
      <c r="C126" s="99"/>
      <c r="D126" s="100" t="s">
        <v>83</v>
      </c>
      <c r="E126" s="101">
        <v>14</v>
      </c>
      <c r="F126" s="102">
        <v>1</v>
      </c>
      <c r="G126" s="103" t="s">
        <v>20</v>
      </c>
      <c r="H126" s="102">
        <v>10</v>
      </c>
      <c r="I126" s="103" t="s">
        <v>83</v>
      </c>
      <c r="J126" s="104">
        <v>115800</v>
      </c>
      <c r="K126" s="100" t="s">
        <v>83</v>
      </c>
      <c r="L126" s="105">
        <v>0.125</v>
      </c>
      <c r="M126" s="105">
        <v>0.05</v>
      </c>
      <c r="N126" s="102"/>
      <c r="O126" s="103" t="s">
        <v>83</v>
      </c>
      <c r="P126" s="99">
        <f t="shared" si="36"/>
        <v>140</v>
      </c>
      <c r="Q126" s="103" t="s">
        <v>83</v>
      </c>
      <c r="R126" s="104">
        <f t="shared" si="42"/>
        <v>13476225</v>
      </c>
      <c r="S126" s="104">
        <f t="shared" si="43"/>
        <v>12140743.243243242</v>
      </c>
    </row>
    <row r="127" spans="1:19" s="19" customFormat="1" x14ac:dyDescent="0.2">
      <c r="A127" s="18" t="s">
        <v>88</v>
      </c>
      <c r="B127" s="19" t="s">
        <v>18</v>
      </c>
      <c r="C127" s="20">
        <v>11</v>
      </c>
      <c r="D127" s="21" t="s">
        <v>83</v>
      </c>
      <c r="E127" s="26">
        <v>19</v>
      </c>
      <c r="F127" s="22">
        <v>1</v>
      </c>
      <c r="G127" s="23" t="s">
        <v>20</v>
      </c>
      <c r="H127" s="22">
        <v>5</v>
      </c>
      <c r="I127" s="23" t="s">
        <v>83</v>
      </c>
      <c r="J127" s="24">
        <v>177000</v>
      </c>
      <c r="K127" s="21" t="s">
        <v>83</v>
      </c>
      <c r="L127" s="25">
        <v>0.125</v>
      </c>
      <c r="M127" s="25">
        <v>0.05</v>
      </c>
      <c r="N127" s="22"/>
      <c r="O127" s="23" t="s">
        <v>83</v>
      </c>
      <c r="P127" s="20">
        <f t="shared" si="36"/>
        <v>106</v>
      </c>
      <c r="Q127" s="23" t="s">
        <v>83</v>
      </c>
      <c r="R127" s="24">
        <f t="shared" si="42"/>
        <v>15595912.5</v>
      </c>
      <c r="S127" s="24">
        <f t="shared" si="43"/>
        <v>14050371.62162162</v>
      </c>
    </row>
    <row r="128" spans="1:19" s="19" customFormat="1" x14ac:dyDescent="0.2">
      <c r="A128" s="18" t="s">
        <v>89</v>
      </c>
      <c r="B128" s="19" t="s">
        <v>18</v>
      </c>
      <c r="C128" s="20">
        <v>105</v>
      </c>
      <c r="D128" s="21" t="s">
        <v>40</v>
      </c>
      <c r="E128" s="26">
        <v>7</v>
      </c>
      <c r="F128" s="22">
        <v>3</v>
      </c>
      <c r="G128" s="23" t="s">
        <v>83</v>
      </c>
      <c r="H128" s="22">
        <v>12</v>
      </c>
      <c r="I128" s="23" t="s">
        <v>40</v>
      </c>
      <c r="J128" s="24">
        <f>507600/12</f>
        <v>42300</v>
      </c>
      <c r="K128" s="21" t="s">
        <v>40</v>
      </c>
      <c r="L128" s="25">
        <v>0.125</v>
      </c>
      <c r="M128" s="25">
        <v>0.05</v>
      </c>
      <c r="N128" s="22"/>
      <c r="O128" s="23" t="s">
        <v>40</v>
      </c>
      <c r="P128" s="20">
        <f t="shared" si="36"/>
        <v>357</v>
      </c>
      <c r="Q128" s="23" t="s">
        <v>40</v>
      </c>
      <c r="R128" s="24">
        <f t="shared" si="42"/>
        <v>12552789.375</v>
      </c>
      <c r="S128" s="24">
        <f t="shared" si="43"/>
        <v>11308819.256756756</v>
      </c>
    </row>
    <row r="129" spans="1:19" s="19" customFormat="1" x14ac:dyDescent="0.2">
      <c r="A129" s="164" t="s">
        <v>909</v>
      </c>
      <c r="B129" s="165" t="s">
        <v>18</v>
      </c>
      <c r="C129" s="166"/>
      <c r="D129" s="167" t="s">
        <v>40</v>
      </c>
      <c r="E129" s="168">
        <v>2</v>
      </c>
      <c r="F129" s="169">
        <v>2</v>
      </c>
      <c r="G129" s="170" t="s">
        <v>83</v>
      </c>
      <c r="H129" s="169">
        <v>12</v>
      </c>
      <c r="I129" s="170" t="s">
        <v>40</v>
      </c>
      <c r="J129" s="171">
        <v>85800</v>
      </c>
      <c r="K129" s="167" t="s">
        <v>40</v>
      </c>
      <c r="L129" s="172">
        <v>0.125</v>
      </c>
      <c r="M129" s="172">
        <v>0.05</v>
      </c>
      <c r="N129" s="169"/>
      <c r="O129" s="170" t="s">
        <v>40</v>
      </c>
      <c r="P129" s="166">
        <f t="shared" ref="P129" si="44">(C129+(E129*F129*H129))-N129</f>
        <v>48</v>
      </c>
      <c r="Q129" s="170" t="s">
        <v>40</v>
      </c>
      <c r="R129" s="171">
        <f t="shared" ref="R129" si="45">P129*(J129-(J129*L129)-((J129-(J129*L129))*M129))</f>
        <v>3423420</v>
      </c>
      <c r="S129" s="171">
        <f t="shared" ref="S129" si="46">R129/1.11</f>
        <v>3084162.1621621619</v>
      </c>
    </row>
    <row r="130" spans="1:19" s="19" customFormat="1" x14ac:dyDescent="0.2">
      <c r="A130" s="18" t="s">
        <v>908</v>
      </c>
      <c r="B130" s="19" t="s">
        <v>18</v>
      </c>
      <c r="C130" s="20"/>
      <c r="D130" s="21" t="s">
        <v>40</v>
      </c>
      <c r="E130" s="26">
        <v>2</v>
      </c>
      <c r="F130" s="22">
        <v>1</v>
      </c>
      <c r="G130" s="23" t="s">
        <v>20</v>
      </c>
      <c r="H130" s="22">
        <v>20</v>
      </c>
      <c r="I130" s="23" t="s">
        <v>40</v>
      </c>
      <c r="J130" s="24">
        <v>108900</v>
      </c>
      <c r="K130" s="21" t="s">
        <v>40</v>
      </c>
      <c r="L130" s="25">
        <v>0.125</v>
      </c>
      <c r="M130" s="25">
        <v>0.05</v>
      </c>
      <c r="N130" s="22"/>
      <c r="O130" s="23" t="s">
        <v>40</v>
      </c>
      <c r="P130" s="20">
        <f t="shared" ref="P130" si="47">(C130+(E130*F130*H130))-N130</f>
        <v>40</v>
      </c>
      <c r="Q130" s="23" t="s">
        <v>40</v>
      </c>
      <c r="R130" s="24">
        <f t="shared" si="42"/>
        <v>3620925</v>
      </c>
      <c r="S130" s="24">
        <f t="shared" si="43"/>
        <v>3262094.5945945941</v>
      </c>
    </row>
    <row r="131" spans="1:19" s="19" customFormat="1" x14ac:dyDescent="0.2">
      <c r="A131" s="18"/>
      <c r="C131" s="20"/>
      <c r="D131" s="21"/>
      <c r="E131" s="26"/>
      <c r="F131" s="22"/>
      <c r="G131" s="23"/>
      <c r="H131" s="22"/>
      <c r="I131" s="23"/>
      <c r="J131" s="24"/>
      <c r="K131" s="21"/>
      <c r="L131" s="25"/>
      <c r="M131" s="25"/>
      <c r="N131" s="22"/>
      <c r="O131" s="23"/>
      <c r="P131" s="20"/>
      <c r="Q131" s="23"/>
      <c r="R131" s="24"/>
      <c r="S131" s="24"/>
    </row>
    <row r="132" spans="1:19" s="19" customFormat="1" x14ac:dyDescent="0.2">
      <c r="A132" s="18" t="s">
        <v>90</v>
      </c>
      <c r="B132" s="19" t="s">
        <v>25</v>
      </c>
      <c r="C132" s="20"/>
      <c r="D132" s="21" t="s">
        <v>83</v>
      </c>
      <c r="E132" s="26">
        <v>9</v>
      </c>
      <c r="F132" s="22">
        <v>1</v>
      </c>
      <c r="G132" s="23" t="s">
        <v>20</v>
      </c>
      <c r="H132" s="22">
        <v>50</v>
      </c>
      <c r="I132" s="23" t="s">
        <v>83</v>
      </c>
      <c r="J132" s="24">
        <f>1440000/50</f>
        <v>28800</v>
      </c>
      <c r="K132" s="21" t="s">
        <v>83</v>
      </c>
      <c r="L132" s="25"/>
      <c r="M132" s="25">
        <v>0.17</v>
      </c>
      <c r="N132" s="22"/>
      <c r="O132" s="23" t="s">
        <v>83</v>
      </c>
      <c r="P132" s="20">
        <f t="shared" ref="P132:P139" si="48">(C132+(E132*F132*H132))-N132</f>
        <v>450</v>
      </c>
      <c r="Q132" s="23" t="s">
        <v>83</v>
      </c>
      <c r="R132" s="24">
        <f t="shared" ref="R132:R139" si="49">P132*(J132-(J132*L132)-((J132-(J132*L132))*M132))</f>
        <v>10756800</v>
      </c>
      <c r="S132" s="24">
        <f t="shared" si="38"/>
        <v>9690810.81081081</v>
      </c>
    </row>
    <row r="133" spans="1:19" s="19" customFormat="1" x14ac:dyDescent="0.2">
      <c r="A133" s="18" t="s">
        <v>91</v>
      </c>
      <c r="B133" s="19" t="s">
        <v>25</v>
      </c>
      <c r="C133" s="20">
        <v>43</v>
      </c>
      <c r="D133" s="21" t="s">
        <v>83</v>
      </c>
      <c r="E133" s="26">
        <v>12</v>
      </c>
      <c r="F133" s="22">
        <v>1</v>
      </c>
      <c r="G133" s="23" t="s">
        <v>20</v>
      </c>
      <c r="H133" s="22">
        <v>50</v>
      </c>
      <c r="I133" s="23" t="s">
        <v>83</v>
      </c>
      <c r="J133" s="24">
        <f>1590000/50</f>
        <v>31800</v>
      </c>
      <c r="K133" s="21" t="s">
        <v>83</v>
      </c>
      <c r="L133" s="25"/>
      <c r="M133" s="25">
        <v>0.17</v>
      </c>
      <c r="N133" s="22"/>
      <c r="O133" s="23" t="s">
        <v>83</v>
      </c>
      <c r="P133" s="20">
        <f t="shared" si="48"/>
        <v>643</v>
      </c>
      <c r="Q133" s="23" t="s">
        <v>83</v>
      </c>
      <c r="R133" s="24">
        <f t="shared" si="49"/>
        <v>16971342</v>
      </c>
      <c r="S133" s="24">
        <f t="shared" si="38"/>
        <v>15289497.297297295</v>
      </c>
    </row>
    <row r="134" spans="1:19" s="19" customFormat="1" x14ac:dyDescent="0.2">
      <c r="A134" s="18" t="s">
        <v>92</v>
      </c>
      <c r="B134" s="19" t="s">
        <v>25</v>
      </c>
      <c r="C134" s="20">
        <v>57</v>
      </c>
      <c r="D134" s="21" t="s">
        <v>83</v>
      </c>
      <c r="E134" s="26">
        <v>12</v>
      </c>
      <c r="F134" s="22">
        <v>1</v>
      </c>
      <c r="G134" s="23" t="s">
        <v>20</v>
      </c>
      <c r="H134" s="22">
        <v>30</v>
      </c>
      <c r="I134" s="23" t="s">
        <v>83</v>
      </c>
      <c r="J134" s="24">
        <f>1476000/30</f>
        <v>49200</v>
      </c>
      <c r="K134" s="21" t="s">
        <v>83</v>
      </c>
      <c r="L134" s="25"/>
      <c r="M134" s="25">
        <v>0.17</v>
      </c>
      <c r="N134" s="22"/>
      <c r="O134" s="23" t="s">
        <v>83</v>
      </c>
      <c r="P134" s="20">
        <f t="shared" si="48"/>
        <v>417</v>
      </c>
      <c r="Q134" s="23" t="s">
        <v>83</v>
      </c>
      <c r="R134" s="24">
        <f t="shared" si="49"/>
        <v>17028612</v>
      </c>
      <c r="S134" s="24">
        <f t="shared" si="38"/>
        <v>15341091.891891891</v>
      </c>
    </row>
    <row r="135" spans="1:19" s="19" customFormat="1" x14ac:dyDescent="0.2">
      <c r="A135" s="18" t="s">
        <v>93</v>
      </c>
      <c r="B135" s="19" t="s">
        <v>25</v>
      </c>
      <c r="C135" s="20">
        <v>71</v>
      </c>
      <c r="D135" s="21" t="s">
        <v>83</v>
      </c>
      <c r="E135" s="26">
        <v>20</v>
      </c>
      <c r="F135" s="22">
        <v>1</v>
      </c>
      <c r="G135" s="23" t="s">
        <v>20</v>
      </c>
      <c r="H135" s="22">
        <v>20</v>
      </c>
      <c r="I135" s="23" t="s">
        <v>83</v>
      </c>
      <c r="J135" s="24">
        <f>1380000/20</f>
        <v>69000</v>
      </c>
      <c r="K135" s="21" t="s">
        <v>83</v>
      </c>
      <c r="L135" s="25"/>
      <c r="M135" s="25">
        <v>0.17</v>
      </c>
      <c r="N135" s="22"/>
      <c r="O135" s="23" t="s">
        <v>83</v>
      </c>
      <c r="P135" s="20">
        <f t="shared" si="48"/>
        <v>471</v>
      </c>
      <c r="Q135" s="23" t="s">
        <v>83</v>
      </c>
      <c r="R135" s="24">
        <f t="shared" si="49"/>
        <v>26974170</v>
      </c>
      <c r="S135" s="24">
        <f t="shared" si="38"/>
        <v>24301054.054054052</v>
      </c>
    </row>
    <row r="136" spans="1:19" s="19" customFormat="1" x14ac:dyDescent="0.2">
      <c r="A136" s="18" t="s">
        <v>94</v>
      </c>
      <c r="B136" s="19" t="s">
        <v>25</v>
      </c>
      <c r="C136" s="20">
        <v>52</v>
      </c>
      <c r="D136" s="21" t="s">
        <v>83</v>
      </c>
      <c r="E136" s="26">
        <v>20</v>
      </c>
      <c r="F136" s="22">
        <v>1</v>
      </c>
      <c r="G136" s="23" t="s">
        <v>20</v>
      </c>
      <c r="H136" s="22">
        <v>10</v>
      </c>
      <c r="I136" s="23" t="s">
        <v>83</v>
      </c>
      <c r="J136" s="24">
        <f>1200000/10</f>
        <v>120000</v>
      </c>
      <c r="K136" s="21" t="s">
        <v>83</v>
      </c>
      <c r="L136" s="25"/>
      <c r="M136" s="25">
        <v>0.17</v>
      </c>
      <c r="N136" s="22"/>
      <c r="O136" s="23" t="s">
        <v>83</v>
      </c>
      <c r="P136" s="20">
        <f t="shared" si="48"/>
        <v>252</v>
      </c>
      <c r="Q136" s="23" t="s">
        <v>83</v>
      </c>
      <c r="R136" s="24">
        <f t="shared" si="49"/>
        <v>25099200</v>
      </c>
      <c r="S136" s="24">
        <f t="shared" si="38"/>
        <v>22611891.891891889</v>
      </c>
    </row>
    <row r="137" spans="1:19" s="19" customFormat="1" x14ac:dyDescent="0.2">
      <c r="A137" s="18" t="s">
        <v>95</v>
      </c>
      <c r="B137" s="19" t="s">
        <v>25</v>
      </c>
      <c r="C137" s="20"/>
      <c r="D137" s="21" t="s">
        <v>83</v>
      </c>
      <c r="E137" s="26">
        <v>36</v>
      </c>
      <c r="F137" s="22">
        <v>1</v>
      </c>
      <c r="G137" s="23" t="s">
        <v>20</v>
      </c>
      <c r="H137" s="22">
        <v>5</v>
      </c>
      <c r="I137" s="23" t="s">
        <v>83</v>
      </c>
      <c r="J137" s="24">
        <f>900000/5</f>
        <v>180000</v>
      </c>
      <c r="K137" s="21" t="s">
        <v>83</v>
      </c>
      <c r="L137" s="25"/>
      <c r="M137" s="25">
        <v>0.17</v>
      </c>
      <c r="N137" s="22"/>
      <c r="O137" s="23" t="s">
        <v>83</v>
      </c>
      <c r="P137" s="20">
        <f t="shared" si="48"/>
        <v>180</v>
      </c>
      <c r="Q137" s="23" t="s">
        <v>83</v>
      </c>
      <c r="R137" s="24">
        <f t="shared" si="49"/>
        <v>26892000</v>
      </c>
      <c r="S137" s="24">
        <f t="shared" si="38"/>
        <v>24227027.027027026</v>
      </c>
    </row>
    <row r="138" spans="1:19" s="19" customFormat="1" x14ac:dyDescent="0.2">
      <c r="A138" s="164" t="s">
        <v>910</v>
      </c>
      <c r="B138" s="165" t="s">
        <v>25</v>
      </c>
      <c r="C138" s="166"/>
      <c r="D138" s="167" t="s">
        <v>33</v>
      </c>
      <c r="E138" s="168">
        <v>3</v>
      </c>
      <c r="F138" s="169">
        <v>48</v>
      </c>
      <c r="G138" s="170" t="s">
        <v>33</v>
      </c>
      <c r="H138" s="169">
        <v>6</v>
      </c>
      <c r="I138" s="170" t="s">
        <v>835</v>
      </c>
      <c r="J138" s="171">
        <v>7150</v>
      </c>
      <c r="K138" s="167" t="s">
        <v>835</v>
      </c>
      <c r="L138" s="172"/>
      <c r="M138" s="172">
        <v>0.17</v>
      </c>
      <c r="N138" s="169"/>
      <c r="O138" s="170" t="s">
        <v>33</v>
      </c>
      <c r="P138" s="166">
        <f t="shared" ref="P138" si="50">(C138+(E138*F138*H138))-N138</f>
        <v>864</v>
      </c>
      <c r="Q138" s="170" t="s">
        <v>835</v>
      </c>
      <c r="R138" s="171">
        <f t="shared" ref="R138" si="51">P138*(J138-(J138*L138)-((J138-(J138*L138))*M138))</f>
        <v>5127408</v>
      </c>
      <c r="S138" s="171">
        <f t="shared" ref="S138" si="52">R138/1.11</f>
        <v>4619286.4864864862</v>
      </c>
    </row>
    <row r="139" spans="1:19" s="19" customFormat="1" x14ac:dyDescent="0.2">
      <c r="A139" s="18" t="s">
        <v>707</v>
      </c>
      <c r="B139" s="19" t="s">
        <v>25</v>
      </c>
      <c r="C139" s="20">
        <v>345</v>
      </c>
      <c r="D139" s="21" t="s">
        <v>33</v>
      </c>
      <c r="E139" s="26">
        <v>5</v>
      </c>
      <c r="F139" s="22">
        <v>1</v>
      </c>
      <c r="G139" s="23" t="s">
        <v>20</v>
      </c>
      <c r="H139" s="22">
        <v>72</v>
      </c>
      <c r="I139" s="23" t="s">
        <v>33</v>
      </c>
      <c r="J139" s="24">
        <f>1548000/72</f>
        <v>21500</v>
      </c>
      <c r="K139" s="21" t="s">
        <v>33</v>
      </c>
      <c r="L139" s="25"/>
      <c r="M139" s="25">
        <v>0.17</v>
      </c>
      <c r="N139" s="22"/>
      <c r="O139" s="23" t="s">
        <v>33</v>
      </c>
      <c r="P139" s="20">
        <f t="shared" si="48"/>
        <v>705</v>
      </c>
      <c r="Q139" s="23" t="s">
        <v>33</v>
      </c>
      <c r="R139" s="24">
        <f t="shared" si="49"/>
        <v>12580725</v>
      </c>
      <c r="S139" s="24">
        <f t="shared" si="38"/>
        <v>11333986.486486485</v>
      </c>
    </row>
    <row r="140" spans="1:19" s="19" customFormat="1" x14ac:dyDescent="0.2">
      <c r="A140" s="18"/>
      <c r="C140" s="20"/>
      <c r="D140" s="21"/>
      <c r="E140" s="26"/>
      <c r="F140" s="22"/>
      <c r="G140" s="23"/>
      <c r="H140" s="22"/>
      <c r="I140" s="23"/>
      <c r="J140" s="24"/>
      <c r="K140" s="21"/>
      <c r="L140" s="25"/>
      <c r="M140" s="25"/>
      <c r="N140" s="22"/>
      <c r="O140" s="23"/>
      <c r="P140" s="20"/>
      <c r="Q140" s="23"/>
      <c r="R140" s="24"/>
      <c r="S140" s="24"/>
    </row>
    <row r="141" spans="1:19" s="19" customFormat="1" x14ac:dyDescent="0.2">
      <c r="A141" s="65" t="s">
        <v>96</v>
      </c>
      <c r="C141" s="20"/>
      <c r="D141" s="21"/>
      <c r="E141" s="26"/>
      <c r="F141" s="22"/>
      <c r="G141" s="23"/>
      <c r="H141" s="22"/>
      <c r="I141" s="23"/>
      <c r="J141" s="24"/>
      <c r="K141" s="21"/>
      <c r="L141" s="25"/>
      <c r="M141" s="25"/>
      <c r="N141" s="22"/>
      <c r="O141" s="23"/>
      <c r="P141" s="20"/>
      <c r="Q141" s="23"/>
      <c r="R141" s="24"/>
      <c r="S141" s="24"/>
    </row>
    <row r="142" spans="1:19" s="19" customFormat="1" x14ac:dyDescent="0.2">
      <c r="A142" s="18" t="s">
        <v>97</v>
      </c>
      <c r="B142" s="19" t="s">
        <v>18</v>
      </c>
      <c r="C142" s="20"/>
      <c r="D142" s="21" t="s">
        <v>33</v>
      </c>
      <c r="E142" s="26">
        <v>2</v>
      </c>
      <c r="F142" s="22">
        <v>50</v>
      </c>
      <c r="G142" s="23" t="s">
        <v>98</v>
      </c>
      <c r="H142" s="22">
        <v>10</v>
      </c>
      <c r="I142" s="23" t="s">
        <v>33</v>
      </c>
      <c r="J142" s="24">
        <v>1850</v>
      </c>
      <c r="K142" s="21" t="s">
        <v>33</v>
      </c>
      <c r="L142" s="25">
        <v>0.125</v>
      </c>
      <c r="M142" s="25">
        <v>0.05</v>
      </c>
      <c r="N142" s="22"/>
      <c r="O142" s="23" t="s">
        <v>33</v>
      </c>
      <c r="P142" s="20">
        <f>(C142+(E142*F142*H142))-N142</f>
        <v>1000</v>
      </c>
      <c r="Q142" s="23" t="s">
        <v>33</v>
      </c>
      <c r="R142" s="24">
        <f>P142*(J142-(J142*L142)-((J142-(J142*L142))*M142))</f>
        <v>1537812.5</v>
      </c>
      <c r="S142" s="24">
        <f t="shared" si="38"/>
        <v>1385416.6666666665</v>
      </c>
    </row>
    <row r="143" spans="1:19" s="19" customFormat="1" x14ac:dyDescent="0.2">
      <c r="A143" s="18" t="s">
        <v>99</v>
      </c>
      <c r="B143" s="19" t="s">
        <v>18</v>
      </c>
      <c r="C143" s="20"/>
      <c r="D143" s="21" t="s">
        <v>33</v>
      </c>
      <c r="E143" s="26">
        <v>21</v>
      </c>
      <c r="F143" s="22">
        <v>50</v>
      </c>
      <c r="G143" s="23" t="s">
        <v>98</v>
      </c>
      <c r="H143" s="22">
        <v>10</v>
      </c>
      <c r="I143" s="23" t="s">
        <v>33</v>
      </c>
      <c r="J143" s="24">
        <v>1625</v>
      </c>
      <c r="K143" s="21" t="s">
        <v>33</v>
      </c>
      <c r="L143" s="25">
        <v>0.125</v>
      </c>
      <c r="M143" s="25">
        <v>0.05</v>
      </c>
      <c r="N143" s="22"/>
      <c r="O143" s="23" t="s">
        <v>33</v>
      </c>
      <c r="P143" s="20">
        <f>(C143+(E143*F143*H143))-N143</f>
        <v>10500</v>
      </c>
      <c r="Q143" s="23" t="s">
        <v>33</v>
      </c>
      <c r="R143" s="24">
        <f>P143*(J143-(J143*L143)-((J143-(J143*L143))*M143))</f>
        <v>14183203.125</v>
      </c>
      <c r="S143" s="24">
        <f t="shared" si="38"/>
        <v>12777660.472972972</v>
      </c>
    </row>
    <row r="144" spans="1:19" s="98" customFormat="1" x14ac:dyDescent="0.2">
      <c r="A144" s="90" t="s">
        <v>100</v>
      </c>
      <c r="B144" s="98" t="s">
        <v>18</v>
      </c>
      <c r="C144" s="99"/>
      <c r="D144" s="100" t="s">
        <v>33</v>
      </c>
      <c r="E144" s="101">
        <v>10</v>
      </c>
      <c r="F144" s="102">
        <v>20</v>
      </c>
      <c r="G144" s="103" t="s">
        <v>98</v>
      </c>
      <c r="H144" s="102">
        <v>10</v>
      </c>
      <c r="I144" s="103" t="s">
        <v>33</v>
      </c>
      <c r="J144" s="104">
        <v>4400</v>
      </c>
      <c r="K144" s="100" t="s">
        <v>33</v>
      </c>
      <c r="L144" s="105">
        <v>0.125</v>
      </c>
      <c r="M144" s="105">
        <v>0.05</v>
      </c>
      <c r="N144" s="102"/>
      <c r="O144" s="103" t="s">
        <v>33</v>
      </c>
      <c r="P144" s="99">
        <f>(C144+(E144*F144*H144))-N144</f>
        <v>2000</v>
      </c>
      <c r="Q144" s="103" t="s">
        <v>33</v>
      </c>
      <c r="R144" s="104">
        <f>P144*(J144-(J144*L144)-((J144-(J144*L144))*M144))</f>
        <v>7315000</v>
      </c>
      <c r="S144" s="104">
        <f t="shared" si="38"/>
        <v>6590090.0900900895</v>
      </c>
    </row>
    <row r="145" spans="1:19" s="19" customFormat="1" x14ac:dyDescent="0.2">
      <c r="A145" s="18" t="s">
        <v>101</v>
      </c>
      <c r="B145" s="19" t="s">
        <v>18</v>
      </c>
      <c r="C145" s="20">
        <v>792</v>
      </c>
      <c r="D145" s="21" t="s">
        <v>102</v>
      </c>
      <c r="E145" s="26">
        <v>3</v>
      </c>
      <c r="F145" s="22">
        <v>24</v>
      </c>
      <c r="G145" s="23" t="s">
        <v>33</v>
      </c>
      <c r="H145" s="22">
        <v>12</v>
      </c>
      <c r="I145" s="23" t="s">
        <v>102</v>
      </c>
      <c r="J145" s="24">
        <v>3100</v>
      </c>
      <c r="K145" s="21" t="s">
        <v>102</v>
      </c>
      <c r="L145" s="25">
        <v>0.125</v>
      </c>
      <c r="M145" s="25">
        <v>0.05</v>
      </c>
      <c r="N145" s="22"/>
      <c r="O145" s="23" t="s">
        <v>102</v>
      </c>
      <c r="P145" s="20">
        <f>(C145+(E145*F145*H145))-N145</f>
        <v>1656</v>
      </c>
      <c r="Q145" s="23" t="s">
        <v>102</v>
      </c>
      <c r="R145" s="24">
        <f>P145*(J145-(J145*L145)-((J145-(J145*L145))*M145))</f>
        <v>4267305</v>
      </c>
      <c r="S145" s="24">
        <f t="shared" si="38"/>
        <v>3844418.9189189184</v>
      </c>
    </row>
    <row r="146" spans="1:19" s="19" customFormat="1" x14ac:dyDescent="0.2">
      <c r="A146" s="18"/>
      <c r="C146" s="20"/>
      <c r="D146" s="21"/>
      <c r="E146" s="26"/>
      <c r="F146" s="22"/>
      <c r="G146" s="23"/>
      <c r="H146" s="22"/>
      <c r="I146" s="23"/>
      <c r="J146" s="24"/>
      <c r="K146" s="21"/>
      <c r="L146" s="25"/>
      <c r="M146" s="25"/>
      <c r="N146" s="22"/>
      <c r="O146" s="23"/>
      <c r="P146" s="20"/>
      <c r="Q146" s="23"/>
      <c r="R146" s="24"/>
      <c r="S146" s="24"/>
    </row>
    <row r="147" spans="1:19" s="19" customFormat="1" x14ac:dyDescent="0.2">
      <c r="A147" s="18" t="s">
        <v>103</v>
      </c>
      <c r="B147" s="19" t="s">
        <v>25</v>
      </c>
      <c r="C147" s="20">
        <v>390</v>
      </c>
      <c r="D147" s="21" t="s">
        <v>33</v>
      </c>
      <c r="E147" s="26">
        <v>9</v>
      </c>
      <c r="F147" s="22">
        <v>50</v>
      </c>
      <c r="G147" s="23" t="s">
        <v>98</v>
      </c>
      <c r="H147" s="22">
        <v>10</v>
      </c>
      <c r="I147" s="23" t="s">
        <v>33</v>
      </c>
      <c r="J147" s="24">
        <f>850000/50/10</f>
        <v>1700</v>
      </c>
      <c r="K147" s="21" t="s">
        <v>33</v>
      </c>
      <c r="L147" s="25"/>
      <c r="M147" s="25">
        <v>0.17</v>
      </c>
      <c r="N147" s="22"/>
      <c r="O147" s="23" t="s">
        <v>33</v>
      </c>
      <c r="P147" s="20">
        <f>(C147+(E147*F147*H147))-N147</f>
        <v>4890</v>
      </c>
      <c r="Q147" s="23" t="s">
        <v>33</v>
      </c>
      <c r="R147" s="24">
        <f>P147*(J147-(J147*L147)-((J147-(J147*L147))*M147))</f>
        <v>6899790</v>
      </c>
      <c r="S147" s="24">
        <f t="shared" si="38"/>
        <v>6216027.0270270268</v>
      </c>
    </row>
    <row r="148" spans="1:19" s="19" customFormat="1" x14ac:dyDescent="0.2">
      <c r="A148" s="18" t="s">
        <v>104</v>
      </c>
      <c r="B148" s="19" t="s">
        <v>25</v>
      </c>
      <c r="C148" s="20">
        <v>1510</v>
      </c>
      <c r="D148" s="21" t="s">
        <v>33</v>
      </c>
      <c r="E148" s="26">
        <v>13</v>
      </c>
      <c r="F148" s="22">
        <v>50</v>
      </c>
      <c r="G148" s="23" t="s">
        <v>98</v>
      </c>
      <c r="H148" s="22">
        <v>10</v>
      </c>
      <c r="I148" s="23" t="s">
        <v>33</v>
      </c>
      <c r="J148" s="24">
        <f>800000/50/10</f>
        <v>1600</v>
      </c>
      <c r="K148" s="21" t="s">
        <v>33</v>
      </c>
      <c r="L148" s="25"/>
      <c r="M148" s="25">
        <v>0.17</v>
      </c>
      <c r="N148" s="22"/>
      <c r="O148" s="23" t="s">
        <v>33</v>
      </c>
      <c r="P148" s="20">
        <f>(C148+(E148*F148*H148))-N148</f>
        <v>8010</v>
      </c>
      <c r="Q148" s="23" t="s">
        <v>33</v>
      </c>
      <c r="R148" s="24">
        <f>P148*(J148-(J148*L148)-((J148-(J148*L148))*M148))</f>
        <v>10637280</v>
      </c>
      <c r="S148" s="24">
        <f t="shared" si="38"/>
        <v>9583135.1351351347</v>
      </c>
    </row>
    <row r="149" spans="1:19" s="19" customFormat="1" x14ac:dyDescent="0.2">
      <c r="A149" s="18" t="s">
        <v>105</v>
      </c>
      <c r="B149" s="19" t="s">
        <v>25</v>
      </c>
      <c r="C149" s="20">
        <v>810</v>
      </c>
      <c r="D149" s="21" t="s">
        <v>33</v>
      </c>
      <c r="E149" s="26">
        <v>18</v>
      </c>
      <c r="F149" s="22">
        <v>20</v>
      </c>
      <c r="G149" s="23" t="s">
        <v>98</v>
      </c>
      <c r="H149" s="22">
        <v>10</v>
      </c>
      <c r="I149" s="23" t="s">
        <v>33</v>
      </c>
      <c r="J149" s="24">
        <f>860000/20/10</f>
        <v>4300</v>
      </c>
      <c r="K149" s="21" t="s">
        <v>33</v>
      </c>
      <c r="L149" s="25"/>
      <c r="M149" s="25">
        <v>0.17</v>
      </c>
      <c r="N149" s="22"/>
      <c r="O149" s="23" t="s">
        <v>33</v>
      </c>
      <c r="P149" s="20">
        <f>(C149+(E149*F149*H149))-N149</f>
        <v>4410</v>
      </c>
      <c r="Q149" s="23" t="s">
        <v>33</v>
      </c>
      <c r="R149" s="24">
        <f>P149*(J149-(J149*L149)-((J149-(J149*L149))*M149))</f>
        <v>15739290</v>
      </c>
      <c r="S149" s="24">
        <f t="shared" si="38"/>
        <v>14179540.540540539</v>
      </c>
    </row>
    <row r="150" spans="1:19" s="19" customFormat="1" x14ac:dyDescent="0.2">
      <c r="A150" s="18" t="s">
        <v>106</v>
      </c>
      <c r="B150" s="19" t="s">
        <v>25</v>
      </c>
      <c r="C150" s="20">
        <v>16</v>
      </c>
      <c r="D150" s="21" t="s">
        <v>40</v>
      </c>
      <c r="E150" s="26">
        <v>8</v>
      </c>
      <c r="F150" s="22">
        <v>1</v>
      </c>
      <c r="G150" s="23" t="s">
        <v>20</v>
      </c>
      <c r="H150" s="22">
        <v>48</v>
      </c>
      <c r="I150" s="23" t="s">
        <v>40</v>
      </c>
      <c r="J150" s="24">
        <f>1987200/48</f>
        <v>41400</v>
      </c>
      <c r="K150" s="21" t="s">
        <v>40</v>
      </c>
      <c r="L150" s="25"/>
      <c r="M150" s="25">
        <v>0.17</v>
      </c>
      <c r="N150" s="22"/>
      <c r="O150" s="23" t="s">
        <v>40</v>
      </c>
      <c r="P150" s="20">
        <f>(C150+(E150*F150*H150))-N150</f>
        <v>400</v>
      </c>
      <c r="Q150" s="23" t="s">
        <v>40</v>
      </c>
      <c r="R150" s="24">
        <f>P150*(J150-(J150*L150)-((J150-(J150*L150))*M150))</f>
        <v>13744800</v>
      </c>
      <c r="S150" s="24">
        <f t="shared" si="38"/>
        <v>12382702.702702701</v>
      </c>
    </row>
    <row r="151" spans="1:19" s="19" customFormat="1" x14ac:dyDescent="0.2">
      <c r="A151" s="18"/>
      <c r="C151" s="20"/>
      <c r="D151" s="21"/>
      <c r="E151" s="26"/>
      <c r="F151" s="22"/>
      <c r="G151" s="23"/>
      <c r="H151" s="22"/>
      <c r="I151" s="23"/>
      <c r="J151" s="24"/>
      <c r="K151" s="21"/>
      <c r="L151" s="25"/>
      <c r="M151" s="25"/>
      <c r="N151" s="22"/>
      <c r="O151" s="23"/>
      <c r="P151" s="20"/>
      <c r="Q151" s="23"/>
      <c r="R151" s="24"/>
      <c r="S151" s="24"/>
    </row>
    <row r="152" spans="1:19" s="19" customFormat="1" ht="15.75" x14ac:dyDescent="0.25">
      <c r="A152" s="38" t="s">
        <v>107</v>
      </c>
      <c r="C152" s="20"/>
      <c r="D152" s="21"/>
      <c r="E152" s="26"/>
      <c r="F152" s="22"/>
      <c r="G152" s="23"/>
      <c r="H152" s="22"/>
      <c r="I152" s="23"/>
      <c r="J152" s="24"/>
      <c r="K152" s="21"/>
      <c r="L152" s="25"/>
      <c r="M152" s="25"/>
      <c r="N152" s="22"/>
      <c r="O152" s="23"/>
      <c r="P152" s="20"/>
      <c r="Q152" s="23"/>
      <c r="R152" s="24"/>
      <c r="S152" s="24"/>
    </row>
    <row r="153" spans="1:19" s="19" customFormat="1" x14ac:dyDescent="0.2">
      <c r="A153" s="65" t="s">
        <v>108</v>
      </c>
      <c r="C153" s="20"/>
      <c r="D153" s="21"/>
      <c r="E153" s="26"/>
      <c r="F153" s="22"/>
      <c r="G153" s="23"/>
      <c r="H153" s="22"/>
      <c r="I153" s="23"/>
      <c r="J153" s="24"/>
      <c r="K153" s="21"/>
      <c r="L153" s="25"/>
      <c r="M153" s="25"/>
      <c r="N153" s="22"/>
      <c r="O153" s="23"/>
      <c r="P153" s="20"/>
      <c r="Q153" s="23"/>
      <c r="R153" s="24"/>
      <c r="S153" s="24"/>
    </row>
    <row r="154" spans="1:19" s="19" customFormat="1" x14ac:dyDescent="0.2">
      <c r="A154" s="134" t="s">
        <v>109</v>
      </c>
      <c r="B154" s="19" t="s">
        <v>18</v>
      </c>
      <c r="C154" s="20"/>
      <c r="D154" s="21" t="s">
        <v>40</v>
      </c>
      <c r="E154" s="26">
        <v>30</v>
      </c>
      <c r="F154" s="22">
        <v>1</v>
      </c>
      <c r="G154" s="23" t="s">
        <v>20</v>
      </c>
      <c r="H154" s="22">
        <v>48</v>
      </c>
      <c r="I154" s="23" t="s">
        <v>40</v>
      </c>
      <c r="J154" s="24">
        <v>36000</v>
      </c>
      <c r="K154" s="21" t="s">
        <v>40</v>
      </c>
      <c r="L154" s="133">
        <v>0.125</v>
      </c>
      <c r="M154" s="133">
        <v>0.08</v>
      </c>
      <c r="N154" s="22"/>
      <c r="O154" s="23" t="s">
        <v>40</v>
      </c>
      <c r="P154" s="20">
        <f t="shared" ref="P154" si="53">(C154+(E154*F154*H154))-N154</f>
        <v>1440</v>
      </c>
      <c r="Q154" s="23" t="s">
        <v>40</v>
      </c>
      <c r="R154" s="24">
        <f t="shared" ref="R154" si="54">P154*(J154-(J154*L154)-((J154-(J154*L154))*M154))</f>
        <v>41731200</v>
      </c>
      <c r="S154" s="24">
        <f t="shared" ref="S154" si="55">R154/1.11</f>
        <v>37595675.675675675</v>
      </c>
    </row>
    <row r="155" spans="1:19" s="19" customFormat="1" x14ac:dyDescent="0.2">
      <c r="A155" s="134" t="s">
        <v>109</v>
      </c>
      <c r="B155" s="19" t="s">
        <v>18</v>
      </c>
      <c r="C155" s="20">
        <v>145</v>
      </c>
      <c r="D155" s="21" t="s">
        <v>40</v>
      </c>
      <c r="E155" s="26">
        <v>10</v>
      </c>
      <c r="F155" s="22">
        <v>1</v>
      </c>
      <c r="G155" s="23" t="s">
        <v>20</v>
      </c>
      <c r="H155" s="22">
        <v>48</v>
      </c>
      <c r="I155" s="23" t="s">
        <v>40</v>
      </c>
      <c r="J155" s="24">
        <v>36000</v>
      </c>
      <c r="K155" s="21" t="s">
        <v>40</v>
      </c>
      <c r="L155" s="133">
        <v>0.125</v>
      </c>
      <c r="M155" s="133">
        <v>0.05</v>
      </c>
      <c r="N155" s="22"/>
      <c r="O155" s="23" t="s">
        <v>40</v>
      </c>
      <c r="P155" s="20">
        <f t="shared" ref="P155:P172" si="56">(C155+(E155*F155*H155))-N155</f>
        <v>625</v>
      </c>
      <c r="Q155" s="23" t="s">
        <v>40</v>
      </c>
      <c r="R155" s="24">
        <f t="shared" ref="R155:R172" si="57">P155*(J155-(J155*L155)-((J155-(J155*L155))*M155))</f>
        <v>18703125</v>
      </c>
      <c r="S155" s="24">
        <f t="shared" si="38"/>
        <v>16849662.162162162</v>
      </c>
    </row>
    <row r="156" spans="1:19" s="19" customFormat="1" x14ac:dyDescent="0.2">
      <c r="A156" s="31" t="s">
        <v>110</v>
      </c>
      <c r="B156" s="19" t="s">
        <v>18</v>
      </c>
      <c r="C156" s="20">
        <v>480</v>
      </c>
      <c r="D156" s="21" t="s">
        <v>40</v>
      </c>
      <c r="E156" s="26"/>
      <c r="F156" s="22">
        <v>1</v>
      </c>
      <c r="G156" s="23" t="s">
        <v>20</v>
      </c>
      <c r="H156" s="22">
        <v>48</v>
      </c>
      <c r="I156" s="23" t="s">
        <v>40</v>
      </c>
      <c r="J156" s="24">
        <v>36000</v>
      </c>
      <c r="K156" s="21" t="s">
        <v>40</v>
      </c>
      <c r="L156" s="33">
        <v>0.125</v>
      </c>
      <c r="M156" s="33">
        <v>0.1</v>
      </c>
      <c r="N156" s="22"/>
      <c r="O156" s="23" t="s">
        <v>40</v>
      </c>
      <c r="P156" s="20">
        <f t="shared" ref="P156" si="58">(C156+(E156*F156*H156))-N156</f>
        <v>480</v>
      </c>
      <c r="Q156" s="23" t="s">
        <v>40</v>
      </c>
      <c r="R156" s="24">
        <f t="shared" ref="R156" si="59">P156*(J156-(J156*L156)-((J156-(J156*L156))*M156))</f>
        <v>13608000</v>
      </c>
      <c r="S156" s="24">
        <f t="shared" ref="S156" si="60">R156/1.11</f>
        <v>12259459.459459458</v>
      </c>
    </row>
    <row r="157" spans="1:19" s="19" customFormat="1" x14ac:dyDescent="0.2">
      <c r="A157" s="31" t="s">
        <v>110</v>
      </c>
      <c r="B157" s="19" t="s">
        <v>18</v>
      </c>
      <c r="C157" s="20">
        <v>24</v>
      </c>
      <c r="D157" s="21" t="s">
        <v>40</v>
      </c>
      <c r="E157" s="26">
        <v>19</v>
      </c>
      <c r="F157" s="22">
        <v>1</v>
      </c>
      <c r="G157" s="23" t="s">
        <v>20</v>
      </c>
      <c r="H157" s="22">
        <v>48</v>
      </c>
      <c r="I157" s="23" t="s">
        <v>40</v>
      </c>
      <c r="J157" s="24">
        <v>36000</v>
      </c>
      <c r="K157" s="21" t="s">
        <v>40</v>
      </c>
      <c r="L157" s="33">
        <v>0.125</v>
      </c>
      <c r="M157" s="33">
        <v>0.05</v>
      </c>
      <c r="N157" s="22"/>
      <c r="O157" s="23" t="s">
        <v>40</v>
      </c>
      <c r="P157" s="20">
        <f>(C157+(E157*F157*H157))-N157</f>
        <v>936</v>
      </c>
      <c r="Q157" s="23" t="s">
        <v>40</v>
      </c>
      <c r="R157" s="24">
        <f>P157*(J157-(J157*L157)-((J157-(J157*L157))*M157))</f>
        <v>28009800</v>
      </c>
      <c r="S157" s="24">
        <f>R157/1.11</f>
        <v>25234054.054054052</v>
      </c>
    </row>
    <row r="158" spans="1:19" s="19" customFormat="1" x14ac:dyDescent="0.2">
      <c r="A158" s="18" t="s">
        <v>724</v>
      </c>
      <c r="B158" s="19" t="s">
        <v>18</v>
      </c>
      <c r="C158" s="20">
        <v>96</v>
      </c>
      <c r="D158" s="21" t="s">
        <v>40</v>
      </c>
      <c r="E158" s="26">
        <v>3</v>
      </c>
      <c r="F158" s="22">
        <v>1</v>
      </c>
      <c r="G158" s="23" t="s">
        <v>20</v>
      </c>
      <c r="H158" s="22">
        <v>48</v>
      </c>
      <c r="I158" s="23" t="s">
        <v>40</v>
      </c>
      <c r="J158" s="24">
        <v>36000</v>
      </c>
      <c r="K158" s="21" t="s">
        <v>40</v>
      </c>
      <c r="L158" s="25">
        <v>0.125</v>
      </c>
      <c r="M158" s="25">
        <v>0.05</v>
      </c>
      <c r="N158" s="22"/>
      <c r="O158" s="23" t="s">
        <v>40</v>
      </c>
      <c r="P158" s="20">
        <f t="shared" si="56"/>
        <v>240</v>
      </c>
      <c r="Q158" s="23" t="s">
        <v>40</v>
      </c>
      <c r="R158" s="24">
        <f t="shared" si="57"/>
        <v>7182000</v>
      </c>
      <c r="S158" s="24">
        <f t="shared" si="38"/>
        <v>6470270.2702702694</v>
      </c>
    </row>
    <row r="159" spans="1:19" s="81" customFormat="1" x14ac:dyDescent="0.2">
      <c r="A159" s="80" t="s">
        <v>111</v>
      </c>
      <c r="B159" s="81" t="s">
        <v>18</v>
      </c>
      <c r="C159" s="79"/>
      <c r="D159" s="82" t="s">
        <v>40</v>
      </c>
      <c r="E159" s="83"/>
      <c r="F159" s="84">
        <v>1</v>
      </c>
      <c r="G159" s="85" t="s">
        <v>20</v>
      </c>
      <c r="H159" s="84">
        <v>48</v>
      </c>
      <c r="I159" s="85" t="s">
        <v>40</v>
      </c>
      <c r="J159" s="86">
        <v>39000</v>
      </c>
      <c r="K159" s="82" t="s">
        <v>40</v>
      </c>
      <c r="L159" s="87">
        <v>0.125</v>
      </c>
      <c r="M159" s="87">
        <v>0.05</v>
      </c>
      <c r="N159" s="84"/>
      <c r="O159" s="85" t="s">
        <v>40</v>
      </c>
      <c r="P159" s="79">
        <f t="shared" si="56"/>
        <v>0</v>
      </c>
      <c r="Q159" s="85" t="s">
        <v>40</v>
      </c>
      <c r="R159" s="86">
        <f t="shared" si="57"/>
        <v>0</v>
      </c>
      <c r="S159" s="86">
        <f t="shared" si="38"/>
        <v>0</v>
      </c>
    </row>
    <row r="160" spans="1:19" s="19" customFormat="1" x14ac:dyDescent="0.2">
      <c r="A160" s="18" t="s">
        <v>112</v>
      </c>
      <c r="B160" s="19" t="s">
        <v>18</v>
      </c>
      <c r="C160" s="20">
        <v>144</v>
      </c>
      <c r="D160" s="21" t="s">
        <v>40</v>
      </c>
      <c r="E160" s="26"/>
      <c r="F160" s="22">
        <v>1</v>
      </c>
      <c r="G160" s="23" t="s">
        <v>20</v>
      </c>
      <c r="H160" s="22">
        <v>48</v>
      </c>
      <c r="I160" s="23" t="s">
        <v>40</v>
      </c>
      <c r="J160" s="24">
        <v>54600</v>
      </c>
      <c r="K160" s="21" t="s">
        <v>40</v>
      </c>
      <c r="L160" s="25">
        <v>0.125</v>
      </c>
      <c r="M160" s="25">
        <v>0.05</v>
      </c>
      <c r="N160" s="22"/>
      <c r="O160" s="23" t="s">
        <v>40</v>
      </c>
      <c r="P160" s="20">
        <f t="shared" si="56"/>
        <v>144</v>
      </c>
      <c r="Q160" s="23" t="s">
        <v>40</v>
      </c>
      <c r="R160" s="24">
        <f t="shared" si="57"/>
        <v>6535620</v>
      </c>
      <c r="S160" s="24">
        <f t="shared" si="38"/>
        <v>5887945.9459459456</v>
      </c>
    </row>
    <row r="161" spans="1:19" s="19" customFormat="1" x14ac:dyDescent="0.2">
      <c r="A161" s="18" t="s">
        <v>113</v>
      </c>
      <c r="B161" s="19" t="s">
        <v>18</v>
      </c>
      <c r="C161" s="20">
        <v>144</v>
      </c>
      <c r="D161" s="21" t="s">
        <v>40</v>
      </c>
      <c r="E161" s="26"/>
      <c r="F161" s="22">
        <v>1</v>
      </c>
      <c r="G161" s="23" t="s">
        <v>20</v>
      </c>
      <c r="H161" s="22">
        <v>48</v>
      </c>
      <c r="I161" s="23" t="s">
        <v>40</v>
      </c>
      <c r="J161" s="24">
        <v>30000</v>
      </c>
      <c r="K161" s="21" t="s">
        <v>40</v>
      </c>
      <c r="L161" s="25">
        <v>0.125</v>
      </c>
      <c r="M161" s="25">
        <v>0.05</v>
      </c>
      <c r="N161" s="22"/>
      <c r="O161" s="23" t="s">
        <v>40</v>
      </c>
      <c r="P161" s="20">
        <f t="shared" si="56"/>
        <v>144</v>
      </c>
      <c r="Q161" s="23" t="s">
        <v>40</v>
      </c>
      <c r="R161" s="24">
        <f t="shared" si="57"/>
        <v>3591000</v>
      </c>
      <c r="S161" s="24">
        <f t="shared" si="38"/>
        <v>3235135.1351351347</v>
      </c>
    </row>
    <row r="162" spans="1:19" s="19" customFormat="1" x14ac:dyDescent="0.2">
      <c r="A162" s="18" t="s">
        <v>692</v>
      </c>
      <c r="B162" s="19" t="s">
        <v>18</v>
      </c>
      <c r="C162" s="20">
        <v>144</v>
      </c>
      <c r="D162" s="21" t="s">
        <v>40</v>
      </c>
      <c r="E162" s="26"/>
      <c r="F162" s="22">
        <v>1</v>
      </c>
      <c r="G162" s="23" t="s">
        <v>20</v>
      </c>
      <c r="H162" s="22">
        <v>48</v>
      </c>
      <c r="I162" s="23" t="s">
        <v>40</v>
      </c>
      <c r="J162" s="24">
        <v>48000</v>
      </c>
      <c r="K162" s="21" t="s">
        <v>40</v>
      </c>
      <c r="L162" s="25">
        <v>0.125</v>
      </c>
      <c r="M162" s="25">
        <v>0.05</v>
      </c>
      <c r="N162" s="22"/>
      <c r="O162" s="23" t="s">
        <v>40</v>
      </c>
      <c r="P162" s="20">
        <f t="shared" si="56"/>
        <v>144</v>
      </c>
      <c r="Q162" s="23" t="s">
        <v>40</v>
      </c>
      <c r="R162" s="24">
        <f t="shared" si="57"/>
        <v>5745600</v>
      </c>
      <c r="S162" s="24">
        <f t="shared" si="38"/>
        <v>5176216.2162162159</v>
      </c>
    </row>
    <row r="163" spans="1:19" s="19" customFormat="1" x14ac:dyDescent="0.2">
      <c r="A163" s="135" t="s">
        <v>114</v>
      </c>
      <c r="B163" s="19" t="s">
        <v>18</v>
      </c>
      <c r="C163" s="20"/>
      <c r="D163" s="21" t="s">
        <v>40</v>
      </c>
      <c r="E163" s="26">
        <v>4</v>
      </c>
      <c r="F163" s="22">
        <v>1</v>
      </c>
      <c r="G163" s="23" t="s">
        <v>20</v>
      </c>
      <c r="H163" s="22">
        <v>36</v>
      </c>
      <c r="I163" s="23" t="s">
        <v>40</v>
      </c>
      <c r="J163" s="24">
        <v>41400</v>
      </c>
      <c r="K163" s="21" t="s">
        <v>40</v>
      </c>
      <c r="L163" s="133">
        <v>0.125</v>
      </c>
      <c r="M163" s="133">
        <v>0.05</v>
      </c>
      <c r="N163" s="22"/>
      <c r="O163" s="23" t="s">
        <v>40</v>
      </c>
      <c r="P163" s="20">
        <f t="shared" ref="P163" si="61">(C163+(E163*F163*H163))-N163</f>
        <v>144</v>
      </c>
      <c r="Q163" s="23" t="s">
        <v>40</v>
      </c>
      <c r="R163" s="24">
        <f t="shared" ref="R163" si="62">P163*(J163-(J163*L163)-((J163-(J163*L163))*M163))</f>
        <v>4955580</v>
      </c>
      <c r="S163" s="24">
        <f t="shared" ref="S163" si="63">R163/1.11</f>
        <v>4464486.4864864862</v>
      </c>
    </row>
    <row r="164" spans="1:19" s="19" customFormat="1" x14ac:dyDescent="0.2">
      <c r="A164" s="134" t="s">
        <v>114</v>
      </c>
      <c r="B164" s="19" t="s">
        <v>18</v>
      </c>
      <c r="C164" s="20">
        <v>108</v>
      </c>
      <c r="D164" s="21" t="s">
        <v>40</v>
      </c>
      <c r="E164" s="26"/>
      <c r="F164" s="22">
        <v>1</v>
      </c>
      <c r="G164" s="23" t="s">
        <v>20</v>
      </c>
      <c r="H164" s="22">
        <v>36</v>
      </c>
      <c r="I164" s="23" t="s">
        <v>40</v>
      </c>
      <c r="J164" s="24">
        <v>41400</v>
      </c>
      <c r="K164" s="21" t="s">
        <v>40</v>
      </c>
      <c r="L164" s="133">
        <v>0.125</v>
      </c>
      <c r="M164" s="133">
        <v>0.1</v>
      </c>
      <c r="N164" s="22"/>
      <c r="O164" s="23" t="s">
        <v>40</v>
      </c>
      <c r="P164" s="20">
        <f t="shared" si="56"/>
        <v>108</v>
      </c>
      <c r="Q164" s="23" t="s">
        <v>40</v>
      </c>
      <c r="R164" s="24">
        <f t="shared" si="57"/>
        <v>3521070</v>
      </c>
      <c r="S164" s="24">
        <f t="shared" si="38"/>
        <v>3172135.1351351347</v>
      </c>
    </row>
    <row r="165" spans="1:19" s="19" customFormat="1" x14ac:dyDescent="0.2">
      <c r="A165" s="18" t="s">
        <v>115</v>
      </c>
      <c r="B165" s="19" t="s">
        <v>18</v>
      </c>
      <c r="C165" s="20">
        <v>36</v>
      </c>
      <c r="D165" s="21" t="s">
        <v>40</v>
      </c>
      <c r="E165" s="26">
        <v>4</v>
      </c>
      <c r="F165" s="22">
        <v>1</v>
      </c>
      <c r="G165" s="23" t="s">
        <v>20</v>
      </c>
      <c r="H165" s="22">
        <v>36</v>
      </c>
      <c r="I165" s="23" t="s">
        <v>40</v>
      </c>
      <c r="J165" s="24">
        <v>41400</v>
      </c>
      <c r="K165" s="21" t="s">
        <v>40</v>
      </c>
      <c r="L165" s="25">
        <v>0.125</v>
      </c>
      <c r="M165" s="25">
        <v>0.05</v>
      </c>
      <c r="N165" s="22"/>
      <c r="O165" s="23" t="s">
        <v>40</v>
      </c>
      <c r="P165" s="20">
        <f t="shared" si="56"/>
        <v>180</v>
      </c>
      <c r="Q165" s="23" t="s">
        <v>40</v>
      </c>
      <c r="R165" s="24">
        <f t="shared" si="57"/>
        <v>6194475</v>
      </c>
      <c r="S165" s="24">
        <f t="shared" si="38"/>
        <v>5580608.1081081079</v>
      </c>
    </row>
    <row r="166" spans="1:19" s="19" customFormat="1" x14ac:dyDescent="0.2">
      <c r="A166" s="18" t="s">
        <v>915</v>
      </c>
      <c r="B166" s="19" t="s">
        <v>18</v>
      </c>
      <c r="C166" s="20"/>
      <c r="D166" s="21" t="s">
        <v>40</v>
      </c>
      <c r="E166" s="26">
        <v>2</v>
      </c>
      <c r="F166" s="22">
        <v>1</v>
      </c>
      <c r="G166" s="23" t="s">
        <v>20</v>
      </c>
      <c r="H166" s="22">
        <v>36</v>
      </c>
      <c r="I166" s="23" t="s">
        <v>40</v>
      </c>
      <c r="J166" s="24">
        <v>43200</v>
      </c>
      <c r="K166" s="21" t="s">
        <v>40</v>
      </c>
      <c r="L166" s="25">
        <v>0.125</v>
      </c>
      <c r="M166" s="25">
        <v>0.05</v>
      </c>
      <c r="N166" s="22"/>
      <c r="O166" s="23" t="s">
        <v>40</v>
      </c>
      <c r="P166" s="20">
        <f t="shared" ref="P166" si="64">(C166+(E166*F166*H166))-N166</f>
        <v>72</v>
      </c>
      <c r="Q166" s="23" t="s">
        <v>40</v>
      </c>
      <c r="R166" s="24">
        <f t="shared" ref="R166" si="65">P166*(J166-(J166*L166)-((J166-(J166*L166))*M166))</f>
        <v>2585520</v>
      </c>
      <c r="S166" s="24">
        <f t="shared" ref="S166" si="66">R166/1.11</f>
        <v>2329297.297297297</v>
      </c>
    </row>
    <row r="167" spans="1:19" s="19" customFormat="1" x14ac:dyDescent="0.2">
      <c r="A167" s="18" t="s">
        <v>116</v>
      </c>
      <c r="B167" s="19" t="s">
        <v>18</v>
      </c>
      <c r="C167" s="20">
        <v>528</v>
      </c>
      <c r="D167" s="21" t="s">
        <v>40</v>
      </c>
      <c r="E167" s="26">
        <v>12</v>
      </c>
      <c r="F167" s="22">
        <v>24</v>
      </c>
      <c r="G167" s="23" t="s">
        <v>33</v>
      </c>
      <c r="H167" s="22">
        <v>2</v>
      </c>
      <c r="I167" s="23" t="s">
        <v>40</v>
      </c>
      <c r="J167" s="24">
        <f>70800/2</f>
        <v>35400</v>
      </c>
      <c r="K167" s="21" t="s">
        <v>40</v>
      </c>
      <c r="L167" s="25">
        <v>0.125</v>
      </c>
      <c r="M167" s="25">
        <v>0.05</v>
      </c>
      <c r="N167" s="22"/>
      <c r="O167" s="23" t="s">
        <v>40</v>
      </c>
      <c r="P167" s="20">
        <f t="shared" si="56"/>
        <v>1104</v>
      </c>
      <c r="Q167" s="23" t="s">
        <v>40</v>
      </c>
      <c r="R167" s="24">
        <f t="shared" si="57"/>
        <v>32486580</v>
      </c>
      <c r="S167" s="24">
        <f t="shared" si="38"/>
        <v>29267189.189189188</v>
      </c>
    </row>
    <row r="168" spans="1:19" s="19" customFormat="1" x14ac:dyDescent="0.2">
      <c r="A168" s="18" t="s">
        <v>117</v>
      </c>
      <c r="B168" s="19" t="s">
        <v>18</v>
      </c>
      <c r="C168" s="20">
        <v>240</v>
      </c>
      <c r="D168" s="21" t="s">
        <v>40</v>
      </c>
      <c r="E168" s="26">
        <v>12</v>
      </c>
      <c r="F168" s="22">
        <v>24</v>
      </c>
      <c r="G168" s="23" t="s">
        <v>33</v>
      </c>
      <c r="H168" s="22">
        <v>2</v>
      </c>
      <c r="I168" s="23" t="s">
        <v>40</v>
      </c>
      <c r="J168" s="24">
        <f>70800/2</f>
        <v>35400</v>
      </c>
      <c r="K168" s="21" t="s">
        <v>40</v>
      </c>
      <c r="L168" s="25">
        <v>0.125</v>
      </c>
      <c r="M168" s="25">
        <v>0.05</v>
      </c>
      <c r="N168" s="22"/>
      <c r="O168" s="23" t="s">
        <v>40</v>
      </c>
      <c r="P168" s="20">
        <f t="shared" si="56"/>
        <v>816</v>
      </c>
      <c r="Q168" s="23" t="s">
        <v>40</v>
      </c>
      <c r="R168" s="24">
        <f t="shared" si="57"/>
        <v>24011820</v>
      </c>
      <c r="S168" s="24">
        <f t="shared" si="38"/>
        <v>21632270.270270269</v>
      </c>
    </row>
    <row r="169" spans="1:19" s="19" customFormat="1" x14ac:dyDescent="0.2">
      <c r="A169" s="18" t="s">
        <v>118</v>
      </c>
      <c r="B169" s="19" t="s">
        <v>18</v>
      </c>
      <c r="C169" s="20">
        <v>29</v>
      </c>
      <c r="D169" s="21" t="s">
        <v>40</v>
      </c>
      <c r="E169" s="26">
        <v>6</v>
      </c>
      <c r="F169" s="22">
        <v>1</v>
      </c>
      <c r="G169" s="23" t="s">
        <v>20</v>
      </c>
      <c r="H169" s="22">
        <v>36</v>
      </c>
      <c r="I169" s="23" t="s">
        <v>40</v>
      </c>
      <c r="J169" s="24">
        <v>34200</v>
      </c>
      <c r="K169" s="21" t="s">
        <v>40</v>
      </c>
      <c r="L169" s="25">
        <v>0.125</v>
      </c>
      <c r="M169" s="25">
        <v>0.05</v>
      </c>
      <c r="N169" s="22"/>
      <c r="O169" s="23" t="s">
        <v>40</v>
      </c>
      <c r="P169" s="20">
        <f t="shared" si="56"/>
        <v>245</v>
      </c>
      <c r="Q169" s="23" t="s">
        <v>40</v>
      </c>
      <c r="R169" s="24">
        <f t="shared" si="57"/>
        <v>6965043.75</v>
      </c>
      <c r="S169" s="24">
        <f t="shared" si="38"/>
        <v>6274814.1891891882</v>
      </c>
    </row>
    <row r="170" spans="1:19" s="19" customFormat="1" x14ac:dyDescent="0.2">
      <c r="A170" s="18" t="s">
        <v>119</v>
      </c>
      <c r="B170" s="19" t="s">
        <v>18</v>
      </c>
      <c r="C170" s="20">
        <v>48</v>
      </c>
      <c r="D170" s="21" t="s">
        <v>40</v>
      </c>
      <c r="E170" s="26"/>
      <c r="F170" s="22">
        <v>24</v>
      </c>
      <c r="G170" s="23" t="s">
        <v>33</v>
      </c>
      <c r="H170" s="22">
        <v>2</v>
      </c>
      <c r="I170" s="23" t="s">
        <v>40</v>
      </c>
      <c r="J170" s="24">
        <f>46800/2</f>
        <v>23400</v>
      </c>
      <c r="K170" s="21" t="s">
        <v>40</v>
      </c>
      <c r="L170" s="25">
        <v>0.125</v>
      </c>
      <c r="M170" s="25">
        <v>0.05</v>
      </c>
      <c r="N170" s="22"/>
      <c r="O170" s="23" t="s">
        <v>40</v>
      </c>
      <c r="P170" s="20">
        <f t="shared" si="56"/>
        <v>48</v>
      </c>
      <c r="Q170" s="23" t="s">
        <v>40</v>
      </c>
      <c r="R170" s="24">
        <f t="shared" si="57"/>
        <v>933660</v>
      </c>
      <c r="S170" s="24">
        <f t="shared" si="38"/>
        <v>841135.13513513503</v>
      </c>
    </row>
    <row r="171" spans="1:19" s="81" customFormat="1" x14ac:dyDescent="0.2">
      <c r="A171" s="80" t="s">
        <v>120</v>
      </c>
      <c r="B171" s="81" t="s">
        <v>18</v>
      </c>
      <c r="C171" s="79"/>
      <c r="D171" s="82" t="s">
        <v>40</v>
      </c>
      <c r="E171" s="83"/>
      <c r="F171" s="84">
        <v>60</v>
      </c>
      <c r="G171" s="85" t="s">
        <v>33</v>
      </c>
      <c r="H171" s="84">
        <v>1</v>
      </c>
      <c r="I171" s="85" t="s">
        <v>40</v>
      </c>
      <c r="J171" s="86">
        <v>43200</v>
      </c>
      <c r="K171" s="82" t="s">
        <v>40</v>
      </c>
      <c r="L171" s="87">
        <v>0.125</v>
      </c>
      <c r="M171" s="87">
        <v>0.05</v>
      </c>
      <c r="N171" s="84"/>
      <c r="O171" s="85" t="s">
        <v>40</v>
      </c>
      <c r="P171" s="79">
        <f t="shared" si="56"/>
        <v>0</v>
      </c>
      <c r="Q171" s="85" t="s">
        <v>40</v>
      </c>
      <c r="R171" s="86">
        <f t="shared" si="57"/>
        <v>0</v>
      </c>
      <c r="S171" s="86">
        <f t="shared" si="38"/>
        <v>0</v>
      </c>
    </row>
    <row r="172" spans="1:19" s="19" customFormat="1" x14ac:dyDescent="0.2">
      <c r="A172" s="18" t="s">
        <v>686</v>
      </c>
      <c r="B172" s="19" t="s">
        <v>18</v>
      </c>
      <c r="C172" s="20">
        <v>209</v>
      </c>
      <c r="D172" s="21" t="s">
        <v>40</v>
      </c>
      <c r="E172" s="26"/>
      <c r="F172" s="22">
        <v>120</v>
      </c>
      <c r="G172" s="23" t="s">
        <v>33</v>
      </c>
      <c r="H172" s="22">
        <v>1</v>
      </c>
      <c r="I172" s="23" t="s">
        <v>40</v>
      </c>
      <c r="J172" s="24">
        <v>17400</v>
      </c>
      <c r="K172" s="21" t="s">
        <v>40</v>
      </c>
      <c r="L172" s="25">
        <v>0.125</v>
      </c>
      <c r="M172" s="25">
        <v>0.05</v>
      </c>
      <c r="N172" s="22"/>
      <c r="O172" s="23" t="s">
        <v>40</v>
      </c>
      <c r="P172" s="20">
        <f t="shared" si="56"/>
        <v>209</v>
      </c>
      <c r="Q172" s="23" t="s">
        <v>40</v>
      </c>
      <c r="R172" s="24">
        <f t="shared" si="57"/>
        <v>3022923.75</v>
      </c>
      <c r="S172" s="24">
        <f t="shared" si="38"/>
        <v>2723354.7297297297</v>
      </c>
    </row>
    <row r="173" spans="1:19" s="19" customFormat="1" x14ac:dyDescent="0.2">
      <c r="A173" s="18"/>
      <c r="C173" s="20"/>
      <c r="D173" s="21"/>
      <c r="E173" s="26"/>
      <c r="F173" s="22"/>
      <c r="G173" s="23"/>
      <c r="H173" s="22"/>
      <c r="I173" s="23"/>
      <c r="J173" s="24"/>
      <c r="K173" s="21"/>
      <c r="L173" s="25"/>
      <c r="M173" s="25"/>
      <c r="N173" s="22"/>
      <c r="O173" s="23"/>
      <c r="P173" s="20"/>
      <c r="Q173" s="23"/>
      <c r="R173" s="24"/>
      <c r="S173" s="24"/>
    </row>
    <row r="174" spans="1:19" s="81" customFormat="1" x14ac:dyDescent="0.2">
      <c r="A174" s="80" t="s">
        <v>121</v>
      </c>
      <c r="B174" s="81" t="s">
        <v>25</v>
      </c>
      <c r="C174" s="79"/>
      <c r="D174" s="82" t="s">
        <v>40</v>
      </c>
      <c r="E174" s="83"/>
      <c r="F174" s="84">
        <v>1</v>
      </c>
      <c r="G174" s="85" t="s">
        <v>20</v>
      </c>
      <c r="H174" s="84">
        <v>36</v>
      </c>
      <c r="I174" s="85" t="s">
        <v>40</v>
      </c>
      <c r="J174" s="86">
        <f>1954800/36</f>
        <v>54300</v>
      </c>
      <c r="K174" s="82" t="s">
        <v>40</v>
      </c>
      <c r="L174" s="87"/>
      <c r="M174" s="87">
        <v>0.17</v>
      </c>
      <c r="N174" s="84"/>
      <c r="O174" s="85" t="s">
        <v>40</v>
      </c>
      <c r="P174" s="79">
        <f t="shared" ref="P174:P181" si="67">(C174+(E174*F174*H174))-N174</f>
        <v>0</v>
      </c>
      <c r="Q174" s="85" t="s">
        <v>40</v>
      </c>
      <c r="R174" s="86">
        <f t="shared" ref="R174:R181" si="68">P174*(J174-(J174*L174)-((J174-(J174*L174))*M174))</f>
        <v>0</v>
      </c>
      <c r="S174" s="86">
        <f t="shared" si="38"/>
        <v>0</v>
      </c>
    </row>
    <row r="175" spans="1:19" s="81" customFormat="1" x14ac:dyDescent="0.2">
      <c r="A175" s="80" t="s">
        <v>122</v>
      </c>
      <c r="B175" s="81" t="s">
        <v>25</v>
      </c>
      <c r="C175" s="79"/>
      <c r="D175" s="82" t="s">
        <v>40</v>
      </c>
      <c r="E175" s="83"/>
      <c r="F175" s="84">
        <v>1</v>
      </c>
      <c r="G175" s="85" t="s">
        <v>20</v>
      </c>
      <c r="H175" s="84">
        <v>36</v>
      </c>
      <c r="I175" s="85" t="s">
        <v>40</v>
      </c>
      <c r="J175" s="86">
        <f>1954800/36</f>
        <v>54300</v>
      </c>
      <c r="K175" s="82" t="s">
        <v>40</v>
      </c>
      <c r="L175" s="87"/>
      <c r="M175" s="87">
        <v>0.17</v>
      </c>
      <c r="N175" s="84"/>
      <c r="O175" s="85" t="s">
        <v>40</v>
      </c>
      <c r="P175" s="79">
        <f t="shared" si="67"/>
        <v>0</v>
      </c>
      <c r="Q175" s="85" t="s">
        <v>40</v>
      </c>
      <c r="R175" s="86">
        <f t="shared" si="68"/>
        <v>0</v>
      </c>
      <c r="S175" s="86">
        <f t="shared" si="38"/>
        <v>0</v>
      </c>
    </row>
    <row r="176" spans="1:19" s="19" customFormat="1" x14ac:dyDescent="0.2">
      <c r="A176" s="18" t="s">
        <v>123</v>
      </c>
      <c r="B176" s="19" t="s">
        <v>25</v>
      </c>
      <c r="C176" s="20">
        <v>1211</v>
      </c>
      <c r="D176" s="21" t="s">
        <v>40</v>
      </c>
      <c r="E176" s="26">
        <v>271</v>
      </c>
      <c r="F176" s="22">
        <v>1</v>
      </c>
      <c r="G176" s="23" t="s">
        <v>20</v>
      </c>
      <c r="H176" s="22">
        <v>36</v>
      </c>
      <c r="I176" s="23" t="s">
        <v>40</v>
      </c>
      <c r="J176" s="24">
        <f>1954800/36</f>
        <v>54300</v>
      </c>
      <c r="K176" s="21" t="s">
        <v>40</v>
      </c>
      <c r="L176" s="25"/>
      <c r="M176" s="25">
        <v>0.17</v>
      </c>
      <c r="N176" s="22"/>
      <c r="O176" s="23" t="s">
        <v>40</v>
      </c>
      <c r="P176" s="20">
        <f t="shared" si="67"/>
        <v>10967</v>
      </c>
      <c r="Q176" s="23" t="s">
        <v>40</v>
      </c>
      <c r="R176" s="24">
        <f t="shared" si="68"/>
        <v>494271723</v>
      </c>
      <c r="S176" s="24">
        <f t="shared" si="38"/>
        <v>445289840.54054052</v>
      </c>
    </row>
    <row r="177" spans="1:19" s="19" customFormat="1" x14ac:dyDescent="0.2">
      <c r="A177" s="18" t="s">
        <v>124</v>
      </c>
      <c r="B177" s="19" t="s">
        <v>25</v>
      </c>
      <c r="C177" s="20">
        <v>84</v>
      </c>
      <c r="D177" s="21" t="s">
        <v>40</v>
      </c>
      <c r="E177" s="26">
        <v>13</v>
      </c>
      <c r="F177" s="22">
        <v>1</v>
      </c>
      <c r="G177" s="23" t="s">
        <v>20</v>
      </c>
      <c r="H177" s="22">
        <v>36</v>
      </c>
      <c r="I177" s="23" t="s">
        <v>40</v>
      </c>
      <c r="J177" s="24">
        <f>2008800/36</f>
        <v>55800</v>
      </c>
      <c r="K177" s="21" t="s">
        <v>40</v>
      </c>
      <c r="L177" s="25"/>
      <c r="M177" s="25">
        <v>0.17</v>
      </c>
      <c r="N177" s="22"/>
      <c r="O177" s="23" t="s">
        <v>40</v>
      </c>
      <c r="P177" s="20">
        <f t="shared" si="67"/>
        <v>552</v>
      </c>
      <c r="Q177" s="23" t="s">
        <v>40</v>
      </c>
      <c r="R177" s="24">
        <f t="shared" si="68"/>
        <v>25565328</v>
      </c>
      <c r="S177" s="24">
        <f t="shared" si="38"/>
        <v>23031827.027027026</v>
      </c>
    </row>
    <row r="178" spans="1:19" s="19" customFormat="1" x14ac:dyDescent="0.2">
      <c r="A178" s="18" t="s">
        <v>125</v>
      </c>
      <c r="B178" s="19" t="s">
        <v>25</v>
      </c>
      <c r="C178" s="20">
        <v>108</v>
      </c>
      <c r="D178" s="21" t="s">
        <v>40</v>
      </c>
      <c r="E178" s="26">
        <v>62</v>
      </c>
      <c r="F178" s="22">
        <v>1</v>
      </c>
      <c r="G178" s="23" t="s">
        <v>20</v>
      </c>
      <c r="H178" s="22">
        <v>36</v>
      </c>
      <c r="I178" s="23" t="s">
        <v>40</v>
      </c>
      <c r="J178" s="24">
        <f>1695600/36</f>
        <v>47100</v>
      </c>
      <c r="K178" s="21" t="s">
        <v>40</v>
      </c>
      <c r="L178" s="25"/>
      <c r="M178" s="25">
        <v>0.17</v>
      </c>
      <c r="N178" s="22"/>
      <c r="O178" s="23" t="s">
        <v>40</v>
      </c>
      <c r="P178" s="20">
        <f t="shared" si="67"/>
        <v>2340</v>
      </c>
      <c r="Q178" s="23" t="s">
        <v>40</v>
      </c>
      <c r="R178" s="24">
        <f t="shared" si="68"/>
        <v>91477620</v>
      </c>
      <c r="S178" s="24">
        <f t="shared" si="38"/>
        <v>82412270.270270258</v>
      </c>
    </row>
    <row r="179" spans="1:19" s="98" customFormat="1" x14ac:dyDescent="0.2">
      <c r="A179" s="90" t="s">
        <v>126</v>
      </c>
      <c r="B179" s="98" t="s">
        <v>25</v>
      </c>
      <c r="C179" s="99"/>
      <c r="D179" s="100" t="s">
        <v>40</v>
      </c>
      <c r="E179" s="101">
        <v>5</v>
      </c>
      <c r="F179" s="102">
        <v>1</v>
      </c>
      <c r="G179" s="103" t="s">
        <v>20</v>
      </c>
      <c r="H179" s="102">
        <v>36</v>
      </c>
      <c r="I179" s="103" t="s">
        <v>40</v>
      </c>
      <c r="J179" s="104">
        <f>1922400/36</f>
        <v>53400</v>
      </c>
      <c r="K179" s="100" t="s">
        <v>40</v>
      </c>
      <c r="L179" s="105"/>
      <c r="M179" s="105">
        <v>0.17</v>
      </c>
      <c r="N179" s="102"/>
      <c r="O179" s="103" t="s">
        <v>40</v>
      </c>
      <c r="P179" s="99">
        <f t="shared" si="67"/>
        <v>180</v>
      </c>
      <c r="Q179" s="103" t="s">
        <v>40</v>
      </c>
      <c r="R179" s="104">
        <f t="shared" si="68"/>
        <v>7977960</v>
      </c>
      <c r="S179" s="104">
        <f t="shared" si="38"/>
        <v>7187351.3513513505</v>
      </c>
    </row>
    <row r="180" spans="1:19" s="19" customFormat="1" x14ac:dyDescent="0.2">
      <c r="A180" s="18" t="s">
        <v>127</v>
      </c>
      <c r="B180" s="19" t="s">
        <v>25</v>
      </c>
      <c r="C180" s="20">
        <v>245</v>
      </c>
      <c r="D180" s="21" t="s">
        <v>40</v>
      </c>
      <c r="E180" s="26">
        <v>23</v>
      </c>
      <c r="F180" s="22">
        <v>1</v>
      </c>
      <c r="G180" s="23" t="s">
        <v>20</v>
      </c>
      <c r="H180" s="22">
        <v>36</v>
      </c>
      <c r="I180" s="23" t="s">
        <v>40</v>
      </c>
      <c r="J180" s="24">
        <f>2052000/36</f>
        <v>57000</v>
      </c>
      <c r="K180" s="21" t="s">
        <v>40</v>
      </c>
      <c r="L180" s="25"/>
      <c r="M180" s="25">
        <v>0.17</v>
      </c>
      <c r="N180" s="22"/>
      <c r="O180" s="23" t="s">
        <v>40</v>
      </c>
      <c r="P180" s="20">
        <f t="shared" si="67"/>
        <v>1073</v>
      </c>
      <c r="Q180" s="23" t="s">
        <v>40</v>
      </c>
      <c r="R180" s="24">
        <f t="shared" si="68"/>
        <v>50763630</v>
      </c>
      <c r="S180" s="24">
        <f t="shared" si="38"/>
        <v>45732999.999999993</v>
      </c>
    </row>
    <row r="181" spans="1:19" s="19" customFormat="1" x14ac:dyDescent="0.2">
      <c r="A181" s="18" t="s">
        <v>128</v>
      </c>
      <c r="B181" s="19" t="s">
        <v>25</v>
      </c>
      <c r="C181" s="20"/>
      <c r="D181" s="21" t="s">
        <v>40</v>
      </c>
      <c r="E181" s="26">
        <v>9</v>
      </c>
      <c r="F181" s="22">
        <v>1</v>
      </c>
      <c r="G181" s="23" t="s">
        <v>20</v>
      </c>
      <c r="H181" s="22">
        <v>36</v>
      </c>
      <c r="I181" s="23" t="s">
        <v>40</v>
      </c>
      <c r="J181" s="24">
        <f>2170800/36</f>
        <v>60300</v>
      </c>
      <c r="K181" s="21" t="s">
        <v>40</v>
      </c>
      <c r="L181" s="25"/>
      <c r="M181" s="25">
        <v>0.17</v>
      </c>
      <c r="N181" s="22"/>
      <c r="O181" s="23" t="s">
        <v>40</v>
      </c>
      <c r="P181" s="20">
        <f t="shared" si="67"/>
        <v>324</v>
      </c>
      <c r="Q181" s="23" t="s">
        <v>40</v>
      </c>
      <c r="R181" s="24">
        <f t="shared" si="68"/>
        <v>16215876</v>
      </c>
      <c r="S181" s="24">
        <f t="shared" si="38"/>
        <v>14608897.297297295</v>
      </c>
    </row>
    <row r="182" spans="1:19" s="19" customFormat="1" x14ac:dyDescent="0.2">
      <c r="A182" s="18"/>
      <c r="C182" s="20"/>
      <c r="D182" s="21"/>
      <c r="E182" s="26"/>
      <c r="F182" s="22"/>
      <c r="G182" s="23"/>
      <c r="H182" s="22"/>
      <c r="I182" s="23"/>
      <c r="J182" s="24"/>
      <c r="K182" s="21"/>
      <c r="L182" s="25"/>
      <c r="M182" s="25"/>
      <c r="N182" s="22"/>
      <c r="O182" s="23"/>
      <c r="P182" s="20"/>
      <c r="Q182" s="23"/>
      <c r="R182" s="24"/>
      <c r="S182" s="24"/>
    </row>
    <row r="183" spans="1:19" s="19" customFormat="1" x14ac:dyDescent="0.2">
      <c r="A183" s="65" t="s">
        <v>129</v>
      </c>
      <c r="C183" s="20"/>
      <c r="D183" s="21"/>
      <c r="E183" s="26"/>
      <c r="F183" s="22"/>
      <c r="G183" s="23"/>
      <c r="H183" s="22"/>
      <c r="I183" s="23"/>
      <c r="J183" s="24"/>
      <c r="K183" s="21"/>
      <c r="L183" s="25"/>
      <c r="M183" s="25"/>
      <c r="N183" s="22"/>
      <c r="O183" s="23"/>
      <c r="P183" s="20"/>
      <c r="Q183" s="23"/>
      <c r="R183" s="24"/>
      <c r="S183" s="24"/>
    </row>
    <row r="184" spans="1:19" s="19" customFormat="1" x14ac:dyDescent="0.2">
      <c r="A184" s="18" t="s">
        <v>130</v>
      </c>
      <c r="B184" s="19" t="s">
        <v>18</v>
      </c>
      <c r="C184" s="20"/>
      <c r="D184" s="21" t="s">
        <v>40</v>
      </c>
      <c r="E184" s="26">
        <v>13</v>
      </c>
      <c r="F184" s="22">
        <v>1</v>
      </c>
      <c r="G184" s="23" t="s">
        <v>20</v>
      </c>
      <c r="H184" s="22">
        <v>60</v>
      </c>
      <c r="I184" s="23" t="s">
        <v>40</v>
      </c>
      <c r="J184" s="24">
        <f>4600*12</f>
        <v>55200</v>
      </c>
      <c r="K184" s="21" t="s">
        <v>40</v>
      </c>
      <c r="L184" s="25">
        <v>0.125</v>
      </c>
      <c r="M184" s="25">
        <v>0.05</v>
      </c>
      <c r="N184" s="22"/>
      <c r="O184" s="23" t="s">
        <v>40</v>
      </c>
      <c r="P184" s="20">
        <f t="shared" ref="P184:P203" si="69">(C184+(E184*F184*H184))-N184</f>
        <v>780</v>
      </c>
      <c r="Q184" s="23" t="s">
        <v>40</v>
      </c>
      <c r="R184" s="24">
        <f t="shared" ref="R184:R203" si="70">P184*(J184-(J184*L184)-((J184-(J184*L184))*M184))</f>
        <v>35790300</v>
      </c>
      <c r="S184" s="24">
        <f t="shared" si="38"/>
        <v>32243513.513513509</v>
      </c>
    </row>
    <row r="185" spans="1:19" s="98" customFormat="1" x14ac:dyDescent="0.2">
      <c r="A185" s="90" t="s">
        <v>131</v>
      </c>
      <c r="B185" s="98" t="s">
        <v>18</v>
      </c>
      <c r="C185" s="99"/>
      <c r="D185" s="100" t="s">
        <v>40</v>
      </c>
      <c r="E185" s="101">
        <v>7</v>
      </c>
      <c r="F185" s="102">
        <v>1</v>
      </c>
      <c r="G185" s="103" t="s">
        <v>20</v>
      </c>
      <c r="H185" s="102">
        <v>60</v>
      </c>
      <c r="I185" s="103" t="s">
        <v>40</v>
      </c>
      <c r="J185" s="104">
        <f>4500*12</f>
        <v>54000</v>
      </c>
      <c r="K185" s="100" t="s">
        <v>40</v>
      </c>
      <c r="L185" s="105">
        <v>0.125</v>
      </c>
      <c r="M185" s="105">
        <v>0.05</v>
      </c>
      <c r="N185" s="102"/>
      <c r="O185" s="103" t="s">
        <v>40</v>
      </c>
      <c r="P185" s="99">
        <f t="shared" si="69"/>
        <v>420</v>
      </c>
      <c r="Q185" s="103" t="s">
        <v>40</v>
      </c>
      <c r="R185" s="104">
        <f t="shared" si="70"/>
        <v>18852750</v>
      </c>
      <c r="S185" s="104">
        <f t="shared" si="38"/>
        <v>16984459.459459458</v>
      </c>
    </row>
    <row r="186" spans="1:19" s="81" customFormat="1" x14ac:dyDescent="0.2">
      <c r="A186" s="80" t="s">
        <v>693</v>
      </c>
      <c r="B186" s="81" t="s">
        <v>18</v>
      </c>
      <c r="C186" s="79"/>
      <c r="D186" s="82" t="s">
        <v>40</v>
      </c>
      <c r="E186" s="83"/>
      <c r="F186" s="84">
        <v>1</v>
      </c>
      <c r="G186" s="85" t="s">
        <v>20</v>
      </c>
      <c r="H186" s="84">
        <v>60</v>
      </c>
      <c r="I186" s="85" t="s">
        <v>40</v>
      </c>
      <c r="J186" s="86">
        <f>4500*12</f>
        <v>54000</v>
      </c>
      <c r="K186" s="82" t="s">
        <v>40</v>
      </c>
      <c r="L186" s="87">
        <v>0.125</v>
      </c>
      <c r="M186" s="87">
        <v>0.05</v>
      </c>
      <c r="N186" s="84"/>
      <c r="O186" s="85" t="s">
        <v>40</v>
      </c>
      <c r="P186" s="79">
        <f t="shared" si="69"/>
        <v>0</v>
      </c>
      <c r="Q186" s="85" t="s">
        <v>40</v>
      </c>
      <c r="R186" s="86">
        <f t="shared" si="70"/>
        <v>0</v>
      </c>
      <c r="S186" s="86">
        <f t="shared" si="38"/>
        <v>0</v>
      </c>
    </row>
    <row r="187" spans="1:19" s="19" customFormat="1" x14ac:dyDescent="0.2">
      <c r="A187" s="18" t="s">
        <v>132</v>
      </c>
      <c r="B187" s="19" t="s">
        <v>18</v>
      </c>
      <c r="C187" s="20"/>
      <c r="D187" s="21" t="s">
        <v>40</v>
      </c>
      <c r="E187" s="26">
        <v>1</v>
      </c>
      <c r="F187" s="22">
        <v>1</v>
      </c>
      <c r="G187" s="23" t="s">
        <v>20</v>
      </c>
      <c r="H187" s="22">
        <v>30</v>
      </c>
      <c r="I187" s="23" t="s">
        <v>40</v>
      </c>
      <c r="J187" s="24">
        <v>69600</v>
      </c>
      <c r="K187" s="21" t="s">
        <v>40</v>
      </c>
      <c r="L187" s="25">
        <v>0.125</v>
      </c>
      <c r="M187" s="25">
        <v>0.05</v>
      </c>
      <c r="N187" s="22"/>
      <c r="O187" s="23" t="s">
        <v>40</v>
      </c>
      <c r="P187" s="20">
        <f t="shared" ref="P187" si="71">(C187+(E187*F187*H187))-N187</f>
        <v>30</v>
      </c>
      <c r="Q187" s="23" t="s">
        <v>40</v>
      </c>
      <c r="R187" s="24">
        <f t="shared" ref="R187" si="72">P187*(J187-(J187*L187)-((J187-(J187*L187))*M187))</f>
        <v>1735650</v>
      </c>
      <c r="S187" s="24">
        <f t="shared" ref="S187" si="73">R187/1.11</f>
        <v>1563648.6486486485</v>
      </c>
    </row>
    <row r="188" spans="1:19" s="19" customFormat="1" x14ac:dyDescent="0.2">
      <c r="A188" s="18" t="s">
        <v>718</v>
      </c>
      <c r="B188" s="19" t="s">
        <v>18</v>
      </c>
      <c r="C188" s="20"/>
      <c r="D188" s="21" t="s">
        <v>40</v>
      </c>
      <c r="E188" s="26">
        <v>3</v>
      </c>
      <c r="F188" s="22">
        <v>1</v>
      </c>
      <c r="G188" s="23" t="s">
        <v>20</v>
      </c>
      <c r="H188" s="22">
        <v>30</v>
      </c>
      <c r="I188" s="23" t="s">
        <v>40</v>
      </c>
      <c r="J188" s="24">
        <f>11000*12</f>
        <v>132000</v>
      </c>
      <c r="K188" s="21" t="s">
        <v>40</v>
      </c>
      <c r="L188" s="25">
        <v>0.125</v>
      </c>
      <c r="M188" s="25">
        <v>0.05</v>
      </c>
      <c r="N188" s="22"/>
      <c r="O188" s="23" t="s">
        <v>40</v>
      </c>
      <c r="P188" s="20">
        <f t="shared" ref="P188" si="74">(C188+(E188*F188*H188))-N188</f>
        <v>90</v>
      </c>
      <c r="Q188" s="23" t="s">
        <v>40</v>
      </c>
      <c r="R188" s="24">
        <f t="shared" ref="R188" si="75">P188*(J188-(J188*L188)-((J188-(J188*L188))*M188))</f>
        <v>9875250</v>
      </c>
      <c r="S188" s="24">
        <f t="shared" ref="S188" si="76">R188/1.11</f>
        <v>8896621.6216216199</v>
      </c>
    </row>
    <row r="189" spans="1:19" s="19" customFormat="1" x14ac:dyDescent="0.2">
      <c r="A189" s="18" t="s">
        <v>133</v>
      </c>
      <c r="B189" s="19" t="s">
        <v>18</v>
      </c>
      <c r="C189" s="20">
        <v>3099</v>
      </c>
      <c r="D189" s="21" t="s">
        <v>40</v>
      </c>
      <c r="E189" s="26">
        <v>56</v>
      </c>
      <c r="F189" s="22">
        <v>1</v>
      </c>
      <c r="G189" s="23" t="s">
        <v>20</v>
      </c>
      <c r="H189" s="22">
        <v>60</v>
      </c>
      <c r="I189" s="23" t="s">
        <v>40</v>
      </c>
      <c r="J189" s="24">
        <f>4800*12</f>
        <v>57600</v>
      </c>
      <c r="K189" s="21" t="s">
        <v>40</v>
      </c>
      <c r="L189" s="25">
        <v>0.125</v>
      </c>
      <c r="M189" s="25">
        <v>0.05</v>
      </c>
      <c r="N189" s="22"/>
      <c r="O189" s="23" t="s">
        <v>40</v>
      </c>
      <c r="P189" s="20">
        <f t="shared" si="69"/>
        <v>6459</v>
      </c>
      <c r="Q189" s="23" t="s">
        <v>40</v>
      </c>
      <c r="R189" s="24">
        <f t="shared" si="70"/>
        <v>309256920</v>
      </c>
      <c r="S189" s="24">
        <f t="shared" si="38"/>
        <v>278609837.83783782</v>
      </c>
    </row>
    <row r="190" spans="1:19" s="19" customFormat="1" x14ac:dyDescent="0.2">
      <c r="A190" s="145" t="s">
        <v>916</v>
      </c>
      <c r="B190" s="19" t="s">
        <v>18</v>
      </c>
      <c r="C190" s="20"/>
      <c r="D190" s="21" t="s">
        <v>40</v>
      </c>
      <c r="E190" s="26">
        <v>10</v>
      </c>
      <c r="F190" s="22">
        <v>1</v>
      </c>
      <c r="G190" s="23" t="s">
        <v>20</v>
      </c>
      <c r="H190" s="22">
        <v>60</v>
      </c>
      <c r="I190" s="23" t="s">
        <v>40</v>
      </c>
      <c r="J190" s="24">
        <f>4800*12</f>
        <v>57600</v>
      </c>
      <c r="K190" s="21" t="s">
        <v>40</v>
      </c>
      <c r="L190" s="25">
        <v>0.125</v>
      </c>
      <c r="M190" s="25">
        <v>0.05</v>
      </c>
      <c r="N190" s="22"/>
      <c r="O190" s="23" t="s">
        <v>40</v>
      </c>
      <c r="P190" s="20">
        <f t="shared" ref="P190" si="77">(C190+(E190*F190*H190))-N190</f>
        <v>600</v>
      </c>
      <c r="Q190" s="23" t="s">
        <v>40</v>
      </c>
      <c r="R190" s="24">
        <f t="shared" ref="R190" si="78">P190*(J190-(J190*L190)-((J190-(J190*L190))*M190))</f>
        <v>28728000</v>
      </c>
      <c r="S190" s="24">
        <f t="shared" ref="S190" si="79">R190/1.11</f>
        <v>25881081.081081077</v>
      </c>
    </row>
    <row r="191" spans="1:19" s="98" customFormat="1" x14ac:dyDescent="0.2">
      <c r="A191" s="90" t="s">
        <v>848</v>
      </c>
      <c r="B191" s="98" t="s">
        <v>18</v>
      </c>
      <c r="C191" s="99"/>
      <c r="D191" s="100" t="s">
        <v>102</v>
      </c>
      <c r="E191" s="101">
        <v>1</v>
      </c>
      <c r="F191" s="102">
        <v>24</v>
      </c>
      <c r="G191" s="103" t="s">
        <v>33</v>
      </c>
      <c r="H191" s="102">
        <v>12</v>
      </c>
      <c r="I191" s="103" t="s">
        <v>102</v>
      </c>
      <c r="J191" s="104">
        <v>9300</v>
      </c>
      <c r="K191" s="100" t="s">
        <v>102</v>
      </c>
      <c r="L191" s="105">
        <v>0.125</v>
      </c>
      <c r="M191" s="105">
        <v>0.05</v>
      </c>
      <c r="N191" s="102"/>
      <c r="O191" s="103" t="s">
        <v>102</v>
      </c>
      <c r="P191" s="99">
        <f t="shared" si="69"/>
        <v>288</v>
      </c>
      <c r="Q191" s="103" t="s">
        <v>102</v>
      </c>
      <c r="R191" s="104">
        <f t="shared" si="70"/>
        <v>2226420</v>
      </c>
      <c r="S191" s="104">
        <f t="shared" si="38"/>
        <v>2005783.7837837837</v>
      </c>
    </row>
    <row r="192" spans="1:19" s="81" customFormat="1" x14ac:dyDescent="0.2">
      <c r="A192" s="80" t="s">
        <v>134</v>
      </c>
      <c r="B192" s="81" t="s">
        <v>18</v>
      </c>
      <c r="C192" s="79"/>
      <c r="D192" s="82" t="s">
        <v>40</v>
      </c>
      <c r="E192" s="83"/>
      <c r="F192" s="84">
        <v>1</v>
      </c>
      <c r="G192" s="85" t="s">
        <v>20</v>
      </c>
      <c r="H192" s="84">
        <v>60</v>
      </c>
      <c r="I192" s="85" t="s">
        <v>40</v>
      </c>
      <c r="J192" s="86">
        <f>5800*12</f>
        <v>69600</v>
      </c>
      <c r="K192" s="82" t="s">
        <v>40</v>
      </c>
      <c r="L192" s="87">
        <v>0.125</v>
      </c>
      <c r="M192" s="87">
        <v>0.05</v>
      </c>
      <c r="N192" s="84"/>
      <c r="O192" s="85" t="s">
        <v>40</v>
      </c>
      <c r="P192" s="79">
        <f t="shared" si="69"/>
        <v>0</v>
      </c>
      <c r="Q192" s="85" t="s">
        <v>40</v>
      </c>
      <c r="R192" s="86">
        <f t="shared" si="70"/>
        <v>0</v>
      </c>
      <c r="S192" s="86">
        <f t="shared" si="38"/>
        <v>0</v>
      </c>
    </row>
    <row r="193" spans="1:19" s="19" customFormat="1" x14ac:dyDescent="0.2">
      <c r="A193" s="18" t="s">
        <v>135</v>
      </c>
      <c r="B193" s="19" t="s">
        <v>18</v>
      </c>
      <c r="C193" s="20">
        <v>40</v>
      </c>
      <c r="D193" s="21" t="s">
        <v>40</v>
      </c>
      <c r="E193" s="26">
        <v>7</v>
      </c>
      <c r="F193" s="22">
        <v>1</v>
      </c>
      <c r="G193" s="23" t="s">
        <v>20</v>
      </c>
      <c r="H193" s="22">
        <v>40</v>
      </c>
      <c r="I193" s="23" t="s">
        <v>40</v>
      </c>
      <c r="J193" s="24">
        <f>8500*12</f>
        <v>102000</v>
      </c>
      <c r="K193" s="21" t="s">
        <v>40</v>
      </c>
      <c r="L193" s="25">
        <v>0.125</v>
      </c>
      <c r="M193" s="25">
        <v>0.05</v>
      </c>
      <c r="N193" s="22"/>
      <c r="O193" s="23" t="s">
        <v>40</v>
      </c>
      <c r="P193" s="20">
        <f t="shared" si="69"/>
        <v>320</v>
      </c>
      <c r="Q193" s="23" t="s">
        <v>40</v>
      </c>
      <c r="R193" s="24">
        <f t="shared" si="70"/>
        <v>27132000</v>
      </c>
      <c r="S193" s="24">
        <f t="shared" si="38"/>
        <v>24443243.24324324</v>
      </c>
    </row>
    <row r="194" spans="1:19" s="81" customFormat="1" x14ac:dyDescent="0.2">
      <c r="A194" s="80" t="s">
        <v>849</v>
      </c>
      <c r="B194" s="81" t="s">
        <v>18</v>
      </c>
      <c r="C194" s="79"/>
      <c r="D194" s="82" t="s">
        <v>40</v>
      </c>
      <c r="E194" s="83"/>
      <c r="F194" s="84">
        <v>1</v>
      </c>
      <c r="G194" s="85" t="s">
        <v>20</v>
      </c>
      <c r="H194" s="84">
        <v>60</v>
      </c>
      <c r="I194" s="85" t="s">
        <v>40</v>
      </c>
      <c r="J194" s="86">
        <f>4000*12</f>
        <v>48000</v>
      </c>
      <c r="K194" s="82" t="s">
        <v>40</v>
      </c>
      <c r="L194" s="87">
        <v>0.125</v>
      </c>
      <c r="M194" s="87">
        <v>0.05</v>
      </c>
      <c r="N194" s="84"/>
      <c r="O194" s="85" t="s">
        <v>40</v>
      </c>
      <c r="P194" s="79">
        <f t="shared" si="69"/>
        <v>0</v>
      </c>
      <c r="Q194" s="85" t="s">
        <v>40</v>
      </c>
      <c r="R194" s="86">
        <f t="shared" si="70"/>
        <v>0</v>
      </c>
      <c r="S194" s="16">
        <f t="shared" si="38"/>
        <v>0</v>
      </c>
    </row>
    <row r="195" spans="1:19" s="98" customFormat="1" x14ac:dyDescent="0.2">
      <c r="A195" s="90" t="s">
        <v>850</v>
      </c>
      <c r="B195" s="98" t="s">
        <v>18</v>
      </c>
      <c r="C195" s="99">
        <v>31</v>
      </c>
      <c r="D195" s="100" t="s">
        <v>40</v>
      </c>
      <c r="E195" s="101"/>
      <c r="F195" s="102">
        <v>1</v>
      </c>
      <c r="G195" s="103" t="s">
        <v>20</v>
      </c>
      <c r="H195" s="102">
        <v>40</v>
      </c>
      <c r="I195" s="103" t="s">
        <v>40</v>
      </c>
      <c r="J195" s="104">
        <f>5700*12</f>
        <v>68400</v>
      </c>
      <c r="K195" s="100" t="s">
        <v>40</v>
      </c>
      <c r="L195" s="105">
        <v>0.125</v>
      </c>
      <c r="M195" s="105">
        <v>0.05</v>
      </c>
      <c r="N195" s="102"/>
      <c r="O195" s="103" t="s">
        <v>40</v>
      </c>
      <c r="P195" s="99">
        <f t="shared" si="69"/>
        <v>31</v>
      </c>
      <c r="Q195" s="103" t="s">
        <v>40</v>
      </c>
      <c r="R195" s="104">
        <f t="shared" si="70"/>
        <v>1762582.5</v>
      </c>
      <c r="S195" s="96">
        <f t="shared" si="38"/>
        <v>1587912.1621621621</v>
      </c>
    </row>
    <row r="196" spans="1:19" s="19" customFormat="1" x14ac:dyDescent="0.2">
      <c r="A196" s="18" t="s">
        <v>791</v>
      </c>
      <c r="B196" s="19" t="s">
        <v>18</v>
      </c>
      <c r="C196" s="20">
        <v>31</v>
      </c>
      <c r="D196" s="21" t="s">
        <v>40</v>
      </c>
      <c r="E196" s="26"/>
      <c r="F196" s="22">
        <v>1</v>
      </c>
      <c r="G196" s="23" t="s">
        <v>20</v>
      </c>
      <c r="H196" s="22">
        <v>40</v>
      </c>
      <c r="I196" s="23" t="s">
        <v>40</v>
      </c>
      <c r="J196" s="24">
        <f>5800*12</f>
        <v>69600</v>
      </c>
      <c r="K196" s="21" t="s">
        <v>40</v>
      </c>
      <c r="L196" s="25">
        <v>0.125</v>
      </c>
      <c r="M196" s="25">
        <v>0.05</v>
      </c>
      <c r="N196" s="22"/>
      <c r="O196" s="23" t="s">
        <v>40</v>
      </c>
      <c r="P196" s="20">
        <f t="shared" si="69"/>
        <v>31</v>
      </c>
      <c r="Q196" s="23" t="s">
        <v>40</v>
      </c>
      <c r="R196" s="24">
        <f t="shared" si="70"/>
        <v>1793505</v>
      </c>
      <c r="S196" s="24">
        <f t="shared" si="38"/>
        <v>1615770.2702702701</v>
      </c>
    </row>
    <row r="197" spans="1:19" s="98" customFormat="1" x14ac:dyDescent="0.2">
      <c r="A197" s="90" t="s">
        <v>851</v>
      </c>
      <c r="B197" s="98" t="s">
        <v>18</v>
      </c>
      <c r="C197" s="99"/>
      <c r="D197" s="100" t="s">
        <v>40</v>
      </c>
      <c r="E197" s="101">
        <v>2</v>
      </c>
      <c r="F197" s="102">
        <v>1</v>
      </c>
      <c r="G197" s="103" t="s">
        <v>20</v>
      </c>
      <c r="H197" s="102">
        <v>40</v>
      </c>
      <c r="I197" s="103" t="s">
        <v>40</v>
      </c>
      <c r="J197" s="104">
        <f>10800*12</f>
        <v>129600</v>
      </c>
      <c r="K197" s="100" t="s">
        <v>40</v>
      </c>
      <c r="L197" s="105">
        <v>0.125</v>
      </c>
      <c r="M197" s="105">
        <v>0.05</v>
      </c>
      <c r="N197" s="102"/>
      <c r="O197" s="103" t="s">
        <v>40</v>
      </c>
      <c r="P197" s="99">
        <f t="shared" si="69"/>
        <v>80</v>
      </c>
      <c r="Q197" s="103" t="s">
        <v>40</v>
      </c>
      <c r="R197" s="104">
        <f t="shared" si="70"/>
        <v>8618400</v>
      </c>
      <c r="S197" s="96">
        <f t="shared" si="38"/>
        <v>7764324.3243243238</v>
      </c>
    </row>
    <row r="198" spans="1:19" s="81" customFormat="1" x14ac:dyDescent="0.2">
      <c r="A198" s="80" t="s">
        <v>136</v>
      </c>
      <c r="B198" s="81" t="s">
        <v>18</v>
      </c>
      <c r="C198" s="79"/>
      <c r="D198" s="82" t="s">
        <v>40</v>
      </c>
      <c r="E198" s="83"/>
      <c r="F198" s="84">
        <v>1</v>
      </c>
      <c r="G198" s="85" t="s">
        <v>20</v>
      </c>
      <c r="H198" s="84">
        <v>40</v>
      </c>
      <c r="I198" s="85" t="s">
        <v>40</v>
      </c>
      <c r="J198" s="86">
        <f>8800*12</f>
        <v>105600</v>
      </c>
      <c r="K198" s="82" t="s">
        <v>40</v>
      </c>
      <c r="L198" s="87">
        <v>0.125</v>
      </c>
      <c r="M198" s="87">
        <v>0.05</v>
      </c>
      <c r="N198" s="84"/>
      <c r="O198" s="85" t="s">
        <v>40</v>
      </c>
      <c r="P198" s="79">
        <f t="shared" si="69"/>
        <v>0</v>
      </c>
      <c r="Q198" s="85" t="s">
        <v>40</v>
      </c>
      <c r="R198" s="86">
        <f t="shared" si="70"/>
        <v>0</v>
      </c>
      <c r="S198" s="86">
        <f t="shared" si="38"/>
        <v>0</v>
      </c>
    </row>
    <row r="199" spans="1:19" s="19" customFormat="1" x14ac:dyDescent="0.2">
      <c r="A199" s="18" t="s">
        <v>814</v>
      </c>
      <c r="B199" s="19" t="s">
        <v>18</v>
      </c>
      <c r="C199" s="20"/>
      <c r="D199" s="21" t="s">
        <v>40</v>
      </c>
      <c r="E199" s="26">
        <v>1</v>
      </c>
      <c r="F199" s="22">
        <v>1</v>
      </c>
      <c r="G199" s="23" t="s">
        <v>20</v>
      </c>
      <c r="H199" s="22">
        <v>40</v>
      </c>
      <c r="I199" s="23" t="s">
        <v>40</v>
      </c>
      <c r="J199" s="24">
        <f>10000*12</f>
        <v>120000</v>
      </c>
      <c r="K199" s="21" t="s">
        <v>40</v>
      </c>
      <c r="L199" s="25">
        <v>0.125</v>
      </c>
      <c r="M199" s="25">
        <v>0.05</v>
      </c>
      <c r="N199" s="22"/>
      <c r="O199" s="23" t="s">
        <v>40</v>
      </c>
      <c r="P199" s="20">
        <f t="shared" si="69"/>
        <v>40</v>
      </c>
      <c r="Q199" s="23" t="s">
        <v>40</v>
      </c>
      <c r="R199" s="24">
        <f t="shared" si="70"/>
        <v>3990000</v>
      </c>
      <c r="S199" s="24">
        <f t="shared" si="38"/>
        <v>3594594.5945945941</v>
      </c>
    </row>
    <row r="200" spans="1:19" s="19" customFormat="1" x14ac:dyDescent="0.2">
      <c r="A200" s="18" t="s">
        <v>900</v>
      </c>
      <c r="B200" s="19" t="s">
        <v>18</v>
      </c>
      <c r="C200" s="20"/>
      <c r="D200" s="21" t="s">
        <v>40</v>
      </c>
      <c r="E200" s="26">
        <v>1</v>
      </c>
      <c r="F200" s="22">
        <v>1</v>
      </c>
      <c r="G200" s="23" t="s">
        <v>20</v>
      </c>
      <c r="H200" s="22">
        <v>36</v>
      </c>
      <c r="I200" s="23" t="s">
        <v>40</v>
      </c>
      <c r="J200" s="24">
        <v>34800</v>
      </c>
      <c r="K200" s="21" t="s">
        <v>40</v>
      </c>
      <c r="L200" s="25">
        <v>0.125</v>
      </c>
      <c r="M200" s="25">
        <v>0.05</v>
      </c>
      <c r="N200" s="22"/>
      <c r="O200" s="23" t="s">
        <v>40</v>
      </c>
      <c r="P200" s="20">
        <f t="shared" ref="P200" si="80">(C200+(E200*F200*H200))-N200</f>
        <v>36</v>
      </c>
      <c r="Q200" s="23" t="s">
        <v>40</v>
      </c>
      <c r="R200" s="24">
        <f t="shared" ref="R200" si="81">P200*(J200-(J200*L200)-((J200-(J200*L200))*M200))</f>
        <v>1041390</v>
      </c>
      <c r="S200" s="24">
        <f t="shared" ref="S200" si="82">R200/1.11</f>
        <v>938189.18918918911</v>
      </c>
    </row>
    <row r="201" spans="1:19" s="98" customFormat="1" x14ac:dyDescent="0.2">
      <c r="A201" s="90" t="s">
        <v>876</v>
      </c>
      <c r="B201" s="98" t="s">
        <v>18</v>
      </c>
      <c r="C201" s="99"/>
      <c r="D201" s="100" t="s">
        <v>40</v>
      </c>
      <c r="E201" s="101">
        <v>6</v>
      </c>
      <c r="F201" s="102">
        <v>1</v>
      </c>
      <c r="G201" s="103" t="s">
        <v>20</v>
      </c>
      <c r="H201" s="102">
        <f>360/12</f>
        <v>30</v>
      </c>
      <c r="I201" s="103" t="s">
        <v>40</v>
      </c>
      <c r="J201" s="104">
        <f>5400*12</f>
        <v>64800</v>
      </c>
      <c r="K201" s="100" t="s">
        <v>40</v>
      </c>
      <c r="L201" s="105">
        <v>0.125</v>
      </c>
      <c r="M201" s="105">
        <v>0.05</v>
      </c>
      <c r="N201" s="102"/>
      <c r="O201" s="103" t="s">
        <v>40</v>
      </c>
      <c r="P201" s="20">
        <f t="shared" ref="P201" si="83">(C201+(E201*F201*H201))-N201</f>
        <v>180</v>
      </c>
      <c r="Q201" s="23" t="s">
        <v>40</v>
      </c>
      <c r="R201" s="24">
        <f t="shared" ref="R201" si="84">P201*(J201-(J201*L201)-((J201-(J201*L201))*M201))</f>
        <v>9695700</v>
      </c>
      <c r="S201" s="24">
        <f t="shared" ref="S201" si="85">R201/1.11</f>
        <v>8734864.8648648635</v>
      </c>
    </row>
    <row r="202" spans="1:19" s="81" customFormat="1" x14ac:dyDescent="0.2">
      <c r="A202" s="80" t="s">
        <v>792</v>
      </c>
      <c r="B202" s="81" t="s">
        <v>18</v>
      </c>
      <c r="C202" s="79"/>
      <c r="D202" s="82" t="s">
        <v>40</v>
      </c>
      <c r="E202" s="83"/>
      <c r="F202" s="84">
        <v>1</v>
      </c>
      <c r="G202" s="85" t="s">
        <v>20</v>
      </c>
      <c r="H202" s="84">
        <f>360/12</f>
        <v>30</v>
      </c>
      <c r="I202" s="85" t="s">
        <v>40</v>
      </c>
      <c r="J202" s="86">
        <f>4800*12</f>
        <v>57600</v>
      </c>
      <c r="K202" s="82" t="s">
        <v>40</v>
      </c>
      <c r="L202" s="87">
        <v>0.125</v>
      </c>
      <c r="M202" s="87">
        <v>0.05</v>
      </c>
      <c r="N202" s="84"/>
      <c r="O202" s="85" t="s">
        <v>40</v>
      </c>
      <c r="P202" s="79">
        <f t="shared" si="69"/>
        <v>0</v>
      </c>
      <c r="Q202" s="85" t="s">
        <v>40</v>
      </c>
      <c r="R202" s="86">
        <f t="shared" si="70"/>
        <v>0</v>
      </c>
      <c r="S202" s="86">
        <f t="shared" si="38"/>
        <v>0</v>
      </c>
    </row>
    <row r="203" spans="1:19" s="19" customFormat="1" x14ac:dyDescent="0.2">
      <c r="A203" s="18" t="s">
        <v>793</v>
      </c>
      <c r="B203" s="19" t="s">
        <v>18</v>
      </c>
      <c r="C203" s="20">
        <v>3540</v>
      </c>
      <c r="D203" s="21" t="s">
        <v>40</v>
      </c>
      <c r="E203" s="26"/>
      <c r="F203" s="22">
        <v>1</v>
      </c>
      <c r="G203" s="23" t="s">
        <v>20</v>
      </c>
      <c r="H203" s="22">
        <f>360/12</f>
        <v>30</v>
      </c>
      <c r="I203" s="23" t="s">
        <v>40</v>
      </c>
      <c r="J203" s="24">
        <f>6000*12</f>
        <v>72000</v>
      </c>
      <c r="K203" s="21" t="s">
        <v>40</v>
      </c>
      <c r="L203" s="25">
        <v>0.125</v>
      </c>
      <c r="M203" s="25">
        <v>0.05</v>
      </c>
      <c r="N203" s="22"/>
      <c r="O203" s="23" t="s">
        <v>40</v>
      </c>
      <c r="P203" s="20">
        <f t="shared" si="69"/>
        <v>3540</v>
      </c>
      <c r="Q203" s="23" t="s">
        <v>40</v>
      </c>
      <c r="R203" s="24">
        <f t="shared" si="70"/>
        <v>211869000</v>
      </c>
      <c r="S203" s="24">
        <f t="shared" si="38"/>
        <v>190872972.97297296</v>
      </c>
    </row>
    <row r="204" spans="1:19" s="19" customFormat="1" x14ac:dyDescent="0.2">
      <c r="A204" s="18"/>
      <c r="C204" s="20"/>
      <c r="D204" s="21"/>
      <c r="E204" s="26"/>
      <c r="F204" s="22"/>
      <c r="G204" s="23"/>
      <c r="H204" s="22"/>
      <c r="I204" s="23"/>
      <c r="J204" s="24"/>
      <c r="K204" s="21"/>
      <c r="L204" s="25"/>
      <c r="M204" s="25"/>
      <c r="N204" s="22"/>
      <c r="O204" s="23"/>
      <c r="P204" s="20"/>
      <c r="Q204" s="23"/>
      <c r="R204" s="24"/>
      <c r="S204" s="24"/>
    </row>
    <row r="205" spans="1:19" s="81" customFormat="1" x14ac:dyDescent="0.2">
      <c r="A205" s="80" t="s">
        <v>137</v>
      </c>
      <c r="B205" s="81" t="s">
        <v>25</v>
      </c>
      <c r="C205" s="79"/>
      <c r="D205" s="82" t="s">
        <v>40</v>
      </c>
      <c r="E205" s="83"/>
      <c r="F205" s="84">
        <v>1</v>
      </c>
      <c r="G205" s="85" t="s">
        <v>20</v>
      </c>
      <c r="H205" s="84">
        <v>36</v>
      </c>
      <c r="I205" s="85" t="s">
        <v>40</v>
      </c>
      <c r="J205" s="86">
        <f>2095200/36</f>
        <v>58200</v>
      </c>
      <c r="K205" s="82" t="s">
        <v>40</v>
      </c>
      <c r="L205" s="87"/>
      <c r="M205" s="87">
        <v>0.17</v>
      </c>
      <c r="N205" s="84"/>
      <c r="O205" s="85" t="s">
        <v>40</v>
      </c>
      <c r="P205" s="79">
        <f t="shared" ref="P205:P230" si="86">(C205+(E205*F205*H205))-N205</f>
        <v>0</v>
      </c>
      <c r="Q205" s="85" t="s">
        <v>40</v>
      </c>
      <c r="R205" s="86">
        <f t="shared" ref="R205:R230" si="87">P205*(J205-(J205*L205)-((J205-(J205*L205))*M205))</f>
        <v>0</v>
      </c>
      <c r="S205" s="86">
        <f t="shared" si="38"/>
        <v>0</v>
      </c>
    </row>
    <row r="206" spans="1:19" s="19" customFormat="1" x14ac:dyDescent="0.2">
      <c r="A206" s="18" t="s">
        <v>750</v>
      </c>
      <c r="B206" s="19" t="s">
        <v>25</v>
      </c>
      <c r="C206" s="20">
        <v>30</v>
      </c>
      <c r="D206" s="21" t="s">
        <v>40</v>
      </c>
      <c r="E206" s="26"/>
      <c r="F206" s="22">
        <v>1</v>
      </c>
      <c r="G206" s="23" t="s">
        <v>20</v>
      </c>
      <c r="H206" s="22">
        <v>36</v>
      </c>
      <c r="I206" s="23" t="s">
        <v>40</v>
      </c>
      <c r="J206" s="24">
        <f>2116800/36</f>
        <v>58800</v>
      </c>
      <c r="K206" s="21" t="s">
        <v>40</v>
      </c>
      <c r="L206" s="25"/>
      <c r="M206" s="25">
        <v>0.17</v>
      </c>
      <c r="N206" s="22"/>
      <c r="O206" s="23" t="s">
        <v>40</v>
      </c>
      <c r="P206" s="20">
        <f t="shared" si="86"/>
        <v>30</v>
      </c>
      <c r="Q206" s="23" t="s">
        <v>40</v>
      </c>
      <c r="R206" s="24">
        <f t="shared" si="87"/>
        <v>1464120</v>
      </c>
      <c r="S206" s="24">
        <f t="shared" si="38"/>
        <v>1319027.027027027</v>
      </c>
    </row>
    <row r="207" spans="1:19" s="81" customFormat="1" x14ac:dyDescent="0.2">
      <c r="A207" s="80" t="s">
        <v>138</v>
      </c>
      <c r="B207" s="81" t="s">
        <v>25</v>
      </c>
      <c r="C207" s="79"/>
      <c r="D207" s="82" t="s">
        <v>40</v>
      </c>
      <c r="E207" s="83"/>
      <c r="F207" s="84">
        <v>1</v>
      </c>
      <c r="G207" s="85" t="s">
        <v>20</v>
      </c>
      <c r="H207" s="84">
        <v>48</v>
      </c>
      <c r="I207" s="85" t="s">
        <v>40</v>
      </c>
      <c r="J207" s="86">
        <f>2995200/48</f>
        <v>62400</v>
      </c>
      <c r="K207" s="82" t="s">
        <v>40</v>
      </c>
      <c r="L207" s="87"/>
      <c r="M207" s="87">
        <v>0.17</v>
      </c>
      <c r="N207" s="84"/>
      <c r="O207" s="85" t="s">
        <v>40</v>
      </c>
      <c r="P207" s="79">
        <f t="shared" si="86"/>
        <v>0</v>
      </c>
      <c r="Q207" s="85" t="s">
        <v>40</v>
      </c>
      <c r="R207" s="86">
        <f t="shared" si="87"/>
        <v>0</v>
      </c>
      <c r="S207" s="86">
        <f t="shared" si="38"/>
        <v>0</v>
      </c>
    </row>
    <row r="208" spans="1:19" s="19" customFormat="1" x14ac:dyDescent="0.2">
      <c r="A208" s="18" t="s">
        <v>139</v>
      </c>
      <c r="B208" s="19" t="s">
        <v>25</v>
      </c>
      <c r="C208" s="20">
        <v>227</v>
      </c>
      <c r="D208" s="21" t="s">
        <v>40</v>
      </c>
      <c r="E208" s="26"/>
      <c r="F208" s="22">
        <v>1</v>
      </c>
      <c r="G208" s="23" t="s">
        <v>20</v>
      </c>
      <c r="H208" s="22">
        <v>48</v>
      </c>
      <c r="I208" s="23" t="s">
        <v>40</v>
      </c>
      <c r="J208" s="24">
        <f>3916800/48</f>
        <v>81600</v>
      </c>
      <c r="K208" s="21" t="s">
        <v>40</v>
      </c>
      <c r="L208" s="25"/>
      <c r="M208" s="25">
        <v>0.17</v>
      </c>
      <c r="N208" s="22"/>
      <c r="O208" s="23" t="s">
        <v>40</v>
      </c>
      <c r="P208" s="20">
        <f t="shared" si="86"/>
        <v>227</v>
      </c>
      <c r="Q208" s="23" t="s">
        <v>40</v>
      </c>
      <c r="R208" s="24">
        <f t="shared" si="87"/>
        <v>15374256</v>
      </c>
      <c r="S208" s="24">
        <f t="shared" si="38"/>
        <v>13850681.081081079</v>
      </c>
    </row>
    <row r="209" spans="1:19" s="19" customFormat="1" x14ac:dyDescent="0.2">
      <c r="A209" s="18" t="s">
        <v>749</v>
      </c>
      <c r="B209" s="19" t="s">
        <v>25</v>
      </c>
      <c r="C209" s="20">
        <v>98</v>
      </c>
      <c r="D209" s="21" t="s">
        <v>40</v>
      </c>
      <c r="E209" s="26"/>
      <c r="F209" s="22">
        <v>1</v>
      </c>
      <c r="G209" s="23" t="s">
        <v>20</v>
      </c>
      <c r="H209" s="22">
        <v>48</v>
      </c>
      <c r="I209" s="23" t="s">
        <v>40</v>
      </c>
      <c r="J209" s="24">
        <f>4032000/48</f>
        <v>84000</v>
      </c>
      <c r="K209" s="21" t="s">
        <v>40</v>
      </c>
      <c r="L209" s="25"/>
      <c r="M209" s="25">
        <v>0.17</v>
      </c>
      <c r="N209" s="22"/>
      <c r="O209" s="23" t="s">
        <v>40</v>
      </c>
      <c r="P209" s="20">
        <f t="shared" si="86"/>
        <v>98</v>
      </c>
      <c r="Q209" s="23" t="s">
        <v>40</v>
      </c>
      <c r="R209" s="24">
        <f t="shared" si="87"/>
        <v>6832560</v>
      </c>
      <c r="S209" s="24">
        <f t="shared" si="38"/>
        <v>6155459.4594594585</v>
      </c>
    </row>
    <row r="210" spans="1:19" s="81" customFormat="1" x14ac:dyDescent="0.2">
      <c r="A210" s="80" t="s">
        <v>140</v>
      </c>
      <c r="B210" s="81" t="s">
        <v>25</v>
      </c>
      <c r="C210" s="79"/>
      <c r="D210" s="82" t="s">
        <v>40</v>
      </c>
      <c r="E210" s="83"/>
      <c r="F210" s="84">
        <v>1</v>
      </c>
      <c r="G210" s="85" t="s">
        <v>20</v>
      </c>
      <c r="H210" s="84">
        <v>48</v>
      </c>
      <c r="I210" s="85" t="s">
        <v>40</v>
      </c>
      <c r="J210" s="86">
        <f>5100*12</f>
        <v>61200</v>
      </c>
      <c r="K210" s="82" t="s">
        <v>40</v>
      </c>
      <c r="L210" s="87"/>
      <c r="M210" s="87">
        <v>0.17</v>
      </c>
      <c r="N210" s="84"/>
      <c r="O210" s="85" t="s">
        <v>40</v>
      </c>
      <c r="P210" s="79">
        <f t="shared" si="86"/>
        <v>0</v>
      </c>
      <c r="Q210" s="85" t="s">
        <v>40</v>
      </c>
      <c r="R210" s="86">
        <f t="shared" si="87"/>
        <v>0</v>
      </c>
      <c r="S210" s="86">
        <f t="shared" si="38"/>
        <v>0</v>
      </c>
    </row>
    <row r="211" spans="1:19" s="19" customFormat="1" x14ac:dyDescent="0.2">
      <c r="A211" s="18" t="s">
        <v>901</v>
      </c>
      <c r="B211" s="19" t="s">
        <v>25</v>
      </c>
      <c r="C211" s="20"/>
      <c r="D211" s="21" t="s">
        <v>40</v>
      </c>
      <c r="E211" s="26">
        <v>3</v>
      </c>
      <c r="F211" s="22">
        <v>1</v>
      </c>
      <c r="G211" s="23" t="s">
        <v>20</v>
      </c>
      <c r="H211" s="22">
        <v>48</v>
      </c>
      <c r="I211" s="23" t="s">
        <v>40</v>
      </c>
      <c r="J211" s="24">
        <v>58800</v>
      </c>
      <c r="K211" s="21" t="s">
        <v>40</v>
      </c>
      <c r="L211" s="25"/>
      <c r="M211" s="25">
        <v>0.17</v>
      </c>
      <c r="N211" s="22"/>
      <c r="O211" s="23" t="s">
        <v>40</v>
      </c>
      <c r="P211" s="20">
        <f>(C211+(E211*F211*H211))-N211</f>
        <v>144</v>
      </c>
      <c r="Q211" s="23" t="s">
        <v>40</v>
      </c>
      <c r="R211" s="24">
        <f>P211*(J211-(J211*L211)-((J211-(J211*L211))*M211))</f>
        <v>7027776</v>
      </c>
      <c r="S211" s="24">
        <f>R211/1.11</f>
        <v>6331329.7297297288</v>
      </c>
    </row>
    <row r="212" spans="1:19" s="19" customFormat="1" x14ac:dyDescent="0.2">
      <c r="A212" s="18" t="s">
        <v>902</v>
      </c>
      <c r="B212" s="19" t="s">
        <v>25</v>
      </c>
      <c r="C212" s="20"/>
      <c r="D212" s="21" t="s">
        <v>40</v>
      </c>
      <c r="E212" s="26">
        <v>4</v>
      </c>
      <c r="F212" s="22">
        <v>1</v>
      </c>
      <c r="G212" s="23" t="s">
        <v>20</v>
      </c>
      <c r="H212" s="22">
        <v>48</v>
      </c>
      <c r="I212" s="23" t="s">
        <v>40</v>
      </c>
      <c r="J212" s="24">
        <v>50400</v>
      </c>
      <c r="K212" s="21" t="s">
        <v>40</v>
      </c>
      <c r="L212" s="25"/>
      <c r="M212" s="25">
        <v>0.17</v>
      </c>
      <c r="N212" s="22"/>
      <c r="O212" s="23" t="s">
        <v>40</v>
      </c>
      <c r="P212" s="20">
        <f>(C212+(E212*F212*H212))-N212</f>
        <v>192</v>
      </c>
      <c r="Q212" s="23" t="s">
        <v>40</v>
      </c>
      <c r="R212" s="24">
        <f>P212*(J212-(J212*L212)-((J212-(J212*L212))*M212))</f>
        <v>8031744</v>
      </c>
      <c r="S212" s="24">
        <f>R212/1.11</f>
        <v>7235805.405405405</v>
      </c>
    </row>
    <row r="213" spans="1:19" s="19" customFormat="1" x14ac:dyDescent="0.2">
      <c r="A213" s="18" t="s">
        <v>852</v>
      </c>
      <c r="B213" s="19" t="s">
        <v>25</v>
      </c>
      <c r="C213" s="20">
        <v>128</v>
      </c>
      <c r="D213" s="21" t="s">
        <v>40</v>
      </c>
      <c r="E213" s="26">
        <v>8</v>
      </c>
      <c r="F213" s="22">
        <v>1</v>
      </c>
      <c r="G213" s="23" t="s">
        <v>20</v>
      </c>
      <c r="H213" s="22">
        <v>48</v>
      </c>
      <c r="I213" s="23" t="s">
        <v>40</v>
      </c>
      <c r="J213" s="24">
        <f>2592000/48</f>
        <v>54000</v>
      </c>
      <c r="K213" s="21" t="s">
        <v>40</v>
      </c>
      <c r="L213" s="25"/>
      <c r="M213" s="25">
        <v>0.17</v>
      </c>
      <c r="N213" s="22"/>
      <c r="O213" s="23" t="s">
        <v>40</v>
      </c>
      <c r="P213" s="20">
        <f t="shared" si="86"/>
        <v>512</v>
      </c>
      <c r="Q213" s="23" t="s">
        <v>40</v>
      </c>
      <c r="R213" s="24">
        <f t="shared" si="87"/>
        <v>22947840</v>
      </c>
      <c r="S213" s="24">
        <f t="shared" si="38"/>
        <v>20673729.729729727</v>
      </c>
    </row>
    <row r="214" spans="1:19" s="19" customFormat="1" x14ac:dyDescent="0.2">
      <c r="A214" s="18" t="s">
        <v>141</v>
      </c>
      <c r="B214" s="19" t="s">
        <v>25</v>
      </c>
      <c r="C214" s="20">
        <v>66</v>
      </c>
      <c r="D214" s="21" t="s">
        <v>40</v>
      </c>
      <c r="E214" s="26">
        <v>3</v>
      </c>
      <c r="F214" s="22">
        <v>1</v>
      </c>
      <c r="G214" s="23" t="s">
        <v>20</v>
      </c>
      <c r="H214" s="22">
        <v>48</v>
      </c>
      <c r="I214" s="23" t="s">
        <v>40</v>
      </c>
      <c r="J214" s="24">
        <f>2448000/48</f>
        <v>51000</v>
      </c>
      <c r="K214" s="21" t="s">
        <v>40</v>
      </c>
      <c r="L214" s="25"/>
      <c r="M214" s="25">
        <v>0.17</v>
      </c>
      <c r="N214" s="22"/>
      <c r="O214" s="23" t="s">
        <v>40</v>
      </c>
      <c r="P214" s="20">
        <f t="shared" si="86"/>
        <v>210</v>
      </c>
      <c r="Q214" s="23" t="s">
        <v>40</v>
      </c>
      <c r="R214" s="24">
        <f t="shared" si="87"/>
        <v>8889300</v>
      </c>
      <c r="S214" s="24">
        <f t="shared" si="38"/>
        <v>8008378.3783783773</v>
      </c>
    </row>
    <row r="215" spans="1:19" s="98" customFormat="1" x14ac:dyDescent="0.2">
      <c r="A215" s="90" t="s">
        <v>853</v>
      </c>
      <c r="B215" s="98" t="s">
        <v>25</v>
      </c>
      <c r="C215" s="99">
        <v>60</v>
      </c>
      <c r="D215" s="100" t="s">
        <v>40</v>
      </c>
      <c r="E215" s="101">
        <v>1</v>
      </c>
      <c r="F215" s="102">
        <v>1</v>
      </c>
      <c r="G215" s="103" t="s">
        <v>20</v>
      </c>
      <c r="H215" s="102">
        <v>48</v>
      </c>
      <c r="I215" s="103" t="s">
        <v>40</v>
      </c>
      <c r="J215" s="104">
        <f>2592000/48</f>
        <v>54000</v>
      </c>
      <c r="K215" s="100" t="s">
        <v>40</v>
      </c>
      <c r="L215" s="105"/>
      <c r="M215" s="105">
        <v>0.17</v>
      </c>
      <c r="N215" s="102"/>
      <c r="O215" s="103" t="s">
        <v>40</v>
      </c>
      <c r="P215" s="99">
        <f t="shared" si="86"/>
        <v>108</v>
      </c>
      <c r="Q215" s="103" t="s">
        <v>40</v>
      </c>
      <c r="R215" s="104">
        <f t="shared" si="87"/>
        <v>4840560</v>
      </c>
      <c r="S215" s="104">
        <f t="shared" ref="S215" si="88">R215/1.11</f>
        <v>4360864.8648648644</v>
      </c>
    </row>
    <row r="216" spans="1:19" s="19" customFormat="1" x14ac:dyDescent="0.2">
      <c r="A216" s="18" t="s">
        <v>903</v>
      </c>
      <c r="B216" s="19" t="s">
        <v>25</v>
      </c>
      <c r="C216" s="20"/>
      <c r="D216" s="21" t="s">
        <v>40</v>
      </c>
      <c r="E216" s="26">
        <v>3</v>
      </c>
      <c r="F216" s="22">
        <v>1</v>
      </c>
      <c r="G216" s="23" t="s">
        <v>20</v>
      </c>
      <c r="H216" s="22">
        <v>48</v>
      </c>
      <c r="I216" s="23" t="s">
        <v>40</v>
      </c>
      <c r="J216" s="24">
        <v>56400</v>
      </c>
      <c r="K216" s="21" t="s">
        <v>40</v>
      </c>
      <c r="L216" s="25"/>
      <c r="M216" s="25">
        <v>0.17</v>
      </c>
      <c r="N216" s="22"/>
      <c r="O216" s="23" t="s">
        <v>40</v>
      </c>
      <c r="P216" s="20">
        <f t="shared" ref="P216" si="89">(C216+(E216*F216*H216))-N216</f>
        <v>144</v>
      </c>
      <c r="Q216" s="23" t="s">
        <v>40</v>
      </c>
      <c r="R216" s="24">
        <f t="shared" ref="R216" si="90">P216*(J216-(J216*L216)-((J216-(J216*L216))*M216))</f>
        <v>6740928</v>
      </c>
      <c r="S216" s="24">
        <f t="shared" ref="S216" si="91">R216/1.11</f>
        <v>6072908.1081081079</v>
      </c>
    </row>
    <row r="217" spans="1:19" s="98" customFormat="1" x14ac:dyDescent="0.2">
      <c r="A217" s="90" t="s">
        <v>886</v>
      </c>
      <c r="B217" s="98" t="s">
        <v>25</v>
      </c>
      <c r="C217" s="99"/>
      <c r="D217" s="100" t="s">
        <v>40</v>
      </c>
      <c r="E217" s="101">
        <v>3</v>
      </c>
      <c r="F217" s="102">
        <v>1</v>
      </c>
      <c r="G217" s="103" t="s">
        <v>20</v>
      </c>
      <c r="H217" s="102">
        <v>36</v>
      </c>
      <c r="I217" s="103" t="s">
        <v>40</v>
      </c>
      <c r="J217" s="104">
        <v>50400</v>
      </c>
      <c r="K217" s="100" t="s">
        <v>40</v>
      </c>
      <c r="L217" s="105"/>
      <c r="M217" s="105">
        <v>0.17</v>
      </c>
      <c r="N217" s="102"/>
      <c r="O217" s="103" t="s">
        <v>40</v>
      </c>
      <c r="P217" s="99">
        <f t="shared" ref="P217" si="92">(C217+(E217*F217*H217))-N217</f>
        <v>108</v>
      </c>
      <c r="Q217" s="103" t="s">
        <v>40</v>
      </c>
      <c r="R217" s="104">
        <f t="shared" ref="R217" si="93">P217*(J217-(J217*L217)-((J217-(J217*L217))*M217))</f>
        <v>4517856</v>
      </c>
      <c r="S217" s="104">
        <f t="shared" ref="S217" si="94">R217/1.11</f>
        <v>4070140.5405405401</v>
      </c>
    </row>
    <row r="218" spans="1:19" s="81" customFormat="1" x14ac:dyDescent="0.2">
      <c r="A218" s="80" t="s">
        <v>142</v>
      </c>
      <c r="B218" s="81" t="s">
        <v>25</v>
      </c>
      <c r="C218" s="79"/>
      <c r="D218" s="82" t="s">
        <v>40</v>
      </c>
      <c r="E218" s="83"/>
      <c r="F218" s="84">
        <v>1</v>
      </c>
      <c r="G218" s="85" t="s">
        <v>20</v>
      </c>
      <c r="H218" s="84">
        <v>24</v>
      </c>
      <c r="I218" s="85" t="s">
        <v>40</v>
      </c>
      <c r="J218" s="86">
        <f>2491200/24</f>
        <v>103800</v>
      </c>
      <c r="K218" s="82" t="s">
        <v>40</v>
      </c>
      <c r="L218" s="87"/>
      <c r="M218" s="87">
        <v>0.17</v>
      </c>
      <c r="N218" s="84"/>
      <c r="O218" s="85" t="s">
        <v>40</v>
      </c>
      <c r="P218" s="79">
        <f t="shared" si="86"/>
        <v>0</v>
      </c>
      <c r="Q218" s="85" t="s">
        <v>40</v>
      </c>
      <c r="R218" s="86">
        <f t="shared" si="87"/>
        <v>0</v>
      </c>
      <c r="S218" s="86">
        <f t="shared" ref="S218:S323" si="95">R218/1.11</f>
        <v>0</v>
      </c>
    </row>
    <row r="219" spans="1:19" s="81" customFormat="1" x14ac:dyDescent="0.2">
      <c r="A219" s="80" t="s">
        <v>143</v>
      </c>
      <c r="B219" s="81" t="s">
        <v>25</v>
      </c>
      <c r="C219" s="79"/>
      <c r="D219" s="82" t="s">
        <v>40</v>
      </c>
      <c r="E219" s="83"/>
      <c r="F219" s="84">
        <v>1</v>
      </c>
      <c r="G219" s="85" t="s">
        <v>20</v>
      </c>
      <c r="H219" s="84">
        <v>36</v>
      </c>
      <c r="I219" s="85" t="s">
        <v>40</v>
      </c>
      <c r="J219" s="86">
        <f>3736800/36</f>
        <v>103800</v>
      </c>
      <c r="K219" s="82" t="s">
        <v>40</v>
      </c>
      <c r="L219" s="87"/>
      <c r="M219" s="87">
        <v>0.17</v>
      </c>
      <c r="N219" s="84"/>
      <c r="O219" s="85" t="s">
        <v>40</v>
      </c>
      <c r="P219" s="79">
        <f t="shared" si="86"/>
        <v>0</v>
      </c>
      <c r="Q219" s="85" t="s">
        <v>40</v>
      </c>
      <c r="R219" s="86">
        <f t="shared" si="87"/>
        <v>0</v>
      </c>
      <c r="S219" s="86">
        <f t="shared" si="95"/>
        <v>0</v>
      </c>
    </row>
    <row r="220" spans="1:19" s="98" customFormat="1" x14ac:dyDescent="0.2">
      <c r="A220" s="90" t="s">
        <v>144</v>
      </c>
      <c r="B220" s="98" t="s">
        <v>25</v>
      </c>
      <c r="C220" s="99"/>
      <c r="D220" s="100" t="s">
        <v>40</v>
      </c>
      <c r="E220" s="101">
        <v>1</v>
      </c>
      <c r="F220" s="102">
        <v>1</v>
      </c>
      <c r="G220" s="103" t="s">
        <v>20</v>
      </c>
      <c r="H220" s="102">
        <v>48</v>
      </c>
      <c r="I220" s="103" t="s">
        <v>40</v>
      </c>
      <c r="J220" s="104">
        <f>2592000/48</f>
        <v>54000</v>
      </c>
      <c r="K220" s="100" t="s">
        <v>40</v>
      </c>
      <c r="L220" s="105"/>
      <c r="M220" s="105">
        <v>0.17</v>
      </c>
      <c r="N220" s="102"/>
      <c r="O220" s="103" t="s">
        <v>40</v>
      </c>
      <c r="P220" s="99">
        <f t="shared" si="86"/>
        <v>48</v>
      </c>
      <c r="Q220" s="103" t="s">
        <v>40</v>
      </c>
      <c r="R220" s="104">
        <f t="shared" si="87"/>
        <v>2151360</v>
      </c>
      <c r="S220" s="104">
        <f t="shared" si="95"/>
        <v>1938162.1621621619</v>
      </c>
    </row>
    <row r="221" spans="1:19" s="19" customFormat="1" x14ac:dyDescent="0.2">
      <c r="A221" s="18" t="s">
        <v>854</v>
      </c>
      <c r="B221" s="19" t="s">
        <v>25</v>
      </c>
      <c r="C221" s="20">
        <v>144</v>
      </c>
      <c r="D221" s="21" t="s">
        <v>40</v>
      </c>
      <c r="E221" s="26">
        <v>26</v>
      </c>
      <c r="F221" s="22">
        <v>1</v>
      </c>
      <c r="G221" s="23" t="s">
        <v>20</v>
      </c>
      <c r="H221" s="22">
        <v>48</v>
      </c>
      <c r="I221" s="23" t="s">
        <v>40</v>
      </c>
      <c r="J221" s="24">
        <f>2880000/48</f>
        <v>60000</v>
      </c>
      <c r="K221" s="21" t="s">
        <v>40</v>
      </c>
      <c r="L221" s="25"/>
      <c r="M221" s="25">
        <v>0.17</v>
      </c>
      <c r="N221" s="22"/>
      <c r="O221" s="23" t="s">
        <v>40</v>
      </c>
      <c r="P221" s="20">
        <f t="shared" si="86"/>
        <v>1392</v>
      </c>
      <c r="Q221" s="23" t="s">
        <v>40</v>
      </c>
      <c r="R221" s="24">
        <f t="shared" si="87"/>
        <v>69321600</v>
      </c>
      <c r="S221" s="24">
        <f t="shared" si="95"/>
        <v>62451891.891891889</v>
      </c>
    </row>
    <row r="222" spans="1:19" s="19" customFormat="1" x14ac:dyDescent="0.2">
      <c r="A222" s="18" t="s">
        <v>145</v>
      </c>
      <c r="B222" s="19" t="s">
        <v>25</v>
      </c>
      <c r="C222" s="20">
        <v>64</v>
      </c>
      <c r="D222" s="21" t="s">
        <v>40</v>
      </c>
      <c r="E222" s="26">
        <v>1</v>
      </c>
      <c r="F222" s="22">
        <v>1</v>
      </c>
      <c r="G222" s="23" t="s">
        <v>20</v>
      </c>
      <c r="H222" s="22">
        <v>48</v>
      </c>
      <c r="I222" s="23" t="s">
        <v>40</v>
      </c>
      <c r="J222" s="24">
        <f>2880000/48</f>
        <v>60000</v>
      </c>
      <c r="K222" s="21" t="s">
        <v>40</v>
      </c>
      <c r="L222" s="25"/>
      <c r="M222" s="25">
        <v>0.17</v>
      </c>
      <c r="N222" s="22"/>
      <c r="O222" s="23" t="s">
        <v>40</v>
      </c>
      <c r="P222" s="20">
        <f t="shared" si="86"/>
        <v>112</v>
      </c>
      <c r="Q222" s="23" t="s">
        <v>40</v>
      </c>
      <c r="R222" s="24">
        <f t="shared" si="87"/>
        <v>5577600</v>
      </c>
      <c r="S222" s="24">
        <f t="shared" si="95"/>
        <v>5024864.8648648644</v>
      </c>
    </row>
    <row r="223" spans="1:19" s="19" customFormat="1" x14ac:dyDescent="0.2">
      <c r="A223" s="18" t="s">
        <v>146</v>
      </c>
      <c r="B223" s="19" t="s">
        <v>25</v>
      </c>
      <c r="C223" s="20"/>
      <c r="D223" s="21" t="s">
        <v>40</v>
      </c>
      <c r="E223" s="26">
        <v>3</v>
      </c>
      <c r="F223" s="22">
        <v>1</v>
      </c>
      <c r="G223" s="23" t="s">
        <v>20</v>
      </c>
      <c r="H223" s="22">
        <v>48</v>
      </c>
      <c r="I223" s="23" t="s">
        <v>40</v>
      </c>
      <c r="J223" s="24">
        <f>3024000/48</f>
        <v>63000</v>
      </c>
      <c r="K223" s="21" t="s">
        <v>40</v>
      </c>
      <c r="L223" s="25"/>
      <c r="M223" s="25">
        <v>0.17</v>
      </c>
      <c r="N223" s="22"/>
      <c r="O223" s="23" t="s">
        <v>40</v>
      </c>
      <c r="P223" s="20">
        <f t="shared" si="86"/>
        <v>144</v>
      </c>
      <c r="Q223" s="23" t="s">
        <v>40</v>
      </c>
      <c r="R223" s="24">
        <f t="shared" si="87"/>
        <v>7529760</v>
      </c>
      <c r="S223" s="24">
        <f t="shared" si="95"/>
        <v>6783567.5675675673</v>
      </c>
    </row>
    <row r="224" spans="1:19" s="19" customFormat="1" x14ac:dyDescent="0.2">
      <c r="A224" s="18" t="s">
        <v>147</v>
      </c>
      <c r="B224" s="19" t="s">
        <v>25</v>
      </c>
      <c r="C224" s="20">
        <v>43</v>
      </c>
      <c r="D224" s="21" t="s">
        <v>40</v>
      </c>
      <c r="E224" s="26">
        <v>3</v>
      </c>
      <c r="F224" s="22">
        <v>1</v>
      </c>
      <c r="G224" s="23" t="s">
        <v>20</v>
      </c>
      <c r="H224" s="22">
        <v>48</v>
      </c>
      <c r="I224" s="23" t="s">
        <v>40</v>
      </c>
      <c r="J224" s="24">
        <f>2995200/48</f>
        <v>62400</v>
      </c>
      <c r="K224" s="21" t="s">
        <v>40</v>
      </c>
      <c r="L224" s="25"/>
      <c r="M224" s="25">
        <v>0.17</v>
      </c>
      <c r="N224" s="22"/>
      <c r="O224" s="23" t="s">
        <v>40</v>
      </c>
      <c r="P224" s="20">
        <f t="shared" si="86"/>
        <v>187</v>
      </c>
      <c r="Q224" s="23" t="s">
        <v>40</v>
      </c>
      <c r="R224" s="24">
        <f t="shared" si="87"/>
        <v>9685104</v>
      </c>
      <c r="S224" s="24">
        <f t="shared" si="95"/>
        <v>8725318.9189189188</v>
      </c>
    </row>
    <row r="225" spans="1:19" s="19" customFormat="1" x14ac:dyDescent="0.2">
      <c r="A225" s="18" t="s">
        <v>148</v>
      </c>
      <c r="B225" s="19" t="s">
        <v>25</v>
      </c>
      <c r="C225" s="20"/>
      <c r="D225" s="21" t="s">
        <v>40</v>
      </c>
      <c r="E225" s="26">
        <v>4</v>
      </c>
      <c r="F225" s="22">
        <v>1</v>
      </c>
      <c r="G225" s="23" t="s">
        <v>20</v>
      </c>
      <c r="H225" s="22">
        <v>48</v>
      </c>
      <c r="I225" s="23" t="s">
        <v>40</v>
      </c>
      <c r="J225" s="24">
        <f>2995200/48</f>
        <v>62400</v>
      </c>
      <c r="K225" s="21" t="s">
        <v>40</v>
      </c>
      <c r="L225" s="25"/>
      <c r="M225" s="25">
        <v>0.17</v>
      </c>
      <c r="N225" s="22"/>
      <c r="O225" s="23" t="s">
        <v>40</v>
      </c>
      <c r="P225" s="20">
        <f t="shared" si="86"/>
        <v>192</v>
      </c>
      <c r="Q225" s="23" t="s">
        <v>40</v>
      </c>
      <c r="R225" s="24">
        <f t="shared" si="87"/>
        <v>9944064</v>
      </c>
      <c r="S225" s="24">
        <f t="shared" si="95"/>
        <v>8958616.2162162159</v>
      </c>
    </row>
    <row r="226" spans="1:19" s="19" customFormat="1" x14ac:dyDescent="0.2">
      <c r="A226" s="18" t="s">
        <v>822</v>
      </c>
      <c r="B226" s="19" t="s">
        <v>25</v>
      </c>
      <c r="C226" s="20"/>
      <c r="D226" s="21" t="s">
        <v>40</v>
      </c>
      <c r="E226" s="26">
        <v>18</v>
      </c>
      <c r="F226" s="22">
        <v>1</v>
      </c>
      <c r="G226" s="23" t="s">
        <v>20</v>
      </c>
      <c r="H226" s="22">
        <v>48</v>
      </c>
      <c r="I226" s="23" t="s">
        <v>40</v>
      </c>
      <c r="J226" s="24">
        <v>60000</v>
      </c>
      <c r="K226" s="21" t="s">
        <v>40</v>
      </c>
      <c r="L226" s="25"/>
      <c r="M226" s="25">
        <v>0.17</v>
      </c>
      <c r="N226" s="22"/>
      <c r="O226" s="23" t="s">
        <v>40</v>
      </c>
      <c r="P226" s="20">
        <f t="shared" si="86"/>
        <v>864</v>
      </c>
      <c r="Q226" s="23" t="s">
        <v>40</v>
      </c>
      <c r="R226" s="24">
        <f t="shared" ref="R226" si="96">P226*(J226-(J226*L226)-((J226-(J226*L226))*M226))</f>
        <v>43027200</v>
      </c>
      <c r="S226" s="24">
        <f t="shared" ref="S226" si="97">R226/1.11</f>
        <v>38763243.24324324</v>
      </c>
    </row>
    <row r="227" spans="1:19" s="19" customFormat="1" x14ac:dyDescent="0.2">
      <c r="A227" s="18" t="s">
        <v>887</v>
      </c>
      <c r="B227" s="19" t="s">
        <v>25</v>
      </c>
      <c r="C227" s="20"/>
      <c r="D227" s="21" t="s">
        <v>40</v>
      </c>
      <c r="E227" s="26">
        <v>5</v>
      </c>
      <c r="F227" s="22">
        <v>1</v>
      </c>
      <c r="G227" s="23" t="s">
        <v>20</v>
      </c>
      <c r="H227" s="22">
        <v>36</v>
      </c>
      <c r="I227" s="23" t="s">
        <v>40</v>
      </c>
      <c r="J227" s="24">
        <v>55800</v>
      </c>
      <c r="K227" s="21" t="s">
        <v>40</v>
      </c>
      <c r="L227" s="25"/>
      <c r="M227" s="25">
        <v>0.17</v>
      </c>
      <c r="N227" s="22"/>
      <c r="O227" s="23" t="s">
        <v>40</v>
      </c>
      <c r="P227" s="20">
        <f t="shared" ref="P227" si="98">(C227+(E227*F227*H227))-N227</f>
        <v>180</v>
      </c>
      <c r="Q227" s="23" t="s">
        <v>40</v>
      </c>
      <c r="R227" s="24">
        <f t="shared" ref="R227" si="99">P227*(J227-(J227*L227)-((J227-(J227*L227))*M227))</f>
        <v>8336520</v>
      </c>
      <c r="S227" s="24">
        <f t="shared" ref="S227" si="100">R227/1.11</f>
        <v>7510378.3783783773</v>
      </c>
    </row>
    <row r="228" spans="1:19" s="19" customFormat="1" x14ac:dyDescent="0.2">
      <c r="A228" s="18" t="s">
        <v>821</v>
      </c>
      <c r="B228" s="19" t="s">
        <v>25</v>
      </c>
      <c r="C228" s="20"/>
      <c r="D228" s="21" t="s">
        <v>40</v>
      </c>
      <c r="E228" s="26">
        <v>9</v>
      </c>
      <c r="F228" s="22">
        <v>1</v>
      </c>
      <c r="G228" s="23" t="s">
        <v>20</v>
      </c>
      <c r="H228" s="22">
        <v>48</v>
      </c>
      <c r="I228" s="23" t="s">
        <v>40</v>
      </c>
      <c r="J228" s="24">
        <v>69600</v>
      </c>
      <c r="K228" s="21" t="s">
        <v>40</v>
      </c>
      <c r="L228" s="25"/>
      <c r="M228" s="25">
        <v>0.17</v>
      </c>
      <c r="N228" s="22"/>
      <c r="O228" s="23" t="s">
        <v>40</v>
      </c>
      <c r="P228" s="20">
        <f t="shared" si="86"/>
        <v>432</v>
      </c>
      <c r="Q228" s="23" t="s">
        <v>40</v>
      </c>
      <c r="R228" s="24">
        <f t="shared" ref="R228" si="101">P228*(J228-(J228*L228)-((J228-(J228*L228))*M228))</f>
        <v>24955776</v>
      </c>
      <c r="S228" s="24">
        <f t="shared" ref="S228" si="102">R228/1.11</f>
        <v>22482681.081081077</v>
      </c>
    </row>
    <row r="229" spans="1:19" s="81" customFormat="1" x14ac:dyDescent="0.2">
      <c r="A229" s="80" t="s">
        <v>725</v>
      </c>
      <c r="B229" s="81" t="s">
        <v>25</v>
      </c>
      <c r="C229" s="79"/>
      <c r="D229" s="82" t="s">
        <v>40</v>
      </c>
      <c r="E229" s="83">
        <v>7</v>
      </c>
      <c r="F229" s="84">
        <v>1</v>
      </c>
      <c r="G229" s="85" t="s">
        <v>20</v>
      </c>
      <c r="H229" s="84">
        <v>36</v>
      </c>
      <c r="I229" s="85" t="s">
        <v>40</v>
      </c>
      <c r="J229" s="86">
        <f>3240000/36</f>
        <v>90000</v>
      </c>
      <c r="K229" s="82" t="s">
        <v>40</v>
      </c>
      <c r="L229" s="87"/>
      <c r="M229" s="87">
        <v>0.17</v>
      </c>
      <c r="N229" s="84"/>
      <c r="O229" s="85" t="s">
        <v>40</v>
      </c>
      <c r="P229" s="79">
        <f t="shared" si="86"/>
        <v>252</v>
      </c>
      <c r="Q229" s="85" t="s">
        <v>40</v>
      </c>
      <c r="R229" s="86">
        <f t="shared" si="87"/>
        <v>18824400</v>
      </c>
      <c r="S229" s="86">
        <f>R229/1.11</f>
        <v>16958918.918918919</v>
      </c>
    </row>
    <row r="230" spans="1:19" s="19" customFormat="1" x14ac:dyDescent="0.2">
      <c r="A230" s="18" t="s">
        <v>782</v>
      </c>
      <c r="B230" s="19" t="s">
        <v>25</v>
      </c>
      <c r="C230" s="20">
        <v>10</v>
      </c>
      <c r="D230" s="21" t="s">
        <v>40</v>
      </c>
      <c r="E230" s="26">
        <v>2</v>
      </c>
      <c r="F230" s="22">
        <v>1</v>
      </c>
      <c r="G230" s="23" t="s">
        <v>20</v>
      </c>
      <c r="H230" s="22">
        <v>36</v>
      </c>
      <c r="I230" s="23" t="s">
        <v>40</v>
      </c>
      <c r="J230" s="24">
        <f>4406400/36</f>
        <v>122400</v>
      </c>
      <c r="K230" s="21" t="s">
        <v>40</v>
      </c>
      <c r="L230" s="25"/>
      <c r="M230" s="25">
        <v>0.17</v>
      </c>
      <c r="N230" s="22"/>
      <c r="O230" s="23" t="s">
        <v>40</v>
      </c>
      <c r="P230" s="20">
        <f t="shared" si="86"/>
        <v>82</v>
      </c>
      <c r="Q230" s="23" t="s">
        <v>40</v>
      </c>
      <c r="R230" s="24">
        <f t="shared" si="87"/>
        <v>8330544</v>
      </c>
      <c r="S230" s="24">
        <f>R230/1.11</f>
        <v>7504994.5945945941</v>
      </c>
    </row>
    <row r="231" spans="1:19" s="19" customFormat="1" x14ac:dyDescent="0.2">
      <c r="A231" s="18"/>
      <c r="C231" s="20"/>
      <c r="D231" s="21"/>
      <c r="E231" s="26"/>
      <c r="F231" s="22"/>
      <c r="G231" s="23"/>
      <c r="H231" s="22"/>
      <c r="I231" s="23"/>
      <c r="J231" s="24"/>
      <c r="K231" s="21"/>
      <c r="L231" s="25"/>
      <c r="M231" s="25"/>
      <c r="N231" s="22"/>
      <c r="O231" s="23"/>
      <c r="P231" s="20"/>
      <c r="Q231" s="23"/>
      <c r="R231" s="24"/>
      <c r="S231" s="24"/>
    </row>
    <row r="232" spans="1:19" s="19" customFormat="1" ht="15.75" x14ac:dyDescent="0.25">
      <c r="A232" s="38" t="s">
        <v>149</v>
      </c>
      <c r="C232" s="20"/>
      <c r="D232" s="21"/>
      <c r="E232" s="26"/>
      <c r="F232" s="22"/>
      <c r="G232" s="23"/>
      <c r="H232" s="22"/>
      <c r="I232" s="23"/>
      <c r="J232" s="24"/>
      <c r="K232" s="21"/>
      <c r="L232" s="25"/>
      <c r="M232" s="25"/>
      <c r="N232" s="22"/>
      <c r="O232" s="23"/>
      <c r="P232" s="20"/>
      <c r="Q232" s="23"/>
      <c r="R232" s="24"/>
      <c r="S232" s="24"/>
    </row>
    <row r="233" spans="1:19" s="98" customFormat="1" x14ac:dyDescent="0.2">
      <c r="A233" s="139" t="s">
        <v>702</v>
      </c>
      <c r="B233" s="98" t="s">
        <v>18</v>
      </c>
      <c r="C233" s="99"/>
      <c r="D233" s="100" t="s">
        <v>151</v>
      </c>
      <c r="E233" s="101">
        <v>10</v>
      </c>
      <c r="F233" s="102">
        <v>12</v>
      </c>
      <c r="G233" s="103" t="s">
        <v>33</v>
      </c>
      <c r="H233" s="102">
        <v>12</v>
      </c>
      <c r="I233" s="103" t="s">
        <v>151</v>
      </c>
      <c r="J233" s="104">
        <v>11000</v>
      </c>
      <c r="K233" s="100" t="s">
        <v>151</v>
      </c>
      <c r="L233" s="136">
        <v>0.125</v>
      </c>
      <c r="M233" s="136">
        <v>0.08</v>
      </c>
      <c r="N233" s="102"/>
      <c r="O233" s="103" t="s">
        <v>151</v>
      </c>
      <c r="P233" s="99">
        <f t="shared" ref="P233" si="103">(C233+(E233*F233*H233))-N233</f>
        <v>1440</v>
      </c>
      <c r="Q233" s="103" t="s">
        <v>151</v>
      </c>
      <c r="R233" s="104">
        <f t="shared" ref="R233" si="104">P233*(J233-(J233*L233)-((J233-(J233*L233))*M233))</f>
        <v>12751200</v>
      </c>
      <c r="S233" s="104">
        <f t="shared" ref="S233" si="105">R233/1.11</f>
        <v>11487567.567567566</v>
      </c>
    </row>
    <row r="234" spans="1:19" s="98" customFormat="1" x14ac:dyDescent="0.2">
      <c r="A234" s="139" t="s">
        <v>702</v>
      </c>
      <c r="B234" s="98" t="s">
        <v>18</v>
      </c>
      <c r="C234" s="99"/>
      <c r="D234" s="100" t="s">
        <v>151</v>
      </c>
      <c r="E234" s="101">
        <v>2</v>
      </c>
      <c r="F234" s="102">
        <v>12</v>
      </c>
      <c r="G234" s="103" t="s">
        <v>33</v>
      </c>
      <c r="H234" s="102">
        <v>12</v>
      </c>
      <c r="I234" s="103" t="s">
        <v>151</v>
      </c>
      <c r="J234" s="104">
        <v>11000</v>
      </c>
      <c r="K234" s="100" t="s">
        <v>151</v>
      </c>
      <c r="L234" s="136">
        <v>0.125</v>
      </c>
      <c r="M234" s="136">
        <v>0.05</v>
      </c>
      <c r="N234" s="102"/>
      <c r="O234" s="103" t="s">
        <v>151</v>
      </c>
      <c r="P234" s="99">
        <f t="shared" ref="P234:P249" si="106">(C234+(E234*F234*H234))-N234</f>
        <v>288</v>
      </c>
      <c r="Q234" s="103" t="s">
        <v>151</v>
      </c>
      <c r="R234" s="104">
        <f t="shared" ref="R234:R249" si="107">P234*(J234-(J234*L234)-((J234-(J234*L234))*M234))</f>
        <v>2633400</v>
      </c>
      <c r="S234" s="104">
        <f t="shared" si="95"/>
        <v>2372432.4324324322</v>
      </c>
    </row>
    <row r="235" spans="1:19" s="98" customFormat="1" x14ac:dyDescent="0.2">
      <c r="A235" s="128" t="s">
        <v>150</v>
      </c>
      <c r="B235" s="98" t="s">
        <v>18</v>
      </c>
      <c r="C235" s="99"/>
      <c r="D235" s="100" t="s">
        <v>151</v>
      </c>
      <c r="E235" s="101">
        <v>10</v>
      </c>
      <c r="F235" s="102">
        <v>12</v>
      </c>
      <c r="G235" s="103" t="s">
        <v>33</v>
      </c>
      <c r="H235" s="102">
        <v>12</v>
      </c>
      <c r="I235" s="103" t="s">
        <v>151</v>
      </c>
      <c r="J235" s="104">
        <v>11600</v>
      </c>
      <c r="K235" s="100" t="s">
        <v>151</v>
      </c>
      <c r="L235" s="105">
        <v>0.125</v>
      </c>
      <c r="M235" s="105">
        <v>0.08</v>
      </c>
      <c r="N235" s="102"/>
      <c r="O235" s="103" t="s">
        <v>151</v>
      </c>
      <c r="P235" s="99">
        <f t="shared" ref="P235" si="108">(C235+(E235*F235*H235))-N235</f>
        <v>1440</v>
      </c>
      <c r="Q235" s="103" t="s">
        <v>151</v>
      </c>
      <c r="R235" s="104">
        <f t="shared" ref="R235" si="109">P235*(J235-(J235*L235)-((J235-(J235*L235))*M235))</f>
        <v>13446720</v>
      </c>
      <c r="S235" s="104">
        <f t="shared" ref="S235" si="110">R235/1.11</f>
        <v>12114162.162162161</v>
      </c>
    </row>
    <row r="236" spans="1:19" s="98" customFormat="1" x14ac:dyDescent="0.2">
      <c r="A236" s="146" t="s">
        <v>150</v>
      </c>
      <c r="B236" s="98" t="s">
        <v>18</v>
      </c>
      <c r="C236" s="99"/>
      <c r="D236" s="100" t="s">
        <v>151</v>
      </c>
      <c r="E236" s="101">
        <v>5</v>
      </c>
      <c r="F236" s="102">
        <v>12</v>
      </c>
      <c r="G236" s="103" t="s">
        <v>33</v>
      </c>
      <c r="H236" s="102">
        <v>12</v>
      </c>
      <c r="I236" s="103" t="s">
        <v>151</v>
      </c>
      <c r="J236" s="104">
        <v>11600</v>
      </c>
      <c r="K236" s="100" t="s">
        <v>151</v>
      </c>
      <c r="L236" s="105">
        <v>0.125</v>
      </c>
      <c r="M236" s="105">
        <v>0.05</v>
      </c>
      <c r="N236" s="102"/>
      <c r="O236" s="103" t="s">
        <v>151</v>
      </c>
      <c r="P236" s="99">
        <f t="shared" ref="P236" si="111">(C236+(E236*F236*H236))-N236</f>
        <v>720</v>
      </c>
      <c r="Q236" s="103" t="s">
        <v>151</v>
      </c>
      <c r="R236" s="104">
        <f t="shared" ref="R236" si="112">P236*(J236-(J236*L236)-((J236-(J236*L236))*M236))</f>
        <v>6942600</v>
      </c>
      <c r="S236" s="104">
        <f t="shared" ref="S236" si="113">R236/1.11</f>
        <v>6254594.5945945941</v>
      </c>
    </row>
    <row r="237" spans="1:19" s="19" customFormat="1" x14ac:dyDescent="0.2">
      <c r="A237" s="140" t="s">
        <v>152</v>
      </c>
      <c r="B237" s="19" t="s">
        <v>18</v>
      </c>
      <c r="C237" s="20"/>
      <c r="D237" s="21" t="s">
        <v>151</v>
      </c>
      <c r="E237" s="26">
        <v>5</v>
      </c>
      <c r="F237" s="22">
        <v>6</v>
      </c>
      <c r="G237" s="23" t="s">
        <v>33</v>
      </c>
      <c r="H237" s="22">
        <v>24</v>
      </c>
      <c r="I237" s="23" t="s">
        <v>151</v>
      </c>
      <c r="J237" s="24">
        <v>9000</v>
      </c>
      <c r="K237" s="21" t="s">
        <v>151</v>
      </c>
      <c r="L237" s="133">
        <v>0.125</v>
      </c>
      <c r="M237" s="133">
        <v>0.08</v>
      </c>
      <c r="N237" s="22"/>
      <c r="O237" s="23" t="s">
        <v>151</v>
      </c>
      <c r="P237" s="20">
        <f t="shared" ref="P237" si="114">(C237+(E237*F237*H237))-N237</f>
        <v>720</v>
      </c>
      <c r="Q237" s="23" t="s">
        <v>151</v>
      </c>
      <c r="R237" s="24">
        <f t="shared" ref="R237" si="115">P237*(J237-(J237*L237)-((J237-(J237*L237))*M237))</f>
        <v>5216400</v>
      </c>
      <c r="S237" s="24">
        <f t="shared" ref="S237" si="116">R237/1.11</f>
        <v>4699459.4594594594</v>
      </c>
    </row>
    <row r="238" spans="1:19" s="19" customFormat="1" x14ac:dyDescent="0.2">
      <c r="A238" s="140" t="s">
        <v>152</v>
      </c>
      <c r="B238" s="19" t="s">
        <v>18</v>
      </c>
      <c r="C238" s="20">
        <v>276</v>
      </c>
      <c r="D238" s="21" t="s">
        <v>151</v>
      </c>
      <c r="E238" s="26">
        <v>6</v>
      </c>
      <c r="F238" s="22">
        <v>6</v>
      </c>
      <c r="G238" s="23" t="s">
        <v>33</v>
      </c>
      <c r="H238" s="22">
        <v>24</v>
      </c>
      <c r="I238" s="23" t="s">
        <v>151</v>
      </c>
      <c r="J238" s="24">
        <v>9000</v>
      </c>
      <c r="K238" s="21" t="s">
        <v>151</v>
      </c>
      <c r="L238" s="133">
        <v>0.125</v>
      </c>
      <c r="M238" s="133">
        <v>0.05</v>
      </c>
      <c r="N238" s="22"/>
      <c r="O238" s="23" t="s">
        <v>151</v>
      </c>
      <c r="P238" s="20">
        <f t="shared" si="106"/>
        <v>1140</v>
      </c>
      <c r="Q238" s="23" t="s">
        <v>151</v>
      </c>
      <c r="R238" s="24">
        <f t="shared" si="107"/>
        <v>8528625</v>
      </c>
      <c r="S238" s="24">
        <f t="shared" si="95"/>
        <v>7683445.9459459456</v>
      </c>
    </row>
    <row r="239" spans="1:19" s="19" customFormat="1" x14ac:dyDescent="0.2">
      <c r="A239" s="31" t="s">
        <v>153</v>
      </c>
      <c r="B239" s="19" t="s">
        <v>18</v>
      </c>
      <c r="C239" s="20"/>
      <c r="D239" s="21" t="s">
        <v>151</v>
      </c>
      <c r="E239" s="26">
        <v>90</v>
      </c>
      <c r="F239" s="22">
        <v>1</v>
      </c>
      <c r="G239" s="23" t="s">
        <v>20</v>
      </c>
      <c r="H239" s="22">
        <v>144</v>
      </c>
      <c r="I239" s="23" t="s">
        <v>151</v>
      </c>
      <c r="J239" s="24">
        <v>11900</v>
      </c>
      <c r="K239" s="21" t="s">
        <v>151</v>
      </c>
      <c r="L239" s="33">
        <v>0.125</v>
      </c>
      <c r="M239" s="33">
        <v>0.08</v>
      </c>
      <c r="N239" s="22"/>
      <c r="O239" s="23" t="s">
        <v>151</v>
      </c>
      <c r="P239" s="20">
        <f t="shared" ref="P239" si="117">(C239+(E239*F239*H239))-N239</f>
        <v>12960</v>
      </c>
      <c r="Q239" s="23" t="s">
        <v>151</v>
      </c>
      <c r="R239" s="24">
        <f t="shared" ref="R239" si="118">P239*(J239-(J239*L239)-((J239-(J239*L239))*M239))</f>
        <v>124150320</v>
      </c>
      <c r="S239" s="24">
        <f t="shared" ref="S239" si="119">R239/1.11</f>
        <v>111847135.13513513</v>
      </c>
    </row>
    <row r="240" spans="1:19" s="19" customFormat="1" x14ac:dyDescent="0.2">
      <c r="A240" s="31" t="s">
        <v>153</v>
      </c>
      <c r="B240" s="19" t="s">
        <v>18</v>
      </c>
      <c r="C240" s="20">
        <v>397</v>
      </c>
      <c r="D240" s="21" t="s">
        <v>151</v>
      </c>
      <c r="E240" s="26">
        <v>66</v>
      </c>
      <c r="F240" s="22">
        <v>1</v>
      </c>
      <c r="G240" s="23" t="s">
        <v>20</v>
      </c>
      <c r="H240" s="22">
        <v>144</v>
      </c>
      <c r="I240" s="23" t="s">
        <v>151</v>
      </c>
      <c r="J240" s="24">
        <v>11900</v>
      </c>
      <c r="K240" s="21" t="s">
        <v>151</v>
      </c>
      <c r="L240" s="33">
        <v>0.125</v>
      </c>
      <c r="M240" s="33">
        <v>0.05</v>
      </c>
      <c r="N240" s="22"/>
      <c r="O240" s="23" t="s">
        <v>151</v>
      </c>
      <c r="P240" s="20">
        <f t="shared" si="106"/>
        <v>9901</v>
      </c>
      <c r="Q240" s="23" t="s">
        <v>151</v>
      </c>
      <c r="R240" s="24">
        <f t="shared" si="107"/>
        <v>97939454.375</v>
      </c>
      <c r="S240" s="24">
        <f t="shared" si="95"/>
        <v>88233742.680180177</v>
      </c>
    </row>
    <row r="241" spans="1:19" s="19" customFormat="1" x14ac:dyDescent="0.2">
      <c r="A241" s="134" t="s">
        <v>154</v>
      </c>
      <c r="B241" s="19" t="s">
        <v>18</v>
      </c>
      <c r="C241" s="20"/>
      <c r="D241" s="21" t="s">
        <v>151</v>
      </c>
      <c r="E241" s="26">
        <v>35</v>
      </c>
      <c r="F241" s="22">
        <v>6</v>
      </c>
      <c r="G241" s="23" t="s">
        <v>33</v>
      </c>
      <c r="H241" s="22">
        <v>12</v>
      </c>
      <c r="I241" s="23" t="s">
        <v>151</v>
      </c>
      <c r="J241" s="24">
        <v>23000</v>
      </c>
      <c r="K241" s="21" t="s">
        <v>151</v>
      </c>
      <c r="L241" s="133">
        <v>0.125</v>
      </c>
      <c r="M241" s="133">
        <v>0.08</v>
      </c>
      <c r="N241" s="22"/>
      <c r="O241" s="23" t="s">
        <v>151</v>
      </c>
      <c r="P241" s="20">
        <f t="shared" ref="P241" si="120">(C241+(E241*F241*H241))-N241</f>
        <v>2520</v>
      </c>
      <c r="Q241" s="23" t="s">
        <v>151</v>
      </c>
      <c r="R241" s="24">
        <f t="shared" ref="R241" si="121">P241*(J241-(J241*L241)-((J241-(J241*L241))*M241))</f>
        <v>46657800</v>
      </c>
      <c r="S241" s="24">
        <f t="shared" ref="S241" si="122">R241/1.11</f>
        <v>42034054.054054052</v>
      </c>
    </row>
    <row r="242" spans="1:19" s="19" customFormat="1" x14ac:dyDescent="0.2">
      <c r="A242" s="134" t="s">
        <v>154</v>
      </c>
      <c r="B242" s="19" t="s">
        <v>18</v>
      </c>
      <c r="C242" s="20">
        <v>300</v>
      </c>
      <c r="D242" s="21" t="s">
        <v>151</v>
      </c>
      <c r="E242" s="26">
        <v>42</v>
      </c>
      <c r="F242" s="22">
        <v>6</v>
      </c>
      <c r="G242" s="23" t="s">
        <v>33</v>
      </c>
      <c r="H242" s="22">
        <v>12</v>
      </c>
      <c r="I242" s="23" t="s">
        <v>151</v>
      </c>
      <c r="J242" s="24">
        <v>23000</v>
      </c>
      <c r="K242" s="21" t="s">
        <v>151</v>
      </c>
      <c r="L242" s="133">
        <v>0.125</v>
      </c>
      <c r="M242" s="133">
        <v>0.05</v>
      </c>
      <c r="N242" s="22"/>
      <c r="O242" s="23" t="s">
        <v>151</v>
      </c>
      <c r="P242" s="20">
        <f t="shared" si="106"/>
        <v>3324</v>
      </c>
      <c r="Q242" s="23" t="s">
        <v>151</v>
      </c>
      <c r="R242" s="24">
        <f t="shared" si="107"/>
        <v>63550725</v>
      </c>
      <c r="S242" s="24">
        <f t="shared" si="95"/>
        <v>57252905.405405402</v>
      </c>
    </row>
    <row r="243" spans="1:19" s="19" customFormat="1" x14ac:dyDescent="0.2">
      <c r="A243" s="31" t="s">
        <v>155</v>
      </c>
      <c r="B243" s="19" t="s">
        <v>18</v>
      </c>
      <c r="C243" s="20"/>
      <c r="D243" s="21" t="s">
        <v>151</v>
      </c>
      <c r="E243" s="26">
        <v>46</v>
      </c>
      <c r="F243" s="22">
        <v>8</v>
      </c>
      <c r="G243" s="23" t="s">
        <v>33</v>
      </c>
      <c r="H243" s="22">
        <v>6</v>
      </c>
      <c r="I243" s="23" t="s">
        <v>151</v>
      </c>
      <c r="J243" s="24">
        <v>29600</v>
      </c>
      <c r="K243" s="21" t="s">
        <v>151</v>
      </c>
      <c r="L243" s="33">
        <v>0.125</v>
      </c>
      <c r="M243" s="33">
        <v>0.08</v>
      </c>
      <c r="N243" s="22"/>
      <c r="O243" s="23" t="s">
        <v>151</v>
      </c>
      <c r="P243" s="20">
        <f t="shared" ref="P243" si="123">(C243+(E243*F243*H243))-N243</f>
        <v>2208</v>
      </c>
      <c r="Q243" s="23" t="s">
        <v>151</v>
      </c>
      <c r="R243" s="24">
        <f t="shared" ref="R243" si="124">P243*(J243-(J243*L243)-((J243-(J243*L243))*M243))</f>
        <v>52612224</v>
      </c>
      <c r="S243" s="24">
        <f t="shared" ref="S243" si="125">R243/1.11</f>
        <v>47398399.999999993</v>
      </c>
    </row>
    <row r="244" spans="1:19" s="19" customFormat="1" x14ac:dyDescent="0.2">
      <c r="A244" s="31" t="s">
        <v>155</v>
      </c>
      <c r="B244" s="19" t="s">
        <v>18</v>
      </c>
      <c r="C244" s="20"/>
      <c r="D244" s="21" t="s">
        <v>151</v>
      </c>
      <c r="E244" s="26">
        <v>29</v>
      </c>
      <c r="F244" s="22">
        <v>8</v>
      </c>
      <c r="G244" s="23" t="s">
        <v>33</v>
      </c>
      <c r="H244" s="22">
        <v>6</v>
      </c>
      <c r="I244" s="23" t="s">
        <v>151</v>
      </c>
      <c r="J244" s="24">
        <v>29600</v>
      </c>
      <c r="K244" s="21" t="s">
        <v>151</v>
      </c>
      <c r="L244" s="33">
        <v>0.125</v>
      </c>
      <c r="M244" s="33">
        <v>0.05</v>
      </c>
      <c r="N244" s="22"/>
      <c r="O244" s="23" t="s">
        <v>151</v>
      </c>
      <c r="P244" s="20">
        <f t="shared" si="106"/>
        <v>1392</v>
      </c>
      <c r="Q244" s="23" t="s">
        <v>151</v>
      </c>
      <c r="R244" s="24">
        <f t="shared" si="107"/>
        <v>34250160</v>
      </c>
      <c r="S244" s="24">
        <f t="shared" si="95"/>
        <v>30855999.999999996</v>
      </c>
    </row>
    <row r="245" spans="1:19" s="19" customFormat="1" x14ac:dyDescent="0.2">
      <c r="A245" s="134" t="s">
        <v>156</v>
      </c>
      <c r="B245" s="19" t="s">
        <v>18</v>
      </c>
      <c r="C245" s="20"/>
      <c r="D245" s="21" t="s">
        <v>151</v>
      </c>
      <c r="E245" s="26">
        <v>32</v>
      </c>
      <c r="F245" s="22">
        <v>6</v>
      </c>
      <c r="G245" s="23" t="s">
        <v>33</v>
      </c>
      <c r="H245" s="22">
        <v>6</v>
      </c>
      <c r="I245" s="23" t="s">
        <v>151</v>
      </c>
      <c r="J245" s="24">
        <v>41500</v>
      </c>
      <c r="K245" s="21" t="s">
        <v>151</v>
      </c>
      <c r="L245" s="133">
        <v>0.125</v>
      </c>
      <c r="M245" s="133">
        <v>0.08</v>
      </c>
      <c r="N245" s="22"/>
      <c r="O245" s="23" t="s">
        <v>151</v>
      </c>
      <c r="P245" s="20">
        <f t="shared" ref="P245" si="126">(C245+(E245*F245*H245))-N245</f>
        <v>1152</v>
      </c>
      <c r="Q245" s="23" t="s">
        <v>151</v>
      </c>
      <c r="R245" s="24">
        <f t="shared" ref="R245" si="127">P245*(J245-(J245*L245)-((J245-(J245*L245))*M245))</f>
        <v>38485440</v>
      </c>
      <c r="S245" s="24">
        <f>R245/1.11</f>
        <v>34671567.567567565</v>
      </c>
    </row>
    <row r="246" spans="1:19" s="19" customFormat="1" x14ac:dyDescent="0.2">
      <c r="A246" s="134" t="s">
        <v>156</v>
      </c>
      <c r="B246" s="19" t="s">
        <v>18</v>
      </c>
      <c r="C246" s="20">
        <v>242</v>
      </c>
      <c r="D246" s="21" t="s">
        <v>151</v>
      </c>
      <c r="E246" s="26">
        <v>31</v>
      </c>
      <c r="F246" s="22">
        <v>6</v>
      </c>
      <c r="G246" s="23" t="s">
        <v>33</v>
      </c>
      <c r="H246" s="22">
        <v>6</v>
      </c>
      <c r="I246" s="23" t="s">
        <v>151</v>
      </c>
      <c r="J246" s="24">
        <v>41500</v>
      </c>
      <c r="K246" s="21" t="s">
        <v>151</v>
      </c>
      <c r="L246" s="133">
        <v>0.125</v>
      </c>
      <c r="M246" s="133">
        <v>0.05</v>
      </c>
      <c r="N246" s="22"/>
      <c r="O246" s="23" t="s">
        <v>151</v>
      </c>
      <c r="P246" s="20">
        <f t="shared" si="106"/>
        <v>1358</v>
      </c>
      <c r="Q246" s="23" t="s">
        <v>151</v>
      </c>
      <c r="R246" s="24">
        <f t="shared" si="107"/>
        <v>46846756.25</v>
      </c>
      <c r="S246" s="24">
        <f>R246/1.11</f>
        <v>42204284.909909904</v>
      </c>
    </row>
    <row r="247" spans="1:19" s="19" customFormat="1" x14ac:dyDescent="0.2">
      <c r="A247" s="18" t="s">
        <v>157</v>
      </c>
      <c r="B247" s="19" t="s">
        <v>18</v>
      </c>
      <c r="C247" s="20">
        <v>264</v>
      </c>
      <c r="D247" s="21" t="s">
        <v>151</v>
      </c>
      <c r="E247" s="26">
        <v>23</v>
      </c>
      <c r="F247" s="22">
        <v>4</v>
      </c>
      <c r="G247" s="23" t="s">
        <v>33</v>
      </c>
      <c r="H247" s="22">
        <v>6</v>
      </c>
      <c r="I247" s="23" t="s">
        <v>151</v>
      </c>
      <c r="J247" s="24">
        <v>58900</v>
      </c>
      <c r="K247" s="21" t="s">
        <v>151</v>
      </c>
      <c r="L247" s="25">
        <v>0.125</v>
      </c>
      <c r="M247" s="25">
        <v>0.05</v>
      </c>
      <c r="N247" s="22"/>
      <c r="O247" s="23" t="s">
        <v>151</v>
      </c>
      <c r="P247" s="20">
        <f t="shared" si="106"/>
        <v>816</v>
      </c>
      <c r="Q247" s="23" t="s">
        <v>151</v>
      </c>
      <c r="R247" s="24">
        <f t="shared" si="107"/>
        <v>39951870</v>
      </c>
      <c r="S247" s="24">
        <f t="shared" si="95"/>
        <v>35992675.675675675</v>
      </c>
    </row>
    <row r="248" spans="1:19" s="19" customFormat="1" x14ac:dyDescent="0.2">
      <c r="A248" s="18" t="s">
        <v>158</v>
      </c>
      <c r="B248" s="19" t="s">
        <v>18</v>
      </c>
      <c r="C248" s="20">
        <v>278</v>
      </c>
      <c r="D248" s="21" t="s">
        <v>151</v>
      </c>
      <c r="E248" s="26">
        <v>32</v>
      </c>
      <c r="F248" s="22">
        <v>4</v>
      </c>
      <c r="G248" s="23" t="s">
        <v>33</v>
      </c>
      <c r="H248" s="22">
        <v>6</v>
      </c>
      <c r="I248" s="23" t="s">
        <v>151</v>
      </c>
      <c r="J248" s="24">
        <v>66900</v>
      </c>
      <c r="K248" s="21" t="s">
        <v>151</v>
      </c>
      <c r="L248" s="25">
        <v>0.125</v>
      </c>
      <c r="M248" s="25">
        <v>0.05</v>
      </c>
      <c r="N248" s="22"/>
      <c r="O248" s="23" t="s">
        <v>151</v>
      </c>
      <c r="P248" s="20">
        <f t="shared" si="106"/>
        <v>1046</v>
      </c>
      <c r="Q248" s="23" t="s">
        <v>151</v>
      </c>
      <c r="R248" s="24">
        <f t="shared" si="107"/>
        <v>58168713.75</v>
      </c>
      <c r="S248" s="24">
        <f t="shared" si="95"/>
        <v>52404246.621621616</v>
      </c>
    </row>
    <row r="249" spans="1:19" s="19" customFormat="1" x14ac:dyDescent="0.2">
      <c r="A249" s="18" t="s">
        <v>696</v>
      </c>
      <c r="B249" s="19" t="s">
        <v>18</v>
      </c>
      <c r="C249" s="20"/>
      <c r="D249" s="21" t="s">
        <v>151</v>
      </c>
      <c r="E249" s="26">
        <v>9</v>
      </c>
      <c r="F249" s="22">
        <v>1</v>
      </c>
      <c r="G249" s="23" t="s">
        <v>20</v>
      </c>
      <c r="H249" s="22">
        <v>24</v>
      </c>
      <c r="I249" s="23" t="s">
        <v>151</v>
      </c>
      <c r="J249" s="24">
        <v>96000</v>
      </c>
      <c r="K249" s="21" t="s">
        <v>151</v>
      </c>
      <c r="L249" s="25">
        <v>0.125</v>
      </c>
      <c r="M249" s="25">
        <v>0.05</v>
      </c>
      <c r="N249" s="22"/>
      <c r="O249" s="23" t="s">
        <v>151</v>
      </c>
      <c r="P249" s="20">
        <f t="shared" si="106"/>
        <v>216</v>
      </c>
      <c r="Q249" s="23" t="s">
        <v>151</v>
      </c>
      <c r="R249" s="24">
        <f t="shared" si="107"/>
        <v>17236800</v>
      </c>
      <c r="S249" s="24">
        <f t="shared" si="95"/>
        <v>15528648.648648648</v>
      </c>
    </row>
    <row r="250" spans="1:19" s="19" customFormat="1" x14ac:dyDescent="0.2">
      <c r="A250" s="18"/>
      <c r="C250" s="20"/>
      <c r="D250" s="21"/>
      <c r="E250" s="26"/>
      <c r="F250" s="22"/>
      <c r="G250" s="23"/>
      <c r="H250" s="22"/>
      <c r="I250" s="23"/>
      <c r="J250" s="24"/>
      <c r="K250" s="21"/>
      <c r="L250" s="25"/>
      <c r="M250" s="25"/>
      <c r="N250" s="22"/>
      <c r="O250" s="23"/>
      <c r="P250" s="20"/>
      <c r="Q250" s="23"/>
      <c r="R250" s="24"/>
      <c r="S250" s="24"/>
    </row>
    <row r="251" spans="1:19" s="19" customFormat="1" x14ac:dyDescent="0.2">
      <c r="A251" s="43" t="s">
        <v>159</v>
      </c>
      <c r="B251" s="19" t="s">
        <v>25</v>
      </c>
      <c r="C251" s="20"/>
      <c r="D251" s="21" t="s">
        <v>151</v>
      </c>
      <c r="E251" s="26">
        <v>2</v>
      </c>
      <c r="F251" s="22">
        <v>12</v>
      </c>
      <c r="G251" s="23" t="s">
        <v>40</v>
      </c>
      <c r="H251" s="22">
        <v>12</v>
      </c>
      <c r="I251" s="23" t="s">
        <v>151</v>
      </c>
      <c r="J251" s="24">
        <f>1728000/12/12</f>
        <v>12000</v>
      </c>
      <c r="K251" s="21" t="s">
        <v>151</v>
      </c>
      <c r="L251" s="25"/>
      <c r="M251" s="25">
        <v>0.17</v>
      </c>
      <c r="N251" s="22"/>
      <c r="O251" s="23" t="s">
        <v>151</v>
      </c>
      <c r="P251" s="20">
        <f>(C251+(E251*F251*H251))-N251</f>
        <v>288</v>
      </c>
      <c r="Q251" s="23" t="s">
        <v>151</v>
      </c>
      <c r="R251" s="24">
        <f>P251*(J251-(J251*L251)-((J251-(J251*L251))*M251))</f>
        <v>2868480</v>
      </c>
      <c r="S251" s="24">
        <f t="shared" si="95"/>
        <v>2584216.2162162159</v>
      </c>
    </row>
    <row r="252" spans="1:19" s="19" customFormat="1" x14ac:dyDescent="0.2">
      <c r="A252" s="43" t="s">
        <v>160</v>
      </c>
      <c r="B252" s="19" t="s">
        <v>25</v>
      </c>
      <c r="C252" s="20">
        <v>168</v>
      </c>
      <c r="D252" s="21" t="s">
        <v>151</v>
      </c>
      <c r="E252" s="26">
        <v>2</v>
      </c>
      <c r="F252" s="22">
        <v>6</v>
      </c>
      <c r="G252" s="23" t="s">
        <v>40</v>
      </c>
      <c r="H252" s="22">
        <v>12</v>
      </c>
      <c r="I252" s="23" t="s">
        <v>151</v>
      </c>
      <c r="J252" s="24">
        <f>1548000/6/12</f>
        <v>21500</v>
      </c>
      <c r="K252" s="21" t="s">
        <v>151</v>
      </c>
      <c r="L252" s="25"/>
      <c r="M252" s="25">
        <v>0.17</v>
      </c>
      <c r="N252" s="22"/>
      <c r="O252" s="23" t="s">
        <v>151</v>
      </c>
      <c r="P252" s="20">
        <f>(C252+(E252*F252*H252))-N252</f>
        <v>312</v>
      </c>
      <c r="Q252" s="23" t="s">
        <v>151</v>
      </c>
      <c r="R252" s="24">
        <f>P252*(J252-(J252*L252)-((J252-(J252*L252))*M252))</f>
        <v>5567640</v>
      </c>
      <c r="S252" s="24">
        <f t="shared" si="95"/>
        <v>5015891.8918918911</v>
      </c>
    </row>
    <row r="253" spans="1:19" s="19" customFormat="1" x14ac:dyDescent="0.2">
      <c r="A253" s="43" t="s">
        <v>815</v>
      </c>
      <c r="B253" s="19" t="s">
        <v>25</v>
      </c>
      <c r="C253" s="20"/>
      <c r="D253" s="21" t="s">
        <v>151</v>
      </c>
      <c r="E253" s="26">
        <v>1</v>
      </c>
      <c r="F253" s="22">
        <v>4</v>
      </c>
      <c r="G253" s="23" t="s">
        <v>40</v>
      </c>
      <c r="H253" s="22">
        <v>12</v>
      </c>
      <c r="I253" s="23" t="s">
        <v>151</v>
      </c>
      <c r="J253" s="24">
        <v>28500</v>
      </c>
      <c r="K253" s="21" t="s">
        <v>151</v>
      </c>
      <c r="L253" s="25"/>
      <c r="M253" s="25">
        <v>0.17</v>
      </c>
      <c r="N253" s="22"/>
      <c r="O253" s="23" t="s">
        <v>151</v>
      </c>
      <c r="P253" s="20">
        <f t="shared" ref="P253:P254" si="128">(C253+(E253*F253*H253))-N253</f>
        <v>48</v>
      </c>
      <c r="Q253" s="23" t="s">
        <v>151</v>
      </c>
      <c r="R253" s="24">
        <f t="shared" ref="R253:R254" si="129">P253*(J253-(J253*L253)-((J253-(J253*L253))*M253))</f>
        <v>1135440</v>
      </c>
      <c r="S253" s="24">
        <f t="shared" ref="S253:S254" si="130">R253/1.11</f>
        <v>1022918.9189189188</v>
      </c>
    </row>
    <row r="254" spans="1:19" s="19" customFormat="1" x14ac:dyDescent="0.2">
      <c r="A254" s="43" t="s">
        <v>816</v>
      </c>
      <c r="B254" s="19" t="s">
        <v>25</v>
      </c>
      <c r="C254" s="20"/>
      <c r="D254" s="21" t="s">
        <v>151</v>
      </c>
      <c r="E254" s="26">
        <v>1</v>
      </c>
      <c r="F254" s="22">
        <v>4</v>
      </c>
      <c r="G254" s="23" t="s">
        <v>40</v>
      </c>
      <c r="H254" s="22">
        <v>12</v>
      </c>
      <c r="I254" s="23" t="s">
        <v>151</v>
      </c>
      <c r="J254" s="24">
        <v>31125</v>
      </c>
      <c r="K254" s="21" t="s">
        <v>151</v>
      </c>
      <c r="L254" s="25"/>
      <c r="M254" s="25">
        <v>0.17</v>
      </c>
      <c r="N254" s="22"/>
      <c r="O254" s="23" t="s">
        <v>151</v>
      </c>
      <c r="P254" s="20">
        <f t="shared" si="128"/>
        <v>48</v>
      </c>
      <c r="Q254" s="23" t="s">
        <v>151</v>
      </c>
      <c r="R254" s="24">
        <f t="shared" si="129"/>
        <v>1240020</v>
      </c>
      <c r="S254" s="24">
        <f t="shared" si="130"/>
        <v>1117135.1351351351</v>
      </c>
    </row>
    <row r="255" spans="1:19" s="19" customFormat="1" x14ac:dyDescent="0.2">
      <c r="A255" s="43"/>
      <c r="C255" s="20"/>
      <c r="D255" s="21"/>
      <c r="E255" s="26"/>
      <c r="F255" s="22"/>
      <c r="G255" s="23"/>
      <c r="H255" s="22"/>
      <c r="I255" s="23"/>
      <c r="J255" s="24"/>
      <c r="K255" s="21"/>
      <c r="L255" s="25"/>
      <c r="M255" s="25"/>
      <c r="N255" s="22"/>
      <c r="O255" s="23"/>
      <c r="P255" s="20"/>
      <c r="Q255" s="23"/>
      <c r="R255" s="24"/>
      <c r="S255" s="24"/>
    </row>
    <row r="256" spans="1:19" s="81" customFormat="1" x14ac:dyDescent="0.2">
      <c r="A256" s="113" t="s">
        <v>161</v>
      </c>
      <c r="B256" s="81" t="s">
        <v>25</v>
      </c>
      <c r="C256" s="79"/>
      <c r="D256" s="82" t="s">
        <v>151</v>
      </c>
      <c r="E256" s="83"/>
      <c r="F256" s="84">
        <v>8</v>
      </c>
      <c r="G256" s="85" t="s">
        <v>33</v>
      </c>
      <c r="H256" s="84">
        <v>12</v>
      </c>
      <c r="I256" s="85" t="s">
        <v>151</v>
      </c>
      <c r="J256" s="86">
        <v>12500</v>
      </c>
      <c r="K256" s="82" t="s">
        <v>151</v>
      </c>
      <c r="L256" s="87"/>
      <c r="M256" s="87">
        <v>0.17</v>
      </c>
      <c r="N256" s="84"/>
      <c r="O256" s="85" t="s">
        <v>151</v>
      </c>
      <c r="P256" s="79">
        <f t="shared" ref="P256:P263" si="131">(C256+(E256*F256*H256))-N256</f>
        <v>0</v>
      </c>
      <c r="Q256" s="85" t="s">
        <v>151</v>
      </c>
      <c r="R256" s="86">
        <f t="shared" ref="R256:R263" si="132">P256*(J256-(J256*L256)-((J256-(J256*L256))*M256))</f>
        <v>0</v>
      </c>
      <c r="S256" s="86">
        <f t="shared" si="95"/>
        <v>0</v>
      </c>
    </row>
    <row r="257" spans="1:19" s="81" customFormat="1" x14ac:dyDescent="0.2">
      <c r="A257" s="113" t="s">
        <v>162</v>
      </c>
      <c r="B257" s="81" t="s">
        <v>25</v>
      </c>
      <c r="C257" s="79"/>
      <c r="D257" s="82" t="s">
        <v>151</v>
      </c>
      <c r="E257" s="83"/>
      <c r="F257" s="84">
        <v>1</v>
      </c>
      <c r="G257" s="85" t="s">
        <v>20</v>
      </c>
      <c r="H257" s="84">
        <v>144</v>
      </c>
      <c r="I257" s="85" t="s">
        <v>151</v>
      </c>
      <c r="J257" s="86">
        <v>11600</v>
      </c>
      <c r="K257" s="82" t="s">
        <v>151</v>
      </c>
      <c r="L257" s="87"/>
      <c r="M257" s="87">
        <v>0.17</v>
      </c>
      <c r="N257" s="84"/>
      <c r="O257" s="85" t="s">
        <v>151</v>
      </c>
      <c r="P257" s="79">
        <f t="shared" si="131"/>
        <v>0</v>
      </c>
      <c r="Q257" s="85" t="s">
        <v>151</v>
      </c>
      <c r="R257" s="86">
        <f t="shared" si="132"/>
        <v>0</v>
      </c>
      <c r="S257" s="86">
        <f t="shared" si="95"/>
        <v>0</v>
      </c>
    </row>
    <row r="258" spans="1:19" s="19" customFormat="1" x14ac:dyDescent="0.2">
      <c r="A258" s="18" t="s">
        <v>163</v>
      </c>
      <c r="B258" s="19" t="s">
        <v>25</v>
      </c>
      <c r="C258" s="20">
        <v>4032</v>
      </c>
      <c r="D258" s="21" t="s">
        <v>151</v>
      </c>
      <c r="E258" s="26">
        <v>34</v>
      </c>
      <c r="F258" s="22">
        <v>12</v>
      </c>
      <c r="G258" s="23" t="s">
        <v>40</v>
      </c>
      <c r="H258" s="22">
        <v>12</v>
      </c>
      <c r="I258" s="23" t="s">
        <v>151</v>
      </c>
      <c r="J258" s="24">
        <f>2088000/144</f>
        <v>14500</v>
      </c>
      <c r="K258" s="21" t="s">
        <v>151</v>
      </c>
      <c r="L258" s="25"/>
      <c r="M258" s="25">
        <v>0.17</v>
      </c>
      <c r="N258" s="22"/>
      <c r="O258" s="23" t="s">
        <v>151</v>
      </c>
      <c r="P258" s="20">
        <f t="shared" si="131"/>
        <v>8928</v>
      </c>
      <c r="Q258" s="23" t="s">
        <v>151</v>
      </c>
      <c r="R258" s="24">
        <f t="shared" si="132"/>
        <v>107448480</v>
      </c>
      <c r="S258" s="24">
        <f t="shared" si="95"/>
        <v>96800432.432432428</v>
      </c>
    </row>
    <row r="259" spans="1:19" s="19" customFormat="1" x14ac:dyDescent="0.2">
      <c r="A259" s="18" t="s">
        <v>164</v>
      </c>
      <c r="B259" s="19" t="s">
        <v>25</v>
      </c>
      <c r="C259" s="20">
        <v>648</v>
      </c>
      <c r="D259" s="21" t="s">
        <v>151</v>
      </c>
      <c r="E259" s="26">
        <v>17</v>
      </c>
      <c r="F259" s="22">
        <v>6</v>
      </c>
      <c r="G259" s="23" t="s">
        <v>40</v>
      </c>
      <c r="H259" s="22">
        <v>12</v>
      </c>
      <c r="I259" s="23" t="s">
        <v>151</v>
      </c>
      <c r="J259" s="24">
        <f>1944000/72</f>
        <v>27000</v>
      </c>
      <c r="K259" s="21" t="s">
        <v>151</v>
      </c>
      <c r="L259" s="25"/>
      <c r="M259" s="25">
        <v>0.17</v>
      </c>
      <c r="N259" s="22"/>
      <c r="O259" s="23" t="s">
        <v>151</v>
      </c>
      <c r="P259" s="20">
        <f t="shared" si="131"/>
        <v>1872</v>
      </c>
      <c r="Q259" s="23" t="s">
        <v>151</v>
      </c>
      <c r="R259" s="24">
        <f t="shared" si="132"/>
        <v>41951520</v>
      </c>
      <c r="S259" s="24">
        <f t="shared" si="95"/>
        <v>37794162.162162162</v>
      </c>
    </row>
    <row r="260" spans="1:19" s="19" customFormat="1" x14ac:dyDescent="0.2">
      <c r="A260" s="18" t="s">
        <v>165</v>
      </c>
      <c r="B260" s="19" t="s">
        <v>25</v>
      </c>
      <c r="C260" s="20">
        <v>672</v>
      </c>
      <c r="D260" s="21" t="s">
        <v>151</v>
      </c>
      <c r="E260" s="26">
        <v>11</v>
      </c>
      <c r="F260" s="22">
        <v>8</v>
      </c>
      <c r="G260" s="23" t="s">
        <v>33</v>
      </c>
      <c r="H260" s="22">
        <v>6</v>
      </c>
      <c r="I260" s="23" t="s">
        <v>151</v>
      </c>
      <c r="J260" s="24">
        <f>1632000/8/6</f>
        <v>34000</v>
      </c>
      <c r="K260" s="21" t="s">
        <v>151</v>
      </c>
      <c r="L260" s="25"/>
      <c r="M260" s="25">
        <v>0.17</v>
      </c>
      <c r="N260" s="22"/>
      <c r="O260" s="23" t="s">
        <v>151</v>
      </c>
      <c r="P260" s="20">
        <f t="shared" si="131"/>
        <v>1200</v>
      </c>
      <c r="Q260" s="23" t="s">
        <v>151</v>
      </c>
      <c r="R260" s="24">
        <f t="shared" si="132"/>
        <v>33864000</v>
      </c>
      <c r="S260" s="24">
        <f t="shared" si="95"/>
        <v>30508108.108108107</v>
      </c>
    </row>
    <row r="261" spans="1:19" s="19" customFormat="1" x14ac:dyDescent="0.2">
      <c r="A261" s="18" t="s">
        <v>166</v>
      </c>
      <c r="B261" s="19" t="s">
        <v>25</v>
      </c>
      <c r="C261" s="20">
        <v>180</v>
      </c>
      <c r="D261" s="21" t="s">
        <v>151</v>
      </c>
      <c r="E261" s="26">
        <v>10</v>
      </c>
      <c r="F261" s="22">
        <v>6</v>
      </c>
      <c r="G261" s="23" t="s">
        <v>33</v>
      </c>
      <c r="H261" s="22">
        <v>6</v>
      </c>
      <c r="I261" s="23" t="s">
        <v>151</v>
      </c>
      <c r="J261" s="24">
        <f>1710000/6/6</f>
        <v>47500</v>
      </c>
      <c r="K261" s="21" t="s">
        <v>151</v>
      </c>
      <c r="L261" s="25"/>
      <c r="M261" s="25">
        <v>0.17</v>
      </c>
      <c r="N261" s="22"/>
      <c r="O261" s="23" t="s">
        <v>151</v>
      </c>
      <c r="P261" s="20">
        <f t="shared" si="131"/>
        <v>540</v>
      </c>
      <c r="Q261" s="23" t="s">
        <v>151</v>
      </c>
      <c r="R261" s="24">
        <f t="shared" si="132"/>
        <v>21289500</v>
      </c>
      <c r="S261" s="24">
        <f t="shared" si="95"/>
        <v>19179729.729729727</v>
      </c>
    </row>
    <row r="262" spans="1:19" s="19" customFormat="1" x14ac:dyDescent="0.2">
      <c r="A262" s="18" t="s">
        <v>167</v>
      </c>
      <c r="B262" s="19" t="s">
        <v>25</v>
      </c>
      <c r="C262" s="20">
        <v>30</v>
      </c>
      <c r="D262" s="21" t="s">
        <v>151</v>
      </c>
      <c r="E262" s="26">
        <v>5</v>
      </c>
      <c r="F262" s="22">
        <v>4</v>
      </c>
      <c r="G262" s="23" t="s">
        <v>33</v>
      </c>
      <c r="H262" s="22">
        <v>6</v>
      </c>
      <c r="I262" s="23" t="s">
        <v>151</v>
      </c>
      <c r="J262" s="24">
        <f>1656000/4/6</f>
        <v>69000</v>
      </c>
      <c r="K262" s="21" t="s">
        <v>151</v>
      </c>
      <c r="L262" s="25"/>
      <c r="M262" s="25">
        <v>0.17</v>
      </c>
      <c r="N262" s="22"/>
      <c r="O262" s="23" t="s">
        <v>151</v>
      </c>
      <c r="P262" s="20">
        <f t="shared" si="131"/>
        <v>150</v>
      </c>
      <c r="Q262" s="23" t="s">
        <v>151</v>
      </c>
      <c r="R262" s="24">
        <f t="shared" si="132"/>
        <v>8590500</v>
      </c>
      <c r="S262" s="24">
        <f t="shared" si="95"/>
        <v>7739189.1891891882</v>
      </c>
    </row>
    <row r="263" spans="1:19" s="19" customFormat="1" x14ac:dyDescent="0.2">
      <c r="A263" s="18" t="s">
        <v>168</v>
      </c>
      <c r="B263" s="19" t="s">
        <v>25</v>
      </c>
      <c r="C263" s="20">
        <v>42</v>
      </c>
      <c r="D263" s="21" t="s">
        <v>151</v>
      </c>
      <c r="E263" s="26">
        <v>6</v>
      </c>
      <c r="F263" s="22">
        <v>4</v>
      </c>
      <c r="G263" s="23" t="s">
        <v>33</v>
      </c>
      <c r="H263" s="22">
        <v>6</v>
      </c>
      <c r="I263" s="23" t="s">
        <v>151</v>
      </c>
      <c r="J263" s="24">
        <f>1824000/4/6</f>
        <v>76000</v>
      </c>
      <c r="K263" s="21" t="s">
        <v>151</v>
      </c>
      <c r="L263" s="25"/>
      <c r="M263" s="25">
        <v>0.17</v>
      </c>
      <c r="N263" s="22"/>
      <c r="O263" s="23" t="s">
        <v>151</v>
      </c>
      <c r="P263" s="20">
        <f t="shared" si="131"/>
        <v>186</v>
      </c>
      <c r="Q263" s="23" t="s">
        <v>151</v>
      </c>
      <c r="R263" s="24">
        <f t="shared" si="132"/>
        <v>11732880</v>
      </c>
      <c r="S263" s="24">
        <f t="shared" si="95"/>
        <v>10570162.162162161</v>
      </c>
    </row>
    <row r="264" spans="1:19" s="19" customFormat="1" x14ac:dyDescent="0.2">
      <c r="A264" s="18"/>
      <c r="C264" s="20"/>
      <c r="D264" s="21"/>
      <c r="E264" s="26"/>
      <c r="F264" s="22"/>
      <c r="G264" s="23"/>
      <c r="H264" s="22"/>
      <c r="I264" s="23"/>
      <c r="J264" s="24"/>
      <c r="K264" s="21"/>
      <c r="L264" s="25"/>
      <c r="M264" s="25"/>
      <c r="N264" s="22"/>
      <c r="O264" s="23"/>
      <c r="P264" s="20"/>
      <c r="Q264" s="23"/>
      <c r="R264" s="24"/>
      <c r="S264" s="24"/>
    </row>
    <row r="265" spans="1:19" s="19" customFormat="1" x14ac:dyDescent="0.2">
      <c r="A265" s="65" t="s">
        <v>169</v>
      </c>
      <c r="C265" s="20"/>
      <c r="D265" s="21"/>
      <c r="E265" s="26"/>
      <c r="F265" s="22"/>
      <c r="G265" s="23"/>
      <c r="H265" s="22"/>
      <c r="I265" s="23"/>
      <c r="J265" s="24"/>
      <c r="K265" s="21"/>
      <c r="L265" s="25"/>
      <c r="M265" s="25"/>
      <c r="N265" s="22"/>
      <c r="O265" s="23"/>
      <c r="P265" s="20"/>
      <c r="Q265" s="23"/>
      <c r="R265" s="24"/>
      <c r="S265" s="24"/>
    </row>
    <row r="266" spans="1:19" s="81" customFormat="1" x14ac:dyDescent="0.2">
      <c r="A266" s="80" t="s">
        <v>170</v>
      </c>
      <c r="B266" s="81" t="s">
        <v>171</v>
      </c>
      <c r="C266" s="79"/>
      <c r="D266" s="82" t="s">
        <v>151</v>
      </c>
      <c r="E266" s="83"/>
      <c r="F266" s="84">
        <v>1</v>
      </c>
      <c r="G266" s="85" t="s">
        <v>20</v>
      </c>
      <c r="H266" s="84">
        <v>144</v>
      </c>
      <c r="I266" s="85" t="s">
        <v>151</v>
      </c>
      <c r="J266" s="86">
        <v>14000</v>
      </c>
      <c r="K266" s="82" t="s">
        <v>151</v>
      </c>
      <c r="L266" s="87">
        <v>0.05</v>
      </c>
      <c r="M266" s="87">
        <v>0.03</v>
      </c>
      <c r="N266" s="84"/>
      <c r="O266" s="85" t="s">
        <v>151</v>
      </c>
      <c r="P266" s="79">
        <f>(C266+(E266*F266*H266))-N266</f>
        <v>0</v>
      </c>
      <c r="Q266" s="85" t="s">
        <v>151</v>
      </c>
      <c r="R266" s="86">
        <f>P266*(J266-(J266*L266)-((J266-(J266*L266))*M266))</f>
        <v>0</v>
      </c>
      <c r="S266" s="86">
        <f t="shared" si="95"/>
        <v>0</v>
      </c>
    </row>
    <row r="267" spans="1:19" s="19" customFormat="1" x14ac:dyDescent="0.2">
      <c r="A267" s="18"/>
      <c r="C267" s="20"/>
      <c r="D267" s="21"/>
      <c r="E267" s="26"/>
      <c r="F267" s="22"/>
      <c r="G267" s="23"/>
      <c r="H267" s="22"/>
      <c r="I267" s="23"/>
      <c r="J267" s="24"/>
      <c r="K267" s="21"/>
      <c r="L267" s="25"/>
      <c r="M267" s="25"/>
      <c r="N267" s="22"/>
      <c r="O267" s="23"/>
      <c r="P267" s="20"/>
      <c r="Q267" s="23"/>
      <c r="R267" s="24"/>
      <c r="S267" s="24"/>
    </row>
    <row r="268" spans="1:19" s="19" customFormat="1" x14ac:dyDescent="0.2">
      <c r="A268" s="18" t="s">
        <v>172</v>
      </c>
      <c r="B268" s="19" t="s">
        <v>18</v>
      </c>
      <c r="C268" s="20">
        <f>360+324</f>
        <v>684</v>
      </c>
      <c r="D268" s="21" t="s">
        <v>151</v>
      </c>
      <c r="E268" s="26">
        <v>21</v>
      </c>
      <c r="F268" s="22">
        <v>12</v>
      </c>
      <c r="G268" s="23" t="s">
        <v>33</v>
      </c>
      <c r="H268" s="22">
        <v>12</v>
      </c>
      <c r="I268" s="23" t="s">
        <v>151</v>
      </c>
      <c r="J268" s="24">
        <v>18600</v>
      </c>
      <c r="K268" s="21" t="s">
        <v>151</v>
      </c>
      <c r="L268" s="25">
        <v>0.125</v>
      </c>
      <c r="M268" s="25">
        <v>0.05</v>
      </c>
      <c r="N268" s="22"/>
      <c r="O268" s="23" t="s">
        <v>151</v>
      </c>
      <c r="P268" s="20">
        <f>(C268+(E268*F268*H268))-N268</f>
        <v>3708</v>
      </c>
      <c r="Q268" s="23" t="s">
        <v>151</v>
      </c>
      <c r="R268" s="24">
        <f>P268*(J268-(J268*L268)-((J268-(J268*L268))*M268))</f>
        <v>57330315</v>
      </c>
      <c r="S268" s="24">
        <f t="shared" si="95"/>
        <v>51648932.432432428</v>
      </c>
    </row>
    <row r="269" spans="1:19" s="19" customFormat="1" x14ac:dyDescent="0.2">
      <c r="A269" s="145" t="s">
        <v>917</v>
      </c>
      <c r="B269" s="19" t="s">
        <v>18</v>
      </c>
      <c r="C269" s="20"/>
      <c r="D269" s="21" t="s">
        <v>151</v>
      </c>
      <c r="E269" s="26">
        <v>2</v>
      </c>
      <c r="F269" s="22">
        <v>6</v>
      </c>
      <c r="G269" s="23" t="s">
        <v>33</v>
      </c>
      <c r="H269" s="22">
        <v>12</v>
      </c>
      <c r="I269" s="23" t="s">
        <v>151</v>
      </c>
      <c r="J269" s="24">
        <v>37200</v>
      </c>
      <c r="K269" s="21" t="s">
        <v>151</v>
      </c>
      <c r="L269" s="25">
        <v>0.125</v>
      </c>
      <c r="M269" s="25">
        <v>0.05</v>
      </c>
      <c r="N269" s="22"/>
      <c r="O269" s="23" t="s">
        <v>151</v>
      </c>
      <c r="P269" s="20">
        <f>(C269+(E269*F269*H269))-N269</f>
        <v>144</v>
      </c>
      <c r="Q269" s="23" t="s">
        <v>151</v>
      </c>
      <c r="R269" s="24">
        <f>P269*(J269-(J269*L269)-((J269-(J269*L269))*M269))</f>
        <v>4452840</v>
      </c>
      <c r="S269" s="24">
        <f t="shared" ref="S269" si="133">R269/1.11</f>
        <v>4011567.5675675673</v>
      </c>
    </row>
    <row r="270" spans="1:19" s="19" customFormat="1" x14ac:dyDescent="0.2">
      <c r="A270" s="18" t="s">
        <v>173</v>
      </c>
      <c r="B270" s="19" t="s">
        <v>18</v>
      </c>
      <c r="C270" s="20">
        <v>144</v>
      </c>
      <c r="D270" s="21" t="s">
        <v>151</v>
      </c>
      <c r="E270" s="26">
        <v>21</v>
      </c>
      <c r="F270" s="22">
        <v>12</v>
      </c>
      <c r="G270" s="23" t="s">
        <v>33</v>
      </c>
      <c r="H270" s="22">
        <v>12</v>
      </c>
      <c r="I270" s="23" t="s">
        <v>151</v>
      </c>
      <c r="J270" s="24">
        <v>23900</v>
      </c>
      <c r="K270" s="21" t="s">
        <v>151</v>
      </c>
      <c r="L270" s="25">
        <v>0.125</v>
      </c>
      <c r="M270" s="25">
        <v>0.05</v>
      </c>
      <c r="N270" s="22"/>
      <c r="O270" s="23" t="s">
        <v>151</v>
      </c>
      <c r="P270" s="20">
        <f>(C270+(E270*F270*H270))-N270</f>
        <v>3168</v>
      </c>
      <c r="Q270" s="23" t="s">
        <v>151</v>
      </c>
      <c r="R270" s="24">
        <f>P270*(J270-(J270*L270)-((J270-(J270*L270))*M270))</f>
        <v>62938260</v>
      </c>
      <c r="S270" s="24">
        <f t="shared" si="95"/>
        <v>56701135.135135129</v>
      </c>
    </row>
    <row r="271" spans="1:19" s="19" customFormat="1" x14ac:dyDescent="0.2">
      <c r="A271" s="18" t="s">
        <v>174</v>
      </c>
      <c r="B271" s="19" t="s">
        <v>18</v>
      </c>
      <c r="C271" s="20">
        <v>72</v>
      </c>
      <c r="D271" s="21" t="s">
        <v>151</v>
      </c>
      <c r="E271" s="26">
        <v>6</v>
      </c>
      <c r="F271" s="22">
        <v>12</v>
      </c>
      <c r="G271" s="23" t="s">
        <v>33</v>
      </c>
      <c r="H271" s="22">
        <v>6</v>
      </c>
      <c r="I271" s="23" t="s">
        <v>151</v>
      </c>
      <c r="J271" s="24">
        <v>47800</v>
      </c>
      <c r="K271" s="21" t="s">
        <v>151</v>
      </c>
      <c r="L271" s="25">
        <v>0.125</v>
      </c>
      <c r="M271" s="25">
        <v>0.05</v>
      </c>
      <c r="N271" s="22"/>
      <c r="O271" s="23" t="s">
        <v>151</v>
      </c>
      <c r="P271" s="20">
        <f>(C271+(E271*F271*H271))-N271</f>
        <v>504</v>
      </c>
      <c r="Q271" s="23" t="s">
        <v>151</v>
      </c>
      <c r="R271" s="24">
        <f>P271*(J271-(J271*L271)-((J271-(J271*L271))*M271))</f>
        <v>20025810</v>
      </c>
      <c r="S271" s="24">
        <f t="shared" ref="S271" si="134">R271/1.11</f>
        <v>18041270.270270269</v>
      </c>
    </row>
    <row r="272" spans="1:19" s="19" customFormat="1" x14ac:dyDescent="0.2">
      <c r="A272" s="18"/>
      <c r="C272" s="20"/>
      <c r="D272" s="21"/>
      <c r="E272" s="26"/>
      <c r="F272" s="22"/>
      <c r="G272" s="23"/>
      <c r="H272" s="22"/>
      <c r="I272" s="23"/>
      <c r="J272" s="24"/>
      <c r="K272" s="21"/>
      <c r="L272" s="25"/>
      <c r="M272" s="25"/>
      <c r="N272" s="22"/>
      <c r="O272" s="23"/>
      <c r="P272" s="20"/>
      <c r="Q272" s="23"/>
      <c r="R272" s="24"/>
      <c r="S272" s="24"/>
    </row>
    <row r="273" spans="1:19" s="81" customFormat="1" x14ac:dyDescent="0.2">
      <c r="A273" s="80" t="s">
        <v>175</v>
      </c>
      <c r="B273" s="81" t="s">
        <v>25</v>
      </c>
      <c r="C273" s="79"/>
      <c r="D273" s="82" t="s">
        <v>151</v>
      </c>
      <c r="E273" s="83"/>
      <c r="F273" s="84">
        <v>12</v>
      </c>
      <c r="G273" s="85" t="s">
        <v>40</v>
      </c>
      <c r="H273" s="84">
        <v>12</v>
      </c>
      <c r="I273" s="85" t="s">
        <v>151</v>
      </c>
      <c r="J273" s="86">
        <f>2592000/12/12</f>
        <v>18000</v>
      </c>
      <c r="K273" s="82" t="s">
        <v>151</v>
      </c>
      <c r="L273" s="87"/>
      <c r="M273" s="87">
        <v>0.17</v>
      </c>
      <c r="N273" s="84"/>
      <c r="O273" s="85" t="s">
        <v>151</v>
      </c>
      <c r="P273" s="79">
        <f>(C273+(E273*F273*H273))-N273</f>
        <v>0</v>
      </c>
      <c r="Q273" s="85" t="s">
        <v>151</v>
      </c>
      <c r="R273" s="86">
        <f>P273*(J273-(J273*L273)-((J273-(J273*L273))*M273))</f>
        <v>0</v>
      </c>
      <c r="S273" s="86">
        <f t="shared" si="95"/>
        <v>0</v>
      </c>
    </row>
    <row r="274" spans="1:19" s="81" customFormat="1" x14ac:dyDescent="0.2">
      <c r="A274" s="80" t="s">
        <v>176</v>
      </c>
      <c r="B274" s="81" t="s">
        <v>25</v>
      </c>
      <c r="C274" s="79"/>
      <c r="D274" s="82" t="s">
        <v>151</v>
      </c>
      <c r="E274" s="83"/>
      <c r="F274" s="84">
        <v>8</v>
      </c>
      <c r="G274" s="85" t="s">
        <v>40</v>
      </c>
      <c r="H274" s="84">
        <v>12</v>
      </c>
      <c r="I274" s="85" t="s">
        <v>151</v>
      </c>
      <c r="J274" s="86">
        <v>24500</v>
      </c>
      <c r="K274" s="82" t="s">
        <v>151</v>
      </c>
      <c r="L274" s="87"/>
      <c r="M274" s="87">
        <v>0.17</v>
      </c>
      <c r="N274" s="84"/>
      <c r="O274" s="85" t="s">
        <v>151</v>
      </c>
      <c r="P274" s="79">
        <f>(C274+(E274*F274*H274))-N274</f>
        <v>0</v>
      </c>
      <c r="Q274" s="85" t="s">
        <v>151</v>
      </c>
      <c r="R274" s="86">
        <f>P274*(J274-(J274*L274)-((J274-(J274*L274))*M274))</f>
        <v>0</v>
      </c>
      <c r="S274" s="86">
        <f t="shared" si="95"/>
        <v>0</v>
      </c>
    </row>
    <row r="275" spans="1:19" s="19" customFormat="1" x14ac:dyDescent="0.2">
      <c r="A275" s="18" t="s">
        <v>177</v>
      </c>
      <c r="B275" s="19" t="s">
        <v>25</v>
      </c>
      <c r="C275" s="20">
        <v>288</v>
      </c>
      <c r="D275" s="21" t="s">
        <v>151</v>
      </c>
      <c r="E275" s="26"/>
      <c r="F275" s="22">
        <v>12</v>
      </c>
      <c r="G275" s="23" t="s">
        <v>40</v>
      </c>
      <c r="H275" s="22">
        <v>12</v>
      </c>
      <c r="I275" s="23" t="s">
        <v>151</v>
      </c>
      <c r="J275" s="24">
        <f>3888000/144</f>
        <v>27000</v>
      </c>
      <c r="K275" s="21" t="s">
        <v>151</v>
      </c>
      <c r="L275" s="25">
        <v>0.05</v>
      </c>
      <c r="M275" s="25">
        <v>0.17</v>
      </c>
      <c r="N275" s="22"/>
      <c r="O275" s="23" t="s">
        <v>151</v>
      </c>
      <c r="P275" s="20">
        <f>(C275+(E275*F275*H275))-N275</f>
        <v>288</v>
      </c>
      <c r="Q275" s="23" t="s">
        <v>151</v>
      </c>
      <c r="R275" s="24">
        <f>P275*(J275-(J275*L275)-((J275-(J275*L275))*M275))</f>
        <v>6131376</v>
      </c>
      <c r="S275" s="24">
        <f t="shared" si="95"/>
        <v>5523762.1621621614</v>
      </c>
    </row>
    <row r="276" spans="1:19" s="19" customFormat="1" x14ac:dyDescent="0.2">
      <c r="A276" s="145" t="s">
        <v>177</v>
      </c>
      <c r="B276" s="19" t="s">
        <v>25</v>
      </c>
      <c r="C276" s="20"/>
      <c r="D276" s="21" t="s">
        <v>151</v>
      </c>
      <c r="E276" s="26">
        <v>2</v>
      </c>
      <c r="F276" s="22">
        <v>12</v>
      </c>
      <c r="G276" s="23" t="s">
        <v>40</v>
      </c>
      <c r="H276" s="22">
        <v>12</v>
      </c>
      <c r="I276" s="23" t="s">
        <v>151</v>
      </c>
      <c r="J276" s="24">
        <f>3888000/144</f>
        <v>27000</v>
      </c>
      <c r="K276" s="21" t="s">
        <v>151</v>
      </c>
      <c r="L276" s="25"/>
      <c r="M276" s="25">
        <v>0.17</v>
      </c>
      <c r="N276" s="22"/>
      <c r="O276" s="23" t="s">
        <v>151</v>
      </c>
      <c r="P276" s="20">
        <f>(C276+(E276*F276*H276))-N276</f>
        <v>288</v>
      </c>
      <c r="Q276" s="23" t="s">
        <v>151</v>
      </c>
      <c r="R276" s="24">
        <f>P276*(J276-(J276*L276)-((J276-(J276*L276))*M276))</f>
        <v>6454080</v>
      </c>
      <c r="S276" s="24">
        <f t="shared" ref="S276" si="135">R276/1.11</f>
        <v>5814486.4864864862</v>
      </c>
    </row>
    <row r="277" spans="1:19" s="81" customFormat="1" x14ac:dyDescent="0.2">
      <c r="A277" s="80" t="s">
        <v>178</v>
      </c>
      <c r="B277" s="81" t="s">
        <v>25</v>
      </c>
      <c r="C277" s="79"/>
      <c r="D277" s="82" t="s">
        <v>151</v>
      </c>
      <c r="E277" s="83"/>
      <c r="F277" s="84">
        <v>6</v>
      </c>
      <c r="G277" s="85" t="s">
        <v>40</v>
      </c>
      <c r="H277" s="84">
        <v>12</v>
      </c>
      <c r="I277" s="85" t="s">
        <v>151</v>
      </c>
      <c r="J277" s="86">
        <v>36000</v>
      </c>
      <c r="K277" s="82" t="s">
        <v>151</v>
      </c>
      <c r="L277" s="87">
        <v>0.05</v>
      </c>
      <c r="M277" s="87">
        <v>0.17</v>
      </c>
      <c r="N277" s="84"/>
      <c r="O277" s="85" t="s">
        <v>151</v>
      </c>
      <c r="P277" s="79">
        <f>(C277+(E277*F277*H277))-N277</f>
        <v>0</v>
      </c>
      <c r="Q277" s="85" t="s">
        <v>151</v>
      </c>
      <c r="R277" s="86">
        <f>P277*(J277-(J277*L277)-((J277-(J277*L277))*M277))</f>
        <v>0</v>
      </c>
      <c r="S277" s="86">
        <f t="shared" si="95"/>
        <v>0</v>
      </c>
    </row>
    <row r="278" spans="1:19" s="19" customFormat="1" x14ac:dyDescent="0.2">
      <c r="A278" s="18"/>
      <c r="C278" s="20"/>
      <c r="D278" s="21"/>
      <c r="E278" s="26"/>
      <c r="F278" s="22"/>
      <c r="G278" s="23"/>
      <c r="H278" s="22"/>
      <c r="I278" s="23"/>
      <c r="J278" s="24"/>
      <c r="K278" s="21"/>
      <c r="L278" s="25"/>
      <c r="M278" s="25"/>
      <c r="N278" s="22"/>
      <c r="O278" s="23"/>
      <c r="P278" s="20"/>
      <c r="Q278" s="23"/>
      <c r="R278" s="24"/>
      <c r="S278" s="24"/>
    </row>
    <row r="279" spans="1:19" s="19" customFormat="1" x14ac:dyDescent="0.2">
      <c r="A279" s="65" t="s">
        <v>179</v>
      </c>
      <c r="C279" s="20"/>
      <c r="D279" s="21"/>
      <c r="E279" s="26"/>
      <c r="F279" s="22"/>
      <c r="G279" s="23"/>
      <c r="H279" s="22"/>
      <c r="I279" s="23"/>
      <c r="J279" s="24"/>
      <c r="K279" s="21"/>
      <c r="L279" s="25"/>
      <c r="M279" s="25"/>
      <c r="N279" s="22"/>
      <c r="O279" s="23"/>
      <c r="P279" s="20"/>
      <c r="Q279" s="23"/>
      <c r="R279" s="24"/>
      <c r="S279" s="24"/>
    </row>
    <row r="280" spans="1:19" s="81" customFormat="1" x14ac:dyDescent="0.2">
      <c r="A280" s="80" t="s">
        <v>180</v>
      </c>
      <c r="B280" s="81" t="s">
        <v>181</v>
      </c>
      <c r="C280" s="79"/>
      <c r="D280" s="82" t="s">
        <v>40</v>
      </c>
      <c r="E280" s="83"/>
      <c r="F280" s="84">
        <v>1</v>
      </c>
      <c r="G280" s="85" t="s">
        <v>20</v>
      </c>
      <c r="H280" s="84">
        <v>5</v>
      </c>
      <c r="I280" s="85" t="s">
        <v>40</v>
      </c>
      <c r="J280" s="86">
        <v>475000</v>
      </c>
      <c r="K280" s="82" t="s">
        <v>40</v>
      </c>
      <c r="L280" s="87"/>
      <c r="M280" s="87"/>
      <c r="N280" s="84"/>
      <c r="O280" s="85" t="s">
        <v>40</v>
      </c>
      <c r="P280" s="79">
        <f>(C280+(E280*F280*H280))-N280</f>
        <v>0</v>
      </c>
      <c r="Q280" s="85" t="s">
        <v>40</v>
      </c>
      <c r="R280" s="86">
        <f>P280*(J280-(J280*L280)-((J280-(J280*L280))*M280))</f>
        <v>0</v>
      </c>
      <c r="S280" s="86">
        <f t="shared" si="95"/>
        <v>0</v>
      </c>
    </row>
    <row r="281" spans="1:19" s="19" customFormat="1" x14ac:dyDescent="0.2">
      <c r="A281" s="18"/>
      <c r="C281" s="20"/>
      <c r="D281" s="21"/>
      <c r="E281" s="26"/>
      <c r="F281" s="22"/>
      <c r="G281" s="23"/>
      <c r="H281" s="22"/>
      <c r="I281" s="23"/>
      <c r="J281" s="24"/>
      <c r="K281" s="21"/>
      <c r="L281" s="25"/>
      <c r="M281" s="25"/>
      <c r="N281" s="22"/>
      <c r="O281" s="23"/>
      <c r="P281" s="20"/>
      <c r="Q281" s="23"/>
      <c r="R281" s="24"/>
      <c r="S281" s="24"/>
    </row>
    <row r="282" spans="1:19" s="98" customFormat="1" x14ac:dyDescent="0.2">
      <c r="A282" s="90" t="s">
        <v>713</v>
      </c>
      <c r="B282" s="98" t="s">
        <v>18</v>
      </c>
      <c r="C282" s="99"/>
      <c r="D282" s="100" t="s">
        <v>151</v>
      </c>
      <c r="E282" s="101">
        <v>1</v>
      </c>
      <c r="F282" s="102">
        <v>8</v>
      </c>
      <c r="G282" s="103" t="s">
        <v>33</v>
      </c>
      <c r="H282" s="102">
        <v>12</v>
      </c>
      <c r="I282" s="103" t="s">
        <v>151</v>
      </c>
      <c r="J282" s="104">
        <v>26800</v>
      </c>
      <c r="K282" s="100" t="s">
        <v>151</v>
      </c>
      <c r="L282" s="105">
        <v>0.125</v>
      </c>
      <c r="M282" s="105">
        <v>0.05</v>
      </c>
      <c r="N282" s="102"/>
      <c r="O282" s="103" t="s">
        <v>151</v>
      </c>
      <c r="P282" s="99">
        <f t="shared" ref="P282:P287" si="136">(C282+(E282*F282*H282))-N282</f>
        <v>96</v>
      </c>
      <c r="Q282" s="103" t="s">
        <v>151</v>
      </c>
      <c r="R282" s="104">
        <f t="shared" ref="R282:R287" si="137">P282*(J282-(J282*L282)-((J282-(J282*L282))*M282))</f>
        <v>2138640</v>
      </c>
      <c r="S282" s="104">
        <f t="shared" si="95"/>
        <v>1926702.7027027025</v>
      </c>
    </row>
    <row r="283" spans="1:19" s="81" customFormat="1" x14ac:dyDescent="0.2">
      <c r="A283" s="80" t="s">
        <v>182</v>
      </c>
      <c r="B283" s="81" t="s">
        <v>18</v>
      </c>
      <c r="C283" s="79"/>
      <c r="D283" s="82" t="s">
        <v>151</v>
      </c>
      <c r="E283" s="83"/>
      <c r="F283" s="84">
        <v>6</v>
      </c>
      <c r="G283" s="85" t="s">
        <v>33</v>
      </c>
      <c r="H283" s="84">
        <v>12</v>
      </c>
      <c r="I283" s="85" t="s">
        <v>151</v>
      </c>
      <c r="J283" s="86">
        <v>41500</v>
      </c>
      <c r="K283" s="82" t="s">
        <v>151</v>
      </c>
      <c r="L283" s="87">
        <v>0.125</v>
      </c>
      <c r="M283" s="87">
        <v>0.05</v>
      </c>
      <c r="N283" s="84"/>
      <c r="O283" s="85" t="s">
        <v>151</v>
      </c>
      <c r="P283" s="79">
        <f t="shared" si="136"/>
        <v>0</v>
      </c>
      <c r="Q283" s="85" t="s">
        <v>151</v>
      </c>
      <c r="R283" s="86">
        <f t="shared" si="137"/>
        <v>0</v>
      </c>
      <c r="S283" s="86">
        <f t="shared" si="95"/>
        <v>0</v>
      </c>
    </row>
    <row r="284" spans="1:19" s="98" customFormat="1" x14ac:dyDescent="0.2">
      <c r="A284" s="144" t="s">
        <v>912</v>
      </c>
      <c r="B284" s="98" t="s">
        <v>18</v>
      </c>
      <c r="C284" s="99"/>
      <c r="D284" s="100" t="s">
        <v>151</v>
      </c>
      <c r="E284" s="101">
        <v>5</v>
      </c>
      <c r="F284" s="102">
        <v>1</v>
      </c>
      <c r="G284" s="103" t="s">
        <v>20</v>
      </c>
      <c r="H284" s="102">
        <v>108</v>
      </c>
      <c r="I284" s="103" t="s">
        <v>151</v>
      </c>
      <c r="J284" s="104">
        <v>17500</v>
      </c>
      <c r="K284" s="100" t="s">
        <v>151</v>
      </c>
      <c r="L284" s="105">
        <v>0.125</v>
      </c>
      <c r="M284" s="105">
        <v>0.1</v>
      </c>
      <c r="N284" s="102"/>
      <c r="O284" s="103" t="s">
        <v>151</v>
      </c>
      <c r="P284" s="99">
        <f t="shared" si="136"/>
        <v>540</v>
      </c>
      <c r="Q284" s="103" t="s">
        <v>151</v>
      </c>
      <c r="R284" s="104">
        <f t="shared" si="137"/>
        <v>7441875</v>
      </c>
      <c r="S284" s="104">
        <f t="shared" ref="S284:S285" si="138">R284/1.11</f>
        <v>6704391.8918918911</v>
      </c>
    </row>
    <row r="285" spans="1:19" s="98" customFormat="1" x14ac:dyDescent="0.2">
      <c r="A285" s="144" t="s">
        <v>913</v>
      </c>
      <c r="B285" s="98" t="s">
        <v>18</v>
      </c>
      <c r="C285" s="99"/>
      <c r="D285" s="100" t="s">
        <v>151</v>
      </c>
      <c r="E285" s="101">
        <v>5</v>
      </c>
      <c r="F285" s="102">
        <v>1</v>
      </c>
      <c r="G285" s="103" t="s">
        <v>20</v>
      </c>
      <c r="H285" s="102">
        <v>48</v>
      </c>
      <c r="I285" s="103" t="s">
        <v>151</v>
      </c>
      <c r="J285" s="104">
        <v>35000</v>
      </c>
      <c r="K285" s="100" t="s">
        <v>151</v>
      </c>
      <c r="L285" s="105">
        <v>0.125</v>
      </c>
      <c r="M285" s="105">
        <v>0.1</v>
      </c>
      <c r="N285" s="102"/>
      <c r="O285" s="103" t="s">
        <v>151</v>
      </c>
      <c r="P285" s="99">
        <f t="shared" si="136"/>
        <v>240</v>
      </c>
      <c r="Q285" s="103" t="s">
        <v>151</v>
      </c>
      <c r="R285" s="104">
        <f t="shared" si="137"/>
        <v>6615000</v>
      </c>
      <c r="S285" s="104">
        <f t="shared" si="138"/>
        <v>5959459.4594594585</v>
      </c>
    </row>
    <row r="286" spans="1:19" s="98" customFormat="1" x14ac:dyDescent="0.2">
      <c r="A286" s="144" t="s">
        <v>940</v>
      </c>
      <c r="B286" s="98" t="s">
        <v>18</v>
      </c>
      <c r="C286" s="99">
        <v>18</v>
      </c>
      <c r="D286" s="100" t="s">
        <v>151</v>
      </c>
      <c r="E286" s="101"/>
      <c r="F286" s="102">
        <v>1</v>
      </c>
      <c r="G286" s="103" t="s">
        <v>20</v>
      </c>
      <c r="H286" s="102">
        <v>18</v>
      </c>
      <c r="I286" s="103" t="s">
        <v>151</v>
      </c>
      <c r="J286" s="104">
        <v>145000</v>
      </c>
      <c r="K286" s="100" t="s">
        <v>151</v>
      </c>
      <c r="L286" s="105">
        <v>0.125</v>
      </c>
      <c r="M286" s="105">
        <v>0.05</v>
      </c>
      <c r="N286" s="102"/>
      <c r="O286" s="103" t="s">
        <v>151</v>
      </c>
      <c r="P286" s="99">
        <f t="shared" si="136"/>
        <v>18</v>
      </c>
      <c r="Q286" s="103" t="s">
        <v>151</v>
      </c>
      <c r="R286" s="104">
        <f t="shared" si="137"/>
        <v>2169562.5</v>
      </c>
      <c r="S286" s="104">
        <f t="shared" ref="S286:S287" si="139">R286/1.11</f>
        <v>1954560.8108108107</v>
      </c>
    </row>
    <row r="287" spans="1:19" s="98" customFormat="1" x14ac:dyDescent="0.2">
      <c r="A287" s="144" t="s">
        <v>940</v>
      </c>
      <c r="B287" s="98" t="s">
        <v>18</v>
      </c>
      <c r="C287" s="99">
        <v>15</v>
      </c>
      <c r="D287" s="100" t="s">
        <v>151</v>
      </c>
      <c r="E287" s="101"/>
      <c r="F287" s="102">
        <v>1</v>
      </c>
      <c r="G287" s="103" t="s">
        <v>20</v>
      </c>
      <c r="H287" s="102">
        <v>18</v>
      </c>
      <c r="I287" s="103" t="s">
        <v>151</v>
      </c>
      <c r="J287" s="104">
        <v>145000</v>
      </c>
      <c r="K287" s="100" t="s">
        <v>151</v>
      </c>
      <c r="L287" s="105">
        <v>0.1</v>
      </c>
      <c r="M287" s="105">
        <v>0.05</v>
      </c>
      <c r="N287" s="102"/>
      <c r="O287" s="103" t="s">
        <v>151</v>
      </c>
      <c r="P287" s="99">
        <f t="shared" si="136"/>
        <v>15</v>
      </c>
      <c r="Q287" s="103" t="s">
        <v>151</v>
      </c>
      <c r="R287" s="104">
        <f t="shared" si="137"/>
        <v>1859625</v>
      </c>
      <c r="S287" s="104">
        <f t="shared" si="139"/>
        <v>1675337.8378378376</v>
      </c>
    </row>
    <row r="288" spans="1:19" s="19" customFormat="1" x14ac:dyDescent="0.2">
      <c r="A288" s="18"/>
      <c r="C288" s="20"/>
      <c r="D288" s="21"/>
      <c r="E288" s="26"/>
      <c r="F288" s="22"/>
      <c r="G288" s="23"/>
      <c r="H288" s="22"/>
      <c r="I288" s="23"/>
      <c r="J288" s="24"/>
      <c r="K288" s="21"/>
      <c r="L288" s="25"/>
      <c r="M288" s="25"/>
      <c r="N288" s="22"/>
      <c r="O288" s="23"/>
      <c r="P288" s="20"/>
      <c r="Q288" s="23"/>
      <c r="R288" s="24"/>
      <c r="S288" s="24"/>
    </row>
    <row r="289" spans="1:19" s="19" customFormat="1" ht="15.75" x14ac:dyDescent="0.25">
      <c r="A289" s="38" t="s">
        <v>183</v>
      </c>
      <c r="C289" s="20"/>
      <c r="D289" s="21"/>
      <c r="E289" s="26"/>
      <c r="F289" s="22"/>
      <c r="G289" s="23"/>
      <c r="H289" s="22"/>
      <c r="I289" s="23"/>
      <c r="J289" s="24"/>
      <c r="K289" s="21"/>
      <c r="L289" s="25"/>
      <c r="M289" s="25"/>
      <c r="N289" s="22"/>
      <c r="O289" s="23"/>
      <c r="P289" s="20"/>
      <c r="Q289" s="23"/>
      <c r="R289" s="24"/>
      <c r="S289" s="24"/>
    </row>
    <row r="290" spans="1:19" s="19" customFormat="1" x14ac:dyDescent="0.2">
      <c r="A290" s="65" t="s">
        <v>184</v>
      </c>
      <c r="C290" s="20"/>
      <c r="D290" s="21"/>
      <c r="E290" s="26"/>
      <c r="F290" s="22"/>
      <c r="G290" s="23"/>
      <c r="H290" s="22"/>
      <c r="I290" s="23"/>
      <c r="J290" s="24"/>
      <c r="K290" s="21"/>
      <c r="L290" s="25"/>
      <c r="M290" s="25"/>
      <c r="N290" s="22"/>
      <c r="O290" s="23"/>
      <c r="P290" s="20"/>
      <c r="Q290" s="23"/>
      <c r="R290" s="24"/>
      <c r="S290" s="24"/>
    </row>
    <row r="291" spans="1:19" s="81" customFormat="1" x14ac:dyDescent="0.2">
      <c r="A291" s="80" t="s">
        <v>691</v>
      </c>
      <c r="B291" s="81" t="s">
        <v>18</v>
      </c>
      <c r="C291" s="79"/>
      <c r="D291" s="82" t="s">
        <v>40</v>
      </c>
      <c r="E291" s="83"/>
      <c r="F291" s="84">
        <v>1</v>
      </c>
      <c r="G291" s="85" t="s">
        <v>20</v>
      </c>
      <c r="H291" s="84">
        <v>24</v>
      </c>
      <c r="I291" s="85" t="s">
        <v>40</v>
      </c>
      <c r="J291" s="86">
        <v>27600</v>
      </c>
      <c r="K291" s="82" t="s">
        <v>40</v>
      </c>
      <c r="L291" s="87">
        <v>0.125</v>
      </c>
      <c r="M291" s="87">
        <v>0.05</v>
      </c>
      <c r="N291" s="84"/>
      <c r="O291" s="85" t="s">
        <v>40</v>
      </c>
      <c r="P291" s="79">
        <f t="shared" ref="P291:P296" si="140">(C291+(E291*F291*H291))-N291</f>
        <v>0</v>
      </c>
      <c r="Q291" s="85" t="s">
        <v>40</v>
      </c>
      <c r="R291" s="86">
        <f t="shared" ref="R291:R296" si="141">P291*(J291-(J291*L291)-((J291-(J291*L291))*M291))</f>
        <v>0</v>
      </c>
      <c r="S291" s="86">
        <f t="shared" ref="S291" si="142">R291/1.11</f>
        <v>0</v>
      </c>
    </row>
    <row r="292" spans="1:19" s="81" customFormat="1" x14ac:dyDescent="0.2">
      <c r="A292" s="80" t="s">
        <v>185</v>
      </c>
      <c r="B292" s="81" t="s">
        <v>18</v>
      </c>
      <c r="C292" s="79"/>
      <c r="D292" s="82" t="s">
        <v>40</v>
      </c>
      <c r="E292" s="83"/>
      <c r="F292" s="84">
        <v>1</v>
      </c>
      <c r="G292" s="85" t="s">
        <v>20</v>
      </c>
      <c r="H292" s="84">
        <v>24</v>
      </c>
      <c r="I292" s="85" t="s">
        <v>40</v>
      </c>
      <c r="J292" s="86">
        <v>73200</v>
      </c>
      <c r="K292" s="82" t="s">
        <v>40</v>
      </c>
      <c r="L292" s="87">
        <v>0.125</v>
      </c>
      <c r="M292" s="87">
        <v>0.05</v>
      </c>
      <c r="N292" s="84"/>
      <c r="O292" s="85" t="s">
        <v>40</v>
      </c>
      <c r="P292" s="79">
        <f t="shared" si="140"/>
        <v>0</v>
      </c>
      <c r="Q292" s="85" t="s">
        <v>40</v>
      </c>
      <c r="R292" s="86">
        <f t="shared" si="141"/>
        <v>0</v>
      </c>
      <c r="S292" s="86">
        <f t="shared" si="95"/>
        <v>0</v>
      </c>
    </row>
    <row r="293" spans="1:19" s="19" customFormat="1" x14ac:dyDescent="0.2">
      <c r="A293" s="18" t="s">
        <v>186</v>
      </c>
      <c r="B293" s="19" t="s">
        <v>18</v>
      </c>
      <c r="C293" s="20">
        <v>36</v>
      </c>
      <c r="D293" s="21" t="s">
        <v>40</v>
      </c>
      <c r="E293" s="26">
        <v>1</v>
      </c>
      <c r="F293" s="22">
        <v>1</v>
      </c>
      <c r="G293" s="23" t="s">
        <v>20</v>
      </c>
      <c r="H293" s="22">
        <v>48</v>
      </c>
      <c r="I293" s="23" t="s">
        <v>40</v>
      </c>
      <c r="J293" s="24">
        <v>51600</v>
      </c>
      <c r="K293" s="21" t="s">
        <v>40</v>
      </c>
      <c r="L293" s="25">
        <v>0.125</v>
      </c>
      <c r="M293" s="25">
        <v>0.05</v>
      </c>
      <c r="N293" s="22"/>
      <c r="O293" s="23" t="s">
        <v>40</v>
      </c>
      <c r="P293" s="20">
        <f t="shared" si="140"/>
        <v>84</v>
      </c>
      <c r="Q293" s="23" t="s">
        <v>40</v>
      </c>
      <c r="R293" s="24">
        <f t="shared" si="141"/>
        <v>3602970</v>
      </c>
      <c r="S293" s="24">
        <f t="shared" si="95"/>
        <v>3245918.9189189188</v>
      </c>
    </row>
    <row r="294" spans="1:19" s="19" customFormat="1" x14ac:dyDescent="0.2">
      <c r="A294" s="18" t="s">
        <v>187</v>
      </c>
      <c r="B294" s="19" t="s">
        <v>18</v>
      </c>
      <c r="C294" s="20">
        <v>20</v>
      </c>
      <c r="D294" s="21" t="s">
        <v>40</v>
      </c>
      <c r="E294" s="26">
        <v>5</v>
      </c>
      <c r="F294" s="22">
        <v>1</v>
      </c>
      <c r="G294" s="23" t="s">
        <v>20</v>
      </c>
      <c r="H294" s="22">
        <v>48</v>
      </c>
      <c r="I294" s="23" t="s">
        <v>40</v>
      </c>
      <c r="J294" s="24">
        <v>55800</v>
      </c>
      <c r="K294" s="21" t="s">
        <v>40</v>
      </c>
      <c r="L294" s="25">
        <v>0.125</v>
      </c>
      <c r="M294" s="25">
        <v>0.05</v>
      </c>
      <c r="N294" s="22"/>
      <c r="O294" s="23" t="s">
        <v>40</v>
      </c>
      <c r="P294" s="20">
        <f t="shared" si="140"/>
        <v>260</v>
      </c>
      <c r="Q294" s="23" t="s">
        <v>40</v>
      </c>
      <c r="R294" s="24">
        <f t="shared" si="141"/>
        <v>12059775</v>
      </c>
      <c r="S294" s="24">
        <f t="shared" si="95"/>
        <v>10864662.162162161</v>
      </c>
    </row>
    <row r="295" spans="1:19" s="81" customFormat="1" x14ac:dyDescent="0.2">
      <c r="A295" s="80" t="s">
        <v>712</v>
      </c>
      <c r="B295" s="81" t="s">
        <v>18</v>
      </c>
      <c r="C295" s="79"/>
      <c r="D295" s="82" t="s">
        <v>40</v>
      </c>
      <c r="E295" s="83"/>
      <c r="F295" s="84">
        <v>1</v>
      </c>
      <c r="G295" s="85" t="s">
        <v>20</v>
      </c>
      <c r="H295" s="84">
        <f>288/12</f>
        <v>24</v>
      </c>
      <c r="I295" s="85" t="s">
        <v>40</v>
      </c>
      <c r="J295" s="86">
        <f>10600*12</f>
        <v>127200</v>
      </c>
      <c r="K295" s="82" t="s">
        <v>40</v>
      </c>
      <c r="L295" s="87">
        <v>0.125</v>
      </c>
      <c r="M295" s="87">
        <v>0.05</v>
      </c>
      <c r="N295" s="84"/>
      <c r="O295" s="85" t="s">
        <v>40</v>
      </c>
      <c r="P295" s="79">
        <f t="shared" si="140"/>
        <v>0</v>
      </c>
      <c r="Q295" s="85" t="s">
        <v>40</v>
      </c>
      <c r="R295" s="86">
        <f t="shared" si="141"/>
        <v>0</v>
      </c>
      <c r="S295" s="86">
        <f t="shared" si="95"/>
        <v>0</v>
      </c>
    </row>
    <row r="296" spans="1:19" s="19" customFormat="1" x14ac:dyDescent="0.2">
      <c r="A296" s="18" t="s">
        <v>188</v>
      </c>
      <c r="B296" s="19" t="s">
        <v>18</v>
      </c>
      <c r="C296" s="20">
        <v>9</v>
      </c>
      <c r="D296" s="21" t="s">
        <v>40</v>
      </c>
      <c r="E296" s="26">
        <v>17</v>
      </c>
      <c r="F296" s="22">
        <v>1</v>
      </c>
      <c r="G296" s="23" t="s">
        <v>20</v>
      </c>
      <c r="H296" s="22">
        <v>24</v>
      </c>
      <c r="I296" s="23" t="s">
        <v>40</v>
      </c>
      <c r="J296" s="24">
        <v>162000</v>
      </c>
      <c r="K296" s="21" t="s">
        <v>40</v>
      </c>
      <c r="L296" s="25">
        <v>0.125</v>
      </c>
      <c r="M296" s="25">
        <v>0.05</v>
      </c>
      <c r="N296" s="22"/>
      <c r="O296" s="23" t="s">
        <v>40</v>
      </c>
      <c r="P296" s="20">
        <f t="shared" si="140"/>
        <v>417</v>
      </c>
      <c r="Q296" s="23" t="s">
        <v>40</v>
      </c>
      <c r="R296" s="24">
        <f t="shared" si="141"/>
        <v>56154262.5</v>
      </c>
      <c r="S296" s="24">
        <f t="shared" si="95"/>
        <v>50589425.675675668</v>
      </c>
    </row>
    <row r="297" spans="1:19" s="19" customFormat="1" x14ac:dyDescent="0.2">
      <c r="A297" s="18"/>
      <c r="C297" s="20"/>
      <c r="D297" s="21"/>
      <c r="E297" s="26"/>
      <c r="F297" s="22"/>
      <c r="G297" s="23"/>
      <c r="H297" s="22"/>
      <c r="I297" s="23"/>
      <c r="J297" s="24"/>
      <c r="K297" s="21"/>
      <c r="L297" s="25"/>
      <c r="M297" s="25"/>
      <c r="N297" s="22"/>
      <c r="O297" s="23"/>
      <c r="P297" s="20"/>
      <c r="Q297" s="23"/>
      <c r="R297" s="24"/>
      <c r="S297" s="24"/>
    </row>
    <row r="298" spans="1:19" s="19" customFormat="1" x14ac:dyDescent="0.2">
      <c r="A298" s="18" t="s">
        <v>189</v>
      </c>
      <c r="B298" s="19" t="s">
        <v>25</v>
      </c>
      <c r="C298" s="20">
        <v>30</v>
      </c>
      <c r="D298" s="21" t="s">
        <v>40</v>
      </c>
      <c r="E298" s="26">
        <v>5</v>
      </c>
      <c r="F298" s="22">
        <v>1</v>
      </c>
      <c r="G298" s="23" t="s">
        <v>20</v>
      </c>
      <c r="H298" s="22">
        <v>30</v>
      </c>
      <c r="I298" s="23" t="s">
        <v>40</v>
      </c>
      <c r="J298" s="24">
        <f>1566000/30</f>
        <v>52200</v>
      </c>
      <c r="K298" s="21" t="s">
        <v>40</v>
      </c>
      <c r="L298" s="25"/>
      <c r="M298" s="25">
        <v>0.17</v>
      </c>
      <c r="N298" s="22"/>
      <c r="O298" s="23" t="s">
        <v>40</v>
      </c>
      <c r="P298" s="20">
        <f>(C298+(E298*F298*H298))-N298</f>
        <v>180</v>
      </c>
      <c r="Q298" s="23" t="s">
        <v>40</v>
      </c>
      <c r="R298" s="24">
        <f>P298*(J298-(J298*L298)-((J298-(J298*L298))*M298))</f>
        <v>7798680</v>
      </c>
      <c r="S298" s="24">
        <f t="shared" si="95"/>
        <v>7025837.8378378376</v>
      </c>
    </row>
    <row r="299" spans="1:19" s="19" customFormat="1" x14ac:dyDescent="0.2">
      <c r="A299" s="18" t="s">
        <v>190</v>
      </c>
      <c r="B299" s="19" t="s">
        <v>25</v>
      </c>
      <c r="C299" s="20">
        <v>111</v>
      </c>
      <c r="D299" s="21" t="s">
        <v>40</v>
      </c>
      <c r="E299" s="26">
        <v>20</v>
      </c>
      <c r="F299" s="22">
        <v>1</v>
      </c>
      <c r="G299" s="23" t="s">
        <v>20</v>
      </c>
      <c r="H299" s="22">
        <v>30</v>
      </c>
      <c r="I299" s="23" t="s">
        <v>40</v>
      </c>
      <c r="J299" s="24">
        <f>1710000/30</f>
        <v>57000</v>
      </c>
      <c r="K299" s="21" t="s">
        <v>40</v>
      </c>
      <c r="L299" s="25"/>
      <c r="M299" s="25">
        <v>0.17</v>
      </c>
      <c r="N299" s="22"/>
      <c r="O299" s="23" t="s">
        <v>40</v>
      </c>
      <c r="P299" s="20">
        <f>(C299+(E299*F299*H299))-N299</f>
        <v>711</v>
      </c>
      <c r="Q299" s="23" t="s">
        <v>40</v>
      </c>
      <c r="R299" s="24">
        <f>P299*(J299-(J299*L299)-((J299-(J299*L299))*M299))</f>
        <v>33637410</v>
      </c>
      <c r="S299" s="24">
        <f t="shared" si="95"/>
        <v>30303972.97297297</v>
      </c>
    </row>
    <row r="300" spans="1:19" s="19" customFormat="1" x14ac:dyDescent="0.2">
      <c r="A300" s="18" t="s">
        <v>191</v>
      </c>
      <c r="B300" s="19" t="s">
        <v>25</v>
      </c>
      <c r="C300" s="20">
        <v>140</v>
      </c>
      <c r="D300" s="21" t="s">
        <v>40</v>
      </c>
      <c r="E300" s="26">
        <v>36</v>
      </c>
      <c r="F300" s="22">
        <v>1</v>
      </c>
      <c r="G300" s="23" t="s">
        <v>20</v>
      </c>
      <c r="H300" s="22">
        <v>20</v>
      </c>
      <c r="I300" s="23" t="s">
        <v>40</v>
      </c>
      <c r="J300" s="24">
        <f>2952000/20</f>
        <v>147600</v>
      </c>
      <c r="K300" s="21" t="s">
        <v>40</v>
      </c>
      <c r="L300" s="25"/>
      <c r="M300" s="25">
        <v>0.17</v>
      </c>
      <c r="N300" s="22"/>
      <c r="O300" s="23" t="s">
        <v>40</v>
      </c>
      <c r="P300" s="20">
        <f>(C300+(E300*F300*H300))-N300</f>
        <v>860</v>
      </c>
      <c r="Q300" s="23" t="s">
        <v>40</v>
      </c>
      <c r="R300" s="24">
        <f>P300*(J300-(J300*L300)-((J300-(J300*L300))*M300))</f>
        <v>105356880</v>
      </c>
      <c r="S300" s="24">
        <f t="shared" si="95"/>
        <v>94916108.108108103</v>
      </c>
    </row>
    <row r="301" spans="1:19" s="19" customFormat="1" x14ac:dyDescent="0.2">
      <c r="A301" s="18"/>
      <c r="C301" s="20"/>
      <c r="D301" s="21"/>
      <c r="E301" s="26"/>
      <c r="F301" s="22"/>
      <c r="G301" s="23"/>
      <c r="H301" s="22"/>
      <c r="I301" s="23"/>
      <c r="J301" s="24"/>
      <c r="K301" s="21"/>
      <c r="L301" s="25"/>
      <c r="M301" s="25"/>
      <c r="N301" s="22"/>
      <c r="O301" s="23"/>
      <c r="P301" s="20"/>
      <c r="Q301" s="23"/>
      <c r="R301" s="24"/>
      <c r="S301" s="24"/>
    </row>
    <row r="302" spans="1:19" s="19" customFormat="1" x14ac:dyDescent="0.2">
      <c r="A302" s="18" t="s">
        <v>662</v>
      </c>
      <c r="B302" s="19" t="s">
        <v>597</v>
      </c>
      <c r="C302" s="20">
        <v>25</v>
      </c>
      <c r="D302" s="21" t="s">
        <v>40</v>
      </c>
      <c r="E302" s="26"/>
      <c r="F302" s="22">
        <v>1</v>
      </c>
      <c r="G302" s="23" t="s">
        <v>20</v>
      </c>
      <c r="H302" s="22">
        <v>48</v>
      </c>
      <c r="I302" s="23" t="s">
        <v>40</v>
      </c>
      <c r="J302" s="24">
        <v>60600</v>
      </c>
      <c r="K302" s="21" t="s">
        <v>40</v>
      </c>
      <c r="L302" s="25">
        <v>0.15</v>
      </c>
      <c r="M302" s="25">
        <v>0.03</v>
      </c>
      <c r="N302" s="22"/>
      <c r="O302" s="23" t="s">
        <v>40</v>
      </c>
      <c r="P302" s="20">
        <f>(C302+(E302*F302*H302))-N302</f>
        <v>25</v>
      </c>
      <c r="Q302" s="23" t="s">
        <v>40</v>
      </c>
      <c r="R302" s="24">
        <f>P302*(J302-(J302*L302)-((J302-(J302*L302))*M302))</f>
        <v>1249117.5</v>
      </c>
      <c r="S302" s="24">
        <f t="shared" si="95"/>
        <v>1125331.0810810809</v>
      </c>
    </row>
    <row r="303" spans="1:19" s="19" customFormat="1" x14ac:dyDescent="0.2">
      <c r="A303" s="18"/>
      <c r="C303" s="20"/>
      <c r="D303" s="21"/>
      <c r="E303" s="26"/>
      <c r="F303" s="22"/>
      <c r="G303" s="23"/>
      <c r="H303" s="22"/>
      <c r="I303" s="23"/>
      <c r="J303" s="24"/>
      <c r="K303" s="21"/>
      <c r="L303" s="25"/>
      <c r="M303" s="25"/>
      <c r="N303" s="22"/>
      <c r="O303" s="23"/>
      <c r="P303" s="20"/>
      <c r="Q303" s="23"/>
      <c r="R303" s="24"/>
      <c r="S303" s="24"/>
    </row>
    <row r="304" spans="1:19" s="19" customFormat="1" x14ac:dyDescent="0.2">
      <c r="A304" s="18" t="s">
        <v>768</v>
      </c>
      <c r="B304" s="18" t="s">
        <v>171</v>
      </c>
      <c r="C304" s="44">
        <v>600</v>
      </c>
      <c r="D304" s="45" t="s">
        <v>40</v>
      </c>
      <c r="E304" s="46"/>
      <c r="F304" s="47">
        <v>1</v>
      </c>
      <c r="G304" s="42" t="s">
        <v>20</v>
      </c>
      <c r="H304" s="47">
        <v>120</v>
      </c>
      <c r="I304" s="42" t="s">
        <v>40</v>
      </c>
      <c r="J304" s="29">
        <v>7500</v>
      </c>
      <c r="K304" s="45" t="s">
        <v>40</v>
      </c>
      <c r="L304" s="48">
        <v>0.05</v>
      </c>
      <c r="M304" s="48"/>
      <c r="N304" s="47"/>
      <c r="O304" s="42" t="s">
        <v>40</v>
      </c>
      <c r="P304" s="44">
        <f>(C304+(E304*F304*H304))-N304</f>
        <v>600</v>
      </c>
      <c r="Q304" s="42" t="s">
        <v>40</v>
      </c>
      <c r="R304" s="29">
        <f>P304*(J304-(J304*L304)-((J304-(J304*L304))*M304))</f>
        <v>4275000</v>
      </c>
      <c r="S304" s="29">
        <f t="shared" ref="S304:S305" si="143">R304/1.11</f>
        <v>3851351.351351351</v>
      </c>
    </row>
    <row r="305" spans="1:19" s="19" customFormat="1" x14ac:dyDescent="0.2">
      <c r="A305" s="18" t="s">
        <v>774</v>
      </c>
      <c r="B305" s="18" t="s">
        <v>171</v>
      </c>
      <c r="C305" s="44">
        <v>27</v>
      </c>
      <c r="D305" s="45" t="s">
        <v>40</v>
      </c>
      <c r="E305" s="46"/>
      <c r="F305" s="47">
        <v>1</v>
      </c>
      <c r="G305" s="42" t="s">
        <v>20</v>
      </c>
      <c r="H305" s="47">
        <v>20</v>
      </c>
      <c r="I305" s="42" t="s">
        <v>40</v>
      </c>
      <c r="J305" s="29">
        <f>5500*12</f>
        <v>66000</v>
      </c>
      <c r="K305" s="45" t="s">
        <v>40</v>
      </c>
      <c r="L305" s="48">
        <v>0.05</v>
      </c>
      <c r="M305" s="48"/>
      <c r="N305" s="47"/>
      <c r="O305" s="42" t="s">
        <v>40</v>
      </c>
      <c r="P305" s="44">
        <f>(C305+(E305*F305*H305))-N305</f>
        <v>27</v>
      </c>
      <c r="Q305" s="42" t="s">
        <v>40</v>
      </c>
      <c r="R305" s="29">
        <f>P305*(J305-(J305*L305)-((J305-(J305*L305))*M305))</f>
        <v>1692900</v>
      </c>
      <c r="S305" s="29">
        <f t="shared" si="143"/>
        <v>1525135.1351351349</v>
      </c>
    </row>
    <row r="306" spans="1:19" s="19" customFormat="1" x14ac:dyDescent="0.2">
      <c r="A306" s="18"/>
      <c r="C306" s="20"/>
      <c r="D306" s="21"/>
      <c r="E306" s="26"/>
      <c r="F306" s="22"/>
      <c r="G306" s="23"/>
      <c r="H306" s="22"/>
      <c r="I306" s="23"/>
      <c r="J306" s="24"/>
      <c r="K306" s="21"/>
      <c r="L306" s="25"/>
      <c r="M306" s="25"/>
      <c r="N306" s="22"/>
      <c r="O306" s="23"/>
      <c r="P306" s="20"/>
      <c r="Q306" s="23"/>
      <c r="R306" s="24"/>
      <c r="S306" s="24"/>
    </row>
    <row r="307" spans="1:19" s="19" customFormat="1" x14ac:dyDescent="0.2">
      <c r="A307" s="65" t="s">
        <v>192</v>
      </c>
      <c r="C307" s="20"/>
      <c r="D307" s="21"/>
      <c r="E307" s="26"/>
      <c r="F307" s="22"/>
      <c r="G307" s="23"/>
      <c r="H307" s="22"/>
      <c r="I307" s="23"/>
      <c r="J307" s="24"/>
      <c r="K307" s="21"/>
      <c r="L307" s="25"/>
      <c r="M307" s="25"/>
      <c r="N307" s="22"/>
      <c r="O307" s="23"/>
      <c r="P307" s="20"/>
      <c r="Q307" s="23"/>
      <c r="R307" s="24"/>
      <c r="S307" s="24"/>
    </row>
    <row r="308" spans="1:19" s="19" customFormat="1" x14ac:dyDescent="0.2">
      <c r="A308" s="18" t="s">
        <v>193</v>
      </c>
      <c r="B308" s="19" t="s">
        <v>18</v>
      </c>
      <c r="C308" s="20">
        <v>230</v>
      </c>
      <c r="D308" s="21" t="s">
        <v>40</v>
      </c>
      <c r="E308" s="26">
        <v>9</v>
      </c>
      <c r="F308" s="22">
        <v>1</v>
      </c>
      <c r="G308" s="23" t="s">
        <v>20</v>
      </c>
      <c r="H308" s="22">
        <v>120</v>
      </c>
      <c r="I308" s="23" t="s">
        <v>40</v>
      </c>
      <c r="J308" s="24">
        <v>24600</v>
      </c>
      <c r="K308" s="21" t="s">
        <v>40</v>
      </c>
      <c r="L308" s="25">
        <v>0.125</v>
      </c>
      <c r="M308" s="25">
        <v>0.05</v>
      </c>
      <c r="N308" s="22"/>
      <c r="O308" s="23" t="s">
        <v>40</v>
      </c>
      <c r="P308" s="20">
        <f>(C308+(E308*F308*H308))-N308</f>
        <v>1310</v>
      </c>
      <c r="Q308" s="23" t="s">
        <v>40</v>
      </c>
      <c r="R308" s="24">
        <f>P308*(J308-(J308*L308)-((J308-(J308*L308))*M308))</f>
        <v>26787862.5</v>
      </c>
      <c r="S308" s="24">
        <f t="shared" si="95"/>
        <v>24133209.459459458</v>
      </c>
    </row>
    <row r="309" spans="1:19" s="19" customFormat="1" x14ac:dyDescent="0.2">
      <c r="A309" s="134" t="s">
        <v>906</v>
      </c>
      <c r="B309" s="19" t="s">
        <v>18</v>
      </c>
      <c r="C309" s="20">
        <v>384</v>
      </c>
      <c r="D309" s="21" t="s">
        <v>40</v>
      </c>
      <c r="E309" s="26"/>
      <c r="F309" s="22">
        <v>1</v>
      </c>
      <c r="G309" s="23" t="s">
        <v>20</v>
      </c>
      <c r="H309" s="22">
        <v>40</v>
      </c>
      <c r="I309" s="23" t="s">
        <v>40</v>
      </c>
      <c r="J309" s="138">
        <v>0</v>
      </c>
      <c r="K309" s="141" t="s">
        <v>40</v>
      </c>
      <c r="L309" s="133">
        <v>0</v>
      </c>
      <c r="M309" s="133">
        <v>0</v>
      </c>
      <c r="N309" s="22"/>
      <c r="O309" s="23" t="s">
        <v>40</v>
      </c>
      <c r="P309" s="20">
        <f>(C309+(E309*F309*H309))-N309</f>
        <v>384</v>
      </c>
      <c r="Q309" s="23" t="s">
        <v>40</v>
      </c>
      <c r="R309" s="24">
        <f>P309*(J309-(J309*L309)-((J309-(J309*L309))*M309))</f>
        <v>0</v>
      </c>
      <c r="S309" s="24">
        <f t="shared" ref="S309" si="144">R309/1.11</f>
        <v>0</v>
      </c>
    </row>
    <row r="310" spans="1:19" s="19" customFormat="1" x14ac:dyDescent="0.2">
      <c r="A310" s="134" t="s">
        <v>729</v>
      </c>
      <c r="B310" s="19" t="s">
        <v>18</v>
      </c>
      <c r="C310" s="20">
        <v>320</v>
      </c>
      <c r="D310" s="21" t="s">
        <v>40</v>
      </c>
      <c r="E310" s="26">
        <v>16</v>
      </c>
      <c r="F310" s="22">
        <v>1</v>
      </c>
      <c r="G310" s="23" t="s">
        <v>20</v>
      </c>
      <c r="H310" s="22">
        <v>40</v>
      </c>
      <c r="I310" s="23" t="s">
        <v>40</v>
      </c>
      <c r="J310" s="138">
        <v>49200</v>
      </c>
      <c r="K310" s="141" t="s">
        <v>40</v>
      </c>
      <c r="L310" s="133">
        <v>0.125</v>
      </c>
      <c r="M310" s="133">
        <v>0.05</v>
      </c>
      <c r="N310" s="22"/>
      <c r="O310" s="23" t="s">
        <v>40</v>
      </c>
      <c r="P310" s="20">
        <f>(C310+(E310*F310*H310))-N310</f>
        <v>960</v>
      </c>
      <c r="Q310" s="23" t="s">
        <v>40</v>
      </c>
      <c r="R310" s="24">
        <f>P310*(J310-(J310*L310)-((J310-(J310*L310))*M310))</f>
        <v>39261600</v>
      </c>
      <c r="S310" s="24">
        <f t="shared" si="95"/>
        <v>35370810.810810804</v>
      </c>
    </row>
    <row r="311" spans="1:19" s="19" customFormat="1" x14ac:dyDescent="0.2">
      <c r="A311" s="18"/>
      <c r="C311" s="20"/>
      <c r="D311" s="21"/>
      <c r="E311" s="26"/>
      <c r="F311" s="22"/>
      <c r="G311" s="23"/>
      <c r="H311" s="22"/>
      <c r="I311" s="23"/>
      <c r="J311" s="24"/>
      <c r="K311" s="21"/>
      <c r="L311" s="25"/>
      <c r="M311" s="25"/>
      <c r="N311" s="22"/>
      <c r="O311" s="23"/>
      <c r="P311" s="20"/>
      <c r="Q311" s="23"/>
      <c r="R311" s="24"/>
      <c r="S311" s="24"/>
    </row>
    <row r="312" spans="1:19" s="19" customFormat="1" x14ac:dyDescent="0.2">
      <c r="A312" s="18" t="s">
        <v>194</v>
      </c>
      <c r="B312" s="19" t="s">
        <v>25</v>
      </c>
      <c r="C312" s="20"/>
      <c r="D312" s="21" t="s">
        <v>40</v>
      </c>
      <c r="E312" s="26">
        <v>30</v>
      </c>
      <c r="F312" s="22">
        <v>1</v>
      </c>
      <c r="G312" s="23" t="s">
        <v>20</v>
      </c>
      <c r="H312" s="22">
        <v>120</v>
      </c>
      <c r="I312" s="23" t="s">
        <v>40</v>
      </c>
      <c r="J312" s="24">
        <f>3888000/120</f>
        <v>32400</v>
      </c>
      <c r="K312" s="21" t="s">
        <v>40</v>
      </c>
      <c r="L312" s="25"/>
      <c r="M312" s="25">
        <v>0.17</v>
      </c>
      <c r="N312" s="22"/>
      <c r="O312" s="23" t="s">
        <v>40</v>
      </c>
      <c r="P312" s="20">
        <f>(C312+(E312*F312*H312))-N312</f>
        <v>3600</v>
      </c>
      <c r="Q312" s="23" t="s">
        <v>40</v>
      </c>
      <c r="R312" s="24">
        <f>P312*(J312-(J312*L312)-((J312-(J312*L312))*M312))</f>
        <v>96811200</v>
      </c>
      <c r="S312" s="24">
        <f t="shared" si="95"/>
        <v>87217297.297297284</v>
      </c>
    </row>
    <row r="313" spans="1:19" s="19" customFormat="1" x14ac:dyDescent="0.2">
      <c r="A313" s="18" t="s">
        <v>195</v>
      </c>
      <c r="B313" s="19" t="s">
        <v>25</v>
      </c>
      <c r="C313" s="20"/>
      <c r="D313" s="21" t="s">
        <v>40</v>
      </c>
      <c r="E313" s="26">
        <v>66</v>
      </c>
      <c r="F313" s="22">
        <v>1</v>
      </c>
      <c r="G313" s="23" t="s">
        <v>20</v>
      </c>
      <c r="H313" s="22">
        <v>60</v>
      </c>
      <c r="I313" s="23" t="s">
        <v>40</v>
      </c>
      <c r="J313" s="24">
        <f>3888000/60</f>
        <v>64800</v>
      </c>
      <c r="K313" s="21" t="s">
        <v>40</v>
      </c>
      <c r="L313" s="25"/>
      <c r="M313" s="25">
        <v>0.17</v>
      </c>
      <c r="N313" s="22"/>
      <c r="O313" s="23" t="s">
        <v>40</v>
      </c>
      <c r="P313" s="20">
        <f>(C313+(E313*F313*H313))-N313</f>
        <v>3960</v>
      </c>
      <c r="Q313" s="23" t="s">
        <v>40</v>
      </c>
      <c r="R313" s="24">
        <f>P313*(J313-(J313*L313)-((J313-(J313*L313))*M313))</f>
        <v>212984640</v>
      </c>
      <c r="S313" s="24">
        <f t="shared" si="95"/>
        <v>191878054.05405405</v>
      </c>
    </row>
    <row r="314" spans="1:19" s="19" customFormat="1" x14ac:dyDescent="0.2">
      <c r="A314" s="18"/>
      <c r="C314" s="20"/>
      <c r="D314" s="21"/>
      <c r="E314" s="26"/>
      <c r="F314" s="22"/>
      <c r="G314" s="23"/>
      <c r="H314" s="22"/>
      <c r="I314" s="23"/>
      <c r="J314" s="24"/>
      <c r="K314" s="21"/>
      <c r="L314" s="25"/>
      <c r="M314" s="25"/>
      <c r="N314" s="22"/>
      <c r="O314" s="23"/>
      <c r="P314" s="20"/>
      <c r="Q314" s="23"/>
      <c r="R314" s="24"/>
      <c r="S314" s="24"/>
    </row>
    <row r="315" spans="1:19" s="19" customFormat="1" x14ac:dyDescent="0.2">
      <c r="A315" s="65" t="s">
        <v>196</v>
      </c>
      <c r="C315" s="20"/>
      <c r="D315" s="21"/>
      <c r="E315" s="26"/>
      <c r="F315" s="22"/>
      <c r="G315" s="23"/>
      <c r="H315" s="22"/>
      <c r="I315" s="23"/>
      <c r="J315" s="24"/>
      <c r="K315" s="21"/>
      <c r="L315" s="25"/>
      <c r="M315" s="25"/>
      <c r="N315" s="22"/>
      <c r="O315" s="23"/>
      <c r="P315" s="20"/>
      <c r="Q315" s="23"/>
      <c r="R315" s="24"/>
      <c r="S315" s="24"/>
    </row>
    <row r="316" spans="1:19" s="81" customFormat="1" x14ac:dyDescent="0.2">
      <c r="A316" s="80" t="s">
        <v>790</v>
      </c>
      <c r="B316" s="81" t="s">
        <v>18</v>
      </c>
      <c r="C316" s="79"/>
      <c r="D316" s="82" t="s">
        <v>19</v>
      </c>
      <c r="E316" s="83"/>
      <c r="F316" s="84">
        <v>1</v>
      </c>
      <c r="G316" s="85" t="s">
        <v>20</v>
      </c>
      <c r="H316" s="84">
        <v>20</v>
      </c>
      <c r="I316" s="85" t="s">
        <v>19</v>
      </c>
      <c r="J316" s="86">
        <v>124000</v>
      </c>
      <c r="K316" s="82" t="s">
        <v>19</v>
      </c>
      <c r="L316" s="87">
        <v>0.125</v>
      </c>
      <c r="M316" s="87">
        <v>0.05</v>
      </c>
      <c r="N316" s="84"/>
      <c r="O316" s="85" t="s">
        <v>19</v>
      </c>
      <c r="P316" s="79">
        <f>(C316+(E316*F316*H316))-N316</f>
        <v>0</v>
      </c>
      <c r="Q316" s="85" t="s">
        <v>19</v>
      </c>
      <c r="R316" s="86">
        <f>P316*(J316-(J316*L316)-((J316-(J316*L316))*M316))</f>
        <v>0</v>
      </c>
      <c r="S316" s="86">
        <f t="shared" ref="S316" si="145">R316/1.11</f>
        <v>0</v>
      </c>
    </row>
    <row r="317" spans="1:19" s="81" customFormat="1" x14ac:dyDescent="0.2">
      <c r="A317" s="80" t="s">
        <v>197</v>
      </c>
      <c r="B317" s="81" t="s">
        <v>18</v>
      </c>
      <c r="C317" s="79"/>
      <c r="D317" s="82" t="s">
        <v>19</v>
      </c>
      <c r="E317" s="83"/>
      <c r="F317" s="84">
        <v>1</v>
      </c>
      <c r="G317" s="85" t="s">
        <v>20</v>
      </c>
      <c r="H317" s="84">
        <v>5</v>
      </c>
      <c r="I317" s="85" t="s">
        <v>19</v>
      </c>
      <c r="J317" s="86">
        <v>214000</v>
      </c>
      <c r="K317" s="82" t="s">
        <v>19</v>
      </c>
      <c r="L317" s="87">
        <v>0.125</v>
      </c>
      <c r="M317" s="87">
        <v>0.05</v>
      </c>
      <c r="N317" s="84"/>
      <c r="O317" s="85" t="s">
        <v>19</v>
      </c>
      <c r="P317" s="79">
        <f>(C317+(E317*F317*H317))-N317</f>
        <v>0</v>
      </c>
      <c r="Q317" s="85" t="s">
        <v>19</v>
      </c>
      <c r="R317" s="86">
        <f>P317*(J317-(J317*L317)-((J317-(J317*L317))*M317))</f>
        <v>0</v>
      </c>
      <c r="S317" s="86">
        <f t="shared" si="95"/>
        <v>0</v>
      </c>
    </row>
    <row r="318" spans="1:19" s="19" customFormat="1" x14ac:dyDescent="0.2">
      <c r="A318" s="18" t="s">
        <v>198</v>
      </c>
      <c r="B318" s="19" t="s">
        <v>18</v>
      </c>
      <c r="C318" s="20">
        <v>3</v>
      </c>
      <c r="D318" s="21" t="s">
        <v>19</v>
      </c>
      <c r="E318" s="26"/>
      <c r="F318" s="22">
        <v>1</v>
      </c>
      <c r="G318" s="23" t="s">
        <v>20</v>
      </c>
      <c r="H318" s="22">
        <v>5</v>
      </c>
      <c r="I318" s="23" t="s">
        <v>19</v>
      </c>
      <c r="J318" s="24">
        <v>219000</v>
      </c>
      <c r="K318" s="21" t="s">
        <v>19</v>
      </c>
      <c r="L318" s="25">
        <v>0.125</v>
      </c>
      <c r="M318" s="25">
        <v>0.05</v>
      </c>
      <c r="N318" s="22"/>
      <c r="O318" s="23" t="s">
        <v>19</v>
      </c>
      <c r="P318" s="20">
        <f>(C318+(E318*F318*H318))-N318</f>
        <v>3</v>
      </c>
      <c r="Q318" s="23" t="s">
        <v>19</v>
      </c>
      <c r="R318" s="24">
        <f>P318*(J318-(J318*L318)-((J318-(J318*L318))*M318))</f>
        <v>546131.25</v>
      </c>
      <c r="S318" s="24">
        <f t="shared" si="95"/>
        <v>492010.13513513509</v>
      </c>
    </row>
    <row r="319" spans="1:19" s="81" customFormat="1" x14ac:dyDescent="0.2">
      <c r="A319" s="80" t="s">
        <v>199</v>
      </c>
      <c r="B319" s="81" t="s">
        <v>18</v>
      </c>
      <c r="C319" s="79"/>
      <c r="D319" s="82" t="s">
        <v>19</v>
      </c>
      <c r="E319" s="83"/>
      <c r="F319" s="84">
        <v>1</v>
      </c>
      <c r="G319" s="85" t="s">
        <v>20</v>
      </c>
      <c r="H319" s="84">
        <v>4</v>
      </c>
      <c r="I319" s="85" t="s">
        <v>19</v>
      </c>
      <c r="J319" s="86">
        <v>291000</v>
      </c>
      <c r="K319" s="82" t="s">
        <v>19</v>
      </c>
      <c r="L319" s="87">
        <v>0.125</v>
      </c>
      <c r="M319" s="87">
        <v>0.05</v>
      </c>
      <c r="N319" s="84"/>
      <c r="O319" s="85" t="s">
        <v>19</v>
      </c>
      <c r="P319" s="79">
        <f>(C319+(E319*F319*H319))-N319</f>
        <v>0</v>
      </c>
      <c r="Q319" s="85" t="s">
        <v>19</v>
      </c>
      <c r="R319" s="86">
        <f>P319*(J319-(J319*L319)-((J319-(J319*L319))*M319))</f>
        <v>0</v>
      </c>
      <c r="S319" s="86">
        <f t="shared" si="95"/>
        <v>0</v>
      </c>
    </row>
    <row r="320" spans="1:19" s="19" customFormat="1" x14ac:dyDescent="0.2">
      <c r="A320" s="18"/>
      <c r="C320" s="20"/>
      <c r="D320" s="21"/>
      <c r="E320" s="26"/>
      <c r="F320" s="22"/>
      <c r="G320" s="23"/>
      <c r="H320" s="22"/>
      <c r="I320" s="23"/>
      <c r="J320" s="24"/>
      <c r="K320" s="21"/>
      <c r="L320" s="25"/>
      <c r="M320" s="25"/>
      <c r="N320" s="22"/>
      <c r="O320" s="23"/>
      <c r="P320" s="20"/>
      <c r="Q320" s="23"/>
      <c r="R320" s="24"/>
      <c r="S320" s="24"/>
    </row>
    <row r="321" spans="1:19" s="81" customFormat="1" x14ac:dyDescent="0.2">
      <c r="A321" s="80" t="s">
        <v>200</v>
      </c>
      <c r="B321" s="81" t="s">
        <v>25</v>
      </c>
      <c r="C321" s="79"/>
      <c r="D321" s="82" t="s">
        <v>19</v>
      </c>
      <c r="E321" s="83"/>
      <c r="F321" s="84">
        <v>1</v>
      </c>
      <c r="G321" s="85" t="s">
        <v>20</v>
      </c>
      <c r="H321" s="84">
        <v>5</v>
      </c>
      <c r="I321" s="85" t="s">
        <v>19</v>
      </c>
      <c r="J321" s="86">
        <f>1125000/5</f>
        <v>225000</v>
      </c>
      <c r="K321" s="82" t="s">
        <v>19</v>
      </c>
      <c r="L321" s="87"/>
      <c r="M321" s="87">
        <v>0.17</v>
      </c>
      <c r="N321" s="84"/>
      <c r="O321" s="85" t="s">
        <v>19</v>
      </c>
      <c r="P321" s="79">
        <f>(C321+(E321*F321*H321))-N321</f>
        <v>0</v>
      </c>
      <c r="Q321" s="85" t="s">
        <v>19</v>
      </c>
      <c r="R321" s="86">
        <f>P321*(J321-(J321*L321)-((J321-(J321*L321))*M321))</f>
        <v>0</v>
      </c>
      <c r="S321" s="86">
        <f t="shared" si="95"/>
        <v>0</v>
      </c>
    </row>
    <row r="322" spans="1:19" s="98" customFormat="1" x14ac:dyDescent="0.2">
      <c r="A322" s="90" t="s">
        <v>201</v>
      </c>
      <c r="B322" s="98" t="s">
        <v>25</v>
      </c>
      <c r="C322" s="99"/>
      <c r="D322" s="100" t="s">
        <v>19</v>
      </c>
      <c r="E322" s="101">
        <v>1</v>
      </c>
      <c r="F322" s="102">
        <v>1</v>
      </c>
      <c r="G322" s="103" t="s">
        <v>20</v>
      </c>
      <c r="H322" s="102">
        <v>5</v>
      </c>
      <c r="I322" s="103" t="s">
        <v>19</v>
      </c>
      <c r="J322" s="104">
        <v>235000</v>
      </c>
      <c r="K322" s="100" t="s">
        <v>19</v>
      </c>
      <c r="L322" s="105"/>
      <c r="M322" s="105">
        <v>0.17</v>
      </c>
      <c r="N322" s="102"/>
      <c r="O322" s="103" t="s">
        <v>19</v>
      </c>
      <c r="P322" s="99">
        <f>(C322+(E322*F322*H322))-N322</f>
        <v>5</v>
      </c>
      <c r="Q322" s="103" t="s">
        <v>19</v>
      </c>
      <c r="R322" s="104">
        <f>P322*(J322-(J322*L322)-((J322-(J322*L322))*M322))</f>
        <v>975250</v>
      </c>
      <c r="S322" s="104">
        <f t="shared" ref="S322" si="146">R322/1.11</f>
        <v>878603.60360360355</v>
      </c>
    </row>
    <row r="323" spans="1:19" s="81" customFormat="1" x14ac:dyDescent="0.2">
      <c r="A323" s="80" t="s">
        <v>201</v>
      </c>
      <c r="B323" s="81" t="s">
        <v>25</v>
      </c>
      <c r="C323" s="79"/>
      <c r="D323" s="82" t="s">
        <v>19</v>
      </c>
      <c r="E323" s="83"/>
      <c r="F323" s="84">
        <v>1</v>
      </c>
      <c r="G323" s="85" t="s">
        <v>20</v>
      </c>
      <c r="H323" s="84">
        <v>5</v>
      </c>
      <c r="I323" s="85" t="s">
        <v>19</v>
      </c>
      <c r="J323" s="86">
        <f>1125000/5</f>
        <v>225000</v>
      </c>
      <c r="K323" s="82" t="s">
        <v>19</v>
      </c>
      <c r="L323" s="87"/>
      <c r="M323" s="87">
        <v>0.17</v>
      </c>
      <c r="N323" s="84"/>
      <c r="O323" s="85" t="s">
        <v>19</v>
      </c>
      <c r="P323" s="79">
        <f>(C323+(E323*F323*H323))-N323</f>
        <v>0</v>
      </c>
      <c r="Q323" s="85" t="s">
        <v>19</v>
      </c>
      <c r="R323" s="86">
        <f>P323*(J323-(J323*L323)-((J323-(J323*L323))*M323))</f>
        <v>0</v>
      </c>
      <c r="S323" s="86">
        <f t="shared" si="95"/>
        <v>0</v>
      </c>
    </row>
    <row r="324" spans="1:19" s="81" customFormat="1" x14ac:dyDescent="0.2">
      <c r="A324" s="80" t="s">
        <v>202</v>
      </c>
      <c r="B324" s="81" t="s">
        <v>25</v>
      </c>
      <c r="C324" s="79"/>
      <c r="D324" s="82" t="s">
        <v>19</v>
      </c>
      <c r="E324" s="83"/>
      <c r="F324" s="84">
        <v>1</v>
      </c>
      <c r="G324" s="85" t="s">
        <v>20</v>
      </c>
      <c r="H324" s="84">
        <v>4</v>
      </c>
      <c r="I324" s="85" t="s">
        <v>19</v>
      </c>
      <c r="J324" s="86">
        <f>1180000/4</f>
        <v>295000</v>
      </c>
      <c r="K324" s="82" t="s">
        <v>19</v>
      </c>
      <c r="L324" s="87"/>
      <c r="M324" s="87">
        <v>0.17</v>
      </c>
      <c r="N324" s="84"/>
      <c r="O324" s="85" t="s">
        <v>19</v>
      </c>
      <c r="P324" s="79">
        <f>(C324+(E324*F324*H324))-N324</f>
        <v>0</v>
      </c>
      <c r="Q324" s="85" t="s">
        <v>19</v>
      </c>
      <c r="R324" s="86">
        <f>P324*(J324-(J324*L324)-((J324-(J324*L324))*M324))</f>
        <v>0</v>
      </c>
      <c r="S324" s="86">
        <f t="shared" ref="S324:S418" si="147">R324/1.11</f>
        <v>0</v>
      </c>
    </row>
    <row r="325" spans="1:19" s="19" customFormat="1" x14ac:dyDescent="0.2">
      <c r="A325" s="18"/>
      <c r="C325" s="20"/>
      <c r="D325" s="21"/>
      <c r="E325" s="26"/>
      <c r="F325" s="22"/>
      <c r="G325" s="23"/>
      <c r="H325" s="22"/>
      <c r="I325" s="23"/>
      <c r="J325" s="24"/>
      <c r="K325" s="21"/>
      <c r="L325" s="25"/>
      <c r="M325" s="25"/>
      <c r="N325" s="22"/>
      <c r="O325" s="23"/>
      <c r="P325" s="20"/>
      <c r="Q325" s="23"/>
      <c r="R325" s="24"/>
      <c r="S325" s="24"/>
    </row>
    <row r="326" spans="1:19" s="19" customFormat="1" ht="15.75" x14ac:dyDescent="0.25">
      <c r="A326" s="38" t="s">
        <v>740</v>
      </c>
      <c r="C326" s="20"/>
      <c r="D326" s="21"/>
      <c r="E326" s="26"/>
      <c r="F326" s="22"/>
      <c r="G326" s="23"/>
      <c r="H326" s="22"/>
      <c r="I326" s="23"/>
      <c r="J326" s="24"/>
      <c r="K326" s="21"/>
      <c r="L326" s="25"/>
      <c r="M326" s="25"/>
      <c r="N326" s="22"/>
      <c r="O326" s="23"/>
      <c r="P326" s="20"/>
      <c r="Q326" s="23"/>
      <c r="R326" s="24"/>
      <c r="S326" s="24"/>
    </row>
    <row r="327" spans="1:19" s="19" customFormat="1" x14ac:dyDescent="0.2">
      <c r="A327" s="18" t="s">
        <v>741</v>
      </c>
      <c r="B327" s="19" t="s">
        <v>597</v>
      </c>
      <c r="C327" s="20">
        <v>14</v>
      </c>
      <c r="D327" s="21" t="s">
        <v>19</v>
      </c>
      <c r="E327" s="26"/>
      <c r="F327" s="22">
        <v>1</v>
      </c>
      <c r="G327" s="23" t="s">
        <v>20</v>
      </c>
      <c r="H327" s="22">
        <v>48</v>
      </c>
      <c r="I327" s="23" t="s">
        <v>19</v>
      </c>
      <c r="J327" s="24">
        <v>53000</v>
      </c>
      <c r="K327" s="21" t="s">
        <v>19</v>
      </c>
      <c r="L327" s="25">
        <v>0.17499999999999999</v>
      </c>
      <c r="M327" s="25">
        <v>1.0999999999999999E-2</v>
      </c>
      <c r="N327" s="22"/>
      <c r="O327" s="23" t="s">
        <v>19</v>
      </c>
      <c r="P327" s="20">
        <f>(C327+(E327*F327*H327))-N327</f>
        <v>14</v>
      </c>
      <c r="Q327" s="23" t="s">
        <v>19</v>
      </c>
      <c r="R327" s="24">
        <f>P327*(J327-(J327*L327)-((J327-(J327*L327))*M327))</f>
        <v>605416.35</v>
      </c>
      <c r="S327" s="24">
        <f t="shared" ref="S327" si="148">R327/1.11</f>
        <v>545420.13513513503</v>
      </c>
    </row>
    <row r="328" spans="1:19" s="19" customFormat="1" x14ac:dyDescent="0.2">
      <c r="A328" s="18"/>
      <c r="C328" s="20"/>
      <c r="D328" s="21"/>
      <c r="E328" s="26"/>
      <c r="F328" s="22"/>
      <c r="G328" s="23"/>
      <c r="H328" s="22"/>
      <c r="I328" s="23"/>
      <c r="J328" s="24"/>
      <c r="K328" s="21"/>
      <c r="L328" s="25"/>
      <c r="M328" s="25"/>
      <c r="N328" s="22"/>
      <c r="O328" s="23"/>
      <c r="P328" s="20"/>
      <c r="Q328" s="23"/>
      <c r="R328" s="24"/>
      <c r="S328" s="24"/>
    </row>
    <row r="329" spans="1:19" s="19" customFormat="1" ht="15.75" x14ac:dyDescent="0.25">
      <c r="A329" s="38" t="s">
        <v>203</v>
      </c>
      <c r="C329" s="20"/>
      <c r="D329" s="21"/>
      <c r="E329" s="26"/>
      <c r="F329" s="22"/>
      <c r="G329" s="23"/>
      <c r="H329" s="22"/>
      <c r="I329" s="23"/>
      <c r="J329" s="24"/>
      <c r="K329" s="21"/>
      <c r="L329" s="25"/>
      <c r="M329" s="25"/>
      <c r="N329" s="22"/>
      <c r="O329" s="23"/>
      <c r="P329" s="20"/>
      <c r="Q329" s="23"/>
      <c r="R329" s="24"/>
      <c r="S329" s="24"/>
    </row>
    <row r="330" spans="1:19" s="19" customFormat="1" x14ac:dyDescent="0.2">
      <c r="A330" s="18" t="s">
        <v>800</v>
      </c>
      <c r="B330" s="19" t="s">
        <v>18</v>
      </c>
      <c r="C330" s="20">
        <v>12</v>
      </c>
      <c r="D330" s="21" t="s">
        <v>19</v>
      </c>
      <c r="E330" s="26"/>
      <c r="F330" s="22">
        <v>8</v>
      </c>
      <c r="G330" s="23" t="s">
        <v>33</v>
      </c>
      <c r="H330" s="22">
        <v>12</v>
      </c>
      <c r="I330" s="23" t="s">
        <v>19</v>
      </c>
      <c r="J330" s="24">
        <v>11500</v>
      </c>
      <c r="K330" s="21" t="s">
        <v>19</v>
      </c>
      <c r="L330" s="25">
        <v>0.125</v>
      </c>
      <c r="M330" s="25">
        <v>0.05</v>
      </c>
      <c r="N330" s="22"/>
      <c r="O330" s="23" t="s">
        <v>19</v>
      </c>
      <c r="P330" s="20">
        <f>(C330+(E330*F330*H330))-N330</f>
        <v>12</v>
      </c>
      <c r="Q330" s="23" t="s">
        <v>19</v>
      </c>
      <c r="R330" s="24">
        <f>P330*(J330-(J330*L330)-((J330-(J330*L330))*M330))</f>
        <v>114712.5</v>
      </c>
      <c r="S330" s="24">
        <f t="shared" ref="S330" si="149">R330/1.11</f>
        <v>103344.59459459459</v>
      </c>
    </row>
    <row r="331" spans="1:19" s="19" customFormat="1" x14ac:dyDescent="0.2">
      <c r="A331" s="18" t="s">
        <v>204</v>
      </c>
      <c r="B331" s="19" t="s">
        <v>18</v>
      </c>
      <c r="C331" s="20">
        <v>90</v>
      </c>
      <c r="D331" s="21" t="s">
        <v>19</v>
      </c>
      <c r="E331" s="26"/>
      <c r="F331" s="22">
        <v>1</v>
      </c>
      <c r="G331" s="23" t="s">
        <v>20</v>
      </c>
      <c r="H331" s="22">
        <v>90</v>
      </c>
      <c r="I331" s="23" t="s">
        <v>19</v>
      </c>
      <c r="J331" s="24">
        <v>24000</v>
      </c>
      <c r="K331" s="21" t="s">
        <v>19</v>
      </c>
      <c r="L331" s="25">
        <v>0.125</v>
      </c>
      <c r="M331" s="25">
        <v>0.05</v>
      </c>
      <c r="N331" s="22"/>
      <c r="O331" s="23" t="s">
        <v>19</v>
      </c>
      <c r="P331" s="20">
        <f>(C331+(E331*F331*H331))-N331</f>
        <v>90</v>
      </c>
      <c r="Q331" s="23" t="s">
        <v>19</v>
      </c>
      <c r="R331" s="24">
        <f>P331*(J331-(J331*L331)-((J331-(J331*L331))*M331))</f>
        <v>1795500</v>
      </c>
      <c r="S331" s="24">
        <f t="shared" si="147"/>
        <v>1617567.5675675673</v>
      </c>
    </row>
    <row r="332" spans="1:19" s="81" customFormat="1" x14ac:dyDescent="0.2">
      <c r="A332" s="80" t="s">
        <v>205</v>
      </c>
      <c r="B332" s="81" t="s">
        <v>18</v>
      </c>
      <c r="C332" s="79"/>
      <c r="D332" s="82" t="s">
        <v>19</v>
      </c>
      <c r="E332" s="83"/>
      <c r="F332" s="84">
        <v>1</v>
      </c>
      <c r="G332" s="85" t="s">
        <v>20</v>
      </c>
      <c r="H332" s="84">
        <v>48</v>
      </c>
      <c r="I332" s="85" t="s">
        <v>19</v>
      </c>
      <c r="J332" s="86">
        <v>24900</v>
      </c>
      <c r="K332" s="82" t="s">
        <v>19</v>
      </c>
      <c r="L332" s="87">
        <v>0.125</v>
      </c>
      <c r="M332" s="87">
        <v>0.05</v>
      </c>
      <c r="N332" s="84"/>
      <c r="O332" s="85" t="s">
        <v>19</v>
      </c>
      <c r="P332" s="79">
        <f>(C332+(E332*F332*H332))-N332</f>
        <v>0</v>
      </c>
      <c r="Q332" s="85" t="s">
        <v>19</v>
      </c>
      <c r="R332" s="86">
        <f>P332*(J332-(J332*L332)-((J332-(J332*L332))*M332))</f>
        <v>0</v>
      </c>
      <c r="S332" s="86">
        <f t="shared" si="147"/>
        <v>0</v>
      </c>
    </row>
    <row r="333" spans="1:19" s="19" customFormat="1" x14ac:dyDescent="0.2">
      <c r="A333" s="18" t="s">
        <v>838</v>
      </c>
      <c r="B333" s="19" t="s">
        <v>18</v>
      </c>
      <c r="C333" s="20"/>
      <c r="D333" s="21" t="s">
        <v>19</v>
      </c>
      <c r="E333" s="26">
        <v>1</v>
      </c>
      <c r="F333" s="22">
        <v>1</v>
      </c>
      <c r="G333" s="23" t="s">
        <v>20</v>
      </c>
      <c r="H333" s="22">
        <v>50</v>
      </c>
      <c r="I333" s="23" t="s">
        <v>19</v>
      </c>
      <c r="J333" s="24">
        <v>20500</v>
      </c>
      <c r="K333" s="21" t="s">
        <v>19</v>
      </c>
      <c r="L333" s="25">
        <v>0.125</v>
      </c>
      <c r="M333" s="25">
        <v>0.05</v>
      </c>
      <c r="N333" s="22"/>
      <c r="O333" s="23" t="s">
        <v>19</v>
      </c>
      <c r="P333" s="20">
        <f>(C333+(E333*F333*H333))-N333</f>
        <v>50</v>
      </c>
      <c r="Q333" s="23" t="s">
        <v>19</v>
      </c>
      <c r="R333" s="24">
        <f>P333*(J333-(J333*L333)-((J333-(J333*L333))*M333))</f>
        <v>852031.25</v>
      </c>
      <c r="S333" s="24">
        <f t="shared" ref="S333" si="150">R333/1.11</f>
        <v>767595.72072072071</v>
      </c>
    </row>
    <row r="334" spans="1:19" s="19" customFormat="1" x14ac:dyDescent="0.2">
      <c r="A334" s="18"/>
      <c r="C334" s="20"/>
      <c r="D334" s="21"/>
      <c r="E334" s="26"/>
      <c r="F334" s="22"/>
      <c r="G334" s="23"/>
      <c r="H334" s="22"/>
      <c r="I334" s="23"/>
      <c r="J334" s="24"/>
      <c r="K334" s="21"/>
      <c r="L334" s="25"/>
      <c r="M334" s="25"/>
      <c r="N334" s="22"/>
      <c r="O334" s="23"/>
      <c r="P334" s="20"/>
      <c r="Q334" s="23"/>
      <c r="R334" s="24"/>
      <c r="S334" s="24"/>
    </row>
    <row r="335" spans="1:19" s="81" customFormat="1" x14ac:dyDescent="0.2">
      <c r="A335" s="80" t="s">
        <v>206</v>
      </c>
      <c r="B335" s="81" t="s">
        <v>25</v>
      </c>
      <c r="C335" s="79"/>
      <c r="D335" s="82" t="s">
        <v>19</v>
      </c>
      <c r="E335" s="83"/>
      <c r="F335" s="84">
        <v>1</v>
      </c>
      <c r="G335" s="85" t="s">
        <v>20</v>
      </c>
      <c r="H335" s="84">
        <v>24</v>
      </c>
      <c r="I335" s="85" t="s">
        <v>19</v>
      </c>
      <c r="J335" s="86">
        <f>720000/24</f>
        <v>30000</v>
      </c>
      <c r="K335" s="82" t="s">
        <v>19</v>
      </c>
      <c r="L335" s="87"/>
      <c r="M335" s="87">
        <v>0.17</v>
      </c>
      <c r="N335" s="84"/>
      <c r="O335" s="85" t="s">
        <v>19</v>
      </c>
      <c r="P335" s="79">
        <f>(C335+(E335*F335*H335))-N335</f>
        <v>0</v>
      </c>
      <c r="Q335" s="85" t="s">
        <v>19</v>
      </c>
      <c r="R335" s="86">
        <f>P335*(J335-(J335*L335)-((J335-(J335*L335))*M335))</f>
        <v>0</v>
      </c>
      <c r="S335" s="86">
        <f t="shared" si="147"/>
        <v>0</v>
      </c>
    </row>
    <row r="336" spans="1:19" s="19" customFormat="1" x14ac:dyDescent="0.2">
      <c r="A336" s="18" t="s">
        <v>207</v>
      </c>
      <c r="B336" s="19" t="s">
        <v>25</v>
      </c>
      <c r="C336" s="20">
        <v>112</v>
      </c>
      <c r="D336" s="21" t="s">
        <v>19</v>
      </c>
      <c r="E336" s="26"/>
      <c r="F336" s="22">
        <v>1</v>
      </c>
      <c r="G336" s="23" t="s">
        <v>20</v>
      </c>
      <c r="H336" s="22">
        <v>48</v>
      </c>
      <c r="I336" s="23" t="s">
        <v>19</v>
      </c>
      <c r="J336" s="24">
        <f>1152000/48</f>
        <v>24000</v>
      </c>
      <c r="K336" s="21" t="s">
        <v>19</v>
      </c>
      <c r="L336" s="25"/>
      <c r="M336" s="25">
        <v>0.17</v>
      </c>
      <c r="N336" s="22"/>
      <c r="O336" s="23" t="s">
        <v>19</v>
      </c>
      <c r="P336" s="20">
        <f>(C336+(E336*F336*H336))-N336</f>
        <v>112</v>
      </c>
      <c r="Q336" s="23" t="s">
        <v>19</v>
      </c>
      <c r="R336" s="24">
        <f>P336*(J336-(J336*L336)-((J336-(J336*L336))*M336))</f>
        <v>2231040</v>
      </c>
      <c r="S336" s="24">
        <f t="shared" si="147"/>
        <v>2009945.9459459458</v>
      </c>
    </row>
    <row r="337" spans="1:19" s="19" customFormat="1" x14ac:dyDescent="0.2">
      <c r="A337" s="18"/>
      <c r="C337" s="20"/>
      <c r="D337" s="21"/>
      <c r="E337" s="26"/>
      <c r="F337" s="22"/>
      <c r="G337" s="23"/>
      <c r="H337" s="22"/>
      <c r="I337" s="23"/>
      <c r="J337" s="24"/>
      <c r="K337" s="21"/>
      <c r="L337" s="25"/>
      <c r="M337" s="25"/>
      <c r="N337" s="22"/>
      <c r="O337" s="23"/>
      <c r="P337" s="20"/>
      <c r="Q337" s="23"/>
      <c r="R337" s="24"/>
      <c r="S337" s="24"/>
    </row>
    <row r="338" spans="1:19" s="19" customFormat="1" ht="15.75" x14ac:dyDescent="0.25">
      <c r="A338" s="38" t="s">
        <v>208</v>
      </c>
      <c r="C338" s="20"/>
      <c r="D338" s="21"/>
      <c r="E338" s="26"/>
      <c r="F338" s="22"/>
      <c r="G338" s="23"/>
      <c r="H338" s="22"/>
      <c r="I338" s="23"/>
      <c r="J338" s="24"/>
      <c r="K338" s="21"/>
      <c r="L338" s="25"/>
      <c r="M338" s="25"/>
      <c r="N338" s="22"/>
      <c r="O338" s="23"/>
      <c r="P338" s="20"/>
      <c r="Q338" s="23"/>
      <c r="R338" s="24"/>
      <c r="S338" s="24"/>
    </row>
    <row r="339" spans="1:19" s="19" customFormat="1" x14ac:dyDescent="0.2">
      <c r="A339" s="65" t="s">
        <v>760</v>
      </c>
      <c r="C339" s="20"/>
      <c r="D339" s="21"/>
      <c r="E339" s="26"/>
      <c r="F339" s="22"/>
      <c r="G339" s="23"/>
      <c r="H339" s="22"/>
      <c r="I339" s="23"/>
      <c r="J339" s="24"/>
      <c r="K339" s="21"/>
      <c r="L339" s="25"/>
      <c r="M339" s="25"/>
      <c r="N339" s="22"/>
      <c r="O339" s="23"/>
      <c r="P339" s="20"/>
      <c r="Q339" s="23"/>
      <c r="R339" s="24"/>
      <c r="S339" s="24"/>
    </row>
    <row r="340" spans="1:19" s="81" customFormat="1" x14ac:dyDescent="0.2">
      <c r="A340" s="80" t="s">
        <v>761</v>
      </c>
      <c r="B340" s="81" t="s">
        <v>25</v>
      </c>
      <c r="C340" s="79"/>
      <c r="D340" s="82" t="s">
        <v>40</v>
      </c>
      <c r="E340" s="83"/>
      <c r="F340" s="84">
        <v>1</v>
      </c>
      <c r="G340" s="85" t="s">
        <v>20</v>
      </c>
      <c r="H340" s="84">
        <v>40</v>
      </c>
      <c r="I340" s="85" t="s">
        <v>40</v>
      </c>
      <c r="J340" s="86">
        <v>32400</v>
      </c>
      <c r="K340" s="82" t="s">
        <v>40</v>
      </c>
      <c r="L340" s="87"/>
      <c r="M340" s="87">
        <v>0.17</v>
      </c>
      <c r="N340" s="84"/>
      <c r="O340" s="85" t="s">
        <v>40</v>
      </c>
      <c r="P340" s="79">
        <f>(C340+(E340*F340*H340))-N340</f>
        <v>0</v>
      </c>
      <c r="Q340" s="85" t="s">
        <v>40</v>
      </c>
      <c r="R340" s="86">
        <f>P340*(J340-(J340*L340)-((J340-(J340*L340))*M340))</f>
        <v>0</v>
      </c>
      <c r="S340" s="86">
        <f t="shared" ref="S340" si="151">R340/1.11</f>
        <v>0</v>
      </c>
    </row>
    <row r="341" spans="1:19" s="19" customFormat="1" x14ac:dyDescent="0.2">
      <c r="A341" s="18"/>
      <c r="C341" s="20"/>
      <c r="D341" s="21"/>
      <c r="E341" s="26"/>
      <c r="F341" s="22"/>
      <c r="G341" s="23"/>
      <c r="H341" s="22"/>
      <c r="I341" s="23"/>
      <c r="J341" s="24"/>
      <c r="K341" s="21"/>
      <c r="L341" s="25"/>
      <c r="M341" s="25"/>
      <c r="N341" s="22"/>
      <c r="O341" s="23"/>
      <c r="P341" s="20"/>
      <c r="Q341" s="23"/>
      <c r="R341" s="24"/>
      <c r="S341" s="24"/>
    </row>
    <row r="342" spans="1:19" s="19" customFormat="1" x14ac:dyDescent="0.2">
      <c r="A342" s="65" t="s">
        <v>209</v>
      </c>
      <c r="C342" s="20"/>
      <c r="D342" s="21"/>
      <c r="E342" s="26"/>
      <c r="F342" s="22"/>
      <c r="G342" s="23"/>
      <c r="H342" s="22"/>
      <c r="I342" s="23"/>
      <c r="J342" s="24"/>
      <c r="K342" s="21"/>
      <c r="L342" s="25"/>
      <c r="M342" s="25"/>
      <c r="N342" s="22"/>
      <c r="O342" s="23"/>
      <c r="P342" s="20"/>
      <c r="Q342" s="23"/>
      <c r="R342" s="24"/>
      <c r="S342" s="24"/>
    </row>
    <row r="343" spans="1:19" s="81" customFormat="1" x14ac:dyDescent="0.2">
      <c r="A343" s="80" t="s">
        <v>210</v>
      </c>
      <c r="B343" s="81" t="s">
        <v>18</v>
      </c>
      <c r="C343" s="79"/>
      <c r="D343" s="82" t="s">
        <v>19</v>
      </c>
      <c r="E343" s="83"/>
      <c r="F343" s="84">
        <v>1</v>
      </c>
      <c r="G343" s="85" t="s">
        <v>20</v>
      </c>
      <c r="H343" s="84">
        <v>40</v>
      </c>
      <c r="I343" s="85" t="s">
        <v>19</v>
      </c>
      <c r="J343" s="86">
        <v>38500</v>
      </c>
      <c r="K343" s="82" t="s">
        <v>19</v>
      </c>
      <c r="L343" s="87">
        <v>0.125</v>
      </c>
      <c r="M343" s="87">
        <v>0.05</v>
      </c>
      <c r="N343" s="84"/>
      <c r="O343" s="85" t="s">
        <v>19</v>
      </c>
      <c r="P343" s="79">
        <f>(C343+(E343*F343*H343))-N343</f>
        <v>0</v>
      </c>
      <c r="Q343" s="85" t="s">
        <v>19</v>
      </c>
      <c r="R343" s="86">
        <f>P343*(J343-(J343*L343)-((J343-(J343*L343))*M343))</f>
        <v>0</v>
      </c>
      <c r="S343" s="86">
        <f t="shared" si="147"/>
        <v>0</v>
      </c>
    </row>
    <row r="344" spans="1:19" s="19" customFormat="1" x14ac:dyDescent="0.2">
      <c r="A344" s="18"/>
      <c r="C344" s="20"/>
      <c r="D344" s="21"/>
      <c r="E344" s="26"/>
      <c r="F344" s="22"/>
      <c r="G344" s="23"/>
      <c r="H344" s="22"/>
      <c r="I344" s="23"/>
      <c r="J344" s="24"/>
      <c r="K344" s="21"/>
      <c r="L344" s="25"/>
      <c r="M344" s="25"/>
      <c r="N344" s="22"/>
      <c r="O344" s="23"/>
      <c r="P344" s="20"/>
      <c r="Q344" s="23"/>
      <c r="R344" s="24"/>
      <c r="S344" s="24"/>
    </row>
    <row r="345" spans="1:19" s="19" customFormat="1" x14ac:dyDescent="0.2">
      <c r="A345" s="65" t="s">
        <v>211</v>
      </c>
      <c r="C345" s="20"/>
      <c r="D345" s="21"/>
      <c r="E345" s="26"/>
      <c r="F345" s="22"/>
      <c r="G345" s="23"/>
      <c r="H345" s="22"/>
      <c r="I345" s="23"/>
      <c r="J345" s="24"/>
      <c r="K345" s="21"/>
      <c r="L345" s="25"/>
      <c r="M345" s="25"/>
      <c r="N345" s="22"/>
      <c r="O345" s="23"/>
      <c r="P345" s="20"/>
      <c r="Q345" s="23"/>
      <c r="R345" s="24"/>
      <c r="S345" s="24"/>
    </row>
    <row r="346" spans="1:19" s="19" customFormat="1" x14ac:dyDescent="0.2">
      <c r="A346" s="18" t="s">
        <v>730</v>
      </c>
      <c r="B346" s="19" t="s">
        <v>18</v>
      </c>
      <c r="C346" s="20">
        <v>361</v>
      </c>
      <c r="D346" s="21" t="s">
        <v>19</v>
      </c>
      <c r="E346" s="26"/>
      <c r="F346" s="22">
        <v>1</v>
      </c>
      <c r="G346" s="23" t="s">
        <v>20</v>
      </c>
      <c r="H346" s="22">
        <v>48</v>
      </c>
      <c r="I346" s="23" t="s">
        <v>19</v>
      </c>
      <c r="J346" s="24">
        <v>17600</v>
      </c>
      <c r="K346" s="21" t="s">
        <v>19</v>
      </c>
      <c r="L346" s="25">
        <v>0.125</v>
      </c>
      <c r="M346" s="25">
        <v>0.05</v>
      </c>
      <c r="N346" s="22"/>
      <c r="O346" s="23" t="s">
        <v>19</v>
      </c>
      <c r="P346" s="20">
        <f>(C346+(E346*F346*H346))-N346</f>
        <v>361</v>
      </c>
      <c r="Q346" s="23" t="s">
        <v>19</v>
      </c>
      <c r="R346" s="24">
        <f>P346*(J346-(J346*L346)-((J346-(J346*L346))*M346))</f>
        <v>5281430</v>
      </c>
      <c r="S346" s="24">
        <f t="shared" si="147"/>
        <v>4758045.0450450443</v>
      </c>
    </row>
    <row r="347" spans="1:19" s="19" customFormat="1" x14ac:dyDescent="0.2">
      <c r="A347" s="18"/>
      <c r="C347" s="20"/>
      <c r="D347" s="21"/>
      <c r="E347" s="26"/>
      <c r="F347" s="22"/>
      <c r="G347" s="23"/>
      <c r="H347" s="22"/>
      <c r="I347" s="23"/>
      <c r="J347" s="24"/>
      <c r="K347" s="21"/>
      <c r="L347" s="25"/>
      <c r="M347" s="25"/>
      <c r="N347" s="22"/>
      <c r="O347" s="23"/>
      <c r="P347" s="20"/>
      <c r="Q347" s="23"/>
      <c r="R347" s="24"/>
      <c r="S347" s="24"/>
    </row>
    <row r="348" spans="1:19" s="19" customFormat="1" ht="15.75" x14ac:dyDescent="0.25">
      <c r="A348" s="38" t="s">
        <v>212</v>
      </c>
      <c r="C348" s="20"/>
      <c r="D348" s="21"/>
      <c r="E348" s="26"/>
      <c r="F348" s="22"/>
      <c r="G348" s="23"/>
      <c r="H348" s="22"/>
      <c r="I348" s="23"/>
      <c r="J348" s="24"/>
      <c r="K348" s="21"/>
      <c r="L348" s="25"/>
      <c r="M348" s="25"/>
      <c r="N348" s="22"/>
      <c r="O348" s="23"/>
      <c r="P348" s="20"/>
      <c r="Q348" s="23"/>
      <c r="R348" s="24"/>
      <c r="S348" s="24"/>
    </row>
    <row r="349" spans="1:19" s="19" customFormat="1" x14ac:dyDescent="0.2">
      <c r="A349" s="65" t="s">
        <v>213</v>
      </c>
      <c r="C349" s="20"/>
      <c r="D349" s="21"/>
      <c r="E349" s="26"/>
      <c r="F349" s="22"/>
      <c r="G349" s="23"/>
      <c r="H349" s="22"/>
      <c r="I349" s="23"/>
      <c r="J349" s="24"/>
      <c r="K349" s="21"/>
      <c r="L349" s="25"/>
      <c r="M349" s="25"/>
      <c r="N349" s="22"/>
      <c r="O349" s="23"/>
      <c r="P349" s="20"/>
      <c r="Q349" s="23"/>
      <c r="R349" s="24"/>
      <c r="S349" s="24"/>
    </row>
    <row r="350" spans="1:19" s="19" customFormat="1" x14ac:dyDescent="0.2">
      <c r="A350" s="18" t="s">
        <v>214</v>
      </c>
      <c r="B350" s="19" t="s">
        <v>25</v>
      </c>
      <c r="C350" s="20">
        <v>9</v>
      </c>
      <c r="D350" s="21" t="s">
        <v>40</v>
      </c>
      <c r="E350" s="26"/>
      <c r="F350" s="22">
        <v>1</v>
      </c>
      <c r="G350" s="23" t="s">
        <v>20</v>
      </c>
      <c r="H350" s="22">
        <v>50</v>
      </c>
      <c r="I350" s="23" t="s">
        <v>40</v>
      </c>
      <c r="J350" s="24">
        <f>1800000/50</f>
        <v>36000</v>
      </c>
      <c r="K350" s="21" t="s">
        <v>40</v>
      </c>
      <c r="L350" s="25"/>
      <c r="M350" s="25">
        <v>0.17</v>
      </c>
      <c r="N350" s="22"/>
      <c r="O350" s="23" t="s">
        <v>40</v>
      </c>
      <c r="P350" s="20">
        <f t="shared" ref="P350:P356" si="152">(C350+(E350*F350*H350))-N350</f>
        <v>9</v>
      </c>
      <c r="Q350" s="23" t="s">
        <v>40</v>
      </c>
      <c r="R350" s="24">
        <f t="shared" ref="R350:R356" si="153">P350*(J350-(J350*L350)-((J350-(J350*L350))*M350))</f>
        <v>268920</v>
      </c>
      <c r="S350" s="24">
        <f t="shared" si="147"/>
        <v>242270.27027027024</v>
      </c>
    </row>
    <row r="351" spans="1:19" s="81" customFormat="1" x14ac:dyDescent="0.2">
      <c r="A351" s="80" t="s">
        <v>748</v>
      </c>
      <c r="B351" s="81" t="s">
        <v>25</v>
      </c>
      <c r="C351" s="79"/>
      <c r="D351" s="82" t="s">
        <v>40</v>
      </c>
      <c r="E351" s="83"/>
      <c r="F351" s="84">
        <v>1</v>
      </c>
      <c r="G351" s="85" t="s">
        <v>20</v>
      </c>
      <c r="H351" s="84">
        <v>25</v>
      </c>
      <c r="I351" s="85" t="s">
        <v>40</v>
      </c>
      <c r="J351" s="86">
        <f>1672500/25</f>
        <v>66900</v>
      </c>
      <c r="K351" s="82" t="s">
        <v>40</v>
      </c>
      <c r="L351" s="87"/>
      <c r="M351" s="87">
        <v>0.17</v>
      </c>
      <c r="N351" s="84"/>
      <c r="O351" s="85" t="s">
        <v>40</v>
      </c>
      <c r="P351" s="79">
        <f t="shared" si="152"/>
        <v>0</v>
      </c>
      <c r="Q351" s="85" t="s">
        <v>40</v>
      </c>
      <c r="R351" s="86">
        <f t="shared" si="153"/>
        <v>0</v>
      </c>
      <c r="S351" s="86">
        <f t="shared" si="147"/>
        <v>0</v>
      </c>
    </row>
    <row r="352" spans="1:19" s="19" customFormat="1" x14ac:dyDescent="0.2">
      <c r="A352" s="18" t="s">
        <v>215</v>
      </c>
      <c r="B352" s="19" t="s">
        <v>25</v>
      </c>
      <c r="C352" s="20">
        <v>43</v>
      </c>
      <c r="D352" s="21" t="s">
        <v>40</v>
      </c>
      <c r="E352" s="26">
        <v>2</v>
      </c>
      <c r="F352" s="22">
        <v>1</v>
      </c>
      <c r="G352" s="23" t="s">
        <v>20</v>
      </c>
      <c r="H352" s="22">
        <v>25</v>
      </c>
      <c r="I352" s="23" t="s">
        <v>40</v>
      </c>
      <c r="J352" s="24">
        <f>2100000/25</f>
        <v>84000</v>
      </c>
      <c r="K352" s="21" t="s">
        <v>40</v>
      </c>
      <c r="L352" s="25"/>
      <c r="M352" s="25">
        <v>0.17</v>
      </c>
      <c r="N352" s="22"/>
      <c r="O352" s="23" t="s">
        <v>40</v>
      </c>
      <c r="P352" s="20">
        <f t="shared" si="152"/>
        <v>93</v>
      </c>
      <c r="Q352" s="23" t="s">
        <v>40</v>
      </c>
      <c r="R352" s="24">
        <f t="shared" si="153"/>
        <v>6483960</v>
      </c>
      <c r="S352" s="24">
        <f t="shared" si="147"/>
        <v>5841405.405405405</v>
      </c>
    </row>
    <row r="353" spans="1:19" s="19" customFormat="1" x14ac:dyDescent="0.2">
      <c r="A353" s="18" t="s">
        <v>216</v>
      </c>
      <c r="B353" s="19" t="s">
        <v>25</v>
      </c>
      <c r="C353" s="20">
        <v>8</v>
      </c>
      <c r="D353" s="21" t="s">
        <v>40</v>
      </c>
      <c r="E353" s="26"/>
      <c r="F353" s="22">
        <v>1</v>
      </c>
      <c r="G353" s="23" t="s">
        <v>20</v>
      </c>
      <c r="H353" s="22">
        <v>10</v>
      </c>
      <c r="I353" s="23" t="s">
        <v>40</v>
      </c>
      <c r="J353" s="24">
        <f>1632000/10</f>
        <v>163200</v>
      </c>
      <c r="K353" s="21" t="s">
        <v>40</v>
      </c>
      <c r="L353" s="25"/>
      <c r="M353" s="25">
        <v>0.17</v>
      </c>
      <c r="N353" s="22"/>
      <c r="O353" s="23" t="s">
        <v>40</v>
      </c>
      <c r="P353" s="20">
        <f t="shared" si="152"/>
        <v>8</v>
      </c>
      <c r="Q353" s="23" t="s">
        <v>40</v>
      </c>
      <c r="R353" s="24">
        <f t="shared" si="153"/>
        <v>1083648</v>
      </c>
      <c r="S353" s="24">
        <f t="shared" si="147"/>
        <v>976259.45945945941</v>
      </c>
    </row>
    <row r="354" spans="1:19" s="19" customFormat="1" x14ac:dyDescent="0.2">
      <c r="A354" s="18" t="s">
        <v>217</v>
      </c>
      <c r="B354" s="19" t="s">
        <v>25</v>
      </c>
      <c r="C354" s="20">
        <v>7</v>
      </c>
      <c r="D354" s="21" t="s">
        <v>40</v>
      </c>
      <c r="E354" s="26"/>
      <c r="F354" s="22">
        <v>1</v>
      </c>
      <c r="G354" s="23" t="s">
        <v>20</v>
      </c>
      <c r="H354" s="22">
        <v>10</v>
      </c>
      <c r="I354" s="23" t="s">
        <v>40</v>
      </c>
      <c r="J354" s="24">
        <f>2028000/10</f>
        <v>202800</v>
      </c>
      <c r="K354" s="21" t="s">
        <v>40</v>
      </c>
      <c r="L354" s="25"/>
      <c r="M354" s="25">
        <v>0.17</v>
      </c>
      <c r="N354" s="22"/>
      <c r="O354" s="23" t="s">
        <v>40</v>
      </c>
      <c r="P354" s="20">
        <f t="shared" si="152"/>
        <v>7</v>
      </c>
      <c r="Q354" s="23" t="s">
        <v>40</v>
      </c>
      <c r="R354" s="24">
        <f t="shared" si="153"/>
        <v>1178268</v>
      </c>
      <c r="S354" s="24">
        <f t="shared" si="147"/>
        <v>1061502.7027027027</v>
      </c>
    </row>
    <row r="355" spans="1:19" s="19" customFormat="1" x14ac:dyDescent="0.2">
      <c r="A355" s="18" t="s">
        <v>218</v>
      </c>
      <c r="B355" s="19" t="s">
        <v>25</v>
      </c>
      <c r="C355" s="20">
        <v>2</v>
      </c>
      <c r="D355" s="21" t="s">
        <v>40</v>
      </c>
      <c r="E355" s="26"/>
      <c r="F355" s="22">
        <v>1</v>
      </c>
      <c r="G355" s="23" t="s">
        <v>20</v>
      </c>
      <c r="H355" s="22">
        <v>10</v>
      </c>
      <c r="I355" s="23" t="s">
        <v>40</v>
      </c>
      <c r="J355" s="24">
        <f>2520000/10</f>
        <v>252000</v>
      </c>
      <c r="K355" s="21" t="s">
        <v>40</v>
      </c>
      <c r="L355" s="25"/>
      <c r="M355" s="25">
        <v>0.17</v>
      </c>
      <c r="N355" s="22"/>
      <c r="O355" s="23" t="s">
        <v>40</v>
      </c>
      <c r="P355" s="20">
        <f t="shared" si="152"/>
        <v>2</v>
      </c>
      <c r="Q355" s="23" t="s">
        <v>40</v>
      </c>
      <c r="R355" s="24">
        <f t="shared" si="153"/>
        <v>418320</v>
      </c>
      <c r="S355" s="24">
        <f t="shared" si="147"/>
        <v>376864.86486486485</v>
      </c>
    </row>
    <row r="356" spans="1:19" s="19" customFormat="1" x14ac:dyDescent="0.2">
      <c r="A356" s="18" t="s">
        <v>219</v>
      </c>
      <c r="B356" s="19" t="s">
        <v>25</v>
      </c>
      <c r="C356" s="20">
        <v>108</v>
      </c>
      <c r="D356" s="21" t="s">
        <v>19</v>
      </c>
      <c r="E356" s="26"/>
      <c r="F356" s="22">
        <v>10</v>
      </c>
      <c r="G356" s="23" t="s">
        <v>40</v>
      </c>
      <c r="H356" s="22">
        <v>12</v>
      </c>
      <c r="I356" s="23" t="s">
        <v>19</v>
      </c>
      <c r="J356" s="24">
        <f>5220000/10/12</f>
        <v>43500</v>
      </c>
      <c r="K356" s="21" t="s">
        <v>19</v>
      </c>
      <c r="L356" s="25"/>
      <c r="M356" s="25">
        <v>0.17</v>
      </c>
      <c r="N356" s="22"/>
      <c r="O356" s="23" t="s">
        <v>19</v>
      </c>
      <c r="P356" s="20">
        <f t="shared" si="152"/>
        <v>108</v>
      </c>
      <c r="Q356" s="23" t="s">
        <v>19</v>
      </c>
      <c r="R356" s="24">
        <f t="shared" si="153"/>
        <v>3899340</v>
      </c>
      <c r="S356" s="24">
        <f t="shared" si="147"/>
        <v>3512918.9189189188</v>
      </c>
    </row>
    <row r="357" spans="1:19" s="19" customFormat="1" x14ac:dyDescent="0.2">
      <c r="A357" s="18"/>
      <c r="C357" s="20"/>
      <c r="D357" s="21"/>
      <c r="E357" s="26"/>
      <c r="F357" s="22"/>
      <c r="G357" s="23"/>
      <c r="H357" s="22"/>
      <c r="I357" s="23"/>
      <c r="J357" s="24"/>
      <c r="K357" s="21"/>
      <c r="L357" s="25"/>
      <c r="M357" s="25"/>
      <c r="N357" s="22"/>
      <c r="O357" s="23"/>
      <c r="P357" s="20"/>
      <c r="Q357" s="23"/>
      <c r="R357" s="24"/>
      <c r="S357" s="24"/>
    </row>
    <row r="358" spans="1:19" s="19" customFormat="1" x14ac:dyDescent="0.2">
      <c r="A358" s="65" t="s">
        <v>664</v>
      </c>
      <c r="C358" s="20"/>
      <c r="D358" s="21"/>
      <c r="E358" s="26"/>
      <c r="F358" s="22"/>
      <c r="G358" s="23"/>
      <c r="H358" s="22"/>
      <c r="I358" s="23"/>
      <c r="J358" s="24"/>
      <c r="K358" s="21"/>
      <c r="L358" s="25"/>
      <c r="M358" s="25"/>
      <c r="N358" s="22"/>
      <c r="O358" s="23"/>
      <c r="P358" s="20"/>
      <c r="Q358" s="23"/>
      <c r="R358" s="24"/>
      <c r="S358" s="24"/>
    </row>
    <row r="359" spans="1:19" s="19" customFormat="1" x14ac:dyDescent="0.2">
      <c r="A359" s="18" t="s">
        <v>759</v>
      </c>
      <c r="B359" s="19" t="s">
        <v>171</v>
      </c>
      <c r="C359" s="20">
        <v>408</v>
      </c>
      <c r="D359" s="21" t="s">
        <v>40</v>
      </c>
      <c r="E359" s="26"/>
      <c r="F359" s="22">
        <v>20</v>
      </c>
      <c r="G359" s="23" t="s">
        <v>33</v>
      </c>
      <c r="H359" s="22">
        <v>4</v>
      </c>
      <c r="I359" s="23" t="s">
        <v>40</v>
      </c>
      <c r="J359" s="24">
        <f>1400*12</f>
        <v>16800</v>
      </c>
      <c r="K359" s="21" t="s">
        <v>40</v>
      </c>
      <c r="L359" s="25">
        <v>0.05</v>
      </c>
      <c r="M359" s="25"/>
      <c r="N359" s="22"/>
      <c r="O359" s="23" t="s">
        <v>40</v>
      </c>
      <c r="P359" s="20">
        <f>(C359+(E359*F359*H359))-N359</f>
        <v>408</v>
      </c>
      <c r="Q359" s="23" t="s">
        <v>40</v>
      </c>
      <c r="R359" s="24">
        <f>P359*(J359-(J359*L359)-((J359-(J359*L359))*M359))</f>
        <v>6511680</v>
      </c>
      <c r="S359" s="24">
        <f t="shared" ref="S359" si="154">R359/1.11</f>
        <v>5866378.3783783782</v>
      </c>
    </row>
    <row r="360" spans="1:19" s="19" customFormat="1" ht="15.75" x14ac:dyDescent="0.25">
      <c r="A360" s="66"/>
      <c r="C360" s="20"/>
      <c r="D360" s="21"/>
      <c r="E360" s="26"/>
      <c r="F360" s="22"/>
      <c r="G360" s="23"/>
      <c r="H360" s="22"/>
      <c r="I360" s="23"/>
      <c r="J360" s="24"/>
      <c r="K360" s="21"/>
      <c r="L360" s="25"/>
      <c r="M360" s="25"/>
      <c r="N360" s="22"/>
      <c r="O360" s="23"/>
      <c r="P360" s="20"/>
      <c r="Q360" s="23"/>
      <c r="R360" s="24"/>
      <c r="S360" s="24"/>
    </row>
    <row r="361" spans="1:19" s="19" customFormat="1" ht="15.75" x14ac:dyDescent="0.25">
      <c r="A361" s="38" t="s">
        <v>220</v>
      </c>
      <c r="C361" s="20"/>
      <c r="D361" s="21"/>
      <c r="E361" s="26"/>
      <c r="F361" s="22"/>
      <c r="G361" s="23"/>
      <c r="H361" s="22"/>
      <c r="I361" s="23"/>
      <c r="J361" s="24"/>
      <c r="K361" s="21"/>
      <c r="L361" s="25"/>
      <c r="M361" s="25"/>
      <c r="N361" s="22"/>
      <c r="O361" s="23"/>
      <c r="P361" s="20"/>
      <c r="Q361" s="23"/>
      <c r="R361" s="24"/>
      <c r="S361" s="24"/>
    </row>
    <row r="362" spans="1:19" s="81" customFormat="1" x14ac:dyDescent="0.2">
      <c r="A362" s="80" t="s">
        <v>221</v>
      </c>
      <c r="B362" s="81" t="s">
        <v>18</v>
      </c>
      <c r="C362" s="79"/>
      <c r="D362" s="82" t="s">
        <v>19</v>
      </c>
      <c r="E362" s="83"/>
      <c r="F362" s="84">
        <v>12</v>
      </c>
      <c r="G362" s="85" t="s">
        <v>33</v>
      </c>
      <c r="H362" s="84">
        <v>12</v>
      </c>
      <c r="I362" s="85" t="s">
        <v>19</v>
      </c>
      <c r="J362" s="86">
        <f>52500/12</f>
        <v>4375</v>
      </c>
      <c r="K362" s="82" t="s">
        <v>19</v>
      </c>
      <c r="L362" s="87">
        <v>0.125</v>
      </c>
      <c r="M362" s="87">
        <v>0.05</v>
      </c>
      <c r="N362" s="84"/>
      <c r="O362" s="85" t="s">
        <v>19</v>
      </c>
      <c r="P362" s="79">
        <f t="shared" ref="P362:P375" si="155">(C362+(E362*F362*H362))-N362</f>
        <v>0</v>
      </c>
      <c r="Q362" s="85" t="s">
        <v>19</v>
      </c>
      <c r="R362" s="86">
        <f t="shared" ref="R362:R375" si="156">P362*(J362-(J362*L362)-((J362-(J362*L362))*M362))</f>
        <v>0</v>
      </c>
      <c r="S362" s="86">
        <f t="shared" ref="S362" si="157">R362/1.11</f>
        <v>0</v>
      </c>
    </row>
    <row r="363" spans="1:19" s="19" customFormat="1" x14ac:dyDescent="0.2">
      <c r="A363" s="18" t="s">
        <v>823</v>
      </c>
      <c r="B363" s="19" t="s">
        <v>18</v>
      </c>
      <c r="C363" s="20"/>
      <c r="D363" s="21" t="s">
        <v>19</v>
      </c>
      <c r="E363" s="26">
        <v>1</v>
      </c>
      <c r="F363" s="22">
        <v>12</v>
      </c>
      <c r="G363" s="23" t="s">
        <v>33</v>
      </c>
      <c r="H363" s="22">
        <v>12</v>
      </c>
      <c r="I363" s="23" t="s">
        <v>19</v>
      </c>
      <c r="J363" s="24">
        <v>7200</v>
      </c>
      <c r="K363" s="21" t="s">
        <v>19</v>
      </c>
      <c r="L363" s="25">
        <v>0.125</v>
      </c>
      <c r="M363" s="25">
        <v>0.05</v>
      </c>
      <c r="N363" s="22"/>
      <c r="O363" s="23" t="s">
        <v>19</v>
      </c>
      <c r="P363" s="20">
        <f t="shared" ref="P363" si="158">(C363+(E363*F363*H363))-N363</f>
        <v>144</v>
      </c>
      <c r="Q363" s="23" t="s">
        <v>19</v>
      </c>
      <c r="R363" s="24">
        <f>P363*(J363-(J363*L363)-((J363-(J363*L363))*M363))</f>
        <v>861840</v>
      </c>
      <c r="S363" s="24">
        <f t="shared" ref="S363" si="159">R363/1.11</f>
        <v>776432.43243243231</v>
      </c>
    </row>
    <row r="364" spans="1:19" s="19" customFormat="1" x14ac:dyDescent="0.2">
      <c r="A364" s="18" t="s">
        <v>222</v>
      </c>
      <c r="B364" s="19" t="s">
        <v>18</v>
      </c>
      <c r="C364" s="20">
        <v>288</v>
      </c>
      <c r="D364" s="21" t="s">
        <v>19</v>
      </c>
      <c r="E364" s="26"/>
      <c r="F364" s="22">
        <v>12</v>
      </c>
      <c r="G364" s="23" t="s">
        <v>33</v>
      </c>
      <c r="H364" s="22">
        <v>12</v>
      </c>
      <c r="I364" s="23" t="s">
        <v>19</v>
      </c>
      <c r="J364" s="24">
        <v>20500</v>
      </c>
      <c r="K364" s="21" t="s">
        <v>19</v>
      </c>
      <c r="L364" s="25">
        <v>0.125</v>
      </c>
      <c r="M364" s="25">
        <v>0.05</v>
      </c>
      <c r="N364" s="22"/>
      <c r="O364" s="23" t="s">
        <v>19</v>
      </c>
      <c r="P364" s="20">
        <f t="shared" si="155"/>
        <v>288</v>
      </c>
      <c r="Q364" s="23" t="s">
        <v>19</v>
      </c>
      <c r="R364" s="24">
        <f t="shared" si="156"/>
        <v>4907700</v>
      </c>
      <c r="S364" s="24">
        <f t="shared" si="147"/>
        <v>4421351.3513513505</v>
      </c>
    </row>
    <row r="365" spans="1:19" s="19" customFormat="1" x14ac:dyDescent="0.2">
      <c r="A365" s="18" t="s">
        <v>223</v>
      </c>
      <c r="B365" s="19" t="s">
        <v>18</v>
      </c>
      <c r="C365" s="20">
        <v>276</v>
      </c>
      <c r="D365" s="21" t="s">
        <v>19</v>
      </c>
      <c r="E365" s="26"/>
      <c r="F365" s="22">
        <v>12</v>
      </c>
      <c r="G365" s="23" t="s">
        <v>33</v>
      </c>
      <c r="H365" s="22">
        <v>12</v>
      </c>
      <c r="I365" s="23" t="s">
        <v>19</v>
      </c>
      <c r="J365" s="24">
        <v>22000</v>
      </c>
      <c r="K365" s="21" t="s">
        <v>19</v>
      </c>
      <c r="L365" s="25">
        <v>0.125</v>
      </c>
      <c r="M365" s="25">
        <v>0.05</v>
      </c>
      <c r="N365" s="22"/>
      <c r="O365" s="23" t="s">
        <v>19</v>
      </c>
      <c r="P365" s="20">
        <f t="shared" si="155"/>
        <v>276</v>
      </c>
      <c r="Q365" s="23" t="s">
        <v>19</v>
      </c>
      <c r="R365" s="24">
        <f t="shared" si="156"/>
        <v>5047350</v>
      </c>
      <c r="S365" s="24">
        <f t="shared" si="147"/>
        <v>4547162.1621621614</v>
      </c>
    </row>
    <row r="366" spans="1:19" s="19" customFormat="1" x14ac:dyDescent="0.2">
      <c r="A366" s="18" t="s">
        <v>224</v>
      </c>
      <c r="B366" s="19" t="s">
        <v>18</v>
      </c>
      <c r="C366" s="20">
        <v>1464</v>
      </c>
      <c r="D366" s="21" t="s">
        <v>19</v>
      </c>
      <c r="E366" s="26">
        <v>42</v>
      </c>
      <c r="F366" s="22">
        <v>12</v>
      </c>
      <c r="G366" s="23" t="s">
        <v>33</v>
      </c>
      <c r="H366" s="22">
        <v>12</v>
      </c>
      <c r="I366" s="23" t="s">
        <v>19</v>
      </c>
      <c r="J366" s="24">
        <v>4350</v>
      </c>
      <c r="K366" s="21" t="s">
        <v>19</v>
      </c>
      <c r="L366" s="25">
        <v>0.125</v>
      </c>
      <c r="M366" s="25">
        <v>0.05</v>
      </c>
      <c r="N366" s="22"/>
      <c r="O366" s="23" t="s">
        <v>19</v>
      </c>
      <c r="P366" s="20">
        <f t="shared" si="155"/>
        <v>7512</v>
      </c>
      <c r="Q366" s="23" t="s">
        <v>19</v>
      </c>
      <c r="R366" s="24">
        <f t="shared" si="156"/>
        <v>27162922.5</v>
      </c>
      <c r="S366" s="24">
        <f t="shared" si="147"/>
        <v>24471101.351351351</v>
      </c>
    </row>
    <row r="367" spans="1:19" s="19" customFormat="1" x14ac:dyDescent="0.2">
      <c r="A367" s="18" t="s">
        <v>225</v>
      </c>
      <c r="B367" s="19" t="s">
        <v>18</v>
      </c>
      <c r="C367" s="20"/>
      <c r="D367" s="21" t="s">
        <v>19</v>
      </c>
      <c r="E367" s="26">
        <v>42</v>
      </c>
      <c r="F367" s="22">
        <v>12</v>
      </c>
      <c r="G367" s="23" t="s">
        <v>33</v>
      </c>
      <c r="H367" s="22">
        <v>12</v>
      </c>
      <c r="I367" s="23" t="s">
        <v>19</v>
      </c>
      <c r="J367" s="24">
        <v>6500</v>
      </c>
      <c r="K367" s="21" t="s">
        <v>19</v>
      </c>
      <c r="L367" s="25">
        <v>0.125</v>
      </c>
      <c r="M367" s="25">
        <v>0.05</v>
      </c>
      <c r="N367" s="22"/>
      <c r="O367" s="23" t="s">
        <v>19</v>
      </c>
      <c r="P367" s="20">
        <f t="shared" si="155"/>
        <v>6048</v>
      </c>
      <c r="Q367" s="23" t="s">
        <v>19</v>
      </c>
      <c r="R367" s="24">
        <f t="shared" si="156"/>
        <v>32678100</v>
      </c>
      <c r="S367" s="24">
        <f t="shared" si="147"/>
        <v>29439729.729729727</v>
      </c>
    </row>
    <row r="368" spans="1:19" s="19" customFormat="1" x14ac:dyDescent="0.2">
      <c r="A368" s="18" t="s">
        <v>226</v>
      </c>
      <c r="B368" s="19" t="s">
        <v>18</v>
      </c>
      <c r="C368" s="20"/>
      <c r="D368" s="21" t="s">
        <v>19</v>
      </c>
      <c r="E368" s="26">
        <v>24</v>
      </c>
      <c r="F368" s="22">
        <v>12</v>
      </c>
      <c r="G368" s="23" t="s">
        <v>33</v>
      </c>
      <c r="H368" s="22">
        <v>12</v>
      </c>
      <c r="I368" s="23" t="s">
        <v>19</v>
      </c>
      <c r="J368" s="24">
        <v>9750</v>
      </c>
      <c r="K368" s="21" t="s">
        <v>19</v>
      </c>
      <c r="L368" s="25">
        <v>0.125</v>
      </c>
      <c r="M368" s="25">
        <v>0.05</v>
      </c>
      <c r="N368" s="22"/>
      <c r="O368" s="23" t="s">
        <v>19</v>
      </c>
      <c r="P368" s="20">
        <f t="shared" si="155"/>
        <v>3456</v>
      </c>
      <c r="Q368" s="23" t="s">
        <v>19</v>
      </c>
      <c r="R368" s="24">
        <f t="shared" si="156"/>
        <v>28009800</v>
      </c>
      <c r="S368" s="24">
        <f t="shared" si="147"/>
        <v>25234054.054054052</v>
      </c>
    </row>
    <row r="369" spans="1:19" s="98" customFormat="1" x14ac:dyDescent="0.2">
      <c r="A369" s="144" t="s">
        <v>920</v>
      </c>
      <c r="B369" s="98" t="s">
        <v>18</v>
      </c>
      <c r="C369" s="99"/>
      <c r="D369" s="100" t="s">
        <v>19</v>
      </c>
      <c r="E369" s="101">
        <v>1</v>
      </c>
      <c r="F369" s="102">
        <v>12</v>
      </c>
      <c r="G369" s="103" t="s">
        <v>33</v>
      </c>
      <c r="H369" s="102">
        <v>12</v>
      </c>
      <c r="I369" s="103" t="s">
        <v>19</v>
      </c>
      <c r="J369" s="104">
        <v>17700</v>
      </c>
      <c r="K369" s="100" t="s">
        <v>19</v>
      </c>
      <c r="L369" s="105">
        <v>0.125</v>
      </c>
      <c r="M369" s="105">
        <v>0.05</v>
      </c>
      <c r="N369" s="102"/>
      <c r="O369" s="103" t="s">
        <v>19</v>
      </c>
      <c r="P369" s="99">
        <f t="shared" ref="P369" si="160">(C369+(E369*F369*H369))-N369</f>
        <v>144</v>
      </c>
      <c r="Q369" s="103" t="s">
        <v>19</v>
      </c>
      <c r="R369" s="104">
        <f t="shared" ref="R369" si="161">P369*(J369-(J369*L369)-((J369-(J369*L369))*M369))</f>
        <v>2118690</v>
      </c>
      <c r="S369" s="104">
        <f t="shared" ref="S369" si="162">R369/1.11</f>
        <v>1908729.7297297295</v>
      </c>
    </row>
    <row r="370" spans="1:19" s="81" customFormat="1" x14ac:dyDescent="0.2">
      <c r="A370" s="80" t="s">
        <v>227</v>
      </c>
      <c r="B370" s="81" t="s">
        <v>18</v>
      </c>
      <c r="C370" s="79"/>
      <c r="D370" s="82" t="s">
        <v>19</v>
      </c>
      <c r="E370" s="83"/>
      <c r="F370" s="84">
        <v>6</v>
      </c>
      <c r="G370" s="85" t="s">
        <v>33</v>
      </c>
      <c r="H370" s="84">
        <v>12</v>
      </c>
      <c r="I370" s="85" t="s">
        <v>19</v>
      </c>
      <c r="J370" s="86">
        <v>19200</v>
      </c>
      <c r="K370" s="82" t="s">
        <v>19</v>
      </c>
      <c r="L370" s="87">
        <v>0.125</v>
      </c>
      <c r="M370" s="87">
        <v>0.05</v>
      </c>
      <c r="N370" s="84"/>
      <c r="O370" s="85" t="s">
        <v>19</v>
      </c>
      <c r="P370" s="79">
        <f t="shared" si="155"/>
        <v>0</v>
      </c>
      <c r="Q370" s="85" t="s">
        <v>19</v>
      </c>
      <c r="R370" s="86">
        <f t="shared" si="156"/>
        <v>0</v>
      </c>
      <c r="S370" s="86">
        <f t="shared" si="147"/>
        <v>0</v>
      </c>
    </row>
    <row r="371" spans="1:19" s="19" customFormat="1" x14ac:dyDescent="0.2">
      <c r="A371" s="18" t="s">
        <v>228</v>
      </c>
      <c r="B371" s="19" t="s">
        <v>18</v>
      </c>
      <c r="C371" s="20"/>
      <c r="D371" s="21" t="s">
        <v>19</v>
      </c>
      <c r="E371" s="26">
        <v>3</v>
      </c>
      <c r="F371" s="22">
        <v>12</v>
      </c>
      <c r="G371" s="23" t="s">
        <v>33</v>
      </c>
      <c r="H371" s="22">
        <v>12</v>
      </c>
      <c r="I371" s="23" t="s">
        <v>19</v>
      </c>
      <c r="J371" s="24">
        <v>6100</v>
      </c>
      <c r="K371" s="21" t="s">
        <v>19</v>
      </c>
      <c r="L371" s="25">
        <v>0.125</v>
      </c>
      <c r="M371" s="25">
        <v>0.05</v>
      </c>
      <c r="N371" s="22"/>
      <c r="O371" s="23" t="s">
        <v>19</v>
      </c>
      <c r="P371" s="20">
        <f t="shared" ref="P371" si="163">(C371+(E371*F371*H371))-N371</f>
        <v>432</v>
      </c>
      <c r="Q371" s="23" t="s">
        <v>19</v>
      </c>
      <c r="R371" s="24">
        <f t="shared" ref="R371" si="164">P371*(J371-(J371*L371)-((J371-(J371*L371))*M371))</f>
        <v>2190510</v>
      </c>
      <c r="S371" s="24">
        <f t="shared" ref="S371" si="165">R371/1.11</f>
        <v>1973432.4324324322</v>
      </c>
    </row>
    <row r="372" spans="1:19" s="19" customFormat="1" x14ac:dyDescent="0.2">
      <c r="A372" s="18" t="s">
        <v>229</v>
      </c>
      <c r="B372" s="19" t="s">
        <v>18</v>
      </c>
      <c r="C372" s="20"/>
      <c r="D372" s="21" t="s">
        <v>19</v>
      </c>
      <c r="E372" s="26">
        <v>4</v>
      </c>
      <c r="F372" s="22">
        <v>12</v>
      </c>
      <c r="G372" s="23" t="s">
        <v>33</v>
      </c>
      <c r="H372" s="22">
        <v>12</v>
      </c>
      <c r="I372" s="23" t="s">
        <v>19</v>
      </c>
      <c r="J372" s="24">
        <v>7700</v>
      </c>
      <c r="K372" s="21" t="s">
        <v>19</v>
      </c>
      <c r="L372" s="25">
        <v>0.125</v>
      </c>
      <c r="M372" s="25">
        <v>0.05</v>
      </c>
      <c r="N372" s="22"/>
      <c r="O372" s="23" t="s">
        <v>19</v>
      </c>
      <c r="P372" s="20">
        <f t="shared" si="155"/>
        <v>576</v>
      </c>
      <c r="Q372" s="23" t="s">
        <v>19</v>
      </c>
      <c r="R372" s="24">
        <f t="shared" si="156"/>
        <v>3686760</v>
      </c>
      <c r="S372" s="24">
        <f t="shared" si="147"/>
        <v>3321405.405405405</v>
      </c>
    </row>
    <row r="373" spans="1:19" s="81" customFormat="1" ht="15" x14ac:dyDescent="0.25">
      <c r="A373" s="80" t="s">
        <v>230</v>
      </c>
      <c r="B373" s="81" t="s">
        <v>18</v>
      </c>
      <c r="C373" s="114"/>
      <c r="D373" s="82" t="s">
        <v>19</v>
      </c>
      <c r="E373" s="83"/>
      <c r="F373" s="84">
        <v>12</v>
      </c>
      <c r="G373" s="85" t="s">
        <v>33</v>
      </c>
      <c r="H373" s="84">
        <v>12</v>
      </c>
      <c r="I373" s="85" t="s">
        <v>19</v>
      </c>
      <c r="J373" s="86">
        <v>11200</v>
      </c>
      <c r="K373" s="82" t="s">
        <v>19</v>
      </c>
      <c r="L373" s="87">
        <v>0.125</v>
      </c>
      <c r="M373" s="87">
        <v>0.05</v>
      </c>
      <c r="N373" s="84"/>
      <c r="O373" s="85" t="s">
        <v>19</v>
      </c>
      <c r="P373" s="79">
        <f t="shared" si="155"/>
        <v>0</v>
      </c>
      <c r="Q373" s="85" t="s">
        <v>19</v>
      </c>
      <c r="R373" s="86">
        <f t="shared" si="156"/>
        <v>0</v>
      </c>
      <c r="S373" s="86">
        <f t="shared" si="147"/>
        <v>0</v>
      </c>
    </row>
    <row r="374" spans="1:19" s="19" customFormat="1" x14ac:dyDescent="0.2">
      <c r="A374" s="18" t="s">
        <v>231</v>
      </c>
      <c r="B374" s="19" t="s">
        <v>18</v>
      </c>
      <c r="C374" s="20">
        <v>72</v>
      </c>
      <c r="D374" s="21" t="s">
        <v>19</v>
      </c>
      <c r="E374" s="26"/>
      <c r="F374" s="22">
        <v>12</v>
      </c>
      <c r="G374" s="23" t="s">
        <v>33</v>
      </c>
      <c r="H374" s="22">
        <v>12</v>
      </c>
      <c r="I374" s="23" t="s">
        <v>19</v>
      </c>
      <c r="J374" s="24">
        <v>7600</v>
      </c>
      <c r="K374" s="21" t="s">
        <v>19</v>
      </c>
      <c r="L374" s="25">
        <v>0.125</v>
      </c>
      <c r="M374" s="25">
        <v>0.05</v>
      </c>
      <c r="N374" s="22"/>
      <c r="O374" s="23" t="s">
        <v>19</v>
      </c>
      <c r="P374" s="20">
        <f t="shared" si="155"/>
        <v>72</v>
      </c>
      <c r="Q374" s="23" t="s">
        <v>19</v>
      </c>
      <c r="R374" s="24">
        <f t="shared" si="156"/>
        <v>454860</v>
      </c>
      <c r="S374" s="24">
        <f t="shared" si="147"/>
        <v>409783.78378378373</v>
      </c>
    </row>
    <row r="375" spans="1:19" s="81" customFormat="1" x14ac:dyDescent="0.2">
      <c r="A375" s="80" t="s">
        <v>232</v>
      </c>
      <c r="B375" s="81" t="s">
        <v>18</v>
      </c>
      <c r="C375" s="79"/>
      <c r="D375" s="82" t="s">
        <v>19</v>
      </c>
      <c r="E375" s="83"/>
      <c r="F375" s="84">
        <v>8</v>
      </c>
      <c r="G375" s="85" t="s">
        <v>33</v>
      </c>
      <c r="H375" s="84">
        <v>6</v>
      </c>
      <c r="I375" s="85" t="s">
        <v>19</v>
      </c>
      <c r="J375" s="86">
        <v>65000</v>
      </c>
      <c r="K375" s="82" t="s">
        <v>19</v>
      </c>
      <c r="L375" s="87">
        <v>0.125</v>
      </c>
      <c r="M375" s="87">
        <v>0.05</v>
      </c>
      <c r="N375" s="84"/>
      <c r="O375" s="85" t="s">
        <v>19</v>
      </c>
      <c r="P375" s="79">
        <f t="shared" si="155"/>
        <v>0</v>
      </c>
      <c r="Q375" s="85" t="s">
        <v>19</v>
      </c>
      <c r="R375" s="86">
        <f t="shared" si="156"/>
        <v>0</v>
      </c>
      <c r="S375" s="86">
        <f t="shared" si="147"/>
        <v>0</v>
      </c>
    </row>
    <row r="376" spans="1:19" s="19" customFormat="1" x14ac:dyDescent="0.2">
      <c r="A376" s="18"/>
      <c r="C376" s="20"/>
      <c r="D376" s="21"/>
      <c r="E376" s="26"/>
      <c r="F376" s="22"/>
      <c r="G376" s="23"/>
      <c r="H376" s="22"/>
      <c r="I376" s="23"/>
      <c r="J376" s="24"/>
      <c r="K376" s="21"/>
      <c r="L376" s="25"/>
      <c r="M376" s="25"/>
      <c r="N376" s="22"/>
      <c r="O376" s="23"/>
      <c r="P376" s="20"/>
      <c r="Q376" s="23"/>
      <c r="R376" s="24"/>
      <c r="S376" s="24"/>
    </row>
    <row r="377" spans="1:19" s="19" customFormat="1" x14ac:dyDescent="0.2">
      <c r="A377" s="18" t="s">
        <v>233</v>
      </c>
      <c r="B377" s="19" t="s">
        <v>25</v>
      </c>
      <c r="C377" s="20">
        <v>53</v>
      </c>
      <c r="D377" s="21" t="s">
        <v>40</v>
      </c>
      <c r="E377" s="26">
        <v>9</v>
      </c>
      <c r="F377" s="22">
        <v>1</v>
      </c>
      <c r="G377" s="23" t="s">
        <v>20</v>
      </c>
      <c r="H377" s="22">
        <v>25</v>
      </c>
      <c r="I377" s="23" t="s">
        <v>40</v>
      </c>
      <c r="J377" s="24">
        <v>56400</v>
      </c>
      <c r="K377" s="21" t="s">
        <v>40</v>
      </c>
      <c r="L377" s="25"/>
      <c r="M377" s="25">
        <v>0.17</v>
      </c>
      <c r="N377" s="22"/>
      <c r="O377" s="23" t="s">
        <v>40</v>
      </c>
      <c r="P377" s="20">
        <f t="shared" ref="P377:P381" si="166">(C377+(E377*F377*H377))-N377</f>
        <v>278</v>
      </c>
      <c r="Q377" s="23" t="s">
        <v>40</v>
      </c>
      <c r="R377" s="24">
        <f t="shared" ref="R377:R381" si="167">P377*(J377-(J377*L377)-((J377-(J377*L377))*M377))</f>
        <v>13013736</v>
      </c>
      <c r="S377" s="24">
        <f t="shared" ref="S377" si="168">R377/1.11</f>
        <v>11724086.486486485</v>
      </c>
    </row>
    <row r="378" spans="1:19" s="19" customFormat="1" x14ac:dyDescent="0.2">
      <c r="A378" s="18" t="s">
        <v>234</v>
      </c>
      <c r="B378" s="19" t="s">
        <v>25</v>
      </c>
      <c r="C378" s="20">
        <v>131</v>
      </c>
      <c r="D378" s="21" t="s">
        <v>40</v>
      </c>
      <c r="E378" s="26">
        <v>15</v>
      </c>
      <c r="F378" s="22">
        <v>1</v>
      </c>
      <c r="G378" s="23" t="s">
        <v>20</v>
      </c>
      <c r="H378" s="22">
        <v>25</v>
      </c>
      <c r="I378" s="23" t="s">
        <v>40</v>
      </c>
      <c r="J378" s="24">
        <v>79800</v>
      </c>
      <c r="K378" s="21" t="s">
        <v>40</v>
      </c>
      <c r="L378" s="25"/>
      <c r="M378" s="25">
        <v>0.17</v>
      </c>
      <c r="N378" s="22"/>
      <c r="O378" s="23" t="s">
        <v>40</v>
      </c>
      <c r="P378" s="20">
        <f t="shared" si="166"/>
        <v>506</v>
      </c>
      <c r="Q378" s="23" t="s">
        <v>40</v>
      </c>
      <c r="R378" s="24">
        <f t="shared" si="167"/>
        <v>33514404</v>
      </c>
      <c r="S378" s="24">
        <f t="shared" ref="S378" si="169">R378/1.11</f>
        <v>30193156.756756753</v>
      </c>
    </row>
    <row r="379" spans="1:19" s="19" customFormat="1" x14ac:dyDescent="0.2">
      <c r="A379" s="18" t="s">
        <v>235</v>
      </c>
      <c r="B379" s="19" t="s">
        <v>25</v>
      </c>
      <c r="C379" s="20">
        <v>118</v>
      </c>
      <c r="D379" s="21" t="s">
        <v>40</v>
      </c>
      <c r="E379" s="26">
        <v>14</v>
      </c>
      <c r="F379" s="22">
        <v>1</v>
      </c>
      <c r="G379" s="23" t="s">
        <v>20</v>
      </c>
      <c r="H379" s="22">
        <v>10</v>
      </c>
      <c r="I379" s="23" t="s">
        <v>40</v>
      </c>
      <c r="J379" s="24">
        <v>118800</v>
      </c>
      <c r="K379" s="21" t="s">
        <v>40</v>
      </c>
      <c r="L379" s="25"/>
      <c r="M379" s="25">
        <v>0.17</v>
      </c>
      <c r="N379" s="22"/>
      <c r="O379" s="23" t="s">
        <v>40</v>
      </c>
      <c r="P379" s="20">
        <f t="shared" si="166"/>
        <v>258</v>
      </c>
      <c r="Q379" s="23" t="s">
        <v>40</v>
      </c>
      <c r="R379" s="24">
        <f t="shared" si="167"/>
        <v>25439832</v>
      </c>
      <c r="S379" s="24">
        <f t="shared" ref="S379" si="170">R379/1.11</f>
        <v>22918767.567567565</v>
      </c>
    </row>
    <row r="380" spans="1:19" s="19" customFormat="1" x14ac:dyDescent="0.2">
      <c r="A380" s="18" t="s">
        <v>678</v>
      </c>
      <c r="B380" s="19" t="s">
        <v>25</v>
      </c>
      <c r="C380" s="20">
        <v>15</v>
      </c>
      <c r="D380" s="21" t="s">
        <v>40</v>
      </c>
      <c r="E380" s="26"/>
      <c r="F380" s="22">
        <v>1</v>
      </c>
      <c r="G380" s="23" t="s">
        <v>20</v>
      </c>
      <c r="H380" s="22">
        <v>25</v>
      </c>
      <c r="I380" s="23" t="s">
        <v>40</v>
      </c>
      <c r="J380" s="24">
        <f>2010000/25</f>
        <v>80400</v>
      </c>
      <c r="K380" s="21" t="s">
        <v>40</v>
      </c>
      <c r="L380" s="25"/>
      <c r="M380" s="25">
        <v>0.17</v>
      </c>
      <c r="N380" s="22"/>
      <c r="O380" s="23" t="s">
        <v>40</v>
      </c>
      <c r="P380" s="20">
        <f t="shared" si="166"/>
        <v>15</v>
      </c>
      <c r="Q380" s="23" t="s">
        <v>40</v>
      </c>
      <c r="R380" s="24">
        <f t="shared" si="167"/>
        <v>1000980</v>
      </c>
      <c r="S380" s="24">
        <f t="shared" si="147"/>
        <v>901783.78378378367</v>
      </c>
    </row>
    <row r="381" spans="1:19" s="19" customFormat="1" x14ac:dyDescent="0.2">
      <c r="A381" s="18" t="s">
        <v>236</v>
      </c>
      <c r="B381" s="19" t="s">
        <v>25</v>
      </c>
      <c r="C381" s="20">
        <v>18</v>
      </c>
      <c r="D381" s="21" t="s">
        <v>40</v>
      </c>
      <c r="E381" s="26"/>
      <c r="F381" s="22">
        <v>1</v>
      </c>
      <c r="G381" s="23" t="s">
        <v>20</v>
      </c>
      <c r="H381" s="22">
        <v>10</v>
      </c>
      <c r="I381" s="23" t="s">
        <v>40</v>
      </c>
      <c r="J381" s="24">
        <f>1260000/10</f>
        <v>126000</v>
      </c>
      <c r="K381" s="21" t="s">
        <v>40</v>
      </c>
      <c r="L381" s="25"/>
      <c r="M381" s="25">
        <v>0.17</v>
      </c>
      <c r="N381" s="22"/>
      <c r="O381" s="23" t="s">
        <v>40</v>
      </c>
      <c r="P381" s="20">
        <f t="shared" si="166"/>
        <v>18</v>
      </c>
      <c r="Q381" s="23" t="s">
        <v>40</v>
      </c>
      <c r="R381" s="24">
        <f t="shared" si="167"/>
        <v>1882440</v>
      </c>
      <c r="S381" s="24">
        <f t="shared" si="147"/>
        <v>1695891.8918918918</v>
      </c>
    </row>
    <row r="382" spans="1:19" s="19" customFormat="1" x14ac:dyDescent="0.2">
      <c r="A382" s="18"/>
      <c r="C382" s="20"/>
      <c r="D382" s="21"/>
      <c r="E382" s="26"/>
      <c r="F382" s="22"/>
      <c r="G382" s="23"/>
      <c r="H382" s="22"/>
      <c r="I382" s="23"/>
      <c r="J382" s="24"/>
      <c r="K382" s="21"/>
      <c r="L382" s="25"/>
      <c r="M382" s="25"/>
      <c r="N382" s="22"/>
      <c r="O382" s="23"/>
      <c r="P382" s="20"/>
      <c r="Q382" s="23"/>
      <c r="R382" s="24"/>
      <c r="S382" s="24"/>
    </row>
    <row r="383" spans="1:19" s="19" customFormat="1" ht="15.75" x14ac:dyDescent="0.25">
      <c r="A383" s="38" t="s">
        <v>237</v>
      </c>
      <c r="C383" s="20"/>
      <c r="D383" s="21"/>
      <c r="E383" s="26"/>
      <c r="F383" s="22"/>
      <c r="G383" s="23"/>
      <c r="H383" s="22"/>
      <c r="I383" s="23"/>
      <c r="J383" s="24"/>
      <c r="K383" s="21"/>
      <c r="L383" s="25"/>
      <c r="M383" s="25"/>
      <c r="N383" s="22"/>
      <c r="O383" s="23"/>
      <c r="P383" s="20"/>
      <c r="Q383" s="23"/>
      <c r="R383" s="24"/>
      <c r="S383" s="24"/>
    </row>
    <row r="384" spans="1:19" s="19" customFormat="1" x14ac:dyDescent="0.2">
      <c r="A384" s="49" t="s">
        <v>238</v>
      </c>
      <c r="B384" s="19" t="s">
        <v>25</v>
      </c>
      <c r="C384" s="20">
        <v>18</v>
      </c>
      <c r="D384" s="21" t="s">
        <v>19</v>
      </c>
      <c r="E384" s="26">
        <v>1</v>
      </c>
      <c r="F384" s="22">
        <v>20</v>
      </c>
      <c r="G384" s="23" t="s">
        <v>33</v>
      </c>
      <c r="H384" s="22">
        <v>10</v>
      </c>
      <c r="I384" s="23" t="s">
        <v>19</v>
      </c>
      <c r="J384" s="24">
        <f>3800000/20/10</f>
        <v>19000</v>
      </c>
      <c r="K384" s="21" t="s">
        <v>19</v>
      </c>
      <c r="L384" s="25"/>
      <c r="M384" s="25">
        <v>0.17</v>
      </c>
      <c r="N384" s="22"/>
      <c r="O384" s="23" t="s">
        <v>19</v>
      </c>
      <c r="P384" s="20">
        <f>(C384+(E384*F384*H384))-N384</f>
        <v>218</v>
      </c>
      <c r="Q384" s="23" t="s">
        <v>19</v>
      </c>
      <c r="R384" s="24">
        <f>P384*(J384-(J384*L384)-((J384-(J384*L384))*M384))</f>
        <v>3437860</v>
      </c>
      <c r="S384" s="24">
        <f t="shared" si="147"/>
        <v>3097171.1711711711</v>
      </c>
    </row>
    <row r="385" spans="1:19" s="19" customFormat="1" x14ac:dyDescent="0.2">
      <c r="A385" s="49" t="s">
        <v>239</v>
      </c>
      <c r="B385" s="19" t="s">
        <v>25</v>
      </c>
      <c r="C385" s="20">
        <v>120</v>
      </c>
      <c r="D385" s="21" t="s">
        <v>19</v>
      </c>
      <c r="E385" s="26">
        <v>1</v>
      </c>
      <c r="F385" s="22">
        <v>20</v>
      </c>
      <c r="G385" s="23" t="s">
        <v>33</v>
      </c>
      <c r="H385" s="22">
        <v>12</v>
      </c>
      <c r="I385" s="23" t="s">
        <v>19</v>
      </c>
      <c r="J385" s="24">
        <f>3120000/20/12</f>
        <v>13000</v>
      </c>
      <c r="K385" s="21" t="s">
        <v>19</v>
      </c>
      <c r="L385" s="25"/>
      <c r="M385" s="25">
        <v>0.17</v>
      </c>
      <c r="N385" s="22"/>
      <c r="O385" s="23" t="s">
        <v>19</v>
      </c>
      <c r="P385" s="20">
        <f>(C385+(E385*F385*H385))-N385</f>
        <v>360</v>
      </c>
      <c r="Q385" s="23" t="s">
        <v>19</v>
      </c>
      <c r="R385" s="24">
        <f>P385*(J385-(J385*L385)-((J385-(J385*L385))*M385))</f>
        <v>3884400</v>
      </c>
      <c r="S385" s="24">
        <f t="shared" si="147"/>
        <v>3499459.4594594589</v>
      </c>
    </row>
    <row r="386" spans="1:19" s="19" customFormat="1" x14ac:dyDescent="0.2">
      <c r="A386" s="18"/>
      <c r="C386" s="20"/>
      <c r="D386" s="21"/>
      <c r="E386" s="26"/>
      <c r="F386" s="22"/>
      <c r="G386" s="23"/>
      <c r="H386" s="22"/>
      <c r="I386" s="23"/>
      <c r="J386" s="24"/>
      <c r="K386" s="21"/>
      <c r="L386" s="25"/>
      <c r="M386" s="25"/>
      <c r="N386" s="22"/>
      <c r="O386" s="23"/>
      <c r="P386" s="20"/>
      <c r="Q386" s="23"/>
      <c r="R386" s="24"/>
      <c r="S386" s="24"/>
    </row>
    <row r="387" spans="1:19" s="19" customFormat="1" ht="15.75" x14ac:dyDescent="0.25">
      <c r="A387" s="38" t="s">
        <v>240</v>
      </c>
      <c r="C387" s="20"/>
      <c r="D387" s="21"/>
      <c r="E387" s="26"/>
      <c r="F387" s="22"/>
      <c r="G387" s="23"/>
      <c r="H387" s="22"/>
      <c r="I387" s="23"/>
      <c r="J387" s="24"/>
      <c r="K387" s="21"/>
      <c r="L387" s="25"/>
      <c r="M387" s="25"/>
      <c r="N387" s="22"/>
      <c r="O387" s="23"/>
      <c r="P387" s="20"/>
      <c r="Q387" s="23"/>
      <c r="R387" s="24"/>
      <c r="S387" s="24"/>
    </row>
    <row r="388" spans="1:19" s="19" customFormat="1" x14ac:dyDescent="0.2">
      <c r="A388" s="148" t="s">
        <v>924</v>
      </c>
      <c r="B388" s="19" t="s">
        <v>18</v>
      </c>
      <c r="C388" s="20"/>
      <c r="D388" s="21" t="s">
        <v>40</v>
      </c>
      <c r="E388" s="26">
        <v>1</v>
      </c>
      <c r="F388" s="22">
        <v>1</v>
      </c>
      <c r="G388" s="23" t="s">
        <v>20</v>
      </c>
      <c r="H388" s="22">
        <v>24</v>
      </c>
      <c r="I388" s="23" t="s">
        <v>40</v>
      </c>
      <c r="J388" s="24">
        <v>118800</v>
      </c>
      <c r="K388" s="21" t="s">
        <v>40</v>
      </c>
      <c r="L388" s="25">
        <v>0.125</v>
      </c>
      <c r="M388" s="25">
        <v>0.05</v>
      </c>
      <c r="N388" s="22"/>
      <c r="O388" s="23" t="s">
        <v>40</v>
      </c>
      <c r="P388" s="20">
        <f t="shared" ref="P388" si="171">(C388+(E388*F388*H388))-N388</f>
        <v>24</v>
      </c>
      <c r="Q388" s="23" t="s">
        <v>40</v>
      </c>
      <c r="R388" s="24">
        <f t="shared" ref="R388" si="172">P388*(J388-(J388*L388)-((J388-(J388*L388))*M388))</f>
        <v>2370060</v>
      </c>
      <c r="S388" s="24">
        <f t="shared" ref="S388" si="173">R388/1.11</f>
        <v>2135189.1891891891</v>
      </c>
    </row>
    <row r="389" spans="1:19" s="19" customFormat="1" x14ac:dyDescent="0.2">
      <c r="A389" s="142" t="s">
        <v>241</v>
      </c>
      <c r="B389" s="19" t="s">
        <v>18</v>
      </c>
      <c r="C389" s="20"/>
      <c r="D389" s="21" t="s">
        <v>40</v>
      </c>
      <c r="E389" s="26">
        <v>8</v>
      </c>
      <c r="F389" s="22">
        <v>1</v>
      </c>
      <c r="G389" s="23" t="s">
        <v>20</v>
      </c>
      <c r="H389" s="22">
        <v>24</v>
      </c>
      <c r="I389" s="23" t="s">
        <v>40</v>
      </c>
      <c r="J389" s="138">
        <v>89400</v>
      </c>
      <c r="K389" s="21" t="s">
        <v>40</v>
      </c>
      <c r="L389" s="25">
        <v>0.125</v>
      </c>
      <c r="M389" s="25">
        <v>0.05</v>
      </c>
      <c r="N389" s="22"/>
      <c r="O389" s="23" t="s">
        <v>40</v>
      </c>
      <c r="P389" s="20">
        <f t="shared" ref="P389" si="174">(C389+(E389*F389*H389))-N389</f>
        <v>192</v>
      </c>
      <c r="Q389" s="23" t="s">
        <v>40</v>
      </c>
      <c r="R389" s="24">
        <f t="shared" ref="R389" si="175">P389*(J389-(J389*L389)-((J389-(J389*L389))*M389))</f>
        <v>14268240</v>
      </c>
      <c r="S389" s="24">
        <f t="shared" ref="S389" si="176">R389/1.11</f>
        <v>12854270.270270269</v>
      </c>
    </row>
    <row r="390" spans="1:19" s="19" customFormat="1" x14ac:dyDescent="0.2">
      <c r="A390" s="142" t="s">
        <v>241</v>
      </c>
      <c r="B390" s="19" t="s">
        <v>18</v>
      </c>
      <c r="C390" s="20">
        <v>26</v>
      </c>
      <c r="D390" s="21" t="s">
        <v>40</v>
      </c>
      <c r="E390" s="26">
        <v>7</v>
      </c>
      <c r="F390" s="22">
        <v>1</v>
      </c>
      <c r="G390" s="23" t="s">
        <v>20</v>
      </c>
      <c r="H390" s="22">
        <v>24</v>
      </c>
      <c r="I390" s="23" t="s">
        <v>40</v>
      </c>
      <c r="J390" s="138">
        <v>88200</v>
      </c>
      <c r="K390" s="21" t="s">
        <v>40</v>
      </c>
      <c r="L390" s="25">
        <v>0.125</v>
      </c>
      <c r="M390" s="25">
        <v>0.05</v>
      </c>
      <c r="N390" s="22"/>
      <c r="O390" s="23" t="s">
        <v>40</v>
      </c>
      <c r="P390" s="20">
        <f t="shared" ref="P390:P404" si="177">(C390+(E390*F390*H390))-N390</f>
        <v>194</v>
      </c>
      <c r="Q390" s="23" t="s">
        <v>40</v>
      </c>
      <c r="R390" s="24">
        <f t="shared" ref="R390:R404" si="178">P390*(J390-(J390*L390)-((J390-(J390*L390))*M390))</f>
        <v>14223352.5</v>
      </c>
      <c r="S390" s="24">
        <f t="shared" si="147"/>
        <v>12813831.081081079</v>
      </c>
    </row>
    <row r="391" spans="1:19" s="19" customFormat="1" x14ac:dyDescent="0.2">
      <c r="A391" s="31" t="s">
        <v>655</v>
      </c>
      <c r="B391" s="19" t="s">
        <v>18</v>
      </c>
      <c r="C391" s="20"/>
      <c r="D391" s="21" t="s">
        <v>40</v>
      </c>
      <c r="E391" s="26">
        <v>2</v>
      </c>
      <c r="F391" s="22">
        <v>1</v>
      </c>
      <c r="G391" s="23" t="s">
        <v>20</v>
      </c>
      <c r="H391" s="22">
        <v>24</v>
      </c>
      <c r="I391" s="23" t="s">
        <v>40</v>
      </c>
      <c r="J391" s="32">
        <v>118800</v>
      </c>
      <c r="K391" s="21" t="s">
        <v>40</v>
      </c>
      <c r="L391" s="25">
        <v>0.125</v>
      </c>
      <c r="M391" s="25">
        <v>0.05</v>
      </c>
      <c r="N391" s="22"/>
      <c r="O391" s="23" t="s">
        <v>40</v>
      </c>
      <c r="P391" s="20">
        <f t="shared" ref="P391" si="179">(C391+(E391*F391*H391))-N391</f>
        <v>48</v>
      </c>
      <c r="Q391" s="23" t="s">
        <v>40</v>
      </c>
      <c r="R391" s="24">
        <f t="shared" ref="R391" si="180">P391*(J391-(J391*L391)-((J391-(J391*L391))*M391))</f>
        <v>4740120</v>
      </c>
      <c r="S391" s="24">
        <f t="shared" ref="S391" si="181">R391/1.11</f>
        <v>4270378.3783783782</v>
      </c>
    </row>
    <row r="392" spans="1:19" s="19" customFormat="1" x14ac:dyDescent="0.2">
      <c r="A392" s="31" t="s">
        <v>655</v>
      </c>
      <c r="B392" s="19" t="s">
        <v>18</v>
      </c>
      <c r="C392" s="20">
        <v>16</v>
      </c>
      <c r="D392" s="21" t="s">
        <v>40</v>
      </c>
      <c r="E392" s="26"/>
      <c r="F392" s="22">
        <v>1</v>
      </c>
      <c r="G392" s="23" t="s">
        <v>20</v>
      </c>
      <c r="H392" s="22">
        <v>24</v>
      </c>
      <c r="I392" s="23" t="s">
        <v>40</v>
      </c>
      <c r="J392" s="32">
        <v>114000</v>
      </c>
      <c r="K392" s="21" t="s">
        <v>40</v>
      </c>
      <c r="L392" s="25">
        <v>0.125</v>
      </c>
      <c r="M392" s="25">
        <v>0.05</v>
      </c>
      <c r="N392" s="22"/>
      <c r="O392" s="23" t="s">
        <v>40</v>
      </c>
      <c r="P392" s="20">
        <f t="shared" si="177"/>
        <v>16</v>
      </c>
      <c r="Q392" s="23" t="s">
        <v>40</v>
      </c>
      <c r="R392" s="24">
        <f t="shared" si="178"/>
        <v>1516200</v>
      </c>
      <c r="S392" s="24">
        <f t="shared" si="147"/>
        <v>1365945.9459459458</v>
      </c>
    </row>
    <row r="393" spans="1:19" s="19" customFormat="1" x14ac:dyDescent="0.2">
      <c r="A393" s="134" t="s">
        <v>242</v>
      </c>
      <c r="B393" s="19" t="s">
        <v>18</v>
      </c>
      <c r="C393" s="20"/>
      <c r="D393" s="21" t="s">
        <v>40</v>
      </c>
      <c r="E393" s="26">
        <v>11</v>
      </c>
      <c r="F393" s="22">
        <v>1</v>
      </c>
      <c r="G393" s="23" t="s">
        <v>20</v>
      </c>
      <c r="H393" s="22">
        <v>24</v>
      </c>
      <c r="I393" s="23" t="s">
        <v>40</v>
      </c>
      <c r="J393" s="138">
        <v>89400</v>
      </c>
      <c r="K393" s="21" t="s">
        <v>40</v>
      </c>
      <c r="L393" s="25">
        <v>0.125</v>
      </c>
      <c r="M393" s="25">
        <v>0.05</v>
      </c>
      <c r="N393" s="22"/>
      <c r="O393" s="23" t="s">
        <v>40</v>
      </c>
      <c r="P393" s="20">
        <f t="shared" ref="P393" si="182">(C393+(E393*F393*H393))-N393</f>
        <v>264</v>
      </c>
      <c r="Q393" s="23" t="s">
        <v>40</v>
      </c>
      <c r="R393" s="24">
        <f t="shared" ref="R393" si="183">P393*(J393-(J393*L393)-((J393-(J393*L393))*M393))</f>
        <v>19618830</v>
      </c>
      <c r="S393" s="24">
        <f t="shared" ref="S393" si="184">R393/1.11</f>
        <v>17674621.62162162</v>
      </c>
    </row>
    <row r="394" spans="1:19" s="19" customFormat="1" x14ac:dyDescent="0.2">
      <c r="A394" s="134" t="s">
        <v>242</v>
      </c>
      <c r="B394" s="19" t="s">
        <v>18</v>
      </c>
      <c r="C394" s="20">
        <v>204</v>
      </c>
      <c r="D394" s="21" t="s">
        <v>40</v>
      </c>
      <c r="E394" s="26">
        <v>5</v>
      </c>
      <c r="F394" s="22">
        <v>1</v>
      </c>
      <c r="G394" s="23" t="s">
        <v>20</v>
      </c>
      <c r="H394" s="22">
        <v>24</v>
      </c>
      <c r="I394" s="23" t="s">
        <v>40</v>
      </c>
      <c r="J394" s="138">
        <v>88200</v>
      </c>
      <c r="K394" s="21" t="s">
        <v>40</v>
      </c>
      <c r="L394" s="25">
        <v>0.125</v>
      </c>
      <c r="M394" s="25">
        <v>0.05</v>
      </c>
      <c r="N394" s="22"/>
      <c r="O394" s="23" t="s">
        <v>40</v>
      </c>
      <c r="P394" s="20">
        <f t="shared" si="177"/>
        <v>324</v>
      </c>
      <c r="Q394" s="23" t="s">
        <v>40</v>
      </c>
      <c r="R394" s="24">
        <f t="shared" si="178"/>
        <v>23754465</v>
      </c>
      <c r="S394" s="24">
        <f t="shared" si="147"/>
        <v>21400418.918918919</v>
      </c>
    </row>
    <row r="395" spans="1:19" s="19" customFormat="1" x14ac:dyDescent="0.2">
      <c r="A395" s="31" t="s">
        <v>243</v>
      </c>
      <c r="B395" s="19" t="s">
        <v>18</v>
      </c>
      <c r="C395" s="20"/>
      <c r="D395" s="21" t="s">
        <v>40</v>
      </c>
      <c r="E395" s="26">
        <v>3</v>
      </c>
      <c r="F395" s="22">
        <v>1</v>
      </c>
      <c r="G395" s="23" t="s">
        <v>20</v>
      </c>
      <c r="H395" s="22">
        <v>24</v>
      </c>
      <c r="I395" s="23" t="s">
        <v>40</v>
      </c>
      <c r="J395" s="32">
        <v>90600</v>
      </c>
      <c r="K395" s="21" t="s">
        <v>40</v>
      </c>
      <c r="L395" s="25">
        <v>0.125</v>
      </c>
      <c r="M395" s="25">
        <v>0.05</v>
      </c>
      <c r="N395" s="22"/>
      <c r="O395" s="23" t="s">
        <v>40</v>
      </c>
      <c r="P395" s="20">
        <f t="shared" ref="P395" si="185">(C395+(E395*F395*H395))-N395</f>
        <v>72</v>
      </c>
      <c r="Q395" s="23" t="s">
        <v>40</v>
      </c>
      <c r="R395" s="24">
        <f t="shared" ref="R395" si="186">P395*(J395-(J395*L395)-((J395-(J395*L395))*M395))</f>
        <v>5422410</v>
      </c>
      <c r="S395" s="24">
        <f t="shared" ref="S395" si="187">R395/1.11</f>
        <v>4885054.0540540535</v>
      </c>
    </row>
    <row r="396" spans="1:19" s="19" customFormat="1" x14ac:dyDescent="0.2">
      <c r="A396" s="31" t="s">
        <v>243</v>
      </c>
      <c r="B396" s="19" t="s">
        <v>18</v>
      </c>
      <c r="C396" s="20">
        <v>350</v>
      </c>
      <c r="D396" s="21" t="s">
        <v>40</v>
      </c>
      <c r="E396" s="26">
        <v>4</v>
      </c>
      <c r="F396" s="22">
        <v>1</v>
      </c>
      <c r="G396" s="23" t="s">
        <v>20</v>
      </c>
      <c r="H396" s="22">
        <v>24</v>
      </c>
      <c r="I396" s="23" t="s">
        <v>40</v>
      </c>
      <c r="J396" s="32">
        <v>89400</v>
      </c>
      <c r="K396" s="21" t="s">
        <v>40</v>
      </c>
      <c r="L396" s="25">
        <v>0.125</v>
      </c>
      <c r="M396" s="25">
        <v>0.05</v>
      </c>
      <c r="N396" s="22"/>
      <c r="O396" s="23" t="s">
        <v>40</v>
      </c>
      <c r="P396" s="20">
        <f t="shared" si="177"/>
        <v>446</v>
      </c>
      <c r="Q396" s="23" t="s">
        <v>40</v>
      </c>
      <c r="R396" s="24">
        <f t="shared" si="178"/>
        <v>33143932.5</v>
      </c>
      <c r="S396" s="24">
        <f t="shared" si="147"/>
        <v>29859398.648648646</v>
      </c>
    </row>
    <row r="397" spans="1:19" s="19" customFormat="1" x14ac:dyDescent="0.2">
      <c r="A397" s="148" t="s">
        <v>925</v>
      </c>
      <c r="B397" s="19" t="s">
        <v>18</v>
      </c>
      <c r="C397" s="20"/>
      <c r="D397" s="21" t="s">
        <v>40</v>
      </c>
      <c r="E397" s="26">
        <v>1</v>
      </c>
      <c r="F397" s="22">
        <v>1</v>
      </c>
      <c r="G397" s="23" t="s">
        <v>20</v>
      </c>
      <c r="H397" s="22">
        <v>24</v>
      </c>
      <c r="I397" s="23" t="s">
        <v>40</v>
      </c>
      <c r="J397" s="24">
        <v>139200</v>
      </c>
      <c r="K397" s="21" t="s">
        <v>40</v>
      </c>
      <c r="L397" s="25">
        <v>0.125</v>
      </c>
      <c r="M397" s="25">
        <v>0.05</v>
      </c>
      <c r="N397" s="22"/>
      <c r="O397" s="23" t="s">
        <v>40</v>
      </c>
      <c r="P397" s="20">
        <f t="shared" si="177"/>
        <v>24</v>
      </c>
      <c r="Q397" s="23" t="s">
        <v>40</v>
      </c>
      <c r="R397" s="24">
        <f t="shared" si="178"/>
        <v>2777040</v>
      </c>
      <c r="S397" s="24">
        <f t="shared" si="147"/>
        <v>2501837.8378378376</v>
      </c>
    </row>
    <row r="398" spans="1:19" s="19" customFormat="1" x14ac:dyDescent="0.2">
      <c r="A398" s="148" t="s">
        <v>926</v>
      </c>
      <c r="B398" s="19" t="s">
        <v>18</v>
      </c>
      <c r="C398" s="20"/>
      <c r="D398" s="21" t="s">
        <v>40</v>
      </c>
      <c r="E398" s="26">
        <v>1</v>
      </c>
      <c r="F398" s="22">
        <v>1</v>
      </c>
      <c r="G398" s="23" t="s">
        <v>20</v>
      </c>
      <c r="H398" s="22">
        <v>12</v>
      </c>
      <c r="I398" s="23" t="s">
        <v>40</v>
      </c>
      <c r="J398" s="24">
        <v>182400</v>
      </c>
      <c r="K398" s="21" t="s">
        <v>40</v>
      </c>
      <c r="L398" s="25">
        <v>0.125</v>
      </c>
      <c r="M398" s="25">
        <v>0.05</v>
      </c>
      <c r="N398" s="22"/>
      <c r="O398" s="23" t="s">
        <v>40</v>
      </c>
      <c r="P398" s="20">
        <f t="shared" si="177"/>
        <v>12</v>
      </c>
      <c r="Q398" s="23" t="s">
        <v>40</v>
      </c>
      <c r="R398" s="24">
        <f t="shared" si="178"/>
        <v>1819440</v>
      </c>
      <c r="S398" s="24">
        <f t="shared" si="147"/>
        <v>1639135.1351351349</v>
      </c>
    </row>
    <row r="399" spans="1:19" s="19" customFormat="1" x14ac:dyDescent="0.2">
      <c r="A399" s="18" t="s">
        <v>244</v>
      </c>
      <c r="B399" s="19" t="s">
        <v>18</v>
      </c>
      <c r="C399" s="20"/>
      <c r="D399" s="21" t="s">
        <v>151</v>
      </c>
      <c r="E399" s="26">
        <v>3</v>
      </c>
      <c r="F399" s="22">
        <v>12</v>
      </c>
      <c r="G399" s="23" t="s">
        <v>33</v>
      </c>
      <c r="H399" s="22">
        <v>24</v>
      </c>
      <c r="I399" s="23" t="s">
        <v>151</v>
      </c>
      <c r="J399" s="24">
        <v>12000</v>
      </c>
      <c r="K399" s="21" t="s">
        <v>151</v>
      </c>
      <c r="L399" s="25">
        <v>0.125</v>
      </c>
      <c r="M399" s="25">
        <v>0.05</v>
      </c>
      <c r="N399" s="22"/>
      <c r="O399" s="23" t="s">
        <v>151</v>
      </c>
      <c r="P399" s="20">
        <f t="shared" si="177"/>
        <v>864</v>
      </c>
      <c r="Q399" s="23" t="s">
        <v>151</v>
      </c>
      <c r="R399" s="24">
        <f t="shared" si="178"/>
        <v>8618400</v>
      </c>
      <c r="S399" s="24">
        <f t="shared" si="147"/>
        <v>7764324.3243243238</v>
      </c>
    </row>
    <row r="400" spans="1:19" s="81" customFormat="1" x14ac:dyDescent="0.2">
      <c r="A400" s="80" t="s">
        <v>245</v>
      </c>
      <c r="B400" s="81" t="s">
        <v>18</v>
      </c>
      <c r="C400" s="79"/>
      <c r="D400" s="82" t="s">
        <v>151</v>
      </c>
      <c r="E400" s="83"/>
      <c r="F400" s="84">
        <v>10</v>
      </c>
      <c r="G400" s="85" t="s">
        <v>33</v>
      </c>
      <c r="H400" s="84">
        <v>10</v>
      </c>
      <c r="I400" s="85" t="s">
        <v>151</v>
      </c>
      <c r="J400" s="86">
        <v>28000</v>
      </c>
      <c r="K400" s="82" t="s">
        <v>151</v>
      </c>
      <c r="L400" s="87">
        <v>0.125</v>
      </c>
      <c r="M400" s="87">
        <v>0.05</v>
      </c>
      <c r="N400" s="84"/>
      <c r="O400" s="85" t="s">
        <v>151</v>
      </c>
      <c r="P400" s="79">
        <f t="shared" si="177"/>
        <v>0</v>
      </c>
      <c r="Q400" s="85" t="s">
        <v>151</v>
      </c>
      <c r="R400" s="86">
        <f t="shared" si="178"/>
        <v>0</v>
      </c>
      <c r="S400" s="86">
        <f t="shared" si="147"/>
        <v>0</v>
      </c>
    </row>
    <row r="401" spans="1:19" s="81" customFormat="1" x14ac:dyDescent="0.2">
      <c r="A401" s="80" t="s">
        <v>246</v>
      </c>
      <c r="B401" s="81" t="s">
        <v>18</v>
      </c>
      <c r="C401" s="79"/>
      <c r="D401" s="82" t="s">
        <v>151</v>
      </c>
      <c r="E401" s="83"/>
      <c r="F401" s="84">
        <v>10</v>
      </c>
      <c r="G401" s="85" t="s">
        <v>33</v>
      </c>
      <c r="H401" s="84">
        <v>10</v>
      </c>
      <c r="I401" s="85" t="s">
        <v>151</v>
      </c>
      <c r="J401" s="86">
        <v>33500</v>
      </c>
      <c r="K401" s="82" t="s">
        <v>151</v>
      </c>
      <c r="L401" s="87">
        <v>0.125</v>
      </c>
      <c r="M401" s="87">
        <v>0.05</v>
      </c>
      <c r="N401" s="84"/>
      <c r="O401" s="85" t="s">
        <v>151</v>
      </c>
      <c r="P401" s="79">
        <f t="shared" si="177"/>
        <v>0</v>
      </c>
      <c r="Q401" s="85" t="s">
        <v>151</v>
      </c>
      <c r="R401" s="86">
        <f t="shared" si="178"/>
        <v>0</v>
      </c>
      <c r="S401" s="86">
        <f t="shared" si="147"/>
        <v>0</v>
      </c>
    </row>
    <row r="402" spans="1:19" s="81" customFormat="1" x14ac:dyDescent="0.2">
      <c r="A402" s="80" t="s">
        <v>247</v>
      </c>
      <c r="B402" s="81" t="s">
        <v>18</v>
      </c>
      <c r="C402" s="79"/>
      <c r="D402" s="82" t="s">
        <v>151</v>
      </c>
      <c r="E402" s="83"/>
      <c r="F402" s="84">
        <v>8</v>
      </c>
      <c r="G402" s="85" t="s">
        <v>33</v>
      </c>
      <c r="H402" s="84">
        <v>10</v>
      </c>
      <c r="I402" s="85" t="s">
        <v>151</v>
      </c>
      <c r="J402" s="86">
        <v>48500</v>
      </c>
      <c r="K402" s="82" t="s">
        <v>151</v>
      </c>
      <c r="L402" s="87">
        <v>0.125</v>
      </c>
      <c r="M402" s="87">
        <v>0.05</v>
      </c>
      <c r="N402" s="84"/>
      <c r="O402" s="85" t="s">
        <v>151</v>
      </c>
      <c r="P402" s="79">
        <f t="shared" si="177"/>
        <v>0</v>
      </c>
      <c r="Q402" s="85" t="s">
        <v>151</v>
      </c>
      <c r="R402" s="86">
        <f t="shared" si="178"/>
        <v>0</v>
      </c>
      <c r="S402" s="86">
        <f t="shared" si="147"/>
        <v>0</v>
      </c>
    </row>
    <row r="403" spans="1:19" s="81" customFormat="1" x14ac:dyDescent="0.2">
      <c r="A403" s="80" t="s">
        <v>248</v>
      </c>
      <c r="B403" s="81" t="s">
        <v>18</v>
      </c>
      <c r="C403" s="79"/>
      <c r="D403" s="82" t="s">
        <v>151</v>
      </c>
      <c r="E403" s="83"/>
      <c r="F403" s="84">
        <v>10</v>
      </c>
      <c r="G403" s="85" t="s">
        <v>33</v>
      </c>
      <c r="H403" s="84">
        <v>12</v>
      </c>
      <c r="I403" s="85" t="s">
        <v>151</v>
      </c>
      <c r="J403" s="86">
        <v>17000</v>
      </c>
      <c r="K403" s="82" t="s">
        <v>151</v>
      </c>
      <c r="L403" s="87">
        <v>0.125</v>
      </c>
      <c r="M403" s="87">
        <v>0.05</v>
      </c>
      <c r="N403" s="84"/>
      <c r="O403" s="85" t="s">
        <v>151</v>
      </c>
      <c r="P403" s="79">
        <f t="shared" si="177"/>
        <v>0</v>
      </c>
      <c r="Q403" s="85" t="s">
        <v>151</v>
      </c>
      <c r="R403" s="86">
        <f t="shared" si="178"/>
        <v>0</v>
      </c>
      <c r="S403" s="86">
        <f t="shared" si="147"/>
        <v>0</v>
      </c>
    </row>
    <row r="404" spans="1:19" s="81" customFormat="1" x14ac:dyDescent="0.2">
      <c r="A404" s="80" t="s">
        <v>249</v>
      </c>
      <c r="B404" s="81" t="s">
        <v>18</v>
      </c>
      <c r="C404" s="79"/>
      <c r="D404" s="82" t="s">
        <v>151</v>
      </c>
      <c r="E404" s="83"/>
      <c r="F404" s="84">
        <v>24</v>
      </c>
      <c r="G404" s="85" t="s">
        <v>33</v>
      </c>
      <c r="H404" s="84">
        <v>12</v>
      </c>
      <c r="I404" s="85" t="s">
        <v>151</v>
      </c>
      <c r="J404" s="86">
        <v>13300</v>
      </c>
      <c r="K404" s="82" t="s">
        <v>151</v>
      </c>
      <c r="L404" s="87">
        <v>0.125</v>
      </c>
      <c r="M404" s="87">
        <v>0.05</v>
      </c>
      <c r="N404" s="84"/>
      <c r="O404" s="85" t="s">
        <v>151</v>
      </c>
      <c r="P404" s="79">
        <f t="shared" si="177"/>
        <v>0</v>
      </c>
      <c r="Q404" s="85" t="s">
        <v>151</v>
      </c>
      <c r="R404" s="86">
        <f t="shared" si="178"/>
        <v>0</v>
      </c>
      <c r="S404" s="86">
        <f t="shared" si="147"/>
        <v>0</v>
      </c>
    </row>
    <row r="405" spans="1:19" s="19" customFormat="1" x14ac:dyDescent="0.2">
      <c r="A405" s="18"/>
      <c r="C405" s="20"/>
      <c r="D405" s="21"/>
      <c r="E405" s="26"/>
      <c r="F405" s="22"/>
      <c r="G405" s="23"/>
      <c r="H405" s="22"/>
      <c r="I405" s="23"/>
      <c r="J405" s="24"/>
      <c r="K405" s="21"/>
      <c r="L405" s="25"/>
      <c r="M405" s="25"/>
      <c r="N405" s="22"/>
      <c r="O405" s="23"/>
      <c r="P405" s="20"/>
      <c r="Q405" s="23"/>
      <c r="R405" s="24"/>
      <c r="S405" s="24"/>
    </row>
    <row r="406" spans="1:19" s="81" customFormat="1" x14ac:dyDescent="0.2">
      <c r="A406" s="113" t="s">
        <v>250</v>
      </c>
      <c r="B406" s="81" t="s">
        <v>25</v>
      </c>
      <c r="C406" s="79"/>
      <c r="D406" s="82" t="s">
        <v>19</v>
      </c>
      <c r="E406" s="83">
        <v>2</v>
      </c>
      <c r="F406" s="84">
        <v>24</v>
      </c>
      <c r="G406" s="85" t="s">
        <v>40</v>
      </c>
      <c r="H406" s="84">
        <v>12</v>
      </c>
      <c r="I406" s="85" t="s">
        <v>19</v>
      </c>
      <c r="J406" s="86">
        <f>2160000/24/12</f>
        <v>7500</v>
      </c>
      <c r="K406" s="82" t="s">
        <v>19</v>
      </c>
      <c r="L406" s="87"/>
      <c r="M406" s="87">
        <v>0.17</v>
      </c>
      <c r="N406" s="84"/>
      <c r="O406" s="85" t="s">
        <v>19</v>
      </c>
      <c r="P406" s="79">
        <f t="shared" ref="P406:P409" si="188">(C406+(E406*F406*H406))-N406</f>
        <v>576</v>
      </c>
      <c r="Q406" s="85" t="s">
        <v>19</v>
      </c>
      <c r="R406" s="86">
        <f t="shared" ref="R406:R409" si="189">P406*(J406-(J406*L406)-((J406-(J406*L406))*M406))</f>
        <v>3585600</v>
      </c>
      <c r="S406" s="86">
        <f t="shared" si="147"/>
        <v>3230270.2702702698</v>
      </c>
    </row>
    <row r="407" spans="1:19" s="81" customFormat="1" x14ac:dyDescent="0.2">
      <c r="A407" s="113" t="s">
        <v>251</v>
      </c>
      <c r="B407" s="81" t="s">
        <v>25</v>
      </c>
      <c r="C407" s="79"/>
      <c r="D407" s="82" t="s">
        <v>19</v>
      </c>
      <c r="E407" s="83">
        <v>2</v>
      </c>
      <c r="F407" s="84">
        <v>24</v>
      </c>
      <c r="G407" s="85" t="s">
        <v>40</v>
      </c>
      <c r="H407" s="84">
        <v>12</v>
      </c>
      <c r="I407" s="85" t="s">
        <v>19</v>
      </c>
      <c r="J407" s="86">
        <f>2160000/24/12</f>
        <v>7500</v>
      </c>
      <c r="K407" s="82" t="s">
        <v>19</v>
      </c>
      <c r="L407" s="87"/>
      <c r="M407" s="87">
        <v>0.17</v>
      </c>
      <c r="N407" s="84"/>
      <c r="O407" s="85" t="s">
        <v>19</v>
      </c>
      <c r="P407" s="79">
        <f t="shared" si="188"/>
        <v>576</v>
      </c>
      <c r="Q407" s="85" t="s">
        <v>19</v>
      </c>
      <c r="R407" s="86">
        <f t="shared" si="189"/>
        <v>3585600</v>
      </c>
      <c r="S407" s="86">
        <f t="shared" si="147"/>
        <v>3230270.2702702698</v>
      </c>
    </row>
    <row r="408" spans="1:19" s="19" customFormat="1" x14ac:dyDescent="0.2">
      <c r="A408" s="43" t="s">
        <v>783</v>
      </c>
      <c r="B408" s="19" t="s">
        <v>25</v>
      </c>
      <c r="C408" s="20">
        <v>288</v>
      </c>
      <c r="D408" s="21" t="s">
        <v>19</v>
      </c>
      <c r="E408" s="26">
        <v>3</v>
      </c>
      <c r="F408" s="22">
        <v>24</v>
      </c>
      <c r="G408" s="23" t="s">
        <v>40</v>
      </c>
      <c r="H408" s="22">
        <v>12</v>
      </c>
      <c r="I408" s="23" t="s">
        <v>19</v>
      </c>
      <c r="J408" s="24">
        <f>2160000/24/12</f>
        <v>7500</v>
      </c>
      <c r="K408" s="21" t="s">
        <v>19</v>
      </c>
      <c r="L408" s="25"/>
      <c r="M408" s="25">
        <v>0.17</v>
      </c>
      <c r="N408" s="22"/>
      <c r="O408" s="23" t="s">
        <v>19</v>
      </c>
      <c r="P408" s="20">
        <f t="shared" si="188"/>
        <v>1152</v>
      </c>
      <c r="Q408" s="23" t="s">
        <v>19</v>
      </c>
      <c r="R408" s="24">
        <f t="shared" si="189"/>
        <v>7171200</v>
      </c>
      <c r="S408" s="24">
        <f t="shared" si="147"/>
        <v>6460540.5405405397</v>
      </c>
    </row>
    <row r="409" spans="1:19" s="19" customFormat="1" x14ac:dyDescent="0.2">
      <c r="A409" s="43" t="s">
        <v>784</v>
      </c>
      <c r="B409" s="19" t="s">
        <v>25</v>
      </c>
      <c r="C409" s="20">
        <v>204</v>
      </c>
      <c r="D409" s="21" t="s">
        <v>19</v>
      </c>
      <c r="E409" s="26"/>
      <c r="F409" s="22">
        <v>12</v>
      </c>
      <c r="G409" s="23" t="s">
        <v>40</v>
      </c>
      <c r="H409" s="22">
        <v>12</v>
      </c>
      <c r="I409" s="23" t="s">
        <v>19</v>
      </c>
      <c r="J409" s="24">
        <f>3024000/12/12</f>
        <v>21000</v>
      </c>
      <c r="K409" s="21" t="s">
        <v>19</v>
      </c>
      <c r="L409" s="25"/>
      <c r="M409" s="25">
        <v>0.17</v>
      </c>
      <c r="N409" s="22"/>
      <c r="O409" s="23" t="s">
        <v>19</v>
      </c>
      <c r="P409" s="20">
        <f t="shared" si="188"/>
        <v>204</v>
      </c>
      <c r="Q409" s="23" t="s">
        <v>19</v>
      </c>
      <c r="R409" s="24">
        <f t="shared" si="189"/>
        <v>3555720</v>
      </c>
      <c r="S409" s="24">
        <f t="shared" si="147"/>
        <v>3203351.351351351</v>
      </c>
    </row>
    <row r="410" spans="1:19" s="19" customFormat="1" x14ac:dyDescent="0.2">
      <c r="A410" s="18"/>
      <c r="C410" s="20"/>
      <c r="D410" s="21"/>
      <c r="E410" s="26"/>
      <c r="F410" s="22"/>
      <c r="G410" s="23"/>
      <c r="H410" s="22"/>
      <c r="I410" s="23"/>
      <c r="J410" s="24"/>
      <c r="K410" s="21"/>
      <c r="L410" s="25"/>
      <c r="M410" s="25"/>
      <c r="N410" s="22"/>
      <c r="O410" s="23"/>
      <c r="P410" s="20"/>
      <c r="Q410" s="23"/>
      <c r="R410" s="24"/>
      <c r="S410" s="24"/>
    </row>
    <row r="411" spans="1:19" s="19" customFormat="1" ht="15.75" x14ac:dyDescent="0.25">
      <c r="A411" s="38" t="s">
        <v>252</v>
      </c>
      <c r="C411" s="20"/>
      <c r="D411" s="21"/>
      <c r="E411" s="26"/>
      <c r="F411" s="22"/>
      <c r="G411" s="23"/>
      <c r="H411" s="22"/>
      <c r="I411" s="23"/>
      <c r="J411" s="24"/>
      <c r="K411" s="21"/>
      <c r="L411" s="25"/>
      <c r="M411" s="25"/>
      <c r="N411" s="22"/>
      <c r="O411" s="23"/>
      <c r="P411" s="20"/>
      <c r="Q411" s="23"/>
      <c r="R411" s="24"/>
      <c r="S411" s="24"/>
    </row>
    <row r="412" spans="1:19" s="81" customFormat="1" x14ac:dyDescent="0.2">
      <c r="A412" s="80" t="s">
        <v>253</v>
      </c>
      <c r="B412" s="81" t="s">
        <v>18</v>
      </c>
      <c r="C412" s="79"/>
      <c r="D412" s="82" t="s">
        <v>33</v>
      </c>
      <c r="E412" s="83"/>
      <c r="F412" s="84">
        <v>1</v>
      </c>
      <c r="G412" s="85" t="s">
        <v>20</v>
      </c>
      <c r="H412" s="84">
        <v>20</v>
      </c>
      <c r="I412" s="85" t="s">
        <v>33</v>
      </c>
      <c r="J412" s="86">
        <f>6200*12</f>
        <v>74400</v>
      </c>
      <c r="K412" s="82" t="s">
        <v>33</v>
      </c>
      <c r="L412" s="87">
        <v>0.125</v>
      </c>
      <c r="M412" s="87">
        <v>0.05</v>
      </c>
      <c r="N412" s="84"/>
      <c r="O412" s="85" t="s">
        <v>33</v>
      </c>
      <c r="P412" s="79">
        <f>(C412+(E412*F412*H412))-N412</f>
        <v>0</v>
      </c>
      <c r="Q412" s="85" t="s">
        <v>33</v>
      </c>
      <c r="R412" s="86">
        <f>P412*(J412-(J412*L412)-((J412-(J412*L412))*M412))</f>
        <v>0</v>
      </c>
      <c r="S412" s="86">
        <f t="shared" si="147"/>
        <v>0</v>
      </c>
    </row>
    <row r="413" spans="1:19" s="81" customFormat="1" x14ac:dyDescent="0.2">
      <c r="A413" s="80" t="s">
        <v>254</v>
      </c>
      <c r="B413" s="81" t="s">
        <v>18</v>
      </c>
      <c r="C413" s="79"/>
      <c r="D413" s="82" t="s">
        <v>33</v>
      </c>
      <c r="E413" s="83"/>
      <c r="F413" s="84">
        <v>1</v>
      </c>
      <c r="G413" s="85" t="s">
        <v>20</v>
      </c>
      <c r="H413" s="84">
        <v>20</v>
      </c>
      <c r="I413" s="85" t="s">
        <v>33</v>
      </c>
      <c r="J413" s="86">
        <f>6800*12</f>
        <v>81600</v>
      </c>
      <c r="K413" s="82" t="s">
        <v>33</v>
      </c>
      <c r="L413" s="87">
        <v>0.125</v>
      </c>
      <c r="M413" s="87">
        <v>0.05</v>
      </c>
      <c r="N413" s="84"/>
      <c r="O413" s="85" t="s">
        <v>33</v>
      </c>
      <c r="P413" s="79">
        <f>(C413+(E413*F413*H413))-N413</f>
        <v>0</v>
      </c>
      <c r="Q413" s="85" t="s">
        <v>33</v>
      </c>
      <c r="R413" s="86">
        <f>P413*(J413-(J413*L413)-((J413-(J413*L413))*M413))</f>
        <v>0</v>
      </c>
      <c r="S413" s="86">
        <f t="shared" si="147"/>
        <v>0</v>
      </c>
    </row>
    <row r="414" spans="1:19" s="98" customFormat="1" x14ac:dyDescent="0.2">
      <c r="A414" s="90" t="s">
        <v>874</v>
      </c>
      <c r="B414" s="98" t="s">
        <v>18</v>
      </c>
      <c r="C414" s="99"/>
      <c r="D414" s="100" t="s">
        <v>33</v>
      </c>
      <c r="E414" s="101">
        <v>1</v>
      </c>
      <c r="F414" s="102">
        <v>1</v>
      </c>
      <c r="G414" s="103" t="s">
        <v>20</v>
      </c>
      <c r="H414" s="102">
        <v>10</v>
      </c>
      <c r="I414" s="103" t="s">
        <v>33</v>
      </c>
      <c r="J414" s="104">
        <v>135600</v>
      </c>
      <c r="K414" s="100" t="s">
        <v>33</v>
      </c>
      <c r="L414" s="105">
        <v>0.125</v>
      </c>
      <c r="M414" s="105">
        <v>0.05</v>
      </c>
      <c r="N414" s="102"/>
      <c r="O414" s="103" t="s">
        <v>33</v>
      </c>
      <c r="P414" s="99">
        <f>(C414+(E414*F414*H414))-N414</f>
        <v>10</v>
      </c>
      <c r="Q414" s="103" t="s">
        <v>33</v>
      </c>
      <c r="R414" s="104">
        <f>P414*(J414-(J414*L414)-((J414-(J414*L414))*M414))</f>
        <v>1127175</v>
      </c>
      <c r="S414" s="104">
        <f t="shared" ref="S414" si="190">R414/1.11</f>
        <v>1015472.9729729729</v>
      </c>
    </row>
    <row r="415" spans="1:19" s="19" customFormat="1" x14ac:dyDescent="0.2">
      <c r="A415" s="18"/>
      <c r="C415" s="20"/>
      <c r="D415" s="21"/>
      <c r="E415" s="26"/>
      <c r="F415" s="22"/>
      <c r="G415" s="23"/>
      <c r="H415" s="22"/>
      <c r="I415" s="23"/>
      <c r="J415" s="24"/>
      <c r="K415" s="21"/>
      <c r="L415" s="25"/>
      <c r="M415" s="25"/>
      <c r="N415" s="22"/>
      <c r="O415" s="23"/>
      <c r="P415" s="20"/>
      <c r="Q415" s="23"/>
      <c r="R415" s="24"/>
      <c r="S415" s="24"/>
    </row>
    <row r="416" spans="1:19" s="19" customFormat="1" ht="15.75" x14ac:dyDescent="0.25">
      <c r="A416" s="38" t="s">
        <v>255</v>
      </c>
      <c r="C416" s="20"/>
      <c r="D416" s="21"/>
      <c r="E416" s="26"/>
      <c r="F416" s="22"/>
      <c r="G416" s="23"/>
      <c r="H416" s="22"/>
      <c r="I416" s="23"/>
      <c r="J416" s="24"/>
      <c r="K416" s="21"/>
      <c r="L416" s="25"/>
      <c r="M416" s="25"/>
      <c r="N416" s="22"/>
      <c r="O416" s="23"/>
      <c r="P416" s="20"/>
      <c r="Q416" s="23"/>
      <c r="R416" s="24"/>
      <c r="S416" s="24"/>
    </row>
    <row r="417" spans="1:19" s="19" customFormat="1" x14ac:dyDescent="0.2">
      <c r="A417" s="65" t="s">
        <v>256</v>
      </c>
      <c r="C417" s="20"/>
      <c r="D417" s="21"/>
      <c r="E417" s="26"/>
      <c r="F417" s="22"/>
      <c r="G417" s="23"/>
      <c r="H417" s="22"/>
      <c r="I417" s="23"/>
      <c r="J417" s="24"/>
      <c r="K417" s="21"/>
      <c r="L417" s="25"/>
      <c r="M417" s="25"/>
      <c r="N417" s="22"/>
      <c r="O417" s="23"/>
      <c r="P417" s="20"/>
      <c r="Q417" s="23"/>
      <c r="R417" s="24"/>
      <c r="S417" s="24"/>
    </row>
    <row r="418" spans="1:19" s="81" customFormat="1" x14ac:dyDescent="0.2">
      <c r="A418" s="80" t="s">
        <v>257</v>
      </c>
      <c r="B418" s="81" t="s">
        <v>25</v>
      </c>
      <c r="C418" s="79"/>
      <c r="D418" s="82" t="s">
        <v>98</v>
      </c>
      <c r="E418" s="83"/>
      <c r="F418" s="84">
        <v>1</v>
      </c>
      <c r="G418" s="85" t="s">
        <v>20</v>
      </c>
      <c r="H418" s="84">
        <v>50</v>
      </c>
      <c r="I418" s="85" t="s">
        <v>98</v>
      </c>
      <c r="J418" s="86">
        <f>740000/50</f>
        <v>14800</v>
      </c>
      <c r="K418" s="82" t="s">
        <v>98</v>
      </c>
      <c r="L418" s="87"/>
      <c r="M418" s="87">
        <v>0.17</v>
      </c>
      <c r="N418" s="84"/>
      <c r="O418" s="85" t="s">
        <v>98</v>
      </c>
      <c r="P418" s="79">
        <f>(C418+(E418*F418*H418))-N418</f>
        <v>0</v>
      </c>
      <c r="Q418" s="85" t="s">
        <v>98</v>
      </c>
      <c r="R418" s="86">
        <f>P418*(J418-(J418*L418)-((J418-(J418*L418))*M418))</f>
        <v>0</v>
      </c>
      <c r="S418" s="86">
        <f t="shared" si="147"/>
        <v>0</v>
      </c>
    </row>
    <row r="419" spans="1:19" s="19" customFormat="1" x14ac:dyDescent="0.2">
      <c r="A419" s="65" t="s">
        <v>258</v>
      </c>
      <c r="C419" s="20"/>
      <c r="D419" s="21"/>
      <c r="E419" s="26"/>
      <c r="F419" s="22"/>
      <c r="G419" s="23"/>
      <c r="H419" s="22"/>
      <c r="I419" s="23"/>
      <c r="J419" s="24"/>
      <c r="K419" s="21"/>
      <c r="L419" s="25"/>
      <c r="M419" s="25"/>
      <c r="N419" s="22"/>
      <c r="O419" s="23"/>
      <c r="P419" s="20"/>
      <c r="Q419" s="23"/>
      <c r="R419" s="24"/>
      <c r="S419" s="24"/>
    </row>
    <row r="420" spans="1:19" s="19" customFormat="1" x14ac:dyDescent="0.2">
      <c r="A420" s="18" t="s">
        <v>259</v>
      </c>
      <c r="B420" s="19" t="s">
        <v>260</v>
      </c>
      <c r="C420" s="20">
        <v>250</v>
      </c>
      <c r="D420" s="21" t="s">
        <v>98</v>
      </c>
      <c r="E420" s="26"/>
      <c r="F420" s="22">
        <v>1</v>
      </c>
      <c r="G420" s="23" t="s">
        <v>20</v>
      </c>
      <c r="H420" s="22">
        <v>50</v>
      </c>
      <c r="I420" s="23" t="s">
        <v>98</v>
      </c>
      <c r="J420" s="24">
        <v>32500</v>
      </c>
      <c r="K420" s="21" t="s">
        <v>98</v>
      </c>
      <c r="L420" s="25"/>
      <c r="M420" s="25"/>
      <c r="N420" s="22"/>
      <c r="O420" s="23" t="s">
        <v>98</v>
      </c>
      <c r="P420" s="20">
        <f>(C420+(E420*F420*H420))-N420</f>
        <v>250</v>
      </c>
      <c r="Q420" s="23" t="s">
        <v>98</v>
      </c>
      <c r="R420" s="24">
        <f>P420*(J420-(J420*L420)-((J420-(J420*L420))*M420))</f>
        <v>8125000</v>
      </c>
      <c r="S420" s="24">
        <f t="shared" ref="S420:S522" si="191">R420/1.11</f>
        <v>7319819.8198198192</v>
      </c>
    </row>
    <row r="421" spans="1:19" s="19" customFormat="1" x14ac:dyDescent="0.2">
      <c r="A421" s="18"/>
      <c r="C421" s="20"/>
      <c r="D421" s="21"/>
      <c r="E421" s="26"/>
      <c r="F421" s="22"/>
      <c r="G421" s="23"/>
      <c r="H421" s="22"/>
      <c r="I421" s="23"/>
      <c r="J421" s="24"/>
      <c r="K421" s="21"/>
      <c r="L421" s="25"/>
      <c r="M421" s="25"/>
      <c r="N421" s="22"/>
      <c r="O421" s="23"/>
      <c r="P421" s="20"/>
      <c r="Q421" s="23"/>
      <c r="R421" s="24"/>
      <c r="S421" s="24"/>
    </row>
    <row r="422" spans="1:19" s="19" customFormat="1" ht="15.75" x14ac:dyDescent="0.25">
      <c r="A422" s="38" t="s">
        <v>261</v>
      </c>
      <c r="C422" s="20"/>
      <c r="D422" s="21"/>
      <c r="E422" s="26"/>
      <c r="F422" s="22"/>
      <c r="G422" s="23"/>
      <c r="H422" s="22"/>
      <c r="I422" s="23"/>
      <c r="J422" s="24"/>
      <c r="K422" s="21"/>
      <c r="L422" s="25"/>
      <c r="M422" s="25"/>
      <c r="N422" s="22"/>
      <c r="O422" s="23"/>
      <c r="P422" s="20"/>
      <c r="Q422" s="23"/>
      <c r="R422" s="24"/>
      <c r="S422" s="24"/>
    </row>
    <row r="423" spans="1:19" s="98" customFormat="1" x14ac:dyDescent="0.2">
      <c r="A423" s="144" t="s">
        <v>262</v>
      </c>
      <c r="B423" s="98" t="s">
        <v>18</v>
      </c>
      <c r="C423" s="99"/>
      <c r="D423" s="100" t="s">
        <v>102</v>
      </c>
      <c r="E423" s="101">
        <v>2</v>
      </c>
      <c r="F423" s="102">
        <v>8</v>
      </c>
      <c r="G423" s="103" t="s">
        <v>33</v>
      </c>
      <c r="H423" s="102">
        <v>25</v>
      </c>
      <c r="I423" s="103" t="s">
        <v>102</v>
      </c>
      <c r="J423" s="104">
        <v>4800</v>
      </c>
      <c r="K423" s="100" t="s">
        <v>102</v>
      </c>
      <c r="L423" s="105">
        <v>0.125</v>
      </c>
      <c r="M423" s="105">
        <v>0.05</v>
      </c>
      <c r="N423" s="102"/>
      <c r="O423" s="103" t="s">
        <v>102</v>
      </c>
      <c r="P423" s="99">
        <f>(C423+(E423*F423*H423))-N423</f>
        <v>400</v>
      </c>
      <c r="Q423" s="103" t="s">
        <v>102</v>
      </c>
      <c r="R423" s="104">
        <f>P423*(J423-(J423*L423)-((J423-(J423*L423))*M423))</f>
        <v>1596000</v>
      </c>
      <c r="S423" s="104">
        <f t="shared" ref="S423" si="192">R423/1.11</f>
        <v>1437837.8378378376</v>
      </c>
    </row>
    <row r="424" spans="1:19" s="81" customFormat="1" x14ac:dyDescent="0.2">
      <c r="A424" s="80" t="s">
        <v>262</v>
      </c>
      <c r="B424" s="81" t="s">
        <v>18</v>
      </c>
      <c r="C424" s="79"/>
      <c r="D424" s="82" t="s">
        <v>102</v>
      </c>
      <c r="E424" s="83"/>
      <c r="F424" s="84">
        <v>8</v>
      </c>
      <c r="G424" s="85" t="s">
        <v>33</v>
      </c>
      <c r="H424" s="84">
        <v>25</v>
      </c>
      <c r="I424" s="85" t="s">
        <v>102</v>
      </c>
      <c r="J424" s="86">
        <v>4000</v>
      </c>
      <c r="K424" s="82" t="s">
        <v>102</v>
      </c>
      <c r="L424" s="87">
        <v>0.125</v>
      </c>
      <c r="M424" s="87">
        <v>0.05</v>
      </c>
      <c r="N424" s="84"/>
      <c r="O424" s="85" t="s">
        <v>102</v>
      </c>
      <c r="P424" s="79">
        <f>(C424+(E424*F424*H424))-N424</f>
        <v>0</v>
      </c>
      <c r="Q424" s="85" t="s">
        <v>102</v>
      </c>
      <c r="R424" s="86">
        <f>P424*(J424-(J424*L424)-((J424-(J424*L424))*M424))</f>
        <v>0</v>
      </c>
      <c r="S424" s="86">
        <f t="shared" si="191"/>
        <v>0</v>
      </c>
    </row>
    <row r="425" spans="1:19" s="98" customFormat="1" x14ac:dyDescent="0.2">
      <c r="A425" s="144" t="s">
        <v>263</v>
      </c>
      <c r="B425" s="98" t="s">
        <v>18</v>
      </c>
      <c r="C425" s="99"/>
      <c r="D425" s="100" t="s">
        <v>76</v>
      </c>
      <c r="E425" s="101">
        <v>1</v>
      </c>
      <c r="F425" s="102">
        <v>1</v>
      </c>
      <c r="G425" s="103" t="s">
        <v>20</v>
      </c>
      <c r="H425" s="102">
        <v>40</v>
      </c>
      <c r="I425" s="103" t="s">
        <v>76</v>
      </c>
      <c r="J425" s="104">
        <v>33750</v>
      </c>
      <c r="K425" s="100" t="s">
        <v>76</v>
      </c>
      <c r="L425" s="105">
        <v>0.125</v>
      </c>
      <c r="M425" s="105">
        <v>0.05</v>
      </c>
      <c r="N425" s="102"/>
      <c r="O425" s="103" t="s">
        <v>76</v>
      </c>
      <c r="P425" s="99">
        <f>(C425+(E425*F425*H425))-N425</f>
        <v>40</v>
      </c>
      <c r="Q425" s="103" t="s">
        <v>76</v>
      </c>
      <c r="R425" s="104">
        <f>P425*(J425-(J425*L425)-((J425-(J425*L425))*M425))</f>
        <v>1122187.5</v>
      </c>
      <c r="S425" s="104">
        <f t="shared" ref="S425" si="193">R425/1.11</f>
        <v>1010979.7297297296</v>
      </c>
    </row>
    <row r="426" spans="1:19" s="81" customFormat="1" x14ac:dyDescent="0.2">
      <c r="A426" s="80" t="s">
        <v>263</v>
      </c>
      <c r="B426" s="81" t="s">
        <v>18</v>
      </c>
      <c r="C426" s="79"/>
      <c r="D426" s="82" t="s">
        <v>76</v>
      </c>
      <c r="E426" s="83"/>
      <c r="F426" s="84">
        <v>1</v>
      </c>
      <c r="G426" s="85" t="s">
        <v>20</v>
      </c>
      <c r="H426" s="84">
        <v>48</v>
      </c>
      <c r="I426" s="85" t="s">
        <v>76</v>
      </c>
      <c r="J426" s="86">
        <v>30000</v>
      </c>
      <c r="K426" s="82" t="s">
        <v>76</v>
      </c>
      <c r="L426" s="87">
        <v>0.125</v>
      </c>
      <c r="M426" s="87">
        <v>0.05</v>
      </c>
      <c r="N426" s="84"/>
      <c r="O426" s="85" t="s">
        <v>76</v>
      </c>
      <c r="P426" s="79">
        <f>(C426+(E426*F426*H426))-N426</f>
        <v>0</v>
      </c>
      <c r="Q426" s="85" t="s">
        <v>76</v>
      </c>
      <c r="R426" s="86">
        <f>P426*(J426-(J426*L426)-((J426-(J426*L426))*M426))</f>
        <v>0</v>
      </c>
      <c r="S426" s="86">
        <f t="shared" si="191"/>
        <v>0</v>
      </c>
    </row>
    <row r="427" spans="1:19" s="98" customFormat="1" x14ac:dyDescent="0.2">
      <c r="A427" s="90" t="s">
        <v>264</v>
      </c>
      <c r="B427" s="98" t="s">
        <v>18</v>
      </c>
      <c r="C427" s="99"/>
      <c r="D427" s="100" t="s">
        <v>76</v>
      </c>
      <c r="E427" s="101">
        <v>2</v>
      </c>
      <c r="F427" s="102">
        <v>1</v>
      </c>
      <c r="G427" s="103" t="s">
        <v>20</v>
      </c>
      <c r="H427" s="102">
        <v>48</v>
      </c>
      <c r="I427" s="103" t="s">
        <v>76</v>
      </c>
      <c r="J427" s="104">
        <v>23000</v>
      </c>
      <c r="K427" s="100" t="s">
        <v>76</v>
      </c>
      <c r="L427" s="105">
        <v>0.125</v>
      </c>
      <c r="M427" s="105">
        <v>0.05</v>
      </c>
      <c r="N427" s="102"/>
      <c r="O427" s="103" t="s">
        <v>76</v>
      </c>
      <c r="P427" s="99">
        <f>(C427+(E427*F427*H427))-N427</f>
        <v>96</v>
      </c>
      <c r="Q427" s="103" t="s">
        <v>76</v>
      </c>
      <c r="R427" s="104">
        <f>P427*(J427-(J427*L427)-((J427-(J427*L427))*M427))</f>
        <v>1835400</v>
      </c>
      <c r="S427" s="104">
        <f t="shared" si="191"/>
        <v>1653513.5135135134</v>
      </c>
    </row>
    <row r="428" spans="1:19" s="19" customFormat="1" x14ac:dyDescent="0.2">
      <c r="A428" s="18"/>
      <c r="C428" s="20"/>
      <c r="D428" s="21"/>
      <c r="E428" s="26"/>
      <c r="F428" s="22"/>
      <c r="G428" s="23"/>
      <c r="H428" s="22"/>
      <c r="I428" s="23"/>
      <c r="J428" s="24"/>
      <c r="K428" s="21"/>
      <c r="L428" s="25"/>
      <c r="M428" s="25"/>
      <c r="N428" s="22"/>
      <c r="O428" s="23"/>
      <c r="P428" s="20"/>
      <c r="Q428" s="23"/>
      <c r="R428" s="24"/>
      <c r="S428" s="24"/>
    </row>
    <row r="429" spans="1:19" s="81" customFormat="1" x14ac:dyDescent="0.2">
      <c r="A429" s="80" t="s">
        <v>265</v>
      </c>
      <c r="B429" s="81" t="s">
        <v>25</v>
      </c>
      <c r="C429" s="79"/>
      <c r="D429" s="82" t="s">
        <v>102</v>
      </c>
      <c r="E429" s="83"/>
      <c r="F429" s="84">
        <v>80</v>
      </c>
      <c r="G429" s="85" t="s">
        <v>33</v>
      </c>
      <c r="H429" s="84">
        <v>25</v>
      </c>
      <c r="I429" s="85" t="s">
        <v>102</v>
      </c>
      <c r="J429" s="86">
        <v>4500</v>
      </c>
      <c r="K429" s="82" t="s">
        <v>102</v>
      </c>
      <c r="L429" s="87"/>
      <c r="M429" s="87">
        <v>0.17</v>
      </c>
      <c r="N429" s="84"/>
      <c r="O429" s="85" t="s">
        <v>102</v>
      </c>
      <c r="P429" s="79">
        <f>(C429+(E429*F429*H429))-N429</f>
        <v>0</v>
      </c>
      <c r="Q429" s="85" t="s">
        <v>102</v>
      </c>
      <c r="R429" s="86">
        <f>P429*(J429-(J429*L429)-((J429-(J429*L429))*M429))</f>
        <v>0</v>
      </c>
      <c r="S429" s="86">
        <f t="shared" si="191"/>
        <v>0</v>
      </c>
    </row>
    <row r="430" spans="1:19" s="81" customFormat="1" x14ac:dyDescent="0.2">
      <c r="A430" s="80" t="s">
        <v>266</v>
      </c>
      <c r="B430" s="81" t="s">
        <v>25</v>
      </c>
      <c r="C430" s="79"/>
      <c r="D430" s="82" t="s">
        <v>76</v>
      </c>
      <c r="E430" s="83"/>
      <c r="F430" s="84">
        <v>1</v>
      </c>
      <c r="G430" s="85" t="s">
        <v>20</v>
      </c>
      <c r="H430" s="84">
        <v>48</v>
      </c>
      <c r="I430" s="85" t="s">
        <v>76</v>
      </c>
      <c r="J430" s="86">
        <v>23500</v>
      </c>
      <c r="K430" s="82" t="s">
        <v>76</v>
      </c>
      <c r="L430" s="87"/>
      <c r="M430" s="87">
        <v>0.17</v>
      </c>
      <c r="N430" s="84"/>
      <c r="O430" s="85" t="s">
        <v>76</v>
      </c>
      <c r="P430" s="79">
        <f>(C430+(E430*F430*H430))-N430</f>
        <v>0</v>
      </c>
      <c r="Q430" s="85" t="s">
        <v>76</v>
      </c>
      <c r="R430" s="86">
        <f>P430*(J430-(J430*L430)-((J430-(J430*L430))*M430))</f>
        <v>0</v>
      </c>
      <c r="S430" s="86">
        <f t="shared" si="191"/>
        <v>0</v>
      </c>
    </row>
    <row r="431" spans="1:19" s="19" customFormat="1" x14ac:dyDescent="0.2">
      <c r="A431" s="18"/>
      <c r="C431" s="20"/>
      <c r="D431" s="21"/>
      <c r="E431" s="26"/>
      <c r="F431" s="22"/>
      <c r="G431" s="23"/>
      <c r="H431" s="22"/>
      <c r="I431" s="23"/>
      <c r="J431" s="24"/>
      <c r="K431" s="21"/>
      <c r="L431" s="25"/>
      <c r="M431" s="25"/>
      <c r="N431" s="22"/>
      <c r="O431" s="23"/>
      <c r="P431" s="20"/>
      <c r="Q431" s="23"/>
      <c r="R431" s="24"/>
      <c r="S431" s="24"/>
    </row>
    <row r="432" spans="1:19" s="19" customFormat="1" ht="15.75" x14ac:dyDescent="0.25">
      <c r="A432" s="38" t="s">
        <v>267</v>
      </c>
      <c r="C432" s="20"/>
      <c r="D432" s="21"/>
      <c r="E432" s="26"/>
      <c r="F432" s="22"/>
      <c r="G432" s="23"/>
      <c r="H432" s="22"/>
      <c r="I432" s="23"/>
      <c r="J432" s="24"/>
      <c r="K432" s="21"/>
      <c r="L432" s="25"/>
      <c r="M432" s="25"/>
      <c r="N432" s="22"/>
      <c r="O432" s="23"/>
      <c r="P432" s="20"/>
      <c r="Q432" s="23"/>
      <c r="R432" s="24"/>
      <c r="S432" s="24"/>
    </row>
    <row r="433" spans="1:19" s="19" customFormat="1" x14ac:dyDescent="0.2">
      <c r="A433" s="18" t="s">
        <v>268</v>
      </c>
      <c r="B433" s="19" t="s">
        <v>18</v>
      </c>
      <c r="C433" s="20">
        <v>286</v>
      </c>
      <c r="D433" s="21" t="s">
        <v>151</v>
      </c>
      <c r="E433" s="26">
        <v>10</v>
      </c>
      <c r="F433" s="22">
        <v>10</v>
      </c>
      <c r="G433" s="23" t="s">
        <v>33</v>
      </c>
      <c r="H433" s="22">
        <v>24</v>
      </c>
      <c r="I433" s="23" t="s">
        <v>151</v>
      </c>
      <c r="J433" s="24">
        <v>8800</v>
      </c>
      <c r="K433" s="21" t="s">
        <v>151</v>
      </c>
      <c r="L433" s="25">
        <v>0.125</v>
      </c>
      <c r="M433" s="25">
        <v>0.05</v>
      </c>
      <c r="N433" s="22"/>
      <c r="O433" s="23" t="s">
        <v>151</v>
      </c>
      <c r="P433" s="20">
        <f t="shared" ref="P433:P454" si="194">(C433+(E433*F433*H433))-N433</f>
        <v>2686</v>
      </c>
      <c r="Q433" s="23" t="s">
        <v>151</v>
      </c>
      <c r="R433" s="24">
        <f t="shared" ref="R433:R454" si="195">P433*(J433-(J433*L433)-((J433-(J433*L433))*M433))</f>
        <v>19648090</v>
      </c>
      <c r="S433" s="24">
        <f t="shared" si="191"/>
        <v>17700981.981981982</v>
      </c>
    </row>
    <row r="434" spans="1:19" s="81" customFormat="1" x14ac:dyDescent="0.2">
      <c r="A434" s="80" t="s">
        <v>269</v>
      </c>
      <c r="B434" s="81" t="s">
        <v>18</v>
      </c>
      <c r="C434" s="79"/>
      <c r="D434" s="82" t="s">
        <v>151</v>
      </c>
      <c r="E434" s="83"/>
      <c r="F434" s="84">
        <v>6</v>
      </c>
      <c r="G434" s="85" t="s">
        <v>33</v>
      </c>
      <c r="H434" s="84">
        <v>24</v>
      </c>
      <c r="I434" s="85" t="s">
        <v>151</v>
      </c>
      <c r="J434" s="86">
        <v>29500</v>
      </c>
      <c r="K434" s="82" t="s">
        <v>151</v>
      </c>
      <c r="L434" s="87">
        <v>0.125</v>
      </c>
      <c r="M434" s="87">
        <v>0.05</v>
      </c>
      <c r="N434" s="84"/>
      <c r="O434" s="85" t="s">
        <v>151</v>
      </c>
      <c r="P434" s="79">
        <f t="shared" si="194"/>
        <v>0</v>
      </c>
      <c r="Q434" s="85" t="s">
        <v>151</v>
      </c>
      <c r="R434" s="86">
        <f t="shared" si="195"/>
        <v>0</v>
      </c>
      <c r="S434" s="86">
        <f t="shared" si="191"/>
        <v>0</v>
      </c>
    </row>
    <row r="435" spans="1:19" s="81" customFormat="1" x14ac:dyDescent="0.2">
      <c r="A435" s="80" t="s">
        <v>270</v>
      </c>
      <c r="B435" s="81" t="s">
        <v>18</v>
      </c>
      <c r="C435" s="79"/>
      <c r="D435" s="82" t="s">
        <v>151</v>
      </c>
      <c r="E435" s="83"/>
      <c r="F435" s="84">
        <v>12</v>
      </c>
      <c r="G435" s="85" t="s">
        <v>33</v>
      </c>
      <c r="H435" s="84">
        <v>12</v>
      </c>
      <c r="I435" s="85" t="s">
        <v>151</v>
      </c>
      <c r="J435" s="86">
        <v>19600</v>
      </c>
      <c r="K435" s="82" t="s">
        <v>151</v>
      </c>
      <c r="L435" s="87">
        <v>0.125</v>
      </c>
      <c r="M435" s="87">
        <v>0.05</v>
      </c>
      <c r="N435" s="84"/>
      <c r="O435" s="85" t="s">
        <v>151</v>
      </c>
      <c r="P435" s="79">
        <f t="shared" si="194"/>
        <v>0</v>
      </c>
      <c r="Q435" s="85" t="s">
        <v>151</v>
      </c>
      <c r="R435" s="86">
        <f t="shared" si="195"/>
        <v>0</v>
      </c>
      <c r="S435" s="86">
        <f t="shared" si="191"/>
        <v>0</v>
      </c>
    </row>
    <row r="436" spans="1:19" s="19" customFormat="1" x14ac:dyDescent="0.2">
      <c r="A436" s="18" t="s">
        <v>271</v>
      </c>
      <c r="B436" s="19" t="s">
        <v>18</v>
      </c>
      <c r="C436" s="20">
        <v>120</v>
      </c>
      <c r="D436" s="21" t="s">
        <v>151</v>
      </c>
      <c r="E436" s="26"/>
      <c r="F436" s="22">
        <v>12</v>
      </c>
      <c r="G436" s="23" t="s">
        <v>33</v>
      </c>
      <c r="H436" s="22">
        <v>12</v>
      </c>
      <c r="I436" s="23" t="s">
        <v>151</v>
      </c>
      <c r="J436" s="24">
        <v>18500</v>
      </c>
      <c r="K436" s="21" t="s">
        <v>151</v>
      </c>
      <c r="L436" s="25">
        <v>0.125</v>
      </c>
      <c r="M436" s="25">
        <v>0.05</v>
      </c>
      <c r="N436" s="22"/>
      <c r="O436" s="23" t="s">
        <v>151</v>
      </c>
      <c r="P436" s="20">
        <f t="shared" si="194"/>
        <v>120</v>
      </c>
      <c r="Q436" s="23" t="s">
        <v>151</v>
      </c>
      <c r="R436" s="24">
        <f t="shared" si="195"/>
        <v>1845375</v>
      </c>
      <c r="S436" s="24">
        <f t="shared" si="191"/>
        <v>1662499.9999999998</v>
      </c>
    </row>
    <row r="437" spans="1:19" s="81" customFormat="1" x14ac:dyDescent="0.2">
      <c r="A437" s="80" t="s">
        <v>272</v>
      </c>
      <c r="B437" s="81" t="s">
        <v>18</v>
      </c>
      <c r="C437" s="79"/>
      <c r="D437" s="82" t="s">
        <v>151</v>
      </c>
      <c r="E437" s="83">
        <v>4</v>
      </c>
      <c r="F437" s="84">
        <v>10</v>
      </c>
      <c r="G437" s="85" t="s">
        <v>33</v>
      </c>
      <c r="H437" s="84">
        <v>24</v>
      </c>
      <c r="I437" s="85" t="s">
        <v>151</v>
      </c>
      <c r="J437" s="86">
        <v>10600</v>
      </c>
      <c r="K437" s="82" t="s">
        <v>151</v>
      </c>
      <c r="L437" s="87">
        <v>0.125</v>
      </c>
      <c r="M437" s="87">
        <v>0.05</v>
      </c>
      <c r="N437" s="84"/>
      <c r="O437" s="85" t="s">
        <v>151</v>
      </c>
      <c r="P437" s="79">
        <f t="shared" si="194"/>
        <v>960</v>
      </c>
      <c r="Q437" s="85" t="s">
        <v>151</v>
      </c>
      <c r="R437" s="86">
        <f t="shared" si="195"/>
        <v>8458800</v>
      </c>
      <c r="S437" s="86">
        <f t="shared" si="191"/>
        <v>7620540.5405405397</v>
      </c>
    </row>
    <row r="438" spans="1:19" s="19" customFormat="1" x14ac:dyDescent="0.2">
      <c r="A438" s="18" t="s">
        <v>273</v>
      </c>
      <c r="B438" s="19" t="s">
        <v>18</v>
      </c>
      <c r="C438" s="20">
        <v>204</v>
      </c>
      <c r="D438" s="21" t="s">
        <v>151</v>
      </c>
      <c r="E438" s="26"/>
      <c r="F438" s="22">
        <v>20</v>
      </c>
      <c r="G438" s="23" t="s">
        <v>33</v>
      </c>
      <c r="H438" s="22">
        <v>12</v>
      </c>
      <c r="I438" s="23" t="s">
        <v>151</v>
      </c>
      <c r="J438" s="24">
        <v>4000</v>
      </c>
      <c r="K438" s="21" t="s">
        <v>151</v>
      </c>
      <c r="L438" s="25">
        <v>0.4</v>
      </c>
      <c r="M438" s="25">
        <v>0.05</v>
      </c>
      <c r="N438" s="22"/>
      <c r="O438" s="23" t="s">
        <v>151</v>
      </c>
      <c r="P438" s="20">
        <f t="shared" si="194"/>
        <v>204</v>
      </c>
      <c r="Q438" s="23" t="s">
        <v>151</v>
      </c>
      <c r="R438" s="24">
        <f t="shared" si="195"/>
        <v>465120</v>
      </c>
      <c r="S438" s="24">
        <f t="shared" si="191"/>
        <v>419027.02702702698</v>
      </c>
    </row>
    <row r="439" spans="1:19" s="19" customFormat="1" x14ac:dyDescent="0.2">
      <c r="A439" s="18" t="s">
        <v>736</v>
      </c>
      <c r="B439" s="19" t="s">
        <v>18</v>
      </c>
      <c r="C439" s="20">
        <v>6</v>
      </c>
      <c r="D439" s="21" t="s">
        <v>151</v>
      </c>
      <c r="E439" s="26"/>
      <c r="F439" s="22">
        <v>12</v>
      </c>
      <c r="G439" s="23" t="s">
        <v>33</v>
      </c>
      <c r="H439" s="22">
        <v>12</v>
      </c>
      <c r="I439" s="23" t="s">
        <v>151</v>
      </c>
      <c r="J439" s="24">
        <v>34500</v>
      </c>
      <c r="K439" s="21" t="s">
        <v>151</v>
      </c>
      <c r="L439" s="25">
        <v>0.125</v>
      </c>
      <c r="M439" s="25">
        <v>0.05</v>
      </c>
      <c r="N439" s="22"/>
      <c r="O439" s="23" t="s">
        <v>151</v>
      </c>
      <c r="P439" s="20">
        <f t="shared" si="194"/>
        <v>6</v>
      </c>
      <c r="Q439" s="23" t="s">
        <v>151</v>
      </c>
      <c r="R439" s="24">
        <f t="shared" si="195"/>
        <v>172068.75</v>
      </c>
      <c r="S439" s="24">
        <f t="shared" si="191"/>
        <v>155016.89189189186</v>
      </c>
    </row>
    <row r="440" spans="1:19" s="72" customFormat="1" x14ac:dyDescent="0.2">
      <c r="A440" s="144" t="s">
        <v>927</v>
      </c>
      <c r="B440" s="72" t="s">
        <v>18</v>
      </c>
      <c r="C440" s="73"/>
      <c r="D440" s="74" t="s">
        <v>151</v>
      </c>
      <c r="E440" s="75">
        <v>1</v>
      </c>
      <c r="F440" s="76">
        <v>1</v>
      </c>
      <c r="G440" s="77" t="s">
        <v>20</v>
      </c>
      <c r="H440" s="76">
        <v>240</v>
      </c>
      <c r="I440" s="77" t="s">
        <v>40</v>
      </c>
      <c r="J440" s="16">
        <v>28800</v>
      </c>
      <c r="K440" s="74" t="s">
        <v>40</v>
      </c>
      <c r="L440" s="78">
        <v>0.125</v>
      </c>
      <c r="M440" s="78">
        <v>0.05</v>
      </c>
      <c r="N440" s="76"/>
      <c r="O440" s="77" t="s">
        <v>40</v>
      </c>
      <c r="P440" s="73">
        <f t="shared" ref="P440" si="196">(C440+(E440*F440*H440))-N440</f>
        <v>240</v>
      </c>
      <c r="Q440" s="77" t="s">
        <v>40</v>
      </c>
      <c r="R440" s="16">
        <f t="shared" ref="R440" si="197">P440*(J440-(J440*L440)-((J440-(J440*L440))*M440))</f>
        <v>5745600</v>
      </c>
      <c r="S440" s="16">
        <f t="shared" ref="S440" si="198">R440/1.11</f>
        <v>5176216.2162162159</v>
      </c>
    </row>
    <row r="441" spans="1:19" s="72" customFormat="1" x14ac:dyDescent="0.2">
      <c r="A441" s="71" t="s">
        <v>855</v>
      </c>
      <c r="B441" s="72" t="s">
        <v>18</v>
      </c>
      <c r="C441" s="73"/>
      <c r="D441" s="74" t="s">
        <v>151</v>
      </c>
      <c r="E441" s="75"/>
      <c r="F441" s="76">
        <v>1</v>
      </c>
      <c r="G441" s="77" t="s">
        <v>20</v>
      </c>
      <c r="H441" s="76">
        <v>240</v>
      </c>
      <c r="I441" s="77" t="s">
        <v>40</v>
      </c>
      <c r="J441" s="16">
        <v>26400</v>
      </c>
      <c r="K441" s="74" t="s">
        <v>40</v>
      </c>
      <c r="L441" s="78">
        <v>0.125</v>
      </c>
      <c r="M441" s="78">
        <v>0.05</v>
      </c>
      <c r="N441" s="76"/>
      <c r="O441" s="77" t="s">
        <v>40</v>
      </c>
      <c r="P441" s="73">
        <f t="shared" si="194"/>
        <v>0</v>
      </c>
      <c r="Q441" s="77" t="s">
        <v>40</v>
      </c>
      <c r="R441" s="16">
        <f t="shared" si="195"/>
        <v>0</v>
      </c>
      <c r="S441" s="16">
        <f t="shared" si="191"/>
        <v>0</v>
      </c>
    </row>
    <row r="442" spans="1:19" s="72" customFormat="1" x14ac:dyDescent="0.2">
      <c r="A442" s="71" t="s">
        <v>856</v>
      </c>
      <c r="B442" s="72" t="s">
        <v>18</v>
      </c>
      <c r="C442" s="73"/>
      <c r="D442" s="74" t="s">
        <v>151</v>
      </c>
      <c r="E442" s="75"/>
      <c r="F442" s="76">
        <v>1</v>
      </c>
      <c r="G442" s="77" t="s">
        <v>20</v>
      </c>
      <c r="H442" s="76">
        <v>240</v>
      </c>
      <c r="I442" s="77" t="s">
        <v>40</v>
      </c>
      <c r="J442" s="16">
        <v>26400</v>
      </c>
      <c r="K442" s="74" t="s">
        <v>40</v>
      </c>
      <c r="L442" s="78">
        <v>0.125</v>
      </c>
      <c r="M442" s="78">
        <v>0.05</v>
      </c>
      <c r="N442" s="76"/>
      <c r="O442" s="77" t="s">
        <v>40</v>
      </c>
      <c r="P442" s="73">
        <f t="shared" si="194"/>
        <v>0</v>
      </c>
      <c r="Q442" s="77" t="s">
        <v>40</v>
      </c>
      <c r="R442" s="16">
        <f t="shared" si="195"/>
        <v>0</v>
      </c>
      <c r="S442" s="16">
        <f t="shared" si="191"/>
        <v>0</v>
      </c>
    </row>
    <row r="443" spans="1:19" s="72" customFormat="1" x14ac:dyDescent="0.2">
      <c r="A443" s="71" t="s">
        <v>857</v>
      </c>
      <c r="B443" s="72" t="s">
        <v>18</v>
      </c>
      <c r="C443" s="73"/>
      <c r="D443" s="74" t="s">
        <v>151</v>
      </c>
      <c r="E443" s="75"/>
      <c r="F443" s="76">
        <v>1</v>
      </c>
      <c r="G443" s="77" t="s">
        <v>20</v>
      </c>
      <c r="H443" s="76">
        <v>240</v>
      </c>
      <c r="I443" s="77" t="s">
        <v>40</v>
      </c>
      <c r="J443" s="16">
        <v>30000</v>
      </c>
      <c r="K443" s="74" t="s">
        <v>40</v>
      </c>
      <c r="L443" s="78">
        <v>0.125</v>
      </c>
      <c r="M443" s="78">
        <v>0.05</v>
      </c>
      <c r="N443" s="76"/>
      <c r="O443" s="77" t="s">
        <v>40</v>
      </c>
      <c r="P443" s="73">
        <f t="shared" si="194"/>
        <v>0</v>
      </c>
      <c r="Q443" s="77" t="s">
        <v>40</v>
      </c>
      <c r="R443" s="16">
        <f t="shared" si="195"/>
        <v>0</v>
      </c>
      <c r="S443" s="16">
        <f t="shared" si="191"/>
        <v>0</v>
      </c>
    </row>
    <row r="444" spans="1:19" s="72" customFormat="1" x14ac:dyDescent="0.2">
      <c r="A444" s="71" t="s">
        <v>858</v>
      </c>
      <c r="B444" s="72" t="s">
        <v>18</v>
      </c>
      <c r="C444" s="73"/>
      <c r="D444" s="74" t="s">
        <v>151</v>
      </c>
      <c r="E444" s="75"/>
      <c r="F444" s="76">
        <v>1</v>
      </c>
      <c r="G444" s="77" t="s">
        <v>20</v>
      </c>
      <c r="H444" s="76">
        <v>240</v>
      </c>
      <c r="I444" s="77" t="s">
        <v>40</v>
      </c>
      <c r="J444" s="16">
        <v>31200</v>
      </c>
      <c r="K444" s="74" t="s">
        <v>40</v>
      </c>
      <c r="L444" s="78">
        <v>0.125</v>
      </c>
      <c r="M444" s="78">
        <v>0.05</v>
      </c>
      <c r="N444" s="76"/>
      <c r="O444" s="77" t="s">
        <v>40</v>
      </c>
      <c r="P444" s="73">
        <f t="shared" si="194"/>
        <v>0</v>
      </c>
      <c r="Q444" s="77" t="s">
        <v>40</v>
      </c>
      <c r="R444" s="16">
        <f t="shared" si="195"/>
        <v>0</v>
      </c>
      <c r="S444" s="16">
        <f t="shared" si="191"/>
        <v>0</v>
      </c>
    </row>
    <row r="445" spans="1:19" s="88" customFormat="1" x14ac:dyDescent="0.2">
      <c r="A445" s="144" t="s">
        <v>859</v>
      </c>
      <c r="B445" s="88" t="s">
        <v>18</v>
      </c>
      <c r="C445" s="91"/>
      <c r="D445" s="92" t="s">
        <v>151</v>
      </c>
      <c r="E445" s="93">
        <v>1</v>
      </c>
      <c r="F445" s="94">
        <v>1</v>
      </c>
      <c r="G445" s="95" t="s">
        <v>20</v>
      </c>
      <c r="H445" s="94">
        <v>240</v>
      </c>
      <c r="I445" s="95" t="s">
        <v>40</v>
      </c>
      <c r="J445" s="96">
        <v>34200</v>
      </c>
      <c r="K445" s="92" t="s">
        <v>40</v>
      </c>
      <c r="L445" s="97">
        <v>0.125</v>
      </c>
      <c r="M445" s="97">
        <v>0.05</v>
      </c>
      <c r="N445" s="94"/>
      <c r="O445" s="95" t="s">
        <v>40</v>
      </c>
      <c r="P445" s="91">
        <f t="shared" ref="P445" si="199">(C445+(E445*F445*H445))-N445</f>
        <v>240</v>
      </c>
      <c r="Q445" s="95" t="s">
        <v>40</v>
      </c>
      <c r="R445" s="96">
        <f t="shared" ref="R445" si="200">P445*(J445-(J445*L445)-((J445-(J445*L445))*M445))</f>
        <v>6822900</v>
      </c>
      <c r="S445" s="96">
        <f t="shared" ref="S445" si="201">R445/1.11</f>
        <v>6146756.7567567565</v>
      </c>
    </row>
    <row r="446" spans="1:19" s="72" customFormat="1" x14ac:dyDescent="0.2">
      <c r="A446" s="71" t="s">
        <v>859</v>
      </c>
      <c r="B446" s="72" t="s">
        <v>18</v>
      </c>
      <c r="C446" s="73"/>
      <c r="D446" s="74" t="s">
        <v>151</v>
      </c>
      <c r="E446" s="75"/>
      <c r="F446" s="76">
        <v>1</v>
      </c>
      <c r="G446" s="77" t="s">
        <v>20</v>
      </c>
      <c r="H446" s="76"/>
      <c r="I446" s="77" t="s">
        <v>40</v>
      </c>
      <c r="J446" s="16"/>
      <c r="K446" s="74" t="s">
        <v>40</v>
      </c>
      <c r="L446" s="78">
        <v>0.125</v>
      </c>
      <c r="M446" s="78">
        <v>0.05</v>
      </c>
      <c r="N446" s="76"/>
      <c r="O446" s="77" t="s">
        <v>40</v>
      </c>
      <c r="P446" s="73">
        <f t="shared" si="194"/>
        <v>0</v>
      </c>
      <c r="Q446" s="77" t="s">
        <v>40</v>
      </c>
      <c r="R446" s="16">
        <f t="shared" si="195"/>
        <v>0</v>
      </c>
      <c r="S446" s="16">
        <f t="shared" si="191"/>
        <v>0</v>
      </c>
    </row>
    <row r="447" spans="1:19" s="72" customFormat="1" x14ac:dyDescent="0.2">
      <c r="A447" s="71" t="s">
        <v>860</v>
      </c>
      <c r="B447" s="72" t="s">
        <v>18</v>
      </c>
      <c r="C447" s="73"/>
      <c r="D447" s="74" t="s">
        <v>151</v>
      </c>
      <c r="E447" s="75"/>
      <c r="F447" s="76">
        <v>1</v>
      </c>
      <c r="G447" s="77" t="s">
        <v>20</v>
      </c>
      <c r="H447" s="76">
        <v>240</v>
      </c>
      <c r="I447" s="77" t="s">
        <v>40</v>
      </c>
      <c r="J447" s="16">
        <v>37800</v>
      </c>
      <c r="K447" s="74" t="s">
        <v>40</v>
      </c>
      <c r="L447" s="78">
        <v>0.125</v>
      </c>
      <c r="M447" s="78">
        <v>0.05</v>
      </c>
      <c r="N447" s="76"/>
      <c r="O447" s="77" t="s">
        <v>40</v>
      </c>
      <c r="P447" s="73">
        <f t="shared" si="194"/>
        <v>0</v>
      </c>
      <c r="Q447" s="77" t="s">
        <v>40</v>
      </c>
      <c r="R447" s="16">
        <f t="shared" si="195"/>
        <v>0</v>
      </c>
      <c r="S447" s="16">
        <f t="shared" si="191"/>
        <v>0</v>
      </c>
    </row>
    <row r="448" spans="1:19" s="72" customFormat="1" x14ac:dyDescent="0.2">
      <c r="A448" s="71" t="s">
        <v>861</v>
      </c>
      <c r="B448" s="72" t="s">
        <v>18</v>
      </c>
      <c r="C448" s="73"/>
      <c r="D448" s="74" t="s">
        <v>151</v>
      </c>
      <c r="E448" s="75"/>
      <c r="F448" s="76">
        <v>1</v>
      </c>
      <c r="G448" s="77" t="s">
        <v>20</v>
      </c>
      <c r="H448" s="76"/>
      <c r="I448" s="77" t="s">
        <v>40</v>
      </c>
      <c r="J448" s="16"/>
      <c r="K448" s="74" t="s">
        <v>40</v>
      </c>
      <c r="L448" s="78">
        <v>0.125</v>
      </c>
      <c r="M448" s="78">
        <v>0.05</v>
      </c>
      <c r="N448" s="76"/>
      <c r="O448" s="77" t="s">
        <v>40</v>
      </c>
      <c r="P448" s="73">
        <f t="shared" si="194"/>
        <v>0</v>
      </c>
      <c r="Q448" s="77" t="s">
        <v>40</v>
      </c>
      <c r="R448" s="16">
        <f t="shared" si="195"/>
        <v>0</v>
      </c>
      <c r="S448" s="16">
        <f t="shared" si="191"/>
        <v>0</v>
      </c>
    </row>
    <row r="449" spans="1:19" s="72" customFormat="1" x14ac:dyDescent="0.2">
      <c r="A449" s="71" t="s">
        <v>862</v>
      </c>
      <c r="B449" s="72" t="s">
        <v>18</v>
      </c>
      <c r="C449" s="73"/>
      <c r="D449" s="74" t="s">
        <v>151</v>
      </c>
      <c r="E449" s="75"/>
      <c r="F449" s="76">
        <v>1</v>
      </c>
      <c r="G449" s="77" t="s">
        <v>20</v>
      </c>
      <c r="H449" s="76">
        <v>240</v>
      </c>
      <c r="I449" s="77" t="s">
        <v>40</v>
      </c>
      <c r="J449" s="16">
        <v>41400</v>
      </c>
      <c r="K449" s="74" t="s">
        <v>40</v>
      </c>
      <c r="L449" s="78">
        <v>0.125</v>
      </c>
      <c r="M449" s="78">
        <v>0.05</v>
      </c>
      <c r="N449" s="76"/>
      <c r="O449" s="77" t="s">
        <v>40</v>
      </c>
      <c r="P449" s="73">
        <f t="shared" si="194"/>
        <v>0</v>
      </c>
      <c r="Q449" s="77" t="s">
        <v>40</v>
      </c>
      <c r="R449" s="16">
        <f t="shared" si="195"/>
        <v>0</v>
      </c>
      <c r="S449" s="16">
        <f t="shared" si="191"/>
        <v>0</v>
      </c>
    </row>
    <row r="450" spans="1:19" s="72" customFormat="1" x14ac:dyDescent="0.2">
      <c r="A450" s="71" t="s">
        <v>863</v>
      </c>
      <c r="B450" s="72" t="s">
        <v>18</v>
      </c>
      <c r="C450" s="73"/>
      <c r="D450" s="74" t="s">
        <v>151</v>
      </c>
      <c r="E450" s="75"/>
      <c r="F450" s="76">
        <v>1</v>
      </c>
      <c r="G450" s="77" t="s">
        <v>20</v>
      </c>
      <c r="H450" s="76">
        <v>240</v>
      </c>
      <c r="I450" s="77" t="s">
        <v>40</v>
      </c>
      <c r="J450" s="16">
        <v>45600</v>
      </c>
      <c r="K450" s="74" t="s">
        <v>40</v>
      </c>
      <c r="L450" s="78">
        <v>0.125</v>
      </c>
      <c r="M450" s="78">
        <v>0.05</v>
      </c>
      <c r="N450" s="76"/>
      <c r="O450" s="77" t="s">
        <v>40</v>
      </c>
      <c r="P450" s="73">
        <f t="shared" si="194"/>
        <v>0</v>
      </c>
      <c r="Q450" s="77" t="s">
        <v>40</v>
      </c>
      <c r="R450" s="16">
        <f t="shared" si="195"/>
        <v>0</v>
      </c>
      <c r="S450" s="16">
        <f t="shared" si="191"/>
        <v>0</v>
      </c>
    </row>
    <row r="451" spans="1:19" s="72" customFormat="1" x14ac:dyDescent="0.2">
      <c r="A451" s="71" t="s">
        <v>864</v>
      </c>
      <c r="B451" s="72" t="s">
        <v>18</v>
      </c>
      <c r="C451" s="73"/>
      <c r="D451" s="74" t="s">
        <v>151</v>
      </c>
      <c r="E451" s="75"/>
      <c r="F451" s="76">
        <v>1</v>
      </c>
      <c r="G451" s="77" t="s">
        <v>20</v>
      </c>
      <c r="H451" s="76">
        <v>108</v>
      </c>
      <c r="I451" s="77" t="s">
        <v>40</v>
      </c>
      <c r="J451" s="16">
        <v>51000</v>
      </c>
      <c r="K451" s="74" t="s">
        <v>40</v>
      </c>
      <c r="L451" s="78">
        <v>0.125</v>
      </c>
      <c r="M451" s="78">
        <v>0.05</v>
      </c>
      <c r="N451" s="76"/>
      <c r="O451" s="77" t="s">
        <v>40</v>
      </c>
      <c r="P451" s="73">
        <f t="shared" si="194"/>
        <v>0</v>
      </c>
      <c r="Q451" s="77" t="s">
        <v>40</v>
      </c>
      <c r="R451" s="16">
        <f t="shared" si="195"/>
        <v>0</v>
      </c>
      <c r="S451" s="16">
        <f t="shared" si="191"/>
        <v>0</v>
      </c>
    </row>
    <row r="452" spans="1:19" s="72" customFormat="1" x14ac:dyDescent="0.2">
      <c r="A452" s="71" t="s">
        <v>865</v>
      </c>
      <c r="B452" s="72" t="s">
        <v>18</v>
      </c>
      <c r="C452" s="73"/>
      <c r="D452" s="74" t="s">
        <v>151</v>
      </c>
      <c r="E452" s="75"/>
      <c r="F452" s="76">
        <v>1</v>
      </c>
      <c r="G452" s="77" t="s">
        <v>20</v>
      </c>
      <c r="H452" s="76">
        <v>108</v>
      </c>
      <c r="I452" s="77" t="s">
        <v>40</v>
      </c>
      <c r="J452" s="16">
        <v>55200</v>
      </c>
      <c r="K452" s="74" t="s">
        <v>40</v>
      </c>
      <c r="L452" s="78">
        <v>0.125</v>
      </c>
      <c r="M452" s="78">
        <v>0.05</v>
      </c>
      <c r="N452" s="76"/>
      <c r="O452" s="77" t="s">
        <v>40</v>
      </c>
      <c r="P452" s="73">
        <f t="shared" si="194"/>
        <v>0</v>
      </c>
      <c r="Q452" s="77" t="s">
        <v>40</v>
      </c>
      <c r="R452" s="16">
        <f t="shared" si="195"/>
        <v>0</v>
      </c>
      <c r="S452" s="16">
        <f t="shared" si="191"/>
        <v>0</v>
      </c>
    </row>
    <row r="453" spans="1:19" s="72" customFormat="1" x14ac:dyDescent="0.2">
      <c r="A453" s="71" t="s">
        <v>866</v>
      </c>
      <c r="B453" s="72" t="s">
        <v>18</v>
      </c>
      <c r="C453" s="73"/>
      <c r="D453" s="74" t="s">
        <v>151</v>
      </c>
      <c r="E453" s="75"/>
      <c r="F453" s="76">
        <v>1</v>
      </c>
      <c r="G453" s="77" t="s">
        <v>20</v>
      </c>
      <c r="H453" s="76">
        <v>108</v>
      </c>
      <c r="I453" s="77" t="s">
        <v>40</v>
      </c>
      <c r="J453" s="16">
        <v>60300</v>
      </c>
      <c r="K453" s="74" t="s">
        <v>40</v>
      </c>
      <c r="L453" s="78">
        <v>0.125</v>
      </c>
      <c r="M453" s="78">
        <v>0.05</v>
      </c>
      <c r="N453" s="76"/>
      <c r="O453" s="77" t="s">
        <v>40</v>
      </c>
      <c r="P453" s="73">
        <f t="shared" si="194"/>
        <v>0</v>
      </c>
      <c r="Q453" s="77" t="s">
        <v>40</v>
      </c>
      <c r="R453" s="16">
        <f t="shared" si="195"/>
        <v>0</v>
      </c>
      <c r="S453" s="16">
        <f t="shared" si="191"/>
        <v>0</v>
      </c>
    </row>
    <row r="454" spans="1:19" s="72" customFormat="1" x14ac:dyDescent="0.2">
      <c r="A454" s="71" t="s">
        <v>867</v>
      </c>
      <c r="B454" s="72" t="s">
        <v>18</v>
      </c>
      <c r="C454" s="73"/>
      <c r="D454" s="74" t="s">
        <v>151</v>
      </c>
      <c r="E454" s="75"/>
      <c r="F454" s="76">
        <v>1</v>
      </c>
      <c r="G454" s="77" t="s">
        <v>20</v>
      </c>
      <c r="H454" s="76">
        <v>108</v>
      </c>
      <c r="I454" s="77" t="s">
        <v>40</v>
      </c>
      <c r="J454" s="16">
        <v>65400</v>
      </c>
      <c r="K454" s="74" t="s">
        <v>40</v>
      </c>
      <c r="L454" s="78">
        <v>0.125</v>
      </c>
      <c r="M454" s="78">
        <v>0.05</v>
      </c>
      <c r="N454" s="76"/>
      <c r="O454" s="77" t="s">
        <v>40</v>
      </c>
      <c r="P454" s="73">
        <f t="shared" si="194"/>
        <v>0</v>
      </c>
      <c r="Q454" s="77" t="s">
        <v>40</v>
      </c>
      <c r="R454" s="16">
        <f t="shared" si="195"/>
        <v>0</v>
      </c>
      <c r="S454" s="16">
        <f t="shared" si="191"/>
        <v>0</v>
      </c>
    </row>
    <row r="455" spans="1:19" s="19" customFormat="1" x14ac:dyDescent="0.2">
      <c r="A455" s="18"/>
      <c r="C455" s="20"/>
      <c r="D455" s="21"/>
      <c r="E455" s="26"/>
      <c r="F455" s="22"/>
      <c r="G455" s="23"/>
      <c r="H455" s="22"/>
      <c r="I455" s="23"/>
      <c r="J455" s="24"/>
      <c r="K455" s="21"/>
      <c r="L455" s="25"/>
      <c r="M455" s="25"/>
      <c r="N455" s="22"/>
      <c r="O455" s="23"/>
      <c r="P455" s="20"/>
      <c r="Q455" s="23"/>
      <c r="R455" s="24"/>
      <c r="S455" s="24"/>
    </row>
    <row r="456" spans="1:19" s="19" customFormat="1" ht="15.75" x14ac:dyDescent="0.25">
      <c r="A456" s="38" t="s">
        <v>274</v>
      </c>
      <c r="C456" s="20"/>
      <c r="D456" s="21"/>
      <c r="E456" s="26"/>
      <c r="F456" s="22"/>
      <c r="G456" s="23"/>
      <c r="H456" s="22"/>
      <c r="I456" s="23"/>
      <c r="J456" s="24"/>
      <c r="K456" s="21"/>
      <c r="L456" s="25"/>
      <c r="M456" s="25"/>
      <c r="N456" s="22"/>
      <c r="O456" s="23"/>
      <c r="P456" s="20"/>
      <c r="Q456" s="23"/>
      <c r="R456" s="24"/>
      <c r="S456" s="24"/>
    </row>
    <row r="457" spans="1:19" s="19" customFormat="1" x14ac:dyDescent="0.2">
      <c r="A457" s="65" t="s">
        <v>275</v>
      </c>
      <c r="C457" s="20"/>
      <c r="D457" s="21"/>
      <c r="E457" s="26"/>
      <c r="F457" s="22"/>
      <c r="G457" s="23"/>
      <c r="H457" s="22"/>
      <c r="I457" s="23"/>
      <c r="J457" s="24"/>
      <c r="K457" s="21"/>
      <c r="L457" s="25"/>
      <c r="M457" s="25"/>
      <c r="N457" s="22"/>
      <c r="O457" s="23"/>
      <c r="P457" s="20"/>
      <c r="Q457" s="23"/>
      <c r="R457" s="24"/>
      <c r="S457" s="24"/>
    </row>
    <row r="458" spans="1:19" s="19" customFormat="1" x14ac:dyDescent="0.2">
      <c r="A458" s="18" t="s">
        <v>276</v>
      </c>
      <c r="B458" s="19" t="s">
        <v>18</v>
      </c>
      <c r="C458" s="20">
        <v>4270</v>
      </c>
      <c r="D458" s="21" t="s">
        <v>277</v>
      </c>
      <c r="E458" s="26">
        <v>32</v>
      </c>
      <c r="F458" s="22">
        <v>100</v>
      </c>
      <c r="G458" s="23" t="s">
        <v>98</v>
      </c>
      <c r="H458" s="22">
        <v>10</v>
      </c>
      <c r="I458" s="23" t="s">
        <v>277</v>
      </c>
      <c r="J458" s="24">
        <v>2050</v>
      </c>
      <c r="K458" s="21" t="s">
        <v>277</v>
      </c>
      <c r="L458" s="25">
        <v>0.125</v>
      </c>
      <c r="M458" s="25">
        <v>0.05</v>
      </c>
      <c r="N458" s="22"/>
      <c r="O458" s="23" t="s">
        <v>277</v>
      </c>
      <c r="P458" s="20">
        <f t="shared" ref="P458:P467" si="202">(C458+(E458*F458*H458))-N458</f>
        <v>36270</v>
      </c>
      <c r="Q458" s="23" t="s">
        <v>277</v>
      </c>
      <c r="R458" s="24">
        <f t="shared" ref="R458:R467" si="203">P458*(J458-(J458*L458)-((J458-(J458*L458))*M458))</f>
        <v>61806346.875</v>
      </c>
      <c r="S458" s="24">
        <f t="shared" si="191"/>
        <v>55681393.581081077</v>
      </c>
    </row>
    <row r="459" spans="1:19" s="19" customFormat="1" x14ac:dyDescent="0.2">
      <c r="A459" s="18" t="s">
        <v>278</v>
      </c>
      <c r="B459" s="19" t="s">
        <v>18</v>
      </c>
      <c r="C459" s="20">
        <v>1300</v>
      </c>
      <c r="D459" s="21" t="s">
        <v>277</v>
      </c>
      <c r="E459" s="26">
        <v>7</v>
      </c>
      <c r="F459" s="22">
        <v>100</v>
      </c>
      <c r="G459" s="23" t="s">
        <v>98</v>
      </c>
      <c r="H459" s="22">
        <v>10</v>
      </c>
      <c r="I459" s="23" t="s">
        <v>277</v>
      </c>
      <c r="J459" s="24">
        <v>3000</v>
      </c>
      <c r="K459" s="21" t="s">
        <v>277</v>
      </c>
      <c r="L459" s="25">
        <v>0.125</v>
      </c>
      <c r="M459" s="25">
        <v>0.05</v>
      </c>
      <c r="N459" s="22"/>
      <c r="O459" s="23" t="s">
        <v>277</v>
      </c>
      <c r="P459" s="20">
        <f t="shared" si="202"/>
        <v>8300</v>
      </c>
      <c r="Q459" s="23" t="s">
        <v>277</v>
      </c>
      <c r="R459" s="24">
        <f t="shared" si="203"/>
        <v>20698125</v>
      </c>
      <c r="S459" s="24">
        <f t="shared" si="191"/>
        <v>18646959.459459458</v>
      </c>
    </row>
    <row r="460" spans="1:19" s="19" customFormat="1" x14ac:dyDescent="0.2">
      <c r="A460" s="18" t="s">
        <v>884</v>
      </c>
      <c r="B460" s="19" t="s">
        <v>18</v>
      </c>
      <c r="C460" s="20"/>
      <c r="D460" s="21" t="s">
        <v>277</v>
      </c>
      <c r="E460" s="26">
        <v>1</v>
      </c>
      <c r="F460" s="22">
        <v>50</v>
      </c>
      <c r="G460" s="23" t="s">
        <v>98</v>
      </c>
      <c r="H460" s="22">
        <v>10</v>
      </c>
      <c r="I460" s="23" t="s">
        <v>277</v>
      </c>
      <c r="J460" s="24">
        <v>3300</v>
      </c>
      <c r="K460" s="21" t="s">
        <v>277</v>
      </c>
      <c r="L460" s="25">
        <v>0.125</v>
      </c>
      <c r="M460" s="25">
        <v>0.05</v>
      </c>
      <c r="N460" s="22"/>
      <c r="O460" s="23" t="s">
        <v>277</v>
      </c>
      <c r="P460" s="20">
        <f t="shared" ref="P460" si="204">(C460+(E460*F460*H460))-N460</f>
        <v>500</v>
      </c>
      <c r="Q460" s="23" t="s">
        <v>277</v>
      </c>
      <c r="R460" s="24">
        <f t="shared" ref="R460" si="205">P460*(J460-(J460*L460)-((J460-(J460*L460))*M460))</f>
        <v>1371562.5</v>
      </c>
      <c r="S460" s="24">
        <f t="shared" ref="S460" si="206">R460/1.11</f>
        <v>1235641.8918918918</v>
      </c>
    </row>
    <row r="461" spans="1:19" s="19" customFormat="1" x14ac:dyDescent="0.2">
      <c r="A461" s="18" t="s">
        <v>279</v>
      </c>
      <c r="B461" s="19" t="s">
        <v>18</v>
      </c>
      <c r="C461" s="20">
        <v>350</v>
      </c>
      <c r="D461" s="21" t="s">
        <v>277</v>
      </c>
      <c r="E461" s="26">
        <v>9</v>
      </c>
      <c r="F461" s="22">
        <v>50</v>
      </c>
      <c r="G461" s="23" t="s">
        <v>98</v>
      </c>
      <c r="H461" s="22">
        <v>10</v>
      </c>
      <c r="I461" s="23" t="s">
        <v>277</v>
      </c>
      <c r="J461" s="24">
        <v>3050</v>
      </c>
      <c r="K461" s="21" t="s">
        <v>277</v>
      </c>
      <c r="L461" s="25">
        <v>0.125</v>
      </c>
      <c r="M461" s="25">
        <v>0.05</v>
      </c>
      <c r="N461" s="22"/>
      <c r="O461" s="23" t="s">
        <v>277</v>
      </c>
      <c r="P461" s="20">
        <f t="shared" si="202"/>
        <v>4850</v>
      </c>
      <c r="Q461" s="23" t="s">
        <v>277</v>
      </c>
      <c r="R461" s="24">
        <f t="shared" si="203"/>
        <v>12296265.625</v>
      </c>
      <c r="S461" s="24">
        <f t="shared" si="191"/>
        <v>11077716.779279279</v>
      </c>
    </row>
    <row r="462" spans="1:19" s="19" customFormat="1" x14ac:dyDescent="0.2">
      <c r="A462" s="18" t="s">
        <v>280</v>
      </c>
      <c r="B462" s="19" t="s">
        <v>18</v>
      </c>
      <c r="C462" s="20">
        <v>850</v>
      </c>
      <c r="D462" s="21" t="s">
        <v>277</v>
      </c>
      <c r="E462" s="26">
        <v>1</v>
      </c>
      <c r="F462" s="22">
        <v>50</v>
      </c>
      <c r="G462" s="23" t="s">
        <v>98</v>
      </c>
      <c r="H462" s="22">
        <v>10</v>
      </c>
      <c r="I462" s="23" t="s">
        <v>277</v>
      </c>
      <c r="J462" s="24">
        <v>4200</v>
      </c>
      <c r="K462" s="21" t="s">
        <v>277</v>
      </c>
      <c r="L462" s="25">
        <v>0.125</v>
      </c>
      <c r="M462" s="25">
        <v>0.05</v>
      </c>
      <c r="N462" s="22"/>
      <c r="O462" s="23" t="s">
        <v>277</v>
      </c>
      <c r="P462" s="20">
        <f t="shared" si="202"/>
        <v>1350</v>
      </c>
      <c r="Q462" s="23" t="s">
        <v>277</v>
      </c>
      <c r="R462" s="24">
        <f t="shared" si="203"/>
        <v>4713187.5</v>
      </c>
      <c r="S462" s="24">
        <f t="shared" si="191"/>
        <v>4246114.8648648644</v>
      </c>
    </row>
    <row r="463" spans="1:19" s="19" customFormat="1" x14ac:dyDescent="0.2">
      <c r="A463" s="50" t="s">
        <v>281</v>
      </c>
      <c r="B463" s="19" t="s">
        <v>18</v>
      </c>
      <c r="C463" s="20">
        <v>2500</v>
      </c>
      <c r="D463" s="21" t="s">
        <v>277</v>
      </c>
      <c r="E463" s="26">
        <v>2</v>
      </c>
      <c r="F463" s="22">
        <v>50</v>
      </c>
      <c r="G463" s="23" t="s">
        <v>98</v>
      </c>
      <c r="H463" s="22">
        <v>10</v>
      </c>
      <c r="I463" s="23" t="s">
        <v>277</v>
      </c>
      <c r="J463" s="24">
        <v>4300</v>
      </c>
      <c r="K463" s="21" t="s">
        <v>277</v>
      </c>
      <c r="L463" s="25">
        <v>0.125</v>
      </c>
      <c r="M463" s="25">
        <v>0.05</v>
      </c>
      <c r="N463" s="22"/>
      <c r="O463" s="23" t="s">
        <v>277</v>
      </c>
      <c r="P463" s="20">
        <f t="shared" si="202"/>
        <v>3500</v>
      </c>
      <c r="Q463" s="23" t="s">
        <v>277</v>
      </c>
      <c r="R463" s="24">
        <f t="shared" si="203"/>
        <v>12510312.5</v>
      </c>
      <c r="S463" s="24">
        <f t="shared" si="191"/>
        <v>11270551.801801801</v>
      </c>
    </row>
    <row r="464" spans="1:19" s="81" customFormat="1" x14ac:dyDescent="0.2">
      <c r="A464" s="115" t="s">
        <v>282</v>
      </c>
      <c r="B464" s="81" t="s">
        <v>18</v>
      </c>
      <c r="C464" s="79"/>
      <c r="D464" s="82" t="s">
        <v>277</v>
      </c>
      <c r="E464" s="83"/>
      <c r="F464" s="84">
        <v>100</v>
      </c>
      <c r="G464" s="85" t="s">
        <v>98</v>
      </c>
      <c r="H464" s="84">
        <v>10</v>
      </c>
      <c r="I464" s="85" t="s">
        <v>277</v>
      </c>
      <c r="J464" s="86">
        <v>3000</v>
      </c>
      <c r="K464" s="82" t="s">
        <v>277</v>
      </c>
      <c r="L464" s="87">
        <v>0.125</v>
      </c>
      <c r="M464" s="87">
        <v>0.05</v>
      </c>
      <c r="N464" s="84"/>
      <c r="O464" s="85" t="s">
        <v>277</v>
      </c>
      <c r="P464" s="79">
        <f t="shared" si="202"/>
        <v>0</v>
      </c>
      <c r="Q464" s="85" t="s">
        <v>277</v>
      </c>
      <c r="R464" s="86">
        <f t="shared" si="203"/>
        <v>0</v>
      </c>
      <c r="S464" s="86">
        <f t="shared" si="191"/>
        <v>0</v>
      </c>
    </row>
    <row r="465" spans="1:19" s="81" customFormat="1" x14ac:dyDescent="0.2">
      <c r="A465" s="115" t="s">
        <v>283</v>
      </c>
      <c r="B465" s="81" t="s">
        <v>18</v>
      </c>
      <c r="C465" s="79"/>
      <c r="D465" s="82" t="s">
        <v>277</v>
      </c>
      <c r="E465" s="83"/>
      <c r="F465" s="84">
        <v>100</v>
      </c>
      <c r="G465" s="85" t="s">
        <v>98</v>
      </c>
      <c r="H465" s="84">
        <v>10</v>
      </c>
      <c r="I465" s="85" t="s">
        <v>277</v>
      </c>
      <c r="J465" s="86">
        <v>3000</v>
      </c>
      <c r="K465" s="82" t="s">
        <v>277</v>
      </c>
      <c r="L465" s="87">
        <v>0.125</v>
      </c>
      <c r="M465" s="87">
        <v>0.05</v>
      </c>
      <c r="N465" s="84"/>
      <c r="O465" s="85" t="s">
        <v>277</v>
      </c>
      <c r="P465" s="79">
        <f t="shared" si="202"/>
        <v>0</v>
      </c>
      <c r="Q465" s="85" t="s">
        <v>277</v>
      </c>
      <c r="R465" s="86">
        <f t="shared" si="203"/>
        <v>0</v>
      </c>
      <c r="S465" s="86">
        <f t="shared" si="191"/>
        <v>0</v>
      </c>
    </row>
    <row r="466" spans="1:19" s="81" customFormat="1" x14ac:dyDescent="0.2">
      <c r="A466" s="115" t="s">
        <v>284</v>
      </c>
      <c r="B466" s="81" t="s">
        <v>18</v>
      </c>
      <c r="C466" s="79"/>
      <c r="D466" s="82" t="s">
        <v>277</v>
      </c>
      <c r="E466" s="83"/>
      <c r="F466" s="84">
        <v>50</v>
      </c>
      <c r="G466" s="85" t="s">
        <v>98</v>
      </c>
      <c r="H466" s="84">
        <v>10</v>
      </c>
      <c r="I466" s="85" t="s">
        <v>277</v>
      </c>
      <c r="J466" s="86">
        <v>4300</v>
      </c>
      <c r="K466" s="82" t="s">
        <v>277</v>
      </c>
      <c r="L466" s="87">
        <v>0.125</v>
      </c>
      <c r="M466" s="87">
        <v>0.05</v>
      </c>
      <c r="N466" s="84"/>
      <c r="O466" s="85" t="s">
        <v>277</v>
      </c>
      <c r="P466" s="79">
        <f t="shared" si="202"/>
        <v>0</v>
      </c>
      <c r="Q466" s="85" t="s">
        <v>277</v>
      </c>
      <c r="R466" s="86">
        <f t="shared" si="203"/>
        <v>0</v>
      </c>
      <c r="S466" s="86">
        <f t="shared" si="191"/>
        <v>0</v>
      </c>
    </row>
    <row r="467" spans="1:19" s="81" customFormat="1" x14ac:dyDescent="0.2">
      <c r="A467" s="115" t="s">
        <v>285</v>
      </c>
      <c r="B467" s="81" t="s">
        <v>18</v>
      </c>
      <c r="C467" s="79"/>
      <c r="D467" s="82" t="s">
        <v>98</v>
      </c>
      <c r="E467" s="83"/>
      <c r="F467" s="84">
        <v>1</v>
      </c>
      <c r="G467" s="85" t="s">
        <v>20</v>
      </c>
      <c r="H467" s="84">
        <v>50</v>
      </c>
      <c r="I467" s="85" t="s">
        <v>98</v>
      </c>
      <c r="J467" s="86">
        <v>15500</v>
      </c>
      <c r="K467" s="82" t="s">
        <v>98</v>
      </c>
      <c r="L467" s="87">
        <v>0.125</v>
      </c>
      <c r="M467" s="87">
        <v>0.05</v>
      </c>
      <c r="N467" s="84"/>
      <c r="O467" s="85" t="s">
        <v>98</v>
      </c>
      <c r="P467" s="79">
        <f t="shared" si="202"/>
        <v>0</v>
      </c>
      <c r="Q467" s="85" t="s">
        <v>98</v>
      </c>
      <c r="R467" s="86">
        <f t="shared" si="203"/>
        <v>0</v>
      </c>
      <c r="S467" s="86">
        <f t="shared" si="191"/>
        <v>0</v>
      </c>
    </row>
    <row r="468" spans="1:19" s="19" customFormat="1" x14ac:dyDescent="0.2">
      <c r="A468" s="42"/>
      <c r="C468" s="20"/>
      <c r="D468" s="21"/>
      <c r="E468" s="26"/>
      <c r="F468" s="22"/>
      <c r="G468" s="23"/>
      <c r="H468" s="22"/>
      <c r="I468" s="23"/>
      <c r="J468" s="24"/>
      <c r="K468" s="21"/>
      <c r="L468" s="25"/>
      <c r="M468" s="25"/>
      <c r="N468" s="22"/>
      <c r="O468" s="23"/>
      <c r="P468" s="20"/>
      <c r="Q468" s="23"/>
      <c r="R468" s="24"/>
      <c r="S468" s="24"/>
    </row>
    <row r="469" spans="1:19" s="19" customFormat="1" x14ac:dyDescent="0.2">
      <c r="A469" s="18" t="s">
        <v>286</v>
      </c>
      <c r="B469" s="19" t="s">
        <v>25</v>
      </c>
      <c r="C469" s="20">
        <v>290</v>
      </c>
      <c r="D469" s="21" t="s">
        <v>287</v>
      </c>
      <c r="E469" s="26">
        <v>16</v>
      </c>
      <c r="F469" s="22">
        <v>1</v>
      </c>
      <c r="G469" s="23" t="s">
        <v>20</v>
      </c>
      <c r="H469" s="22">
        <v>50</v>
      </c>
      <c r="I469" s="23" t="s">
        <v>287</v>
      </c>
      <c r="J469" s="24">
        <f>1050000/50</f>
        <v>21000</v>
      </c>
      <c r="K469" s="21" t="s">
        <v>287</v>
      </c>
      <c r="L469" s="25"/>
      <c r="M469" s="25">
        <v>0.17</v>
      </c>
      <c r="N469" s="22"/>
      <c r="O469" s="23" t="s">
        <v>287</v>
      </c>
      <c r="P469" s="20">
        <f>(C469+(E469*F469*H469))-N469</f>
        <v>1090</v>
      </c>
      <c r="Q469" s="23" t="s">
        <v>287</v>
      </c>
      <c r="R469" s="24">
        <f>P469*(J469-(J469*L469)-((J469-(J469*L469))*M469))</f>
        <v>18998700</v>
      </c>
      <c r="S469" s="24">
        <f t="shared" si="191"/>
        <v>17115945.945945945</v>
      </c>
    </row>
    <row r="470" spans="1:19" s="19" customFormat="1" x14ac:dyDescent="0.2">
      <c r="A470" s="18" t="s">
        <v>288</v>
      </c>
      <c r="B470" s="19" t="s">
        <v>25</v>
      </c>
      <c r="C470" s="20">
        <v>175</v>
      </c>
      <c r="D470" s="21" t="s">
        <v>287</v>
      </c>
      <c r="E470" s="26">
        <v>1</v>
      </c>
      <c r="F470" s="22">
        <v>1</v>
      </c>
      <c r="G470" s="23" t="s">
        <v>20</v>
      </c>
      <c r="H470" s="22">
        <v>50</v>
      </c>
      <c r="I470" s="23" t="s">
        <v>287</v>
      </c>
      <c r="J470" s="24">
        <f>1350000/50</f>
        <v>27000</v>
      </c>
      <c r="K470" s="21" t="s">
        <v>287</v>
      </c>
      <c r="L470" s="25"/>
      <c r="M470" s="25">
        <v>0.17</v>
      </c>
      <c r="N470" s="22"/>
      <c r="O470" s="23" t="s">
        <v>287</v>
      </c>
      <c r="P470" s="20">
        <f>(C470+(E470*F470*H470))-N470</f>
        <v>225</v>
      </c>
      <c r="Q470" s="23" t="s">
        <v>287</v>
      </c>
      <c r="R470" s="24">
        <f>P470*(J470-(J470*L470)-((J470-(J470*L470))*M470))</f>
        <v>5042250</v>
      </c>
      <c r="S470" s="24">
        <f t="shared" si="191"/>
        <v>4542567.5675675673</v>
      </c>
    </row>
    <row r="471" spans="1:19" s="19" customFormat="1" x14ac:dyDescent="0.2">
      <c r="A471" s="18"/>
      <c r="C471" s="20"/>
      <c r="D471" s="21"/>
      <c r="E471" s="26"/>
      <c r="F471" s="22"/>
      <c r="G471" s="23"/>
      <c r="H471" s="22"/>
      <c r="I471" s="23"/>
      <c r="J471" s="24"/>
      <c r="K471" s="21"/>
      <c r="L471" s="25"/>
      <c r="M471" s="25"/>
      <c r="N471" s="22"/>
      <c r="O471" s="23"/>
      <c r="P471" s="20"/>
      <c r="Q471" s="23"/>
      <c r="R471" s="24"/>
      <c r="S471" s="24"/>
    </row>
    <row r="472" spans="1:19" s="19" customFormat="1" x14ac:dyDescent="0.2">
      <c r="A472" s="65" t="s">
        <v>289</v>
      </c>
      <c r="C472" s="20"/>
      <c r="D472" s="21"/>
      <c r="E472" s="26"/>
      <c r="F472" s="22"/>
      <c r="G472" s="23"/>
      <c r="H472" s="22"/>
      <c r="I472" s="23"/>
      <c r="J472" s="24"/>
      <c r="K472" s="21"/>
      <c r="L472" s="25"/>
      <c r="M472" s="25"/>
      <c r="N472" s="22"/>
      <c r="O472" s="23"/>
      <c r="P472" s="20"/>
      <c r="Q472" s="23"/>
      <c r="R472" s="24"/>
      <c r="S472" s="24"/>
    </row>
    <row r="473" spans="1:19" s="19" customFormat="1" x14ac:dyDescent="0.2">
      <c r="A473" s="18" t="s">
        <v>290</v>
      </c>
      <c r="B473" s="19" t="s">
        <v>18</v>
      </c>
      <c r="C473" s="20">
        <v>2</v>
      </c>
      <c r="D473" s="21" t="s">
        <v>19</v>
      </c>
      <c r="E473" s="26">
        <v>15</v>
      </c>
      <c r="F473" s="22">
        <v>1</v>
      </c>
      <c r="G473" s="23" t="s">
        <v>20</v>
      </c>
      <c r="H473" s="22">
        <v>20</v>
      </c>
      <c r="I473" s="23" t="s">
        <v>19</v>
      </c>
      <c r="J473" s="24">
        <v>40500</v>
      </c>
      <c r="K473" s="21" t="s">
        <v>19</v>
      </c>
      <c r="L473" s="25">
        <v>0.125</v>
      </c>
      <c r="M473" s="25">
        <v>0.05</v>
      </c>
      <c r="N473" s="22"/>
      <c r="O473" s="23" t="s">
        <v>19</v>
      </c>
      <c r="P473" s="20">
        <f>(C473+(E473*F473*H473))-N473</f>
        <v>302</v>
      </c>
      <c r="Q473" s="23" t="s">
        <v>19</v>
      </c>
      <c r="R473" s="24">
        <f>P473*(J473-(J473*L473)-((J473-(J473*L473))*M473))</f>
        <v>10167018.75</v>
      </c>
      <c r="S473" s="24">
        <f t="shared" si="191"/>
        <v>9159476.3513513505</v>
      </c>
    </row>
    <row r="474" spans="1:19" s="98" customFormat="1" x14ac:dyDescent="0.2">
      <c r="A474" s="90" t="s">
        <v>868</v>
      </c>
      <c r="B474" s="98" t="s">
        <v>18</v>
      </c>
      <c r="C474" s="99">
        <v>8</v>
      </c>
      <c r="D474" s="100" t="s">
        <v>19</v>
      </c>
      <c r="E474" s="101">
        <v>2</v>
      </c>
      <c r="F474" s="102">
        <v>1</v>
      </c>
      <c r="G474" s="103" t="s">
        <v>20</v>
      </c>
      <c r="H474" s="102">
        <v>20</v>
      </c>
      <c r="I474" s="103" t="s">
        <v>19</v>
      </c>
      <c r="J474" s="104">
        <v>94500</v>
      </c>
      <c r="K474" s="100" t="s">
        <v>19</v>
      </c>
      <c r="L474" s="105">
        <v>0.125</v>
      </c>
      <c r="M474" s="105">
        <v>0.05</v>
      </c>
      <c r="N474" s="102"/>
      <c r="O474" s="103" t="s">
        <v>19</v>
      </c>
      <c r="P474" s="99">
        <f>(C474+(E474*F474*H474))-N474</f>
        <v>48</v>
      </c>
      <c r="Q474" s="103" t="s">
        <v>19</v>
      </c>
      <c r="R474" s="104">
        <f>P474*(J474-(J474*L474)-((J474-(J474*L474))*M474))</f>
        <v>3770550</v>
      </c>
      <c r="S474" s="104">
        <f t="shared" si="191"/>
        <v>3396891.8918918916</v>
      </c>
    </row>
    <row r="475" spans="1:19" s="19" customFormat="1" x14ac:dyDescent="0.2">
      <c r="A475" s="18"/>
      <c r="C475" s="20"/>
      <c r="D475" s="21"/>
      <c r="E475" s="26"/>
      <c r="F475" s="22"/>
      <c r="G475" s="23"/>
      <c r="H475" s="22"/>
      <c r="I475" s="23"/>
      <c r="J475" s="24"/>
      <c r="K475" s="21"/>
      <c r="L475" s="25"/>
      <c r="M475" s="25"/>
      <c r="N475" s="22"/>
      <c r="O475" s="23"/>
      <c r="P475" s="20"/>
      <c r="Q475" s="23"/>
      <c r="R475" s="24"/>
      <c r="S475" s="24"/>
    </row>
    <row r="476" spans="1:19" s="19" customFormat="1" x14ac:dyDescent="0.2">
      <c r="A476" s="18" t="s">
        <v>291</v>
      </c>
      <c r="B476" s="19" t="s">
        <v>25</v>
      </c>
      <c r="C476" s="20">
        <v>34</v>
      </c>
      <c r="D476" s="21" t="s">
        <v>19</v>
      </c>
      <c r="E476" s="26">
        <v>6</v>
      </c>
      <c r="F476" s="22">
        <v>1</v>
      </c>
      <c r="G476" s="23" t="s">
        <v>20</v>
      </c>
      <c r="H476" s="22">
        <v>50</v>
      </c>
      <c r="I476" s="23" t="s">
        <v>19</v>
      </c>
      <c r="J476" s="24">
        <f>2250000/50</f>
        <v>45000</v>
      </c>
      <c r="K476" s="21" t="s">
        <v>19</v>
      </c>
      <c r="L476" s="25"/>
      <c r="M476" s="25">
        <v>0.17</v>
      </c>
      <c r="N476" s="22"/>
      <c r="O476" s="23" t="s">
        <v>19</v>
      </c>
      <c r="P476" s="20">
        <f>(C476+(E476*F476*H476))-N476</f>
        <v>334</v>
      </c>
      <c r="Q476" s="23" t="s">
        <v>19</v>
      </c>
      <c r="R476" s="24">
        <f>P476*(J476-(J476*L476)-((J476-(J476*L476))*M476))</f>
        <v>12474900</v>
      </c>
      <c r="S476" s="24">
        <f t="shared" si="191"/>
        <v>11238648.648648648</v>
      </c>
    </row>
    <row r="477" spans="1:19" s="19" customFormat="1" x14ac:dyDescent="0.2">
      <c r="A477" s="18" t="s">
        <v>292</v>
      </c>
      <c r="B477" s="19" t="s">
        <v>25</v>
      </c>
      <c r="C477" s="20"/>
      <c r="D477" s="21" t="s">
        <v>19</v>
      </c>
      <c r="E477" s="26">
        <v>2</v>
      </c>
      <c r="F477" s="22">
        <v>1</v>
      </c>
      <c r="G477" s="23" t="s">
        <v>20</v>
      </c>
      <c r="H477" s="22">
        <v>50</v>
      </c>
      <c r="I477" s="23" t="s">
        <v>19</v>
      </c>
      <c r="J477" s="24">
        <f>2750000/50</f>
        <v>55000</v>
      </c>
      <c r="K477" s="21" t="s">
        <v>19</v>
      </c>
      <c r="L477" s="25"/>
      <c r="M477" s="25">
        <v>0.17</v>
      </c>
      <c r="N477" s="22"/>
      <c r="O477" s="23" t="s">
        <v>19</v>
      </c>
      <c r="P477" s="20">
        <f>(C477+(E477*F477*H477))-N477</f>
        <v>100</v>
      </c>
      <c r="Q477" s="23" t="s">
        <v>19</v>
      </c>
      <c r="R477" s="24">
        <f>P477*(J477-(J477*L477)-((J477-(J477*L477))*M477))</f>
        <v>4565000</v>
      </c>
      <c r="S477" s="24">
        <f t="shared" si="191"/>
        <v>4112612.6126126121</v>
      </c>
    </row>
    <row r="478" spans="1:19" s="19" customFormat="1" x14ac:dyDescent="0.2">
      <c r="A478" s="43" t="s">
        <v>293</v>
      </c>
      <c r="B478" s="19" t="s">
        <v>25</v>
      </c>
      <c r="C478" s="20">
        <v>54</v>
      </c>
      <c r="D478" s="21" t="s">
        <v>19</v>
      </c>
      <c r="E478" s="26">
        <v>1</v>
      </c>
      <c r="F478" s="22">
        <v>1</v>
      </c>
      <c r="G478" s="23" t="s">
        <v>20</v>
      </c>
      <c r="H478" s="22">
        <v>50</v>
      </c>
      <c r="I478" s="23" t="s">
        <v>19</v>
      </c>
      <c r="J478" s="24">
        <f>4750000/50</f>
        <v>95000</v>
      </c>
      <c r="K478" s="21" t="s">
        <v>19</v>
      </c>
      <c r="L478" s="25"/>
      <c r="M478" s="25">
        <v>0.17</v>
      </c>
      <c r="N478" s="22"/>
      <c r="O478" s="23" t="s">
        <v>19</v>
      </c>
      <c r="P478" s="20">
        <f>(C478+(E478*F478*H478))-N478</f>
        <v>104</v>
      </c>
      <c r="Q478" s="23" t="s">
        <v>19</v>
      </c>
      <c r="R478" s="24">
        <f>P478*(J478-(J478*L478)-((J478-(J478*L478))*M478))</f>
        <v>8200400</v>
      </c>
      <c r="S478" s="24">
        <f t="shared" si="191"/>
        <v>7387747.7477477472</v>
      </c>
    </row>
    <row r="479" spans="1:19" s="19" customFormat="1" x14ac:dyDescent="0.2">
      <c r="A479" s="18"/>
      <c r="C479" s="20"/>
      <c r="D479" s="21"/>
      <c r="E479" s="26"/>
      <c r="F479" s="22"/>
      <c r="G479" s="23"/>
      <c r="H479" s="22"/>
      <c r="I479" s="23"/>
      <c r="J479" s="24"/>
      <c r="K479" s="21"/>
      <c r="L479" s="25"/>
      <c r="M479" s="25"/>
      <c r="N479" s="22"/>
      <c r="O479" s="23"/>
      <c r="P479" s="20"/>
      <c r="Q479" s="23"/>
      <c r="R479" s="24"/>
      <c r="S479" s="24"/>
    </row>
    <row r="480" spans="1:19" s="19" customFormat="1" ht="15.75" x14ac:dyDescent="0.25">
      <c r="A480" s="38" t="s">
        <v>294</v>
      </c>
      <c r="C480" s="20"/>
      <c r="D480" s="21"/>
      <c r="E480" s="26"/>
      <c r="F480" s="22"/>
      <c r="G480" s="23"/>
      <c r="H480" s="22"/>
      <c r="I480" s="23"/>
      <c r="J480" s="24"/>
      <c r="K480" s="21"/>
      <c r="L480" s="25"/>
      <c r="M480" s="25"/>
      <c r="N480" s="22"/>
      <c r="O480" s="23"/>
      <c r="P480" s="20"/>
      <c r="Q480" s="23"/>
      <c r="R480" s="24"/>
      <c r="S480" s="24"/>
    </row>
    <row r="481" spans="1:19" s="81" customFormat="1" x14ac:dyDescent="0.2">
      <c r="A481" s="80" t="s">
        <v>786</v>
      </c>
      <c r="B481" s="81" t="s">
        <v>18</v>
      </c>
      <c r="C481" s="79"/>
      <c r="D481" s="82" t="s">
        <v>98</v>
      </c>
      <c r="E481" s="83"/>
      <c r="F481" s="84">
        <v>1</v>
      </c>
      <c r="G481" s="85" t="s">
        <v>20</v>
      </c>
      <c r="H481" s="84">
        <v>10</v>
      </c>
      <c r="I481" s="85" t="s">
        <v>98</v>
      </c>
      <c r="J481" s="86">
        <v>85000</v>
      </c>
      <c r="K481" s="82" t="s">
        <v>98</v>
      </c>
      <c r="L481" s="87">
        <v>0.125</v>
      </c>
      <c r="M481" s="87">
        <v>0.05</v>
      </c>
      <c r="N481" s="84"/>
      <c r="O481" s="85" t="s">
        <v>98</v>
      </c>
      <c r="P481" s="79">
        <f>(C481+(E481*F481*H481))-N481</f>
        <v>0</v>
      </c>
      <c r="Q481" s="85" t="s">
        <v>98</v>
      </c>
      <c r="R481" s="86">
        <f>P481*(J481-(J481*L481)-((J481-(J481*L481))*M481))</f>
        <v>0</v>
      </c>
      <c r="S481" s="86">
        <f t="shared" ref="S481:S482" si="207">R481/1.11</f>
        <v>0</v>
      </c>
    </row>
    <row r="482" spans="1:19" s="98" customFormat="1" x14ac:dyDescent="0.2">
      <c r="A482" s="90" t="s">
        <v>295</v>
      </c>
      <c r="B482" s="98" t="s">
        <v>18</v>
      </c>
      <c r="C482" s="99"/>
      <c r="D482" s="100" t="s">
        <v>98</v>
      </c>
      <c r="E482" s="101">
        <v>2</v>
      </c>
      <c r="F482" s="102">
        <v>1</v>
      </c>
      <c r="G482" s="103" t="s">
        <v>20</v>
      </c>
      <c r="H482" s="102">
        <v>10</v>
      </c>
      <c r="I482" s="103" t="s">
        <v>98</v>
      </c>
      <c r="J482" s="104">
        <v>95000</v>
      </c>
      <c r="K482" s="100" t="s">
        <v>98</v>
      </c>
      <c r="L482" s="105">
        <v>0.125</v>
      </c>
      <c r="M482" s="105">
        <v>0.05</v>
      </c>
      <c r="N482" s="102"/>
      <c r="O482" s="103" t="s">
        <v>98</v>
      </c>
      <c r="P482" s="99">
        <f>(C482+(E482*F482*H482))-N482</f>
        <v>20</v>
      </c>
      <c r="Q482" s="103" t="s">
        <v>98</v>
      </c>
      <c r="R482" s="104">
        <f>P482*(J482-(J482*L482)-((J482-(J482*L482))*M482))</f>
        <v>1579375</v>
      </c>
      <c r="S482" s="104">
        <f t="shared" si="207"/>
        <v>1422860.3603603602</v>
      </c>
    </row>
    <row r="483" spans="1:19" s="19" customFormat="1" x14ac:dyDescent="0.2">
      <c r="A483" s="18"/>
      <c r="C483" s="20"/>
      <c r="D483" s="21"/>
      <c r="E483" s="26"/>
      <c r="F483" s="22"/>
      <c r="G483" s="23"/>
      <c r="H483" s="22"/>
      <c r="I483" s="23"/>
      <c r="J483" s="24"/>
      <c r="K483" s="21"/>
      <c r="L483" s="25"/>
      <c r="M483" s="25"/>
      <c r="N483" s="22"/>
      <c r="O483" s="23"/>
      <c r="P483" s="20"/>
      <c r="Q483" s="23"/>
      <c r="R483" s="24"/>
      <c r="S483" s="24"/>
    </row>
    <row r="484" spans="1:19" s="19" customFormat="1" x14ac:dyDescent="0.2">
      <c r="A484" s="18" t="s">
        <v>296</v>
      </c>
      <c r="B484" s="19" t="s">
        <v>25</v>
      </c>
      <c r="C484" s="20">
        <v>100</v>
      </c>
      <c r="D484" s="21" t="s">
        <v>98</v>
      </c>
      <c r="E484" s="26">
        <v>27</v>
      </c>
      <c r="F484" s="22">
        <v>1</v>
      </c>
      <c r="G484" s="23" t="s">
        <v>20</v>
      </c>
      <c r="H484" s="22">
        <v>10</v>
      </c>
      <c r="I484" s="23" t="s">
        <v>98</v>
      </c>
      <c r="J484" s="24">
        <f>1150000/10</f>
        <v>115000</v>
      </c>
      <c r="K484" s="21" t="s">
        <v>98</v>
      </c>
      <c r="L484" s="25"/>
      <c r="M484" s="25">
        <v>0.17</v>
      </c>
      <c r="N484" s="22"/>
      <c r="O484" s="23" t="s">
        <v>98</v>
      </c>
      <c r="P484" s="20">
        <f>(C484+(E484*F484*H484))-N484</f>
        <v>370</v>
      </c>
      <c r="Q484" s="23" t="s">
        <v>98</v>
      </c>
      <c r="R484" s="24">
        <f>P484*(J484-(J484*L484)-((J484-(J484*L484))*M484))</f>
        <v>35316500</v>
      </c>
      <c r="S484" s="24">
        <f t="shared" si="191"/>
        <v>31816666.666666664</v>
      </c>
    </row>
    <row r="485" spans="1:19" s="19" customFormat="1" x14ac:dyDescent="0.2">
      <c r="A485" s="18"/>
      <c r="C485" s="20"/>
      <c r="D485" s="21"/>
      <c r="E485" s="26"/>
      <c r="F485" s="22"/>
      <c r="G485" s="23"/>
      <c r="H485" s="22"/>
      <c r="I485" s="23"/>
      <c r="J485" s="24"/>
      <c r="K485" s="21"/>
      <c r="L485" s="25"/>
      <c r="M485" s="25"/>
      <c r="N485" s="22"/>
      <c r="O485" s="23"/>
      <c r="P485" s="20"/>
      <c r="Q485" s="23"/>
      <c r="R485" s="24"/>
      <c r="S485" s="24"/>
    </row>
    <row r="486" spans="1:19" s="19" customFormat="1" ht="15.75" x14ac:dyDescent="0.25">
      <c r="A486" s="38" t="s">
        <v>297</v>
      </c>
      <c r="C486" s="20"/>
      <c r="D486" s="21"/>
      <c r="E486" s="26"/>
      <c r="F486" s="22"/>
      <c r="G486" s="23"/>
      <c r="H486" s="22"/>
      <c r="I486" s="23"/>
      <c r="J486" s="24"/>
      <c r="K486" s="21"/>
      <c r="L486" s="25"/>
      <c r="M486" s="25"/>
      <c r="N486" s="22"/>
      <c r="O486" s="23"/>
      <c r="P486" s="20"/>
      <c r="Q486" s="23"/>
      <c r="R486" s="24"/>
      <c r="S486" s="24"/>
    </row>
    <row r="487" spans="1:19" s="19" customFormat="1" x14ac:dyDescent="0.2">
      <c r="A487" s="65" t="s">
        <v>298</v>
      </c>
      <c r="C487" s="20"/>
      <c r="D487" s="21"/>
      <c r="E487" s="26"/>
      <c r="F487" s="22"/>
      <c r="G487" s="23"/>
      <c r="H487" s="22"/>
      <c r="I487" s="23"/>
      <c r="J487" s="24"/>
      <c r="K487" s="21"/>
      <c r="L487" s="25"/>
      <c r="M487" s="25"/>
      <c r="N487" s="22"/>
      <c r="O487" s="23"/>
      <c r="P487" s="20"/>
      <c r="Q487" s="23"/>
      <c r="R487" s="24"/>
      <c r="S487" s="24"/>
    </row>
    <row r="488" spans="1:19" s="81" customFormat="1" x14ac:dyDescent="0.2">
      <c r="A488" s="80" t="s">
        <v>299</v>
      </c>
      <c r="B488" s="81" t="s">
        <v>18</v>
      </c>
      <c r="C488" s="79"/>
      <c r="D488" s="82" t="s">
        <v>40</v>
      </c>
      <c r="E488" s="83"/>
      <c r="F488" s="84">
        <v>48</v>
      </c>
      <c r="G488" s="85" t="s">
        <v>33</v>
      </c>
      <c r="H488" s="84">
        <v>1</v>
      </c>
      <c r="I488" s="85" t="s">
        <v>40</v>
      </c>
      <c r="J488" s="86">
        <f>1625*12</f>
        <v>19500</v>
      </c>
      <c r="K488" s="82" t="s">
        <v>40</v>
      </c>
      <c r="L488" s="87">
        <v>0.125</v>
      </c>
      <c r="M488" s="87">
        <v>0.05</v>
      </c>
      <c r="N488" s="84"/>
      <c r="O488" s="85" t="s">
        <v>40</v>
      </c>
      <c r="P488" s="79">
        <f t="shared" ref="P488:P493" si="208">(C488+(E488*F488*H488))-N488</f>
        <v>0</v>
      </c>
      <c r="Q488" s="85" t="s">
        <v>40</v>
      </c>
      <c r="R488" s="86">
        <f t="shared" ref="R488:R493" si="209">P488*(J488-(J488*L488)-((J488-(J488*L488))*M488))</f>
        <v>0</v>
      </c>
      <c r="S488" s="86">
        <f t="shared" si="191"/>
        <v>0</v>
      </c>
    </row>
    <row r="489" spans="1:19" s="19" customFormat="1" x14ac:dyDescent="0.2">
      <c r="A489" s="18" t="s">
        <v>722</v>
      </c>
      <c r="B489" s="19" t="s">
        <v>18</v>
      </c>
      <c r="C489" s="20">
        <v>16</v>
      </c>
      <c r="D489" s="21" t="s">
        <v>40</v>
      </c>
      <c r="E489" s="26"/>
      <c r="F489" s="22">
        <v>24</v>
      </c>
      <c r="G489" s="23" t="s">
        <v>33</v>
      </c>
      <c r="H489" s="22">
        <v>1</v>
      </c>
      <c r="I489" s="23" t="s">
        <v>40</v>
      </c>
      <c r="J489" s="24">
        <f>2500*12</f>
        <v>30000</v>
      </c>
      <c r="K489" s="21" t="s">
        <v>40</v>
      </c>
      <c r="L489" s="25">
        <v>0.125</v>
      </c>
      <c r="M489" s="25">
        <v>0.05</v>
      </c>
      <c r="N489" s="22"/>
      <c r="O489" s="23" t="s">
        <v>40</v>
      </c>
      <c r="P489" s="20">
        <f t="shared" si="208"/>
        <v>16</v>
      </c>
      <c r="Q489" s="23" t="s">
        <v>40</v>
      </c>
      <c r="R489" s="24">
        <f t="shared" si="209"/>
        <v>399000</v>
      </c>
      <c r="S489" s="24">
        <f t="shared" si="191"/>
        <v>359459.45945945941</v>
      </c>
    </row>
    <row r="490" spans="1:19" s="19" customFormat="1" x14ac:dyDescent="0.2">
      <c r="A490" s="42" t="s">
        <v>300</v>
      </c>
      <c r="B490" s="19" t="s">
        <v>18</v>
      </c>
      <c r="C490" s="20"/>
      <c r="D490" s="21" t="s">
        <v>40</v>
      </c>
      <c r="E490" s="26">
        <v>2</v>
      </c>
      <c r="F490" s="22">
        <v>48</v>
      </c>
      <c r="G490" s="23" t="s">
        <v>33</v>
      </c>
      <c r="H490" s="22">
        <v>1</v>
      </c>
      <c r="I490" s="23" t="s">
        <v>40</v>
      </c>
      <c r="J490" s="24">
        <f>1550*12</f>
        <v>18600</v>
      </c>
      <c r="K490" s="21" t="s">
        <v>40</v>
      </c>
      <c r="L490" s="25">
        <v>0.125</v>
      </c>
      <c r="M490" s="25">
        <v>0.05</v>
      </c>
      <c r="N490" s="22"/>
      <c r="O490" s="23" t="s">
        <v>40</v>
      </c>
      <c r="P490" s="20">
        <f t="shared" si="208"/>
        <v>96</v>
      </c>
      <c r="Q490" s="23" t="s">
        <v>40</v>
      </c>
      <c r="R490" s="24">
        <f t="shared" si="209"/>
        <v>1484280</v>
      </c>
      <c r="S490" s="24">
        <f t="shared" si="191"/>
        <v>1337189.1891891891</v>
      </c>
    </row>
    <row r="491" spans="1:19" s="19" customFormat="1" x14ac:dyDescent="0.2">
      <c r="A491" s="42" t="s">
        <v>301</v>
      </c>
      <c r="B491" s="19" t="s">
        <v>18</v>
      </c>
      <c r="C491" s="20">
        <v>24</v>
      </c>
      <c r="D491" s="21" t="s">
        <v>40</v>
      </c>
      <c r="E491" s="26">
        <v>9</v>
      </c>
      <c r="F491" s="22">
        <v>24</v>
      </c>
      <c r="G491" s="23" t="s">
        <v>33</v>
      </c>
      <c r="H491" s="22">
        <v>1</v>
      </c>
      <c r="I491" s="23" t="s">
        <v>40</v>
      </c>
      <c r="J491" s="24">
        <f>2150*12</f>
        <v>25800</v>
      </c>
      <c r="K491" s="21" t="s">
        <v>40</v>
      </c>
      <c r="L491" s="25">
        <v>0.125</v>
      </c>
      <c r="M491" s="25">
        <v>0.05</v>
      </c>
      <c r="N491" s="22"/>
      <c r="O491" s="23" t="s">
        <v>40</v>
      </c>
      <c r="P491" s="20">
        <f t="shared" si="208"/>
        <v>240</v>
      </c>
      <c r="Q491" s="23" t="s">
        <v>40</v>
      </c>
      <c r="R491" s="24">
        <f t="shared" si="209"/>
        <v>5147100</v>
      </c>
      <c r="S491" s="24">
        <f t="shared" si="191"/>
        <v>4637027.0270270268</v>
      </c>
    </row>
    <row r="492" spans="1:19" s="19" customFormat="1" x14ac:dyDescent="0.2">
      <c r="A492" s="42" t="s">
        <v>824</v>
      </c>
      <c r="B492" s="19" t="s">
        <v>18</v>
      </c>
      <c r="C492" s="20"/>
      <c r="D492" s="21" t="s">
        <v>40</v>
      </c>
      <c r="E492" s="26">
        <v>1</v>
      </c>
      <c r="F492" s="22">
        <v>24</v>
      </c>
      <c r="G492" s="23" t="s">
        <v>33</v>
      </c>
      <c r="H492" s="22">
        <v>1</v>
      </c>
      <c r="I492" s="23" t="s">
        <v>40</v>
      </c>
      <c r="J492" s="24">
        <v>31200</v>
      </c>
      <c r="K492" s="21" t="s">
        <v>40</v>
      </c>
      <c r="L492" s="25">
        <v>0.125</v>
      </c>
      <c r="M492" s="25">
        <v>0.05</v>
      </c>
      <c r="N492" s="22"/>
      <c r="O492" s="23" t="s">
        <v>40</v>
      </c>
      <c r="P492" s="20">
        <f t="shared" si="208"/>
        <v>24</v>
      </c>
      <c r="Q492" s="23" t="s">
        <v>40</v>
      </c>
      <c r="R492" s="24">
        <f t="shared" si="209"/>
        <v>622440</v>
      </c>
      <c r="S492" s="24">
        <f t="shared" ref="S492" si="210">R492/1.11</f>
        <v>560756.75675675669</v>
      </c>
    </row>
    <row r="493" spans="1:19" s="81" customFormat="1" x14ac:dyDescent="0.2">
      <c r="A493" s="80" t="s">
        <v>302</v>
      </c>
      <c r="B493" s="81" t="s">
        <v>18</v>
      </c>
      <c r="C493" s="79"/>
      <c r="D493" s="82" t="s">
        <v>40</v>
      </c>
      <c r="E493" s="83"/>
      <c r="F493" s="84">
        <v>24</v>
      </c>
      <c r="G493" s="85" t="s">
        <v>33</v>
      </c>
      <c r="H493" s="84">
        <v>1</v>
      </c>
      <c r="I493" s="85" t="s">
        <v>40</v>
      </c>
      <c r="J493" s="86">
        <f>3000*12</f>
        <v>36000</v>
      </c>
      <c r="K493" s="82" t="s">
        <v>40</v>
      </c>
      <c r="L493" s="87">
        <v>0.125</v>
      </c>
      <c r="M493" s="87">
        <v>0.05</v>
      </c>
      <c r="N493" s="84"/>
      <c r="O493" s="85" t="s">
        <v>40</v>
      </c>
      <c r="P493" s="79">
        <f t="shared" si="208"/>
        <v>0</v>
      </c>
      <c r="Q493" s="85" t="s">
        <v>40</v>
      </c>
      <c r="R493" s="86">
        <f t="shared" si="209"/>
        <v>0</v>
      </c>
      <c r="S493" s="86">
        <f t="shared" si="191"/>
        <v>0</v>
      </c>
    </row>
    <row r="494" spans="1:19" s="19" customFormat="1" x14ac:dyDescent="0.2">
      <c r="A494" s="18"/>
      <c r="C494" s="20"/>
      <c r="D494" s="21"/>
      <c r="E494" s="26"/>
      <c r="F494" s="22"/>
      <c r="G494" s="23"/>
      <c r="H494" s="22"/>
      <c r="I494" s="23"/>
      <c r="J494" s="24"/>
      <c r="K494" s="21"/>
      <c r="L494" s="25"/>
      <c r="M494" s="25"/>
      <c r="N494" s="22"/>
      <c r="O494" s="23"/>
      <c r="P494" s="20"/>
      <c r="Q494" s="23"/>
      <c r="R494" s="24"/>
      <c r="S494" s="24"/>
    </row>
    <row r="495" spans="1:19" s="19" customFormat="1" x14ac:dyDescent="0.2">
      <c r="A495" s="18" t="s">
        <v>303</v>
      </c>
      <c r="B495" s="19" t="s">
        <v>25</v>
      </c>
      <c r="C495" s="20">
        <v>40</v>
      </c>
      <c r="D495" s="21" t="s">
        <v>40</v>
      </c>
      <c r="E495" s="26">
        <v>53</v>
      </c>
      <c r="F495" s="22">
        <v>1</v>
      </c>
      <c r="G495" s="23" t="s">
        <v>20</v>
      </c>
      <c r="H495" s="22">
        <v>20</v>
      </c>
      <c r="I495" s="23" t="s">
        <v>40</v>
      </c>
      <c r="J495" s="24">
        <f>396000/20</f>
        <v>19800</v>
      </c>
      <c r="K495" s="21" t="s">
        <v>40</v>
      </c>
      <c r="L495" s="25"/>
      <c r="M495" s="25">
        <v>0.17</v>
      </c>
      <c r="N495" s="22"/>
      <c r="O495" s="23" t="s">
        <v>40</v>
      </c>
      <c r="P495" s="20">
        <f>(C495+(E495*F495*H495))-N495</f>
        <v>1100</v>
      </c>
      <c r="Q495" s="23" t="s">
        <v>40</v>
      </c>
      <c r="R495" s="24">
        <f>P495*(J495-(J495*L495)-((J495-(J495*L495))*M495))</f>
        <v>18077400</v>
      </c>
      <c r="S495" s="24">
        <f t="shared" si="191"/>
        <v>16285945.945945945</v>
      </c>
    </row>
    <row r="496" spans="1:19" s="19" customFormat="1" x14ac:dyDescent="0.2">
      <c r="A496" s="18" t="s">
        <v>304</v>
      </c>
      <c r="B496" s="19" t="s">
        <v>25</v>
      </c>
      <c r="C496" s="20">
        <v>29</v>
      </c>
      <c r="D496" s="21" t="s">
        <v>40</v>
      </c>
      <c r="E496" s="26">
        <v>12</v>
      </c>
      <c r="F496" s="22">
        <v>1</v>
      </c>
      <c r="G496" s="23" t="s">
        <v>20</v>
      </c>
      <c r="H496" s="22">
        <v>20</v>
      </c>
      <c r="I496" s="23" t="s">
        <v>40</v>
      </c>
      <c r="J496" s="24">
        <f>504000/20</f>
        <v>25200</v>
      </c>
      <c r="K496" s="21" t="s">
        <v>40</v>
      </c>
      <c r="L496" s="25"/>
      <c r="M496" s="25">
        <v>0.17</v>
      </c>
      <c r="N496" s="22"/>
      <c r="O496" s="23" t="s">
        <v>40</v>
      </c>
      <c r="P496" s="20">
        <f>(C496+(E496*F496*H496))-N496</f>
        <v>269</v>
      </c>
      <c r="Q496" s="23" t="s">
        <v>40</v>
      </c>
      <c r="R496" s="24">
        <f>P496*(J496-(J496*L496)-((J496-(J496*L496))*M496))</f>
        <v>5626404</v>
      </c>
      <c r="S496" s="24">
        <f t="shared" si="191"/>
        <v>5068832.4324324317</v>
      </c>
    </row>
    <row r="497" spans="1:19" s="81" customFormat="1" x14ac:dyDescent="0.2">
      <c r="A497" s="80" t="s">
        <v>305</v>
      </c>
      <c r="B497" s="81" t="s">
        <v>25</v>
      </c>
      <c r="C497" s="79"/>
      <c r="D497" s="82" t="s">
        <v>40</v>
      </c>
      <c r="E497" s="83"/>
      <c r="F497" s="84">
        <v>1</v>
      </c>
      <c r="G497" s="85" t="s">
        <v>20</v>
      </c>
      <c r="H497" s="84">
        <v>20</v>
      </c>
      <c r="I497" s="85" t="s">
        <v>40</v>
      </c>
      <c r="J497" s="86">
        <f>480000/20</f>
        <v>24000</v>
      </c>
      <c r="K497" s="82" t="s">
        <v>40</v>
      </c>
      <c r="L497" s="87"/>
      <c r="M497" s="87">
        <v>0.17</v>
      </c>
      <c r="N497" s="84"/>
      <c r="O497" s="85" t="s">
        <v>40</v>
      </c>
      <c r="P497" s="79">
        <f>(C497+(E497*F497*H497))-N497</f>
        <v>0</v>
      </c>
      <c r="Q497" s="85" t="s">
        <v>40</v>
      </c>
      <c r="R497" s="86">
        <f>P497*(J497-(J497*L497)-((J497-(J497*L497))*M497))</f>
        <v>0</v>
      </c>
      <c r="S497" s="86">
        <f t="shared" si="191"/>
        <v>0</v>
      </c>
    </row>
    <row r="498" spans="1:19" s="19" customFormat="1" x14ac:dyDescent="0.2">
      <c r="A498" s="18"/>
      <c r="C498" s="20"/>
      <c r="D498" s="21"/>
      <c r="E498" s="26"/>
      <c r="F498" s="22"/>
      <c r="G498" s="23"/>
      <c r="H498" s="22"/>
      <c r="I498" s="23"/>
      <c r="J498" s="24"/>
      <c r="K498" s="21"/>
      <c r="L498" s="25"/>
      <c r="M498" s="25"/>
      <c r="N498" s="22"/>
      <c r="O498" s="23"/>
      <c r="P498" s="20"/>
      <c r="Q498" s="23"/>
      <c r="R498" s="24"/>
      <c r="S498" s="24"/>
    </row>
    <row r="499" spans="1:19" s="19" customFormat="1" x14ac:dyDescent="0.2">
      <c r="A499" s="18" t="s">
        <v>840</v>
      </c>
      <c r="B499" s="19" t="s">
        <v>834</v>
      </c>
      <c r="C499" s="20">
        <v>430</v>
      </c>
      <c r="D499" s="21" t="s">
        <v>835</v>
      </c>
      <c r="E499" s="26">
        <v>9</v>
      </c>
      <c r="F499" s="22">
        <v>1</v>
      </c>
      <c r="G499" s="23" t="s">
        <v>20</v>
      </c>
      <c r="H499" s="22">
        <v>432</v>
      </c>
      <c r="I499" s="23" t="s">
        <v>835</v>
      </c>
      <c r="J499" s="24">
        <v>1400</v>
      </c>
      <c r="K499" s="21" t="s">
        <v>835</v>
      </c>
      <c r="L499" s="25"/>
      <c r="M499" s="25">
        <v>0.05</v>
      </c>
      <c r="N499" s="22"/>
      <c r="O499" s="23" t="s">
        <v>835</v>
      </c>
      <c r="P499" s="20">
        <f>(C499+(E499*F499*H499))-N499</f>
        <v>4318</v>
      </c>
      <c r="Q499" s="23" t="s">
        <v>835</v>
      </c>
      <c r="R499" s="24">
        <f>P499*(J499-(J499*L499)-((J499-(J499*L499))*M499))</f>
        <v>5742940</v>
      </c>
      <c r="S499" s="24">
        <f t="shared" ref="S499" si="211">R499/1.11</f>
        <v>5173819.8198198192</v>
      </c>
    </row>
    <row r="500" spans="1:19" s="19" customFormat="1" x14ac:dyDescent="0.2">
      <c r="A500" s="18"/>
      <c r="C500" s="20"/>
      <c r="D500" s="21"/>
      <c r="E500" s="26"/>
      <c r="F500" s="22"/>
      <c r="G500" s="23"/>
      <c r="H500" s="22"/>
      <c r="I500" s="23"/>
      <c r="J500" s="24"/>
      <c r="K500" s="21"/>
      <c r="L500" s="25"/>
      <c r="M500" s="25"/>
      <c r="N500" s="22"/>
      <c r="O500" s="23"/>
      <c r="P500" s="20"/>
      <c r="Q500" s="23"/>
      <c r="R500" s="24"/>
      <c r="S500" s="24"/>
    </row>
    <row r="501" spans="1:19" s="19" customFormat="1" x14ac:dyDescent="0.2">
      <c r="A501" s="65" t="s">
        <v>306</v>
      </c>
      <c r="C501" s="20"/>
      <c r="D501" s="21"/>
      <c r="E501" s="26"/>
      <c r="F501" s="22"/>
      <c r="G501" s="23"/>
      <c r="H501" s="22"/>
      <c r="I501" s="23"/>
      <c r="J501" s="24"/>
      <c r="K501" s="21"/>
      <c r="L501" s="25"/>
      <c r="M501" s="25"/>
      <c r="N501" s="22"/>
      <c r="O501" s="23"/>
      <c r="P501" s="20"/>
      <c r="Q501" s="23"/>
      <c r="R501" s="24"/>
      <c r="S501" s="24">
        <f t="shared" si="191"/>
        <v>0</v>
      </c>
    </row>
    <row r="502" spans="1:19" s="19" customFormat="1" x14ac:dyDescent="0.2">
      <c r="A502" s="18" t="s">
        <v>307</v>
      </c>
      <c r="B502" s="19" t="s">
        <v>18</v>
      </c>
      <c r="C502" s="20">
        <v>91</v>
      </c>
      <c r="D502" s="21" t="s">
        <v>33</v>
      </c>
      <c r="E502" s="26">
        <v>31</v>
      </c>
      <c r="F502" s="22">
        <v>1</v>
      </c>
      <c r="G502" s="23" t="s">
        <v>20</v>
      </c>
      <c r="H502" s="22">
        <v>64</v>
      </c>
      <c r="I502" s="23" t="s">
        <v>33</v>
      </c>
      <c r="J502" s="24">
        <f>2100*12</f>
        <v>25200</v>
      </c>
      <c r="K502" s="21" t="s">
        <v>33</v>
      </c>
      <c r="L502" s="25">
        <v>0.125</v>
      </c>
      <c r="M502" s="25">
        <v>0.05</v>
      </c>
      <c r="N502" s="22"/>
      <c r="O502" s="23" t="s">
        <v>33</v>
      </c>
      <c r="P502" s="20">
        <f t="shared" ref="P502:P510" si="212">(C502+(E502*F502*H502))-N502</f>
        <v>2075</v>
      </c>
      <c r="Q502" s="23" t="s">
        <v>33</v>
      </c>
      <c r="R502" s="24">
        <f t="shared" ref="R502:R510" si="213">P502*(J502-(J502*L502)-((J502-(J502*L502))*M502))</f>
        <v>43466062.5</v>
      </c>
      <c r="S502" s="24">
        <f t="shared" si="191"/>
        <v>39158614.864864863</v>
      </c>
    </row>
    <row r="503" spans="1:19" s="19" customFormat="1" x14ac:dyDescent="0.2">
      <c r="A503" s="18" t="s">
        <v>309</v>
      </c>
      <c r="B503" s="19" t="s">
        <v>18</v>
      </c>
      <c r="C503" s="20">
        <v>72</v>
      </c>
      <c r="D503" s="21" t="s">
        <v>33</v>
      </c>
      <c r="E503" s="26">
        <v>12</v>
      </c>
      <c r="F503" s="22">
        <v>1</v>
      </c>
      <c r="G503" s="23" t="s">
        <v>20</v>
      </c>
      <c r="H503" s="22">
        <v>36</v>
      </c>
      <c r="I503" s="23" t="s">
        <v>33</v>
      </c>
      <c r="J503" s="24">
        <f>2100*24</f>
        <v>50400</v>
      </c>
      <c r="K503" s="21" t="s">
        <v>33</v>
      </c>
      <c r="L503" s="25">
        <v>0.125</v>
      </c>
      <c r="M503" s="25">
        <v>0.05</v>
      </c>
      <c r="N503" s="22"/>
      <c r="O503" s="23" t="s">
        <v>33</v>
      </c>
      <c r="P503" s="20">
        <f t="shared" si="212"/>
        <v>504</v>
      </c>
      <c r="Q503" s="23" t="s">
        <v>33</v>
      </c>
      <c r="R503" s="24">
        <f t="shared" si="213"/>
        <v>21115080</v>
      </c>
      <c r="S503" s="24">
        <f>R503/1.11</f>
        <v>19022594.594594594</v>
      </c>
    </row>
    <row r="504" spans="1:19" s="81" customFormat="1" x14ac:dyDescent="0.2">
      <c r="A504" s="116" t="s">
        <v>721</v>
      </c>
      <c r="B504" s="81" t="s">
        <v>18</v>
      </c>
      <c r="C504" s="79"/>
      <c r="D504" s="82" t="s">
        <v>33</v>
      </c>
      <c r="E504" s="83">
        <v>4</v>
      </c>
      <c r="F504" s="84">
        <v>1</v>
      </c>
      <c r="G504" s="85" t="s">
        <v>20</v>
      </c>
      <c r="H504" s="84">
        <v>36</v>
      </c>
      <c r="I504" s="85" t="s">
        <v>33</v>
      </c>
      <c r="J504" s="86">
        <f>2300*24</f>
        <v>55200</v>
      </c>
      <c r="K504" s="82" t="s">
        <v>33</v>
      </c>
      <c r="L504" s="87">
        <v>0.125</v>
      </c>
      <c r="M504" s="87">
        <v>0.05</v>
      </c>
      <c r="N504" s="84"/>
      <c r="O504" s="85" t="s">
        <v>33</v>
      </c>
      <c r="P504" s="79">
        <f t="shared" si="212"/>
        <v>144</v>
      </c>
      <c r="Q504" s="85" t="s">
        <v>33</v>
      </c>
      <c r="R504" s="86">
        <f t="shared" si="213"/>
        <v>6607440</v>
      </c>
      <c r="S504" s="86">
        <f>R504/1.11</f>
        <v>5952648.6486486485</v>
      </c>
    </row>
    <row r="505" spans="1:19" s="81" customFormat="1" x14ac:dyDescent="0.2">
      <c r="A505" s="80" t="s">
        <v>720</v>
      </c>
      <c r="B505" s="81" t="s">
        <v>18</v>
      </c>
      <c r="C505" s="79"/>
      <c r="D505" s="82" t="s">
        <v>33</v>
      </c>
      <c r="E505" s="83"/>
      <c r="F505" s="84">
        <v>1</v>
      </c>
      <c r="G505" s="85" t="s">
        <v>20</v>
      </c>
      <c r="H505" s="84">
        <v>32</v>
      </c>
      <c r="I505" s="85" t="s">
        <v>33</v>
      </c>
      <c r="J505" s="86">
        <f>1300*12</f>
        <v>15600</v>
      </c>
      <c r="K505" s="82" t="s">
        <v>33</v>
      </c>
      <c r="L505" s="87">
        <v>0.125</v>
      </c>
      <c r="M505" s="87">
        <v>0.05</v>
      </c>
      <c r="N505" s="84"/>
      <c r="O505" s="85" t="s">
        <v>33</v>
      </c>
      <c r="P505" s="79">
        <f t="shared" si="212"/>
        <v>0</v>
      </c>
      <c r="Q505" s="85" t="s">
        <v>33</v>
      </c>
      <c r="R505" s="86">
        <f t="shared" si="213"/>
        <v>0</v>
      </c>
      <c r="S505" s="86">
        <f>R505/1.11</f>
        <v>0</v>
      </c>
    </row>
    <row r="506" spans="1:19" s="19" customFormat="1" x14ac:dyDescent="0.2">
      <c r="A506" s="18" t="s">
        <v>308</v>
      </c>
      <c r="B506" s="19" t="s">
        <v>18</v>
      </c>
      <c r="C506" s="20">
        <v>38</v>
      </c>
      <c r="D506" s="21" t="s">
        <v>33</v>
      </c>
      <c r="E506" s="26"/>
      <c r="F506" s="22">
        <v>1</v>
      </c>
      <c r="G506" s="23" t="s">
        <v>20</v>
      </c>
      <c r="H506" s="22">
        <v>54</v>
      </c>
      <c r="I506" s="23" t="s">
        <v>33</v>
      </c>
      <c r="J506" s="24">
        <f>3400*12</f>
        <v>40800</v>
      </c>
      <c r="K506" s="21" t="s">
        <v>33</v>
      </c>
      <c r="L506" s="25">
        <v>0.125</v>
      </c>
      <c r="M506" s="25">
        <v>0.05</v>
      </c>
      <c r="N506" s="22"/>
      <c r="O506" s="23" t="s">
        <v>33</v>
      </c>
      <c r="P506" s="20">
        <f t="shared" si="212"/>
        <v>38</v>
      </c>
      <c r="Q506" s="23" t="s">
        <v>33</v>
      </c>
      <c r="R506" s="24">
        <f t="shared" si="213"/>
        <v>1288770</v>
      </c>
      <c r="S506" s="24">
        <f t="shared" si="191"/>
        <v>1161054.054054054</v>
      </c>
    </row>
    <row r="507" spans="1:19" s="98" customFormat="1" x14ac:dyDescent="0.2">
      <c r="A507" s="131" t="s">
        <v>763</v>
      </c>
      <c r="B507" s="98" t="s">
        <v>18</v>
      </c>
      <c r="C507" s="99"/>
      <c r="D507" s="100" t="s">
        <v>33</v>
      </c>
      <c r="E507" s="101">
        <v>1</v>
      </c>
      <c r="F507" s="102">
        <v>1</v>
      </c>
      <c r="G507" s="103" t="s">
        <v>20</v>
      </c>
      <c r="H507" s="102">
        <v>24</v>
      </c>
      <c r="I507" s="103" t="s">
        <v>33</v>
      </c>
      <c r="J507" s="104">
        <f>3300*24</f>
        <v>79200</v>
      </c>
      <c r="K507" s="100" t="s">
        <v>33</v>
      </c>
      <c r="L507" s="105">
        <v>0.125</v>
      </c>
      <c r="M507" s="105">
        <v>0.05</v>
      </c>
      <c r="N507" s="102"/>
      <c r="O507" s="103" t="s">
        <v>33</v>
      </c>
      <c r="P507" s="99">
        <f t="shared" si="212"/>
        <v>24</v>
      </c>
      <c r="Q507" s="103" t="s">
        <v>33</v>
      </c>
      <c r="R507" s="104">
        <f t="shared" si="213"/>
        <v>1580040</v>
      </c>
      <c r="S507" s="104">
        <f>R507/1.11</f>
        <v>1423459.4594594594</v>
      </c>
    </row>
    <row r="508" spans="1:19" s="19" customFormat="1" x14ac:dyDescent="0.2">
      <c r="A508" s="49" t="s">
        <v>310</v>
      </c>
      <c r="B508" s="19" t="s">
        <v>18</v>
      </c>
      <c r="C508" s="20"/>
      <c r="D508" s="21" t="s">
        <v>33</v>
      </c>
      <c r="E508" s="26">
        <v>26</v>
      </c>
      <c r="F508" s="22">
        <v>1</v>
      </c>
      <c r="G508" s="23" t="s">
        <v>20</v>
      </c>
      <c r="H508" s="22">
        <v>36</v>
      </c>
      <c r="I508" s="23" t="s">
        <v>33</v>
      </c>
      <c r="J508" s="24">
        <f>2450*24</f>
        <v>58800</v>
      </c>
      <c r="K508" s="21" t="s">
        <v>33</v>
      </c>
      <c r="L508" s="25">
        <v>0.125</v>
      </c>
      <c r="M508" s="25">
        <v>0.05</v>
      </c>
      <c r="N508" s="22"/>
      <c r="O508" s="23" t="s">
        <v>33</v>
      </c>
      <c r="P508" s="20">
        <f t="shared" si="212"/>
        <v>936</v>
      </c>
      <c r="Q508" s="23" t="s">
        <v>33</v>
      </c>
      <c r="R508" s="24">
        <f t="shared" si="213"/>
        <v>45749340</v>
      </c>
      <c r="S508" s="24">
        <f>R508/1.11</f>
        <v>41215621.621621616</v>
      </c>
    </row>
    <row r="509" spans="1:19" s="19" customFormat="1" x14ac:dyDescent="0.2">
      <c r="A509" s="149" t="s">
        <v>928</v>
      </c>
      <c r="B509" s="19" t="s">
        <v>18</v>
      </c>
      <c r="C509" s="20"/>
      <c r="D509" s="21" t="s">
        <v>33</v>
      </c>
      <c r="E509" s="26">
        <v>1</v>
      </c>
      <c r="F509" s="22">
        <v>1</v>
      </c>
      <c r="G509" s="23" t="s">
        <v>20</v>
      </c>
      <c r="H509" s="22">
        <v>36</v>
      </c>
      <c r="I509" s="23" t="s">
        <v>33</v>
      </c>
      <c r="J509" s="24">
        <v>56400</v>
      </c>
      <c r="K509" s="21" t="s">
        <v>33</v>
      </c>
      <c r="L509" s="25">
        <v>0.125</v>
      </c>
      <c r="M509" s="25">
        <v>0.05</v>
      </c>
      <c r="N509" s="22"/>
      <c r="O509" s="23" t="s">
        <v>33</v>
      </c>
      <c r="P509" s="20">
        <f t="shared" ref="P509" si="214">(C509+(E509*F509*H509))-N509</f>
        <v>36</v>
      </c>
      <c r="Q509" s="23" t="s">
        <v>33</v>
      </c>
      <c r="R509" s="24">
        <f t="shared" ref="R509" si="215">P509*(J509-(J509*L509)-((J509-(J509*L509))*M509))</f>
        <v>1687770</v>
      </c>
      <c r="S509" s="24">
        <f>R509/1.11</f>
        <v>1520513.5135135134</v>
      </c>
    </row>
    <row r="510" spans="1:19" s="81" customFormat="1" x14ac:dyDescent="0.2">
      <c r="A510" s="80" t="s">
        <v>717</v>
      </c>
      <c r="B510" s="81" t="s">
        <v>18</v>
      </c>
      <c r="C510" s="79"/>
      <c r="D510" s="82" t="s">
        <v>33</v>
      </c>
      <c r="E510" s="83"/>
      <c r="F510" s="84">
        <v>1</v>
      </c>
      <c r="G510" s="85" t="s">
        <v>20</v>
      </c>
      <c r="H510" s="84">
        <v>36</v>
      </c>
      <c r="I510" s="85" t="s">
        <v>33</v>
      </c>
      <c r="J510" s="86">
        <f>4600*12</f>
        <v>55200</v>
      </c>
      <c r="K510" s="82" t="s">
        <v>33</v>
      </c>
      <c r="L510" s="87">
        <v>0.125</v>
      </c>
      <c r="M510" s="87">
        <v>0.05</v>
      </c>
      <c r="N510" s="84"/>
      <c r="O510" s="85" t="s">
        <v>33</v>
      </c>
      <c r="P510" s="79">
        <f t="shared" si="212"/>
        <v>0</v>
      </c>
      <c r="Q510" s="85" t="s">
        <v>33</v>
      </c>
      <c r="R510" s="86">
        <f t="shared" si="213"/>
        <v>0</v>
      </c>
      <c r="S510" s="86">
        <f t="shared" ref="S510" si="216">R510/1.11</f>
        <v>0</v>
      </c>
    </row>
    <row r="511" spans="1:19" s="19" customFormat="1" x14ac:dyDescent="0.2">
      <c r="A511" s="18"/>
      <c r="C511" s="20"/>
      <c r="D511" s="21"/>
      <c r="E511" s="26"/>
      <c r="F511" s="22"/>
      <c r="G511" s="23"/>
      <c r="H511" s="22"/>
      <c r="I511" s="23"/>
      <c r="J511" s="24"/>
      <c r="K511" s="21"/>
      <c r="L511" s="25"/>
      <c r="M511" s="25"/>
      <c r="N511" s="22"/>
      <c r="O511" s="23"/>
      <c r="P511" s="20"/>
      <c r="Q511" s="23"/>
      <c r="R511" s="24"/>
      <c r="S511" s="24"/>
    </row>
    <row r="512" spans="1:19" s="19" customFormat="1" x14ac:dyDescent="0.2">
      <c r="A512" s="18" t="s">
        <v>311</v>
      </c>
      <c r="B512" s="19" t="s">
        <v>25</v>
      </c>
      <c r="C512" s="20">
        <v>77</v>
      </c>
      <c r="D512" s="21" t="s">
        <v>33</v>
      </c>
      <c r="E512" s="26">
        <v>30</v>
      </c>
      <c r="F512" s="22">
        <v>1</v>
      </c>
      <c r="G512" s="23" t="s">
        <v>20</v>
      </c>
      <c r="H512" s="22">
        <v>36</v>
      </c>
      <c r="I512" s="23" t="s">
        <v>33</v>
      </c>
      <c r="J512" s="24">
        <f>2376000/36</f>
        <v>66000</v>
      </c>
      <c r="K512" s="21" t="s">
        <v>33</v>
      </c>
      <c r="L512" s="25"/>
      <c r="M512" s="25">
        <v>0.17</v>
      </c>
      <c r="N512" s="22"/>
      <c r="O512" s="23" t="s">
        <v>33</v>
      </c>
      <c r="P512" s="20">
        <f>(C512+(E512*F512*H512))-N512</f>
        <v>1157</v>
      </c>
      <c r="Q512" s="23" t="s">
        <v>33</v>
      </c>
      <c r="R512" s="24">
        <f>P512*(J512-(J512*L512)-((J512-(J512*L512))*M512))</f>
        <v>63380460</v>
      </c>
      <c r="S512" s="24">
        <f t="shared" si="191"/>
        <v>57099513.513513505</v>
      </c>
    </row>
    <row r="513" spans="1:19" s="19" customFormat="1" x14ac:dyDescent="0.2">
      <c r="A513" s="18" t="s">
        <v>312</v>
      </c>
      <c r="B513" s="19" t="s">
        <v>25</v>
      </c>
      <c r="C513" s="20">
        <v>300</v>
      </c>
      <c r="D513" s="21" t="s">
        <v>33</v>
      </c>
      <c r="E513" s="26">
        <v>14</v>
      </c>
      <c r="F513" s="22">
        <v>1</v>
      </c>
      <c r="G513" s="23" t="s">
        <v>20</v>
      </c>
      <c r="H513" s="22">
        <v>36</v>
      </c>
      <c r="I513" s="23" t="s">
        <v>33</v>
      </c>
      <c r="J513" s="24">
        <f>2592000/36</f>
        <v>72000</v>
      </c>
      <c r="K513" s="21" t="s">
        <v>33</v>
      </c>
      <c r="L513" s="25"/>
      <c r="M513" s="25">
        <v>0.17</v>
      </c>
      <c r="N513" s="22"/>
      <c r="O513" s="23" t="s">
        <v>33</v>
      </c>
      <c r="P513" s="20">
        <f>(C513+(E513*F513*H513))-N513</f>
        <v>804</v>
      </c>
      <c r="Q513" s="23" t="s">
        <v>33</v>
      </c>
      <c r="R513" s="24">
        <f>P513*(J513-(J513*L513)-((J513-(J513*L513))*M513))</f>
        <v>48047040</v>
      </c>
      <c r="S513" s="24">
        <f t="shared" si="191"/>
        <v>43285621.621621616</v>
      </c>
    </row>
    <row r="514" spans="1:19" s="19" customFormat="1" x14ac:dyDescent="0.2">
      <c r="A514" s="18" t="s">
        <v>313</v>
      </c>
      <c r="B514" s="19" t="s">
        <v>25</v>
      </c>
      <c r="C514" s="20">
        <v>202</v>
      </c>
      <c r="D514" s="21" t="s">
        <v>33</v>
      </c>
      <c r="E514" s="26">
        <v>1</v>
      </c>
      <c r="F514" s="22">
        <v>1</v>
      </c>
      <c r="G514" s="23" t="s">
        <v>20</v>
      </c>
      <c r="H514" s="22">
        <v>36</v>
      </c>
      <c r="I514" s="23" t="s">
        <v>33</v>
      </c>
      <c r="J514" s="24">
        <f>2160000/36</f>
        <v>60000</v>
      </c>
      <c r="K514" s="21" t="s">
        <v>33</v>
      </c>
      <c r="L514" s="25"/>
      <c r="M514" s="25">
        <v>0.17</v>
      </c>
      <c r="N514" s="22"/>
      <c r="O514" s="23" t="s">
        <v>33</v>
      </c>
      <c r="P514" s="20">
        <f>(C514+(E514*F514*H514))-N514</f>
        <v>238</v>
      </c>
      <c r="Q514" s="23" t="s">
        <v>33</v>
      </c>
      <c r="R514" s="24">
        <f>P514*(J514-(J514*L514)-((J514-(J514*L514))*M514))</f>
        <v>11852400</v>
      </c>
      <c r="S514" s="24">
        <f t="shared" si="191"/>
        <v>10677837.837837838</v>
      </c>
    </row>
    <row r="515" spans="1:19" s="19" customFormat="1" x14ac:dyDescent="0.2">
      <c r="A515" s="18"/>
      <c r="C515" s="20"/>
      <c r="D515" s="21"/>
      <c r="E515" s="26"/>
      <c r="F515" s="22"/>
      <c r="G515" s="23"/>
      <c r="H515" s="22"/>
      <c r="I515" s="23"/>
      <c r="J515" s="24"/>
      <c r="K515" s="21"/>
      <c r="L515" s="25"/>
      <c r="M515" s="25"/>
      <c r="N515" s="22"/>
      <c r="O515" s="23"/>
      <c r="P515" s="20"/>
      <c r="Q515" s="23"/>
      <c r="R515" s="24"/>
      <c r="S515" s="24"/>
    </row>
    <row r="516" spans="1:19" s="19" customFormat="1" x14ac:dyDescent="0.2">
      <c r="A516" s="65" t="s">
        <v>769</v>
      </c>
      <c r="C516" s="20"/>
      <c r="D516" s="21"/>
      <c r="E516" s="26"/>
      <c r="F516" s="22"/>
      <c r="G516" s="23"/>
      <c r="H516" s="22"/>
      <c r="I516" s="23"/>
      <c r="J516" s="24"/>
      <c r="K516" s="21"/>
      <c r="L516" s="25"/>
      <c r="M516" s="25"/>
      <c r="N516" s="22"/>
      <c r="O516" s="23"/>
      <c r="P516" s="20"/>
      <c r="Q516" s="23"/>
      <c r="R516" s="24"/>
      <c r="S516" s="24"/>
    </row>
    <row r="517" spans="1:19" s="81" customFormat="1" x14ac:dyDescent="0.2">
      <c r="A517" s="80" t="s">
        <v>314</v>
      </c>
      <c r="B517" s="81" t="s">
        <v>25</v>
      </c>
      <c r="C517" s="79"/>
      <c r="D517" s="82" t="s">
        <v>102</v>
      </c>
      <c r="E517" s="83"/>
      <c r="F517" s="84">
        <v>1</v>
      </c>
      <c r="G517" s="85" t="s">
        <v>20</v>
      </c>
      <c r="H517" s="84">
        <v>60</v>
      </c>
      <c r="I517" s="85" t="s">
        <v>102</v>
      </c>
      <c r="J517" s="86">
        <v>18600</v>
      </c>
      <c r="K517" s="82" t="s">
        <v>102</v>
      </c>
      <c r="L517" s="87"/>
      <c r="M517" s="87">
        <v>0.17</v>
      </c>
      <c r="N517" s="84"/>
      <c r="O517" s="85" t="s">
        <v>102</v>
      </c>
      <c r="P517" s="79">
        <f>(C517+(E517*F517*H517))-N517</f>
        <v>0</v>
      </c>
      <c r="Q517" s="85" t="s">
        <v>102</v>
      </c>
      <c r="R517" s="86">
        <f>P517*(J517-(J517*L517)-((J517-(J517*L517))*M517))</f>
        <v>0</v>
      </c>
      <c r="S517" s="86">
        <f t="shared" si="191"/>
        <v>0</v>
      </c>
    </row>
    <row r="518" spans="1:19" s="19" customFormat="1" x14ac:dyDescent="0.2">
      <c r="A518" s="18"/>
      <c r="C518" s="20"/>
      <c r="D518" s="21"/>
      <c r="E518" s="26"/>
      <c r="F518" s="22"/>
      <c r="G518" s="23"/>
      <c r="H518" s="22"/>
      <c r="I518" s="23"/>
      <c r="J518" s="24"/>
      <c r="K518" s="21"/>
      <c r="L518" s="25"/>
      <c r="M518" s="25"/>
      <c r="N518" s="22"/>
      <c r="O518" s="23"/>
      <c r="P518" s="20"/>
      <c r="Q518" s="23"/>
      <c r="R518" s="24"/>
      <c r="S518" s="24"/>
    </row>
    <row r="519" spans="1:19" s="19" customFormat="1" x14ac:dyDescent="0.2">
      <c r="A519" s="18" t="s">
        <v>770</v>
      </c>
      <c r="B519" s="18" t="s">
        <v>171</v>
      </c>
      <c r="C519" s="44">
        <v>800</v>
      </c>
      <c r="D519" s="45" t="s">
        <v>40</v>
      </c>
      <c r="E519" s="46"/>
      <c r="F519" s="47">
        <v>1</v>
      </c>
      <c r="G519" s="42" t="s">
        <v>20</v>
      </c>
      <c r="H519" s="47">
        <v>160</v>
      </c>
      <c r="I519" s="42" t="s">
        <v>40</v>
      </c>
      <c r="J519" s="29">
        <v>7750</v>
      </c>
      <c r="K519" s="45" t="s">
        <v>40</v>
      </c>
      <c r="L519" s="48">
        <v>0.05</v>
      </c>
      <c r="M519" s="48"/>
      <c r="N519" s="47"/>
      <c r="O519" s="42" t="s">
        <v>40</v>
      </c>
      <c r="P519" s="44">
        <f>(C519+(E519*F519*H519))-N519</f>
        <v>800</v>
      </c>
      <c r="Q519" s="42" t="s">
        <v>40</v>
      </c>
      <c r="R519" s="29">
        <f>P519*(J519-(J519*L519)-((J519-(J519*L519))*M519))</f>
        <v>5890000</v>
      </c>
      <c r="S519" s="29">
        <f t="shared" si="191"/>
        <v>5306306.3063063063</v>
      </c>
    </row>
    <row r="520" spans="1:19" s="19" customFormat="1" x14ac:dyDescent="0.2">
      <c r="A520" s="18"/>
      <c r="C520" s="20"/>
      <c r="D520" s="21"/>
      <c r="E520" s="26"/>
      <c r="F520" s="22"/>
      <c r="G520" s="23"/>
      <c r="H520" s="22"/>
      <c r="I520" s="23"/>
      <c r="J520" s="24"/>
      <c r="K520" s="21"/>
      <c r="L520" s="25"/>
      <c r="M520" s="25"/>
      <c r="N520" s="22"/>
      <c r="O520" s="23"/>
      <c r="P520" s="20"/>
      <c r="Q520" s="23"/>
      <c r="R520" s="24"/>
      <c r="S520" s="24"/>
    </row>
    <row r="521" spans="1:19" s="19" customFormat="1" x14ac:dyDescent="0.2">
      <c r="A521" s="65" t="s">
        <v>315</v>
      </c>
      <c r="C521" s="20"/>
      <c r="D521" s="21"/>
      <c r="E521" s="26"/>
      <c r="F521" s="22"/>
      <c r="G521" s="23"/>
      <c r="H521" s="22"/>
      <c r="I521" s="23"/>
      <c r="J521" s="24"/>
      <c r="K521" s="21"/>
      <c r="L521" s="25"/>
      <c r="M521" s="25"/>
      <c r="N521" s="22"/>
      <c r="O521" s="23"/>
      <c r="P521" s="20"/>
      <c r="Q521" s="23"/>
      <c r="R521" s="24"/>
      <c r="S521" s="24"/>
    </row>
    <row r="522" spans="1:19" s="19" customFormat="1" x14ac:dyDescent="0.2">
      <c r="A522" s="18" t="s">
        <v>316</v>
      </c>
      <c r="B522" s="19" t="s">
        <v>317</v>
      </c>
      <c r="C522" s="20">
        <v>145</v>
      </c>
      <c r="D522" s="21" t="s">
        <v>318</v>
      </c>
      <c r="E522" s="26"/>
      <c r="F522" s="22">
        <v>1</v>
      </c>
      <c r="G522" s="23" t="s">
        <v>20</v>
      </c>
      <c r="H522" s="22">
        <v>25</v>
      </c>
      <c r="I522" s="23" t="s">
        <v>318</v>
      </c>
      <c r="J522" s="24">
        <v>55000</v>
      </c>
      <c r="K522" s="21" t="s">
        <v>318</v>
      </c>
      <c r="L522" s="25"/>
      <c r="M522" s="25"/>
      <c r="N522" s="22"/>
      <c r="O522" s="23" t="s">
        <v>318</v>
      </c>
      <c r="P522" s="20">
        <f>(C522+(E522*F522*H522))-N522</f>
        <v>145</v>
      </c>
      <c r="Q522" s="23" t="s">
        <v>318</v>
      </c>
      <c r="R522" s="24">
        <f>P522*(J522-(J522*L522)-((J522-(J522*L522))*M522))</f>
        <v>7975000</v>
      </c>
      <c r="S522" s="24">
        <f t="shared" si="191"/>
        <v>7184684.6846846845</v>
      </c>
    </row>
    <row r="523" spans="1:19" s="19" customFormat="1" x14ac:dyDescent="0.2">
      <c r="A523" s="18"/>
      <c r="C523" s="20"/>
      <c r="D523" s="21"/>
      <c r="E523" s="26"/>
      <c r="F523" s="22"/>
      <c r="G523" s="23"/>
      <c r="H523" s="22"/>
      <c r="I523" s="23"/>
      <c r="J523" s="24"/>
      <c r="K523" s="21"/>
      <c r="L523" s="25"/>
      <c r="M523" s="25"/>
      <c r="N523" s="22"/>
      <c r="O523" s="23"/>
      <c r="P523" s="20"/>
      <c r="Q523" s="23"/>
      <c r="R523" s="24"/>
      <c r="S523" s="24"/>
    </row>
    <row r="524" spans="1:19" s="19" customFormat="1" ht="15.75" x14ac:dyDescent="0.25">
      <c r="A524" s="38" t="s">
        <v>319</v>
      </c>
      <c r="C524" s="20"/>
      <c r="D524" s="21"/>
      <c r="E524" s="26"/>
      <c r="F524" s="22"/>
      <c r="G524" s="23"/>
      <c r="H524" s="22"/>
      <c r="I524" s="23"/>
      <c r="J524" s="24"/>
      <c r="K524" s="21"/>
      <c r="L524" s="25"/>
      <c r="M524" s="25"/>
      <c r="N524" s="22"/>
      <c r="O524" s="23"/>
      <c r="P524" s="20"/>
      <c r="Q524" s="23"/>
      <c r="R524" s="24"/>
      <c r="S524" s="24"/>
    </row>
    <row r="525" spans="1:19" s="81" customFormat="1" x14ac:dyDescent="0.2">
      <c r="A525" s="80" t="s">
        <v>320</v>
      </c>
      <c r="B525" s="81" t="s">
        <v>18</v>
      </c>
      <c r="C525" s="79"/>
      <c r="D525" s="82" t="s">
        <v>98</v>
      </c>
      <c r="E525" s="83"/>
      <c r="F525" s="84">
        <v>1</v>
      </c>
      <c r="G525" s="85" t="s">
        <v>20</v>
      </c>
      <c r="H525" s="84">
        <v>192</v>
      </c>
      <c r="I525" s="85" t="s">
        <v>98</v>
      </c>
      <c r="J525" s="86">
        <v>3450</v>
      </c>
      <c r="K525" s="82" t="s">
        <v>98</v>
      </c>
      <c r="L525" s="87">
        <v>0.125</v>
      </c>
      <c r="M525" s="87">
        <v>0.05</v>
      </c>
      <c r="N525" s="84"/>
      <c r="O525" s="85" t="s">
        <v>98</v>
      </c>
      <c r="P525" s="79">
        <f t="shared" ref="P525:P530" si="217">(C525+(E525*F525*H525))-N525</f>
        <v>0</v>
      </c>
      <c r="Q525" s="85" t="s">
        <v>98</v>
      </c>
      <c r="R525" s="86">
        <f t="shared" ref="R525:R530" si="218">P525*(J525-(J525*L525)-((J525-(J525*L525))*M525))</f>
        <v>0</v>
      </c>
      <c r="S525" s="86">
        <f t="shared" ref="S525:S610" si="219">R525/1.11</f>
        <v>0</v>
      </c>
    </row>
    <row r="526" spans="1:19" s="81" customFormat="1" x14ac:dyDescent="0.2">
      <c r="A526" s="80" t="s">
        <v>321</v>
      </c>
      <c r="B526" s="81" t="s">
        <v>18</v>
      </c>
      <c r="C526" s="79"/>
      <c r="D526" s="82" t="s">
        <v>98</v>
      </c>
      <c r="E526" s="83"/>
      <c r="F526" s="84">
        <v>1</v>
      </c>
      <c r="G526" s="85" t="s">
        <v>20</v>
      </c>
      <c r="H526" s="84">
        <v>160</v>
      </c>
      <c r="I526" s="85" t="s">
        <v>98</v>
      </c>
      <c r="J526" s="86">
        <v>5400</v>
      </c>
      <c r="K526" s="82" t="s">
        <v>98</v>
      </c>
      <c r="L526" s="87">
        <v>0.125</v>
      </c>
      <c r="M526" s="87">
        <v>0.05</v>
      </c>
      <c r="N526" s="84"/>
      <c r="O526" s="85" t="s">
        <v>98</v>
      </c>
      <c r="P526" s="79">
        <f t="shared" si="217"/>
        <v>0</v>
      </c>
      <c r="Q526" s="85" t="s">
        <v>98</v>
      </c>
      <c r="R526" s="86">
        <f t="shared" si="218"/>
        <v>0</v>
      </c>
      <c r="S526" s="86">
        <f t="shared" si="219"/>
        <v>0</v>
      </c>
    </row>
    <row r="527" spans="1:19" s="19" customFormat="1" x14ac:dyDescent="0.2">
      <c r="A527" s="18" t="s">
        <v>322</v>
      </c>
      <c r="B527" s="19" t="s">
        <v>18</v>
      </c>
      <c r="C527" s="20"/>
      <c r="D527" s="21" t="s">
        <v>98</v>
      </c>
      <c r="E527" s="26">
        <v>5</v>
      </c>
      <c r="F527" s="22">
        <v>1</v>
      </c>
      <c r="G527" s="23" t="s">
        <v>20</v>
      </c>
      <c r="H527" s="22">
        <v>192</v>
      </c>
      <c r="I527" s="23" t="s">
        <v>98</v>
      </c>
      <c r="J527" s="24">
        <v>3600</v>
      </c>
      <c r="K527" s="21" t="s">
        <v>98</v>
      </c>
      <c r="L527" s="25">
        <v>0.125</v>
      </c>
      <c r="M527" s="25">
        <v>0.05</v>
      </c>
      <c r="N527" s="22"/>
      <c r="O527" s="23" t="s">
        <v>98</v>
      </c>
      <c r="P527" s="20">
        <f t="shared" si="217"/>
        <v>960</v>
      </c>
      <c r="Q527" s="23" t="s">
        <v>98</v>
      </c>
      <c r="R527" s="24">
        <f t="shared" si="218"/>
        <v>2872800</v>
      </c>
      <c r="S527" s="24">
        <f t="shared" si="219"/>
        <v>2588108.1081081079</v>
      </c>
    </row>
    <row r="528" spans="1:19" s="19" customFormat="1" x14ac:dyDescent="0.2">
      <c r="A528" s="18" t="s">
        <v>323</v>
      </c>
      <c r="B528" s="19" t="s">
        <v>18</v>
      </c>
      <c r="C528" s="20">
        <v>43</v>
      </c>
      <c r="D528" s="21" t="s">
        <v>98</v>
      </c>
      <c r="E528" s="26">
        <v>7</v>
      </c>
      <c r="F528" s="22">
        <v>1</v>
      </c>
      <c r="G528" s="23" t="s">
        <v>20</v>
      </c>
      <c r="H528" s="22">
        <v>96</v>
      </c>
      <c r="I528" s="23" t="s">
        <v>98</v>
      </c>
      <c r="J528" s="24">
        <v>7000</v>
      </c>
      <c r="K528" s="21" t="s">
        <v>98</v>
      </c>
      <c r="L528" s="25">
        <v>0.125</v>
      </c>
      <c r="M528" s="25">
        <v>0.05</v>
      </c>
      <c r="N528" s="22"/>
      <c r="O528" s="23" t="s">
        <v>98</v>
      </c>
      <c r="P528" s="20">
        <f t="shared" si="217"/>
        <v>715</v>
      </c>
      <c r="Q528" s="23" t="s">
        <v>98</v>
      </c>
      <c r="R528" s="24">
        <f t="shared" si="218"/>
        <v>4160406.25</v>
      </c>
      <c r="S528" s="24">
        <f t="shared" si="219"/>
        <v>3748113.7387387385</v>
      </c>
    </row>
    <row r="529" spans="1:20" s="81" customFormat="1" x14ac:dyDescent="0.2">
      <c r="A529" s="80" t="s">
        <v>754</v>
      </c>
      <c r="B529" s="81" t="s">
        <v>18</v>
      </c>
      <c r="C529" s="79"/>
      <c r="D529" s="82" t="s">
        <v>98</v>
      </c>
      <c r="E529" s="83"/>
      <c r="F529" s="84">
        <v>1</v>
      </c>
      <c r="G529" s="85" t="s">
        <v>20</v>
      </c>
      <c r="H529" s="84">
        <v>160</v>
      </c>
      <c r="I529" s="85" t="s">
        <v>98</v>
      </c>
      <c r="J529" s="86">
        <v>5700</v>
      </c>
      <c r="K529" s="82" t="s">
        <v>98</v>
      </c>
      <c r="L529" s="87">
        <v>0.125</v>
      </c>
      <c r="M529" s="87">
        <v>0.05</v>
      </c>
      <c r="N529" s="84"/>
      <c r="O529" s="85" t="s">
        <v>98</v>
      </c>
      <c r="P529" s="79">
        <f t="shared" si="217"/>
        <v>0</v>
      </c>
      <c r="Q529" s="85" t="s">
        <v>98</v>
      </c>
      <c r="R529" s="86">
        <f t="shared" si="218"/>
        <v>0</v>
      </c>
      <c r="S529" s="86">
        <f t="shared" si="219"/>
        <v>0</v>
      </c>
    </row>
    <row r="530" spans="1:20" s="98" customFormat="1" x14ac:dyDescent="0.2">
      <c r="A530" s="90" t="s">
        <v>324</v>
      </c>
      <c r="B530" s="98" t="s">
        <v>18</v>
      </c>
      <c r="C530" s="99"/>
      <c r="D530" s="100" t="s">
        <v>98</v>
      </c>
      <c r="E530" s="101">
        <v>1</v>
      </c>
      <c r="F530" s="102">
        <v>1</v>
      </c>
      <c r="G530" s="103" t="s">
        <v>20</v>
      </c>
      <c r="H530" s="102">
        <v>80</v>
      </c>
      <c r="I530" s="103" t="s">
        <v>98</v>
      </c>
      <c r="J530" s="104">
        <v>10800</v>
      </c>
      <c r="K530" s="100" t="s">
        <v>98</v>
      </c>
      <c r="L530" s="105">
        <v>0.125</v>
      </c>
      <c r="M530" s="105">
        <v>0.05</v>
      </c>
      <c r="N530" s="102"/>
      <c r="O530" s="103" t="s">
        <v>98</v>
      </c>
      <c r="P530" s="99">
        <f t="shared" si="217"/>
        <v>80</v>
      </c>
      <c r="Q530" s="103" t="s">
        <v>98</v>
      </c>
      <c r="R530" s="104">
        <f t="shared" si="218"/>
        <v>718200</v>
      </c>
      <c r="S530" s="104">
        <f t="shared" si="219"/>
        <v>647027.02702702698</v>
      </c>
    </row>
    <row r="531" spans="1:20" s="19" customFormat="1" x14ac:dyDescent="0.2">
      <c r="A531" s="18"/>
      <c r="C531" s="20"/>
      <c r="D531" s="21"/>
      <c r="E531" s="26"/>
      <c r="F531" s="22"/>
      <c r="G531" s="23"/>
      <c r="H531" s="22"/>
      <c r="I531" s="23"/>
      <c r="J531" s="24"/>
      <c r="K531" s="21"/>
      <c r="L531" s="25"/>
      <c r="M531" s="25"/>
      <c r="N531" s="22"/>
      <c r="O531" s="23"/>
      <c r="P531" s="20"/>
      <c r="Q531" s="23"/>
      <c r="R531" s="24"/>
      <c r="S531" s="24"/>
    </row>
    <row r="532" spans="1:20" s="19" customFormat="1" x14ac:dyDescent="0.2">
      <c r="A532" s="18" t="s">
        <v>325</v>
      </c>
      <c r="B532" s="19" t="s">
        <v>25</v>
      </c>
      <c r="C532" s="20">
        <v>910</v>
      </c>
      <c r="D532" s="21" t="s">
        <v>98</v>
      </c>
      <c r="E532" s="26">
        <v>7</v>
      </c>
      <c r="F532" s="22">
        <v>1</v>
      </c>
      <c r="G532" s="23" t="s">
        <v>20</v>
      </c>
      <c r="H532" s="22">
        <v>192</v>
      </c>
      <c r="I532" s="23" t="s">
        <v>98</v>
      </c>
      <c r="J532" s="24">
        <f>844800/192</f>
        <v>4400</v>
      </c>
      <c r="K532" s="21" t="s">
        <v>98</v>
      </c>
      <c r="L532" s="25"/>
      <c r="M532" s="25">
        <v>0.17</v>
      </c>
      <c r="N532" s="22"/>
      <c r="O532" s="23" t="s">
        <v>98</v>
      </c>
      <c r="P532" s="20">
        <f>(C532+(E532*F532*H532))-N532</f>
        <v>2254</v>
      </c>
      <c r="Q532" s="23" t="s">
        <v>98</v>
      </c>
      <c r="R532" s="24">
        <f>P532*(J532-(J532*L532)-((J532-(J532*L532))*M532))</f>
        <v>8231608</v>
      </c>
      <c r="S532" s="24">
        <f t="shared" si="219"/>
        <v>7415863.0630630627</v>
      </c>
    </row>
    <row r="533" spans="1:20" s="19" customFormat="1" x14ac:dyDescent="0.2">
      <c r="A533" s="18" t="s">
        <v>326</v>
      </c>
      <c r="B533" s="19" t="s">
        <v>25</v>
      </c>
      <c r="C533" s="20"/>
      <c r="D533" s="21" t="s">
        <v>98</v>
      </c>
      <c r="E533" s="26">
        <v>11</v>
      </c>
      <c r="F533" s="22">
        <v>1</v>
      </c>
      <c r="G533" s="23" t="s">
        <v>20</v>
      </c>
      <c r="H533" s="22">
        <v>96</v>
      </c>
      <c r="I533" s="23" t="s">
        <v>98</v>
      </c>
      <c r="J533" s="24">
        <f>801600/96</f>
        <v>8350</v>
      </c>
      <c r="K533" s="21" t="s">
        <v>98</v>
      </c>
      <c r="L533" s="25"/>
      <c r="M533" s="25">
        <v>0.17</v>
      </c>
      <c r="N533" s="22"/>
      <c r="O533" s="23" t="s">
        <v>98</v>
      </c>
      <c r="P533" s="20">
        <f>(C533+(E533*F533*H533))-N533</f>
        <v>1056</v>
      </c>
      <c r="Q533" s="23" t="s">
        <v>98</v>
      </c>
      <c r="R533" s="24">
        <f>P533*(J533-(J533*L533)-((J533-(J533*L533))*M533))</f>
        <v>7318608</v>
      </c>
      <c r="S533" s="24">
        <f t="shared" si="219"/>
        <v>6593340.5405405397</v>
      </c>
    </row>
    <row r="534" spans="1:20" s="19" customFormat="1" x14ac:dyDescent="0.2">
      <c r="A534" s="18" t="s">
        <v>327</v>
      </c>
      <c r="B534" s="19" t="s">
        <v>25</v>
      </c>
      <c r="C534" s="20">
        <v>160</v>
      </c>
      <c r="D534" s="21" t="s">
        <v>98</v>
      </c>
      <c r="E534" s="26">
        <v>2</v>
      </c>
      <c r="F534" s="22">
        <v>1</v>
      </c>
      <c r="G534" s="23" t="s">
        <v>20</v>
      </c>
      <c r="H534" s="22">
        <v>160</v>
      </c>
      <c r="I534" s="23" t="s">
        <v>98</v>
      </c>
      <c r="J534" s="24">
        <f>1104000/160</f>
        <v>6900</v>
      </c>
      <c r="K534" s="21" t="s">
        <v>98</v>
      </c>
      <c r="L534" s="25"/>
      <c r="M534" s="25">
        <v>0.17</v>
      </c>
      <c r="N534" s="22"/>
      <c r="O534" s="23" t="s">
        <v>98</v>
      </c>
      <c r="P534" s="20">
        <f>(C534+(E534*F534*H534))-N534</f>
        <v>480</v>
      </c>
      <c r="Q534" s="23" t="s">
        <v>98</v>
      </c>
      <c r="R534" s="24">
        <f>P534*(J534-(J534*L534)-((J534-(J534*L534))*M534))</f>
        <v>2748960</v>
      </c>
      <c r="S534" s="24">
        <f t="shared" si="219"/>
        <v>2476540.5405405401</v>
      </c>
    </row>
    <row r="535" spans="1:20" s="19" customFormat="1" x14ac:dyDescent="0.2">
      <c r="A535" s="18" t="s">
        <v>328</v>
      </c>
      <c r="B535" s="19" t="s">
        <v>25</v>
      </c>
      <c r="C535" s="20"/>
      <c r="D535" s="21" t="s">
        <v>98</v>
      </c>
      <c r="E535" s="26">
        <v>8</v>
      </c>
      <c r="F535" s="22">
        <v>1</v>
      </c>
      <c r="G535" s="23" t="s">
        <v>20</v>
      </c>
      <c r="H535" s="22">
        <v>80</v>
      </c>
      <c r="I535" s="23" t="s">
        <v>98</v>
      </c>
      <c r="J535" s="24">
        <f>1040000/80</f>
        <v>13000</v>
      </c>
      <c r="K535" s="21" t="s">
        <v>98</v>
      </c>
      <c r="L535" s="25"/>
      <c r="M535" s="25">
        <v>0.17</v>
      </c>
      <c r="N535" s="22"/>
      <c r="O535" s="23" t="s">
        <v>98</v>
      </c>
      <c r="P535" s="20">
        <f>(C535+(E535*F535*H535))-N535</f>
        <v>640</v>
      </c>
      <c r="Q535" s="23" t="s">
        <v>98</v>
      </c>
      <c r="R535" s="24">
        <f>P535*(J535-(J535*L535)-((J535-(J535*L535))*M535))</f>
        <v>6905600</v>
      </c>
      <c r="S535" s="24">
        <f t="shared" si="219"/>
        <v>6221261.2612612611</v>
      </c>
    </row>
    <row r="536" spans="1:20" s="19" customFormat="1" x14ac:dyDescent="0.2">
      <c r="A536" s="18"/>
      <c r="C536" s="20"/>
      <c r="D536" s="21"/>
      <c r="E536" s="26"/>
      <c r="F536" s="22"/>
      <c r="G536" s="23"/>
      <c r="H536" s="22"/>
      <c r="I536" s="23"/>
      <c r="J536" s="24"/>
      <c r="K536" s="21"/>
      <c r="L536" s="25"/>
      <c r="M536" s="25"/>
      <c r="N536" s="22"/>
      <c r="O536" s="23"/>
      <c r="P536" s="20"/>
      <c r="Q536" s="23"/>
      <c r="R536" s="24"/>
      <c r="S536" s="24"/>
    </row>
    <row r="537" spans="1:20" s="19" customFormat="1" ht="15.75" x14ac:dyDescent="0.25">
      <c r="A537" s="38" t="s">
        <v>775</v>
      </c>
      <c r="C537" s="20"/>
      <c r="D537" s="21"/>
      <c r="E537" s="26"/>
      <c r="F537" s="22"/>
      <c r="G537" s="23"/>
      <c r="H537" s="22"/>
      <c r="I537" s="23"/>
      <c r="J537" s="24"/>
      <c r="K537" s="21"/>
      <c r="L537" s="67"/>
      <c r="M537" s="67"/>
      <c r="N537" s="22"/>
      <c r="O537" s="23"/>
      <c r="P537" s="20"/>
      <c r="Q537" s="23"/>
      <c r="R537" s="24"/>
      <c r="S537" s="24"/>
    </row>
    <row r="538" spans="1:20" s="19" customFormat="1" x14ac:dyDescent="0.2">
      <c r="A538" s="18" t="s">
        <v>776</v>
      </c>
      <c r="B538" s="18" t="s">
        <v>171</v>
      </c>
      <c r="C538" s="44">
        <v>160</v>
      </c>
      <c r="D538" s="45" t="s">
        <v>19</v>
      </c>
      <c r="E538" s="46"/>
      <c r="F538" s="47">
        <v>1</v>
      </c>
      <c r="G538" s="42" t="s">
        <v>20</v>
      </c>
      <c r="H538" s="47">
        <v>10</v>
      </c>
      <c r="I538" s="42" t="s">
        <v>19</v>
      </c>
      <c r="J538" s="29">
        <v>55000</v>
      </c>
      <c r="K538" s="45" t="s">
        <v>19</v>
      </c>
      <c r="L538" s="48">
        <v>0.05</v>
      </c>
      <c r="M538" s="48"/>
      <c r="N538" s="47"/>
      <c r="O538" s="42" t="s">
        <v>19</v>
      </c>
      <c r="P538" s="44">
        <f>(C538+(E538*F538*H538))-N538</f>
        <v>160</v>
      </c>
      <c r="Q538" s="42" t="s">
        <v>19</v>
      </c>
      <c r="R538" s="29">
        <f>P538*(J538-(J538*L538)-((J538-(J538*L538))*M538))</f>
        <v>8360000</v>
      </c>
      <c r="S538" s="29">
        <f t="shared" ref="S538" si="220">R538/1.11</f>
        <v>7531531.5315315304</v>
      </c>
    </row>
    <row r="539" spans="1:20" s="19" customFormat="1" x14ac:dyDescent="0.2">
      <c r="A539" s="18"/>
      <c r="C539" s="20"/>
      <c r="D539" s="21"/>
      <c r="E539" s="26"/>
      <c r="F539" s="22"/>
      <c r="G539" s="23"/>
      <c r="H539" s="22"/>
      <c r="I539" s="23"/>
      <c r="J539" s="24"/>
      <c r="K539" s="21"/>
      <c r="L539" s="25"/>
      <c r="M539" s="25"/>
      <c r="N539" s="22"/>
      <c r="O539" s="23"/>
      <c r="P539" s="20"/>
      <c r="Q539" s="23"/>
      <c r="R539" s="24"/>
      <c r="S539" s="24"/>
    </row>
    <row r="540" spans="1:20" s="19" customFormat="1" ht="15.75" x14ac:dyDescent="0.25">
      <c r="A540" s="38" t="s">
        <v>329</v>
      </c>
      <c r="C540" s="20"/>
      <c r="D540" s="21"/>
      <c r="E540" s="26"/>
      <c r="F540" s="22"/>
      <c r="G540" s="23"/>
      <c r="H540" s="22"/>
      <c r="I540" s="23"/>
      <c r="J540" s="24"/>
      <c r="K540" s="21"/>
      <c r="L540" s="67"/>
      <c r="M540" s="67"/>
      <c r="N540" s="22"/>
      <c r="O540" s="23"/>
      <c r="P540" s="20"/>
      <c r="Q540" s="23"/>
      <c r="R540" s="24"/>
      <c r="S540" s="24"/>
    </row>
    <row r="541" spans="1:20" s="19" customFormat="1" x14ac:dyDescent="0.2">
      <c r="A541" s="65" t="s">
        <v>330</v>
      </c>
      <c r="C541" s="20"/>
      <c r="D541" s="21"/>
      <c r="E541" s="26"/>
      <c r="F541" s="22"/>
      <c r="G541" s="23"/>
      <c r="H541" s="22"/>
      <c r="I541" s="23"/>
      <c r="J541" s="24"/>
      <c r="K541" s="21"/>
      <c r="L541" s="67"/>
      <c r="M541" s="67"/>
      <c r="N541" s="22"/>
      <c r="O541" s="23"/>
      <c r="P541" s="20"/>
      <c r="Q541" s="23"/>
      <c r="R541" s="24"/>
      <c r="S541" s="24"/>
    </row>
    <row r="542" spans="1:20" s="81" customFormat="1" x14ac:dyDescent="0.2">
      <c r="A542" s="80" t="s">
        <v>331</v>
      </c>
      <c r="B542" s="81" t="s">
        <v>18</v>
      </c>
      <c r="C542" s="79"/>
      <c r="D542" s="82" t="s">
        <v>19</v>
      </c>
      <c r="E542" s="83"/>
      <c r="F542" s="84">
        <v>1</v>
      </c>
      <c r="G542" s="85" t="s">
        <v>20</v>
      </c>
      <c r="H542" s="84">
        <v>24</v>
      </c>
      <c r="I542" s="85" t="s">
        <v>19</v>
      </c>
      <c r="J542" s="86">
        <v>35000</v>
      </c>
      <c r="K542" s="82" t="s">
        <v>19</v>
      </c>
      <c r="L542" s="87">
        <v>0.125</v>
      </c>
      <c r="M542" s="87">
        <v>0.05</v>
      </c>
      <c r="N542" s="84"/>
      <c r="O542" s="85" t="s">
        <v>19</v>
      </c>
      <c r="P542" s="79">
        <f>(C542+(E542*F542*H542))-N542</f>
        <v>0</v>
      </c>
      <c r="Q542" s="85" t="s">
        <v>19</v>
      </c>
      <c r="R542" s="86">
        <f>P542*(J542-(J542*L542)-((J542-(J542*L542))*M542))</f>
        <v>0</v>
      </c>
      <c r="S542" s="86">
        <f t="shared" si="219"/>
        <v>0</v>
      </c>
    </row>
    <row r="543" spans="1:20" s="19" customFormat="1" x14ac:dyDescent="0.2">
      <c r="A543" s="18" t="s">
        <v>332</v>
      </c>
      <c r="B543" s="19" t="s">
        <v>18</v>
      </c>
      <c r="C543" s="20">
        <v>162</v>
      </c>
      <c r="D543" s="21" t="s">
        <v>19</v>
      </c>
      <c r="E543" s="26">
        <v>30</v>
      </c>
      <c r="F543" s="22">
        <v>1</v>
      </c>
      <c r="G543" s="23" t="s">
        <v>20</v>
      </c>
      <c r="H543" s="22">
        <v>72</v>
      </c>
      <c r="I543" s="23" t="s">
        <v>19</v>
      </c>
      <c r="J543" s="24">
        <v>15800</v>
      </c>
      <c r="K543" s="21" t="s">
        <v>19</v>
      </c>
      <c r="L543" s="25">
        <v>0.125</v>
      </c>
      <c r="M543" s="25">
        <v>0.05</v>
      </c>
      <c r="N543" s="22"/>
      <c r="O543" s="23" t="s">
        <v>19</v>
      </c>
      <c r="P543" s="20">
        <f>(C543+(E543*F543*H543))-N543</f>
        <v>2322</v>
      </c>
      <c r="Q543" s="23" t="s">
        <v>19</v>
      </c>
      <c r="R543" s="24">
        <f>P543*(J543-(J543*L543)-((J543-(J543*L543))*M543))</f>
        <v>30496567.5</v>
      </c>
      <c r="S543" s="24">
        <f t="shared" si="219"/>
        <v>27474385.135135133</v>
      </c>
      <c r="T543" s="24"/>
    </row>
    <row r="544" spans="1:20" s="19" customFormat="1" x14ac:dyDescent="0.2">
      <c r="A544" s="18" t="s">
        <v>333</v>
      </c>
      <c r="B544" s="19" t="s">
        <v>18</v>
      </c>
      <c r="C544" s="20">
        <v>216</v>
      </c>
      <c r="D544" s="21" t="s">
        <v>19</v>
      </c>
      <c r="E544" s="26"/>
      <c r="F544" s="22">
        <v>1</v>
      </c>
      <c r="G544" s="23" t="s">
        <v>20</v>
      </c>
      <c r="H544" s="22">
        <v>72</v>
      </c>
      <c r="I544" s="23" t="s">
        <v>19</v>
      </c>
      <c r="J544" s="24">
        <v>15800</v>
      </c>
      <c r="K544" s="21" t="s">
        <v>19</v>
      </c>
      <c r="L544" s="25">
        <v>0.125</v>
      </c>
      <c r="M544" s="25">
        <v>0.05</v>
      </c>
      <c r="N544" s="22"/>
      <c r="O544" s="23" t="s">
        <v>19</v>
      </c>
      <c r="P544" s="20">
        <f>(C544+(E544*F544*H544))-N544</f>
        <v>216</v>
      </c>
      <c r="Q544" s="23" t="s">
        <v>19</v>
      </c>
      <c r="R544" s="24">
        <f>P544*(J544-(J544*L544)-((J544-(J544*L544))*M544))</f>
        <v>2836890</v>
      </c>
      <c r="S544" s="24">
        <f t="shared" si="219"/>
        <v>2555756.7567567565</v>
      </c>
      <c r="T544" s="24"/>
    </row>
    <row r="545" spans="1:19" s="81" customFormat="1" x14ac:dyDescent="0.2">
      <c r="A545" s="80" t="s">
        <v>334</v>
      </c>
      <c r="B545" s="81" t="s">
        <v>18</v>
      </c>
      <c r="C545" s="79"/>
      <c r="D545" s="82" t="s">
        <v>19</v>
      </c>
      <c r="E545" s="83">
        <v>3</v>
      </c>
      <c r="F545" s="84">
        <v>1</v>
      </c>
      <c r="G545" s="85" t="s">
        <v>20</v>
      </c>
      <c r="H545" s="84">
        <v>72</v>
      </c>
      <c r="I545" s="85" t="s">
        <v>19</v>
      </c>
      <c r="J545" s="86">
        <v>20700</v>
      </c>
      <c r="K545" s="82" t="s">
        <v>19</v>
      </c>
      <c r="L545" s="87">
        <v>0.125</v>
      </c>
      <c r="M545" s="87">
        <v>0.05</v>
      </c>
      <c r="N545" s="84"/>
      <c r="O545" s="85" t="s">
        <v>19</v>
      </c>
      <c r="P545" s="79">
        <f>(C545+(E545*F545*H545))-N545</f>
        <v>216</v>
      </c>
      <c r="Q545" s="85" t="s">
        <v>19</v>
      </c>
      <c r="R545" s="86">
        <f>P545*(J545-(J545*L545)-((J545-(J545*L545))*M545))</f>
        <v>3716685</v>
      </c>
      <c r="S545" s="86">
        <f t="shared" si="219"/>
        <v>3348364.8648648644</v>
      </c>
    </row>
    <row r="546" spans="1:19" s="19" customFormat="1" x14ac:dyDescent="0.2">
      <c r="A546" s="18" t="s">
        <v>335</v>
      </c>
      <c r="B546" s="19" t="s">
        <v>18</v>
      </c>
      <c r="C546" s="20">
        <v>36</v>
      </c>
      <c r="D546" s="21" t="s">
        <v>19</v>
      </c>
      <c r="E546" s="26"/>
      <c r="F546" s="22">
        <v>1</v>
      </c>
      <c r="G546" s="23" t="s">
        <v>20</v>
      </c>
      <c r="H546" s="22">
        <v>72</v>
      </c>
      <c r="I546" s="23" t="s">
        <v>19</v>
      </c>
      <c r="J546" s="24">
        <v>20700</v>
      </c>
      <c r="K546" s="21" t="s">
        <v>19</v>
      </c>
      <c r="L546" s="25">
        <v>0.125</v>
      </c>
      <c r="M546" s="25">
        <v>0.05</v>
      </c>
      <c r="N546" s="22"/>
      <c r="O546" s="23" t="s">
        <v>19</v>
      </c>
      <c r="P546" s="20">
        <f>(C546+(E546*F546*H546))-N546</f>
        <v>36</v>
      </c>
      <c r="Q546" s="23" t="s">
        <v>19</v>
      </c>
      <c r="R546" s="24">
        <f>P546*(J546-(J546*L546)-((J546-(J546*L546))*M546))</f>
        <v>619447.5</v>
      </c>
      <c r="S546" s="24">
        <f t="shared" si="219"/>
        <v>558060.81081081077</v>
      </c>
    </row>
    <row r="547" spans="1:19" s="19" customFormat="1" x14ac:dyDescent="0.2">
      <c r="A547" s="18"/>
      <c r="C547" s="20"/>
      <c r="D547" s="21"/>
      <c r="E547" s="26"/>
      <c r="F547" s="22"/>
      <c r="G547" s="23"/>
      <c r="H547" s="22"/>
      <c r="I547" s="23"/>
      <c r="J547" s="24"/>
      <c r="K547" s="21"/>
      <c r="L547" s="25"/>
      <c r="M547" s="25"/>
      <c r="N547" s="22"/>
      <c r="O547" s="23"/>
      <c r="P547" s="20"/>
      <c r="Q547" s="23"/>
      <c r="R547" s="24"/>
      <c r="S547" s="24"/>
    </row>
    <row r="548" spans="1:19" s="98" customFormat="1" x14ac:dyDescent="0.2">
      <c r="A548" s="90" t="s">
        <v>336</v>
      </c>
      <c r="B548" s="98" t="s">
        <v>25</v>
      </c>
      <c r="C548" s="99"/>
      <c r="D548" s="100" t="s">
        <v>19</v>
      </c>
      <c r="E548" s="101">
        <v>7</v>
      </c>
      <c r="F548" s="102">
        <v>1</v>
      </c>
      <c r="G548" s="103" t="s">
        <v>20</v>
      </c>
      <c r="H548" s="102">
        <v>72</v>
      </c>
      <c r="I548" s="103" t="s">
        <v>19</v>
      </c>
      <c r="J548" s="104">
        <f>1310400/72</f>
        <v>18200</v>
      </c>
      <c r="K548" s="100" t="s">
        <v>19</v>
      </c>
      <c r="L548" s="105"/>
      <c r="M548" s="105">
        <v>0.17</v>
      </c>
      <c r="N548" s="102"/>
      <c r="O548" s="103" t="s">
        <v>19</v>
      </c>
      <c r="P548" s="99">
        <f>(C548+(E548*F548*H548))-N548</f>
        <v>504</v>
      </c>
      <c r="Q548" s="103" t="s">
        <v>19</v>
      </c>
      <c r="R548" s="104">
        <f>P548*(J548-(J548*L548)-((J548-(J548*L548))*M548))</f>
        <v>7613424</v>
      </c>
      <c r="S548" s="104">
        <f t="shared" si="219"/>
        <v>6858940.5405405397</v>
      </c>
    </row>
    <row r="549" spans="1:19" s="19" customFormat="1" x14ac:dyDescent="0.2">
      <c r="A549" s="18" t="s">
        <v>337</v>
      </c>
      <c r="B549" s="19" t="s">
        <v>25</v>
      </c>
      <c r="C549" s="20">
        <v>36</v>
      </c>
      <c r="D549" s="21" t="s">
        <v>19</v>
      </c>
      <c r="E549" s="26"/>
      <c r="F549" s="22">
        <v>1</v>
      </c>
      <c r="G549" s="23" t="s">
        <v>20</v>
      </c>
      <c r="H549" s="22">
        <v>72</v>
      </c>
      <c r="I549" s="23" t="s">
        <v>19</v>
      </c>
      <c r="J549" s="24">
        <f>1512000/72</f>
        <v>21000</v>
      </c>
      <c r="K549" s="21" t="s">
        <v>19</v>
      </c>
      <c r="L549" s="25">
        <v>0.125</v>
      </c>
      <c r="M549" s="25">
        <v>0.05</v>
      </c>
      <c r="N549" s="22"/>
      <c r="O549" s="23" t="s">
        <v>19</v>
      </c>
      <c r="P549" s="20">
        <f>(C549+(E549*F549*H549))-N549</f>
        <v>36</v>
      </c>
      <c r="Q549" s="23" t="s">
        <v>19</v>
      </c>
      <c r="R549" s="24">
        <f>P549*(J549-(J549*L549)-((J549-(J549*L549))*M549))</f>
        <v>628425</v>
      </c>
      <c r="S549" s="24">
        <f t="shared" si="219"/>
        <v>566148.64864864864</v>
      </c>
    </row>
    <row r="550" spans="1:19" s="81" customFormat="1" x14ac:dyDescent="0.2">
      <c r="A550" s="80" t="s">
        <v>781</v>
      </c>
      <c r="B550" s="81" t="s">
        <v>25</v>
      </c>
      <c r="C550" s="79"/>
      <c r="D550" s="82" t="s">
        <v>19</v>
      </c>
      <c r="E550" s="83"/>
      <c r="F550" s="84">
        <v>1</v>
      </c>
      <c r="G550" s="85" t="s">
        <v>20</v>
      </c>
      <c r="H550" s="84">
        <v>72</v>
      </c>
      <c r="I550" s="85" t="s">
        <v>19</v>
      </c>
      <c r="J550" s="86">
        <f>1224000/72</f>
        <v>17000</v>
      </c>
      <c r="K550" s="82" t="s">
        <v>19</v>
      </c>
      <c r="L550" s="87"/>
      <c r="M550" s="87">
        <v>0.17</v>
      </c>
      <c r="N550" s="84"/>
      <c r="O550" s="85" t="s">
        <v>19</v>
      </c>
      <c r="P550" s="79">
        <f>(C550+(E550*F550*H550))-N550</f>
        <v>0</v>
      </c>
      <c r="Q550" s="85" t="s">
        <v>19</v>
      </c>
      <c r="R550" s="86">
        <f>P550*(J550-(J550*L550)-((J550-(J550*L550))*M550))</f>
        <v>0</v>
      </c>
      <c r="S550" s="86">
        <f t="shared" si="219"/>
        <v>0</v>
      </c>
    </row>
    <row r="551" spans="1:19" s="81" customFormat="1" x14ac:dyDescent="0.2">
      <c r="A551" s="80" t="s">
        <v>338</v>
      </c>
      <c r="B551" s="81" t="s">
        <v>25</v>
      </c>
      <c r="C551" s="79"/>
      <c r="D551" s="82" t="s">
        <v>19</v>
      </c>
      <c r="E551" s="83"/>
      <c r="F551" s="84">
        <v>1</v>
      </c>
      <c r="G551" s="85" t="s">
        <v>20</v>
      </c>
      <c r="H551" s="84">
        <v>120</v>
      </c>
      <c r="I551" s="85" t="s">
        <v>19</v>
      </c>
      <c r="J551" s="86">
        <v>9000</v>
      </c>
      <c r="K551" s="82" t="s">
        <v>19</v>
      </c>
      <c r="L551" s="87"/>
      <c r="M551" s="87">
        <v>0.17</v>
      </c>
      <c r="N551" s="84"/>
      <c r="O551" s="85" t="s">
        <v>19</v>
      </c>
      <c r="P551" s="79">
        <f>(C551+(E551*F551*H551))-N551</f>
        <v>0</v>
      </c>
      <c r="Q551" s="85" t="s">
        <v>19</v>
      </c>
      <c r="R551" s="86">
        <f>P551*(J551-(J551*L551)-((J551-(J551*L551))*M551))</f>
        <v>0</v>
      </c>
      <c r="S551" s="86">
        <f t="shared" si="219"/>
        <v>0</v>
      </c>
    </row>
    <row r="552" spans="1:19" s="19" customFormat="1" x14ac:dyDescent="0.2">
      <c r="A552" s="18"/>
      <c r="C552" s="20"/>
      <c r="D552" s="21"/>
      <c r="E552" s="26"/>
      <c r="F552" s="22"/>
      <c r="G552" s="23"/>
      <c r="H552" s="22"/>
      <c r="I552" s="23"/>
      <c r="J552" s="24"/>
      <c r="K552" s="21"/>
      <c r="L552" s="25"/>
      <c r="M552" s="25"/>
      <c r="N552" s="22"/>
      <c r="O552" s="23"/>
      <c r="P552" s="20"/>
      <c r="Q552" s="23"/>
      <c r="R552" s="24"/>
      <c r="S552" s="24"/>
    </row>
    <row r="553" spans="1:19" s="19" customFormat="1" x14ac:dyDescent="0.2">
      <c r="A553" s="65" t="s">
        <v>339</v>
      </c>
      <c r="C553" s="20"/>
      <c r="D553" s="21"/>
      <c r="E553" s="26"/>
      <c r="F553" s="22"/>
      <c r="G553" s="23"/>
      <c r="H553" s="22"/>
      <c r="I553" s="23"/>
      <c r="J553" s="24"/>
      <c r="K553" s="21"/>
      <c r="L553" s="25"/>
      <c r="M553" s="25"/>
      <c r="N553" s="22"/>
      <c r="O553" s="23"/>
      <c r="P553" s="20"/>
      <c r="Q553" s="23"/>
      <c r="R553" s="24"/>
      <c r="S553" s="24"/>
    </row>
    <row r="554" spans="1:19" s="81" customFormat="1" x14ac:dyDescent="0.2">
      <c r="A554" s="80" t="s">
        <v>340</v>
      </c>
      <c r="B554" s="81" t="s">
        <v>18</v>
      </c>
      <c r="C554" s="79"/>
      <c r="D554" s="82" t="s">
        <v>19</v>
      </c>
      <c r="E554" s="83"/>
      <c r="F554" s="84">
        <v>2</v>
      </c>
      <c r="G554" s="85" t="s">
        <v>33</v>
      </c>
      <c r="H554" s="84">
        <v>24</v>
      </c>
      <c r="I554" s="85" t="s">
        <v>19</v>
      </c>
      <c r="J554" s="86">
        <v>9200</v>
      </c>
      <c r="K554" s="82" t="s">
        <v>19</v>
      </c>
      <c r="L554" s="87">
        <v>0.125</v>
      </c>
      <c r="M554" s="87">
        <v>0.05</v>
      </c>
      <c r="N554" s="84"/>
      <c r="O554" s="85" t="s">
        <v>19</v>
      </c>
      <c r="P554" s="79">
        <f>(C554+(E554*F554*H554))-N554</f>
        <v>0</v>
      </c>
      <c r="Q554" s="85" t="s">
        <v>19</v>
      </c>
      <c r="R554" s="86">
        <f>P554*(J554-(J554*L554)-((J554-(J554*L554))*M554))</f>
        <v>0</v>
      </c>
      <c r="S554" s="86">
        <f t="shared" si="219"/>
        <v>0</v>
      </c>
    </row>
    <row r="555" spans="1:19" s="81" customFormat="1" x14ac:dyDescent="0.2">
      <c r="A555" s="80" t="s">
        <v>731</v>
      </c>
      <c r="B555" s="81" t="s">
        <v>18</v>
      </c>
      <c r="C555" s="79"/>
      <c r="D555" s="82" t="s">
        <v>19</v>
      </c>
      <c r="E555" s="83"/>
      <c r="F555" s="84">
        <v>4</v>
      </c>
      <c r="G555" s="85" t="s">
        <v>33</v>
      </c>
      <c r="H555" s="84">
        <v>24</v>
      </c>
      <c r="I555" s="85" t="s">
        <v>19</v>
      </c>
      <c r="J555" s="86">
        <v>6300</v>
      </c>
      <c r="K555" s="82" t="s">
        <v>19</v>
      </c>
      <c r="L555" s="87">
        <v>0.125</v>
      </c>
      <c r="M555" s="87">
        <v>0.05</v>
      </c>
      <c r="N555" s="84"/>
      <c r="O555" s="85" t="s">
        <v>19</v>
      </c>
      <c r="P555" s="79">
        <f>(C555+(E555*F555*H555))-N555</f>
        <v>0</v>
      </c>
      <c r="Q555" s="85" t="s">
        <v>19</v>
      </c>
      <c r="R555" s="86">
        <f>P555*(J555-(J555*L555)-((J555-(J555*L555))*M555))</f>
        <v>0</v>
      </c>
      <c r="S555" s="86">
        <f t="shared" si="219"/>
        <v>0</v>
      </c>
    </row>
    <row r="556" spans="1:19" s="19" customFormat="1" x14ac:dyDescent="0.2">
      <c r="A556" s="18"/>
      <c r="C556" s="20"/>
      <c r="D556" s="21"/>
      <c r="E556" s="26"/>
      <c r="F556" s="22"/>
      <c r="G556" s="23"/>
      <c r="H556" s="22"/>
      <c r="I556" s="23"/>
      <c r="J556" s="24"/>
      <c r="K556" s="21"/>
      <c r="L556" s="25"/>
      <c r="M556" s="25"/>
      <c r="N556" s="22"/>
      <c r="O556" s="23"/>
      <c r="P556" s="20"/>
      <c r="Q556" s="23"/>
      <c r="R556" s="24"/>
      <c r="S556" s="24"/>
    </row>
    <row r="557" spans="1:19" s="19" customFormat="1" x14ac:dyDescent="0.2">
      <c r="A557" s="18" t="s">
        <v>341</v>
      </c>
      <c r="B557" s="19" t="s">
        <v>25</v>
      </c>
      <c r="C557" s="20"/>
      <c r="D557" s="21" t="s">
        <v>40</v>
      </c>
      <c r="E557" s="26">
        <v>8</v>
      </c>
      <c r="F557" s="22">
        <v>1</v>
      </c>
      <c r="G557" s="23" t="s">
        <v>20</v>
      </c>
      <c r="H557" s="22">
        <v>12</v>
      </c>
      <c r="I557" s="23" t="s">
        <v>40</v>
      </c>
      <c r="J557" s="24">
        <f>741600/12</f>
        <v>61800</v>
      </c>
      <c r="K557" s="21" t="s">
        <v>40</v>
      </c>
      <c r="L557" s="25"/>
      <c r="M557" s="25">
        <v>0.17</v>
      </c>
      <c r="N557" s="22"/>
      <c r="O557" s="23" t="s">
        <v>40</v>
      </c>
      <c r="P557" s="20">
        <f>(C557+(E557*F557*H557))-N557</f>
        <v>96</v>
      </c>
      <c r="Q557" s="23" t="s">
        <v>40</v>
      </c>
      <c r="R557" s="24">
        <f>P557*(J557-(J557*L557)-((J557-(J557*L557))*M557))</f>
        <v>4924224</v>
      </c>
      <c r="S557" s="24">
        <f t="shared" si="219"/>
        <v>4436237.8378378376</v>
      </c>
    </row>
    <row r="558" spans="1:19" s="19" customFormat="1" x14ac:dyDescent="0.2">
      <c r="A558" s="18" t="s">
        <v>342</v>
      </c>
      <c r="B558" s="19" t="s">
        <v>25</v>
      </c>
      <c r="C558" s="20">
        <v>23</v>
      </c>
      <c r="D558" s="21" t="s">
        <v>40</v>
      </c>
      <c r="E558" s="26">
        <v>9</v>
      </c>
      <c r="F558" s="22">
        <v>1</v>
      </c>
      <c r="G558" s="23" t="s">
        <v>20</v>
      </c>
      <c r="H558" s="22">
        <v>20</v>
      </c>
      <c r="I558" s="23" t="s">
        <v>40</v>
      </c>
      <c r="J558" s="24">
        <f>804000/20</f>
        <v>40200</v>
      </c>
      <c r="K558" s="21" t="s">
        <v>40</v>
      </c>
      <c r="L558" s="25"/>
      <c r="M558" s="25">
        <v>0.17</v>
      </c>
      <c r="N558" s="22"/>
      <c r="O558" s="23" t="s">
        <v>40</v>
      </c>
      <c r="P558" s="20">
        <f>(C558+(E558*F558*H558))-N558</f>
        <v>203</v>
      </c>
      <c r="Q558" s="23" t="s">
        <v>40</v>
      </c>
      <c r="R558" s="24">
        <f>P558*(J558-(J558*L558)-((J558-(J558*L558))*M558))</f>
        <v>6773298</v>
      </c>
      <c r="S558" s="24">
        <f t="shared" si="219"/>
        <v>6102070.2702702694</v>
      </c>
    </row>
    <row r="559" spans="1:19" s="98" customFormat="1" x14ac:dyDescent="0.2">
      <c r="A559" s="90" t="s">
        <v>343</v>
      </c>
      <c r="B559" s="98" t="s">
        <v>25</v>
      </c>
      <c r="C559" s="99"/>
      <c r="D559" s="100" t="s">
        <v>40</v>
      </c>
      <c r="E559" s="101">
        <v>3</v>
      </c>
      <c r="F559" s="102">
        <v>1</v>
      </c>
      <c r="G559" s="103" t="s">
        <v>20</v>
      </c>
      <c r="H559" s="102">
        <v>6</v>
      </c>
      <c r="I559" s="103" t="s">
        <v>40</v>
      </c>
      <c r="J559" s="104">
        <f>810000/6</f>
        <v>135000</v>
      </c>
      <c r="K559" s="100" t="s">
        <v>40</v>
      </c>
      <c r="L559" s="105"/>
      <c r="M559" s="105">
        <v>0.17</v>
      </c>
      <c r="N559" s="102"/>
      <c r="O559" s="103" t="s">
        <v>40</v>
      </c>
      <c r="P559" s="99">
        <f>(C559+(E559*F559*H559))-N559</f>
        <v>18</v>
      </c>
      <c r="Q559" s="103" t="s">
        <v>40</v>
      </c>
      <c r="R559" s="104">
        <f>P559*(J559-(J559*L559)-((J559-(J559*L559))*M559))</f>
        <v>2016900</v>
      </c>
      <c r="S559" s="104">
        <f t="shared" si="219"/>
        <v>1817027.027027027</v>
      </c>
    </row>
    <row r="560" spans="1:19" s="19" customFormat="1" x14ac:dyDescent="0.2">
      <c r="A560" s="18"/>
      <c r="C560" s="20"/>
      <c r="D560" s="21"/>
      <c r="E560" s="26"/>
      <c r="F560" s="22"/>
      <c r="G560" s="23"/>
      <c r="H560" s="22"/>
      <c r="I560" s="23"/>
      <c r="J560" s="24"/>
      <c r="K560" s="21"/>
      <c r="L560" s="25"/>
      <c r="M560" s="25"/>
      <c r="N560" s="22"/>
      <c r="O560" s="23"/>
      <c r="P560" s="20"/>
      <c r="Q560" s="23"/>
      <c r="R560" s="24"/>
      <c r="S560" s="24"/>
    </row>
    <row r="561" spans="1:20" s="19" customFormat="1" x14ac:dyDescent="0.2">
      <c r="A561" s="65" t="s">
        <v>344</v>
      </c>
      <c r="C561" s="20"/>
      <c r="D561" s="21"/>
      <c r="E561" s="26"/>
      <c r="F561" s="22"/>
      <c r="G561" s="23"/>
      <c r="H561" s="22"/>
      <c r="I561" s="23"/>
      <c r="J561" s="24"/>
      <c r="K561" s="21"/>
      <c r="L561" s="67"/>
      <c r="M561" s="67"/>
      <c r="N561" s="22"/>
      <c r="O561" s="23"/>
      <c r="P561" s="20"/>
      <c r="Q561" s="23"/>
      <c r="R561" s="24"/>
      <c r="S561" s="24"/>
    </row>
    <row r="562" spans="1:20" s="81" customFormat="1" x14ac:dyDescent="0.2">
      <c r="A562" s="80" t="s">
        <v>345</v>
      </c>
      <c r="B562" s="81" t="s">
        <v>18</v>
      </c>
      <c r="C562" s="79"/>
      <c r="D562" s="82" t="s">
        <v>151</v>
      </c>
      <c r="E562" s="83"/>
      <c r="F562" s="84">
        <v>36</v>
      </c>
      <c r="G562" s="85" t="s">
        <v>33</v>
      </c>
      <c r="H562" s="84">
        <v>30</v>
      </c>
      <c r="I562" s="85" t="s">
        <v>151</v>
      </c>
      <c r="J562" s="86">
        <v>3200</v>
      </c>
      <c r="K562" s="82" t="s">
        <v>151</v>
      </c>
      <c r="L562" s="87">
        <v>0.125</v>
      </c>
      <c r="M562" s="87">
        <v>0.05</v>
      </c>
      <c r="N562" s="84"/>
      <c r="O562" s="85" t="s">
        <v>151</v>
      </c>
      <c r="P562" s="79">
        <f>(C562+(E562*F562*H562))-N562</f>
        <v>0</v>
      </c>
      <c r="Q562" s="85" t="s">
        <v>151</v>
      </c>
      <c r="R562" s="86">
        <f>P562*(J562-(J562*L562)-((J562-(J562*L562))*M562))</f>
        <v>0</v>
      </c>
      <c r="S562" s="86">
        <f t="shared" si="219"/>
        <v>0</v>
      </c>
      <c r="T562" s="86"/>
    </row>
    <row r="563" spans="1:20" s="81" customFormat="1" x14ac:dyDescent="0.2">
      <c r="A563" s="80" t="s">
        <v>346</v>
      </c>
      <c r="B563" s="81" t="s">
        <v>18</v>
      </c>
      <c r="C563" s="79"/>
      <c r="D563" s="82" t="s">
        <v>151</v>
      </c>
      <c r="E563" s="83"/>
      <c r="F563" s="84">
        <v>36</v>
      </c>
      <c r="G563" s="85" t="s">
        <v>33</v>
      </c>
      <c r="H563" s="84">
        <v>30</v>
      </c>
      <c r="I563" s="85" t="s">
        <v>151</v>
      </c>
      <c r="J563" s="86">
        <v>2900</v>
      </c>
      <c r="K563" s="82" t="s">
        <v>151</v>
      </c>
      <c r="L563" s="87">
        <v>0.125</v>
      </c>
      <c r="M563" s="87">
        <v>0.05</v>
      </c>
      <c r="N563" s="84"/>
      <c r="O563" s="85" t="s">
        <v>151</v>
      </c>
      <c r="P563" s="79">
        <f>(C563+(E563*F563*H563))-N563</f>
        <v>0</v>
      </c>
      <c r="Q563" s="85" t="s">
        <v>151</v>
      </c>
      <c r="R563" s="86">
        <f>P563*(J563-(J563*L563)-((J563-(J563*L563))*M563))</f>
        <v>0</v>
      </c>
      <c r="S563" s="86">
        <f t="shared" si="219"/>
        <v>0</v>
      </c>
      <c r="T563" s="86"/>
    </row>
    <row r="564" spans="1:20" s="19" customFormat="1" x14ac:dyDescent="0.2">
      <c r="A564" s="18"/>
      <c r="C564" s="20"/>
      <c r="D564" s="21"/>
      <c r="E564" s="26"/>
      <c r="F564" s="22"/>
      <c r="G564" s="23"/>
      <c r="H564" s="22"/>
      <c r="I564" s="23"/>
      <c r="J564" s="24"/>
      <c r="K564" s="21"/>
      <c r="L564" s="25"/>
      <c r="M564" s="25"/>
      <c r="N564" s="22"/>
      <c r="O564" s="23"/>
      <c r="P564" s="20"/>
      <c r="Q564" s="23"/>
      <c r="R564" s="24"/>
      <c r="S564" s="24"/>
    </row>
    <row r="565" spans="1:20" s="19" customFormat="1" ht="15.75" x14ac:dyDescent="0.25">
      <c r="A565" s="38" t="s">
        <v>347</v>
      </c>
      <c r="C565" s="20"/>
      <c r="D565" s="21"/>
      <c r="E565" s="26"/>
      <c r="F565" s="22"/>
      <c r="G565" s="23"/>
      <c r="H565" s="22"/>
      <c r="I565" s="23"/>
      <c r="J565" s="24"/>
      <c r="K565" s="21"/>
      <c r="L565" s="25"/>
      <c r="M565" s="25"/>
      <c r="N565" s="22"/>
      <c r="O565" s="23"/>
      <c r="P565" s="20"/>
      <c r="Q565" s="23"/>
      <c r="R565" s="24"/>
      <c r="S565" s="24"/>
    </row>
    <row r="566" spans="1:20" s="19" customFormat="1" x14ac:dyDescent="0.2">
      <c r="A566" s="43" t="s">
        <v>350</v>
      </c>
      <c r="B566" s="19" t="s">
        <v>18</v>
      </c>
      <c r="C566" s="20"/>
      <c r="D566" s="21" t="s">
        <v>98</v>
      </c>
      <c r="E566" s="26">
        <v>2</v>
      </c>
      <c r="F566" s="22">
        <v>1</v>
      </c>
      <c r="G566" s="23" t="s">
        <v>20</v>
      </c>
      <c r="H566" s="22">
        <v>100</v>
      </c>
      <c r="I566" s="23" t="s">
        <v>98</v>
      </c>
      <c r="J566" s="24">
        <v>8400</v>
      </c>
      <c r="K566" s="21" t="s">
        <v>98</v>
      </c>
      <c r="L566" s="25">
        <v>0.125</v>
      </c>
      <c r="M566" s="25">
        <v>0.05</v>
      </c>
      <c r="N566" s="22"/>
      <c r="O566" s="23" t="s">
        <v>98</v>
      </c>
      <c r="P566" s="20">
        <f>(C566+(E566*F566*H566))-N566</f>
        <v>200</v>
      </c>
      <c r="Q566" s="23" t="s">
        <v>98</v>
      </c>
      <c r="R566" s="24">
        <f>P566*(J566-(J566*L566)-((J566-(J566*L566))*M566))</f>
        <v>1396500</v>
      </c>
      <c r="S566" s="24">
        <f>R566/1.11</f>
        <v>1258108.1081081079</v>
      </c>
      <c r="T566" s="24"/>
    </row>
    <row r="567" spans="1:20" s="19" customFormat="1" x14ac:dyDescent="0.2">
      <c r="A567" s="43" t="s">
        <v>351</v>
      </c>
      <c r="B567" s="19" t="s">
        <v>18</v>
      </c>
      <c r="C567" s="20"/>
      <c r="D567" s="21" t="s">
        <v>98</v>
      </c>
      <c r="E567" s="26">
        <v>2</v>
      </c>
      <c r="F567" s="22">
        <v>1</v>
      </c>
      <c r="G567" s="23" t="s">
        <v>20</v>
      </c>
      <c r="H567" s="22">
        <v>100</v>
      </c>
      <c r="I567" s="23" t="s">
        <v>98</v>
      </c>
      <c r="J567" s="24">
        <v>8400</v>
      </c>
      <c r="K567" s="21" t="s">
        <v>98</v>
      </c>
      <c r="L567" s="25">
        <v>0.125</v>
      </c>
      <c r="M567" s="25">
        <v>0.05</v>
      </c>
      <c r="N567" s="22"/>
      <c r="O567" s="23" t="s">
        <v>98</v>
      </c>
      <c r="P567" s="20">
        <f>(C567+(E567*F567*H567))-N567</f>
        <v>200</v>
      </c>
      <c r="Q567" s="23" t="s">
        <v>98</v>
      </c>
      <c r="R567" s="24">
        <f>P567*(J567-(J567*L567)-((J567-(J567*L567))*M567))</f>
        <v>1396500</v>
      </c>
      <c r="S567" s="24">
        <f>R567/1.11</f>
        <v>1258108.1081081079</v>
      </c>
      <c r="T567" s="24"/>
    </row>
    <row r="568" spans="1:20" s="19" customFormat="1" x14ac:dyDescent="0.2">
      <c r="A568" s="43"/>
      <c r="C568" s="20"/>
      <c r="D568" s="21"/>
      <c r="E568" s="26"/>
      <c r="F568" s="22"/>
      <c r="G568" s="23"/>
      <c r="H568" s="22"/>
      <c r="I568" s="23"/>
      <c r="J568" s="24"/>
      <c r="K568" s="21"/>
      <c r="L568" s="25"/>
      <c r="M568" s="25"/>
      <c r="N568" s="22"/>
      <c r="O568" s="23"/>
      <c r="P568" s="20"/>
      <c r="Q568" s="23"/>
      <c r="R568" s="24"/>
      <c r="S568" s="24"/>
      <c r="T568" s="24"/>
    </row>
    <row r="569" spans="1:20" s="19" customFormat="1" x14ac:dyDescent="0.2">
      <c r="A569" s="43" t="s">
        <v>348</v>
      </c>
      <c r="B569" s="19" t="s">
        <v>25</v>
      </c>
      <c r="C569" s="20">
        <v>60</v>
      </c>
      <c r="D569" s="21" t="s">
        <v>33</v>
      </c>
      <c r="E569" s="26"/>
      <c r="F569" s="22">
        <v>10</v>
      </c>
      <c r="G569" s="23" t="s">
        <v>98</v>
      </c>
      <c r="H569" s="22">
        <v>10</v>
      </c>
      <c r="I569" s="23" t="s">
        <v>33</v>
      </c>
      <c r="J569" s="24">
        <f>980000/100</f>
        <v>9800</v>
      </c>
      <c r="K569" s="21" t="s">
        <v>33</v>
      </c>
      <c r="L569" s="25"/>
      <c r="M569" s="25">
        <v>0.17</v>
      </c>
      <c r="N569" s="22"/>
      <c r="O569" s="23" t="s">
        <v>33</v>
      </c>
      <c r="P569" s="20">
        <f>(C569+(E569*F569*H569))-N569</f>
        <v>60</v>
      </c>
      <c r="Q569" s="23" t="s">
        <v>33</v>
      </c>
      <c r="R569" s="24">
        <f>P569*(J569-(J569*L569)-((J569-(J569*L569))*M569))</f>
        <v>488040</v>
      </c>
      <c r="S569" s="24">
        <f t="shared" si="219"/>
        <v>439675.67567567562</v>
      </c>
    </row>
    <row r="570" spans="1:20" s="98" customFormat="1" x14ac:dyDescent="0.2">
      <c r="A570" s="128" t="s">
        <v>349</v>
      </c>
      <c r="B570" s="98" t="s">
        <v>25</v>
      </c>
      <c r="C570" s="99"/>
      <c r="D570" s="100" t="s">
        <v>33</v>
      </c>
      <c r="E570" s="101">
        <v>1</v>
      </c>
      <c r="F570" s="102">
        <v>10</v>
      </c>
      <c r="G570" s="103" t="s">
        <v>98</v>
      </c>
      <c r="H570" s="102">
        <v>10</v>
      </c>
      <c r="I570" s="103" t="s">
        <v>33</v>
      </c>
      <c r="J570" s="104">
        <f>980000/100</f>
        <v>9800</v>
      </c>
      <c r="K570" s="100" t="s">
        <v>33</v>
      </c>
      <c r="L570" s="105"/>
      <c r="M570" s="105">
        <v>0.17</v>
      </c>
      <c r="N570" s="102"/>
      <c r="O570" s="103" t="s">
        <v>33</v>
      </c>
      <c r="P570" s="99">
        <f>(C570+(E570*F570*H570))-N570</f>
        <v>100</v>
      </c>
      <c r="Q570" s="103" t="s">
        <v>33</v>
      </c>
      <c r="R570" s="104">
        <f>P570*(J570-(J570*L570)-((J570-(J570*L570))*M570))</f>
        <v>813400</v>
      </c>
      <c r="S570" s="104">
        <f t="shared" si="219"/>
        <v>732792.79279279278</v>
      </c>
    </row>
    <row r="571" spans="1:20" s="19" customFormat="1" x14ac:dyDescent="0.2">
      <c r="A571" s="18"/>
      <c r="C571" s="20"/>
      <c r="D571" s="21"/>
      <c r="E571" s="26"/>
      <c r="F571" s="22"/>
      <c r="G571" s="23"/>
      <c r="H571" s="22"/>
      <c r="I571" s="23"/>
      <c r="J571" s="24"/>
      <c r="K571" s="21"/>
      <c r="L571" s="25"/>
      <c r="M571" s="25"/>
      <c r="N571" s="22"/>
      <c r="O571" s="23"/>
      <c r="P571" s="20"/>
      <c r="Q571" s="23"/>
      <c r="R571" s="24"/>
      <c r="S571" s="24"/>
    </row>
    <row r="572" spans="1:20" s="19" customFormat="1" ht="15.75" x14ac:dyDescent="0.25">
      <c r="A572" s="38" t="s">
        <v>352</v>
      </c>
      <c r="C572" s="20"/>
      <c r="D572" s="21"/>
      <c r="E572" s="26"/>
      <c r="F572" s="22"/>
      <c r="G572" s="23"/>
      <c r="H572" s="22"/>
      <c r="I572" s="23"/>
      <c r="J572" s="24"/>
      <c r="K572" s="21"/>
      <c r="L572" s="25"/>
      <c r="M572" s="25"/>
      <c r="N572" s="22"/>
      <c r="O572" s="23"/>
      <c r="P572" s="20"/>
      <c r="Q572" s="23"/>
      <c r="R572" s="24"/>
      <c r="S572" s="24"/>
    </row>
    <row r="573" spans="1:20" s="19" customFormat="1" x14ac:dyDescent="0.2">
      <c r="A573" s="65" t="s">
        <v>353</v>
      </c>
      <c r="C573" s="20"/>
      <c r="D573" s="21"/>
      <c r="E573" s="26"/>
      <c r="F573" s="22"/>
      <c r="G573" s="23"/>
      <c r="H573" s="22"/>
      <c r="I573" s="23"/>
      <c r="J573" s="24"/>
      <c r="K573" s="21"/>
      <c r="L573" s="25"/>
      <c r="M573" s="25"/>
      <c r="N573" s="22"/>
      <c r="O573" s="23"/>
      <c r="P573" s="20"/>
      <c r="Q573" s="23"/>
      <c r="R573" s="24"/>
      <c r="S573" s="24"/>
    </row>
    <row r="574" spans="1:20" s="81" customFormat="1" x14ac:dyDescent="0.2">
      <c r="A574" s="80" t="s">
        <v>354</v>
      </c>
      <c r="B574" s="81" t="s">
        <v>18</v>
      </c>
      <c r="C574" s="79"/>
      <c r="D574" s="82" t="s">
        <v>40</v>
      </c>
      <c r="E574" s="83"/>
      <c r="F574" s="84">
        <v>1</v>
      </c>
      <c r="G574" s="85" t="s">
        <v>20</v>
      </c>
      <c r="H574" s="84">
        <v>144</v>
      </c>
      <c r="I574" s="85" t="s">
        <v>40</v>
      </c>
      <c r="J574" s="86">
        <v>28200</v>
      </c>
      <c r="K574" s="82" t="s">
        <v>40</v>
      </c>
      <c r="L574" s="87">
        <v>0.125</v>
      </c>
      <c r="M574" s="87">
        <v>0.05</v>
      </c>
      <c r="N574" s="84"/>
      <c r="O574" s="85" t="s">
        <v>40</v>
      </c>
      <c r="P574" s="79">
        <f t="shared" ref="P574:P583" si="221">(C574+(E574*F574*H574))-N574</f>
        <v>0</v>
      </c>
      <c r="Q574" s="85" t="s">
        <v>40</v>
      </c>
      <c r="R574" s="86">
        <f t="shared" ref="R574:R582" si="222">P574*(J574-(J574*L574)-((J574-(J574*L574))*M574))</f>
        <v>0</v>
      </c>
      <c r="S574" s="86">
        <f t="shared" si="219"/>
        <v>0</v>
      </c>
    </row>
    <row r="575" spans="1:20" s="81" customFormat="1" x14ac:dyDescent="0.2">
      <c r="A575" s="80" t="s">
        <v>355</v>
      </c>
      <c r="B575" s="81" t="s">
        <v>18</v>
      </c>
      <c r="C575" s="79"/>
      <c r="D575" s="82" t="s">
        <v>40</v>
      </c>
      <c r="E575" s="83"/>
      <c r="F575" s="84">
        <v>1</v>
      </c>
      <c r="G575" s="85" t="s">
        <v>20</v>
      </c>
      <c r="H575" s="84">
        <v>144</v>
      </c>
      <c r="I575" s="85" t="s">
        <v>40</v>
      </c>
      <c r="J575" s="86">
        <v>7800</v>
      </c>
      <c r="K575" s="82" t="s">
        <v>40</v>
      </c>
      <c r="L575" s="87">
        <v>0.1</v>
      </c>
      <c r="M575" s="87">
        <v>0.05</v>
      </c>
      <c r="N575" s="84"/>
      <c r="O575" s="85" t="s">
        <v>40</v>
      </c>
      <c r="P575" s="79">
        <f t="shared" si="221"/>
        <v>0</v>
      </c>
      <c r="Q575" s="85" t="s">
        <v>40</v>
      </c>
      <c r="R575" s="86">
        <f t="shared" si="222"/>
        <v>0</v>
      </c>
      <c r="S575" s="86">
        <f t="shared" si="219"/>
        <v>0</v>
      </c>
    </row>
    <row r="576" spans="1:20" s="19" customFormat="1" x14ac:dyDescent="0.2">
      <c r="A576" s="18" t="s">
        <v>356</v>
      </c>
      <c r="B576" s="19" t="s">
        <v>18</v>
      </c>
      <c r="C576" s="20">
        <v>300</v>
      </c>
      <c r="D576" s="21" t="s">
        <v>40</v>
      </c>
      <c r="E576" s="26"/>
      <c r="F576" s="22">
        <v>1</v>
      </c>
      <c r="G576" s="23" t="s">
        <v>20</v>
      </c>
      <c r="H576" s="22">
        <v>144</v>
      </c>
      <c r="I576" s="23" t="s">
        <v>40</v>
      </c>
      <c r="J576" s="24">
        <v>6900</v>
      </c>
      <c r="K576" s="21" t="s">
        <v>40</v>
      </c>
      <c r="L576" s="25">
        <v>0.125</v>
      </c>
      <c r="M576" s="25">
        <v>0.05</v>
      </c>
      <c r="N576" s="22"/>
      <c r="O576" s="23" t="s">
        <v>40</v>
      </c>
      <c r="P576" s="20">
        <f t="shared" si="221"/>
        <v>300</v>
      </c>
      <c r="Q576" s="23" t="s">
        <v>40</v>
      </c>
      <c r="R576" s="24">
        <f t="shared" si="222"/>
        <v>1720687.5</v>
      </c>
      <c r="S576" s="24">
        <f t="shared" si="219"/>
        <v>1550168.9189189188</v>
      </c>
    </row>
    <row r="577" spans="1:19" s="81" customFormat="1" x14ac:dyDescent="0.2">
      <c r="A577" s="80" t="s">
        <v>753</v>
      </c>
      <c r="B577" s="81" t="s">
        <v>18</v>
      </c>
      <c r="C577" s="79"/>
      <c r="D577" s="82" t="s">
        <v>40</v>
      </c>
      <c r="E577" s="83"/>
      <c r="F577" s="84">
        <v>1</v>
      </c>
      <c r="G577" s="85" t="s">
        <v>20</v>
      </c>
      <c r="H577" s="84">
        <v>144</v>
      </c>
      <c r="I577" s="85" t="s">
        <v>40</v>
      </c>
      <c r="J577" s="86">
        <v>7020</v>
      </c>
      <c r="K577" s="82" t="s">
        <v>40</v>
      </c>
      <c r="L577" s="87">
        <v>0.125</v>
      </c>
      <c r="M577" s="87">
        <v>0.05</v>
      </c>
      <c r="N577" s="84"/>
      <c r="O577" s="85" t="s">
        <v>40</v>
      </c>
      <c r="P577" s="79">
        <f t="shared" si="221"/>
        <v>0</v>
      </c>
      <c r="Q577" s="85" t="s">
        <v>40</v>
      </c>
      <c r="R577" s="86">
        <f t="shared" si="222"/>
        <v>0</v>
      </c>
      <c r="S577" s="86">
        <f t="shared" si="219"/>
        <v>0</v>
      </c>
    </row>
    <row r="578" spans="1:19" s="98" customFormat="1" x14ac:dyDescent="0.2">
      <c r="A578" s="90" t="s">
        <v>357</v>
      </c>
      <c r="B578" s="98" t="s">
        <v>18</v>
      </c>
      <c r="C578" s="99"/>
      <c r="D578" s="100" t="s">
        <v>40</v>
      </c>
      <c r="E578" s="101">
        <v>1</v>
      </c>
      <c r="F578" s="102">
        <v>1</v>
      </c>
      <c r="G578" s="103" t="s">
        <v>20</v>
      </c>
      <c r="H578" s="102">
        <v>144</v>
      </c>
      <c r="I578" s="103" t="s">
        <v>40</v>
      </c>
      <c r="J578" s="104">
        <v>7200</v>
      </c>
      <c r="K578" s="100" t="s">
        <v>40</v>
      </c>
      <c r="L578" s="105">
        <v>0.125</v>
      </c>
      <c r="M578" s="105">
        <v>0.05</v>
      </c>
      <c r="N578" s="102"/>
      <c r="O578" s="103" t="s">
        <v>40</v>
      </c>
      <c r="P578" s="99">
        <f t="shared" ref="P578" si="223">(C578+(E578*F578*H578))-N578</f>
        <v>144</v>
      </c>
      <c r="Q578" s="103" t="s">
        <v>40</v>
      </c>
      <c r="R578" s="104">
        <f t="shared" ref="R578" si="224">P578*(J578-(J578*L578)-((J578-(J578*L578))*M578))</f>
        <v>861840</v>
      </c>
      <c r="S578" s="104">
        <f t="shared" ref="S578" si="225">R578/1.11</f>
        <v>776432.43243243231</v>
      </c>
    </row>
    <row r="579" spans="1:19" s="81" customFormat="1" x14ac:dyDescent="0.2">
      <c r="A579" s="80" t="s">
        <v>719</v>
      </c>
      <c r="B579" s="81" t="s">
        <v>18</v>
      </c>
      <c r="C579" s="79"/>
      <c r="D579" s="82" t="s">
        <v>40</v>
      </c>
      <c r="E579" s="83"/>
      <c r="F579" s="84">
        <v>1</v>
      </c>
      <c r="G579" s="85" t="s">
        <v>20</v>
      </c>
      <c r="H579" s="84">
        <v>144</v>
      </c>
      <c r="I579" s="85" t="s">
        <v>40</v>
      </c>
      <c r="J579" s="86">
        <v>6600</v>
      </c>
      <c r="K579" s="82" t="s">
        <v>40</v>
      </c>
      <c r="L579" s="87">
        <v>0.125</v>
      </c>
      <c r="M579" s="87">
        <v>0.05</v>
      </c>
      <c r="N579" s="84"/>
      <c r="O579" s="85" t="s">
        <v>40</v>
      </c>
      <c r="P579" s="79">
        <f t="shared" si="221"/>
        <v>0</v>
      </c>
      <c r="Q579" s="85" t="s">
        <v>40</v>
      </c>
      <c r="R579" s="86">
        <f t="shared" si="222"/>
        <v>0</v>
      </c>
      <c r="S579" s="86">
        <f t="shared" si="219"/>
        <v>0</v>
      </c>
    </row>
    <row r="580" spans="1:19" s="19" customFormat="1" x14ac:dyDescent="0.2">
      <c r="A580" s="18" t="s">
        <v>649</v>
      </c>
      <c r="B580" s="19" t="s">
        <v>18</v>
      </c>
      <c r="C580" s="20"/>
      <c r="D580" s="21" t="s">
        <v>40</v>
      </c>
      <c r="E580" s="26">
        <v>2</v>
      </c>
      <c r="F580" s="22">
        <v>1</v>
      </c>
      <c r="G580" s="23" t="s">
        <v>20</v>
      </c>
      <c r="H580" s="22">
        <v>144</v>
      </c>
      <c r="I580" s="23" t="s">
        <v>40</v>
      </c>
      <c r="J580" s="24">
        <v>6120</v>
      </c>
      <c r="K580" s="21" t="s">
        <v>40</v>
      </c>
      <c r="L580" s="25">
        <v>0.125</v>
      </c>
      <c r="M580" s="25">
        <v>0.05</v>
      </c>
      <c r="N580" s="22"/>
      <c r="O580" s="23" t="s">
        <v>40</v>
      </c>
      <c r="P580" s="20">
        <f t="shared" ref="P580" si="226">(C580+(E580*F580*H580))-N580</f>
        <v>288</v>
      </c>
      <c r="Q580" s="23" t="s">
        <v>40</v>
      </c>
      <c r="R580" s="24">
        <f t="shared" ref="R580" si="227">P580*(J580-(J580*L580)-((J580-(J580*L580))*M580))</f>
        <v>1465128</v>
      </c>
      <c r="S580" s="24">
        <f t="shared" ref="S580" si="228">R580/1.11</f>
        <v>1319935.1351351349</v>
      </c>
    </row>
    <row r="581" spans="1:19" s="81" customFormat="1" x14ac:dyDescent="0.2">
      <c r="A581" s="80" t="s">
        <v>695</v>
      </c>
      <c r="B581" s="81" t="s">
        <v>18</v>
      </c>
      <c r="C581" s="79"/>
      <c r="D581" s="82" t="s">
        <v>40</v>
      </c>
      <c r="E581" s="83"/>
      <c r="F581" s="84">
        <v>1</v>
      </c>
      <c r="G581" s="85" t="s">
        <v>20</v>
      </c>
      <c r="H581" s="84">
        <v>144</v>
      </c>
      <c r="I581" s="85" t="s">
        <v>40</v>
      </c>
      <c r="J581" s="86">
        <v>6000</v>
      </c>
      <c r="K581" s="82" t="s">
        <v>40</v>
      </c>
      <c r="L581" s="87">
        <v>0.125</v>
      </c>
      <c r="M581" s="87">
        <v>0.05</v>
      </c>
      <c r="N581" s="84"/>
      <c r="O581" s="85" t="s">
        <v>40</v>
      </c>
      <c r="P581" s="79">
        <f t="shared" si="221"/>
        <v>0</v>
      </c>
      <c r="Q581" s="85" t="s">
        <v>40</v>
      </c>
      <c r="R581" s="86">
        <f t="shared" si="222"/>
        <v>0</v>
      </c>
      <c r="S581" s="86">
        <f t="shared" si="219"/>
        <v>0</v>
      </c>
    </row>
    <row r="582" spans="1:19" s="19" customFormat="1" x14ac:dyDescent="0.2">
      <c r="A582" s="18" t="s">
        <v>358</v>
      </c>
      <c r="B582" s="19" t="s">
        <v>18</v>
      </c>
      <c r="C582" s="20">
        <v>864</v>
      </c>
      <c r="D582" s="21" t="s">
        <v>40</v>
      </c>
      <c r="E582" s="26"/>
      <c r="F582" s="22">
        <v>1</v>
      </c>
      <c r="G582" s="23" t="s">
        <v>20</v>
      </c>
      <c r="H582" s="22">
        <v>144</v>
      </c>
      <c r="I582" s="23" t="s">
        <v>40</v>
      </c>
      <c r="J582" s="24">
        <v>5100</v>
      </c>
      <c r="K582" s="21" t="s">
        <v>40</v>
      </c>
      <c r="L582" s="25">
        <v>0.125</v>
      </c>
      <c r="M582" s="25">
        <v>0.05</v>
      </c>
      <c r="N582" s="22"/>
      <c r="O582" s="23" t="s">
        <v>40</v>
      </c>
      <c r="P582" s="20">
        <f t="shared" si="221"/>
        <v>864</v>
      </c>
      <c r="Q582" s="23" t="s">
        <v>40</v>
      </c>
      <c r="R582" s="24">
        <f t="shared" si="222"/>
        <v>3662820</v>
      </c>
      <c r="S582" s="24">
        <f t="shared" si="219"/>
        <v>3299837.8378378376</v>
      </c>
    </row>
    <row r="583" spans="1:19" s="19" customFormat="1" x14ac:dyDescent="0.2">
      <c r="A583" s="134" t="s">
        <v>831</v>
      </c>
      <c r="B583" s="19" t="s">
        <v>18</v>
      </c>
      <c r="C583" s="51">
        <v>36</v>
      </c>
      <c r="D583" s="21" t="s">
        <v>40</v>
      </c>
      <c r="E583" s="26"/>
      <c r="F583" s="22">
        <v>1</v>
      </c>
      <c r="G583" s="23" t="s">
        <v>20</v>
      </c>
      <c r="H583" s="22">
        <v>144</v>
      </c>
      <c r="I583" s="23" t="s">
        <v>40</v>
      </c>
      <c r="J583" s="138"/>
      <c r="K583" s="141" t="s">
        <v>40</v>
      </c>
      <c r="L583" s="133">
        <v>0.1</v>
      </c>
      <c r="M583" s="133">
        <v>0.05</v>
      </c>
      <c r="N583" s="22"/>
      <c r="O583" s="23" t="s">
        <v>40</v>
      </c>
      <c r="P583" s="20">
        <f t="shared" si="221"/>
        <v>36</v>
      </c>
      <c r="Q583" s="23" t="s">
        <v>40</v>
      </c>
      <c r="R583" s="24">
        <f>P583*(J583-(J583*L583)-((J583-(J583*L583))*M583))</f>
        <v>0</v>
      </c>
      <c r="S583" s="24">
        <f t="shared" ref="S583" si="229">R583/1.11</f>
        <v>0</v>
      </c>
    </row>
    <row r="584" spans="1:19" s="19" customFormat="1" x14ac:dyDescent="0.2">
      <c r="A584" s="134" t="s">
        <v>359</v>
      </c>
      <c r="B584" s="19" t="s">
        <v>18</v>
      </c>
      <c r="C584" s="51"/>
      <c r="D584" s="21" t="s">
        <v>40</v>
      </c>
      <c r="E584" s="26">
        <v>11</v>
      </c>
      <c r="F584" s="22">
        <v>1</v>
      </c>
      <c r="G584" s="23" t="s">
        <v>20</v>
      </c>
      <c r="H584" s="22">
        <v>144</v>
      </c>
      <c r="I584" s="23" t="s">
        <v>40</v>
      </c>
      <c r="J584" s="138">
        <v>12600</v>
      </c>
      <c r="K584" s="141" t="s">
        <v>40</v>
      </c>
      <c r="L584" s="133">
        <v>0.125</v>
      </c>
      <c r="M584" s="133">
        <v>0.05</v>
      </c>
      <c r="N584" s="22"/>
      <c r="O584" s="23" t="s">
        <v>40</v>
      </c>
      <c r="P584" s="20">
        <f>(C584+(E584*F584*H584))-N584</f>
        <v>1584</v>
      </c>
      <c r="Q584" s="23" t="s">
        <v>40</v>
      </c>
      <c r="R584" s="24">
        <f>P584*(J584-(J584*L584)-((J584-(J584*L584))*M584))</f>
        <v>16590420</v>
      </c>
      <c r="S584" s="24">
        <f>R584/1.11</f>
        <v>14946324.324324323</v>
      </c>
    </row>
    <row r="585" spans="1:19" s="19" customFormat="1" x14ac:dyDescent="0.2">
      <c r="A585" s="31" t="s">
        <v>899</v>
      </c>
      <c r="B585" s="19" t="s">
        <v>18</v>
      </c>
      <c r="C585" s="51">
        <f>1296/12</f>
        <v>108</v>
      </c>
      <c r="D585" s="21" t="s">
        <v>40</v>
      </c>
      <c r="E585" s="26"/>
      <c r="F585" s="22">
        <v>1</v>
      </c>
      <c r="G585" s="23" t="s">
        <v>20</v>
      </c>
      <c r="H585" s="22">
        <v>144</v>
      </c>
      <c r="I585" s="23" t="s">
        <v>40</v>
      </c>
      <c r="J585" s="24">
        <v>13200</v>
      </c>
      <c r="K585" s="21" t="s">
        <v>40</v>
      </c>
      <c r="L585" s="33">
        <v>0.1</v>
      </c>
      <c r="M585" s="33">
        <v>0.05</v>
      </c>
      <c r="N585" s="22"/>
      <c r="O585" s="23" t="s">
        <v>40</v>
      </c>
      <c r="P585" s="20">
        <f>(C585+(E585*F585*H585))-N585</f>
        <v>108</v>
      </c>
      <c r="Q585" s="23" t="s">
        <v>40</v>
      </c>
      <c r="R585" s="24">
        <f>P585*(J585-(J585*L585)-((J585-(J585*L585))*M585))</f>
        <v>1218888</v>
      </c>
      <c r="S585" s="24">
        <f>R585/1.11</f>
        <v>1098097.2972972973</v>
      </c>
    </row>
    <row r="586" spans="1:19" s="19" customFormat="1" x14ac:dyDescent="0.2">
      <c r="A586" s="31" t="s">
        <v>899</v>
      </c>
      <c r="B586" s="19" t="s">
        <v>18</v>
      </c>
      <c r="C586" s="51">
        <f>(3*12*12)+(432/12)</f>
        <v>468</v>
      </c>
      <c r="D586" s="21" t="s">
        <v>40</v>
      </c>
      <c r="E586" s="26"/>
      <c r="F586" s="22">
        <v>1</v>
      </c>
      <c r="G586" s="23" t="s">
        <v>20</v>
      </c>
      <c r="H586" s="22">
        <v>144</v>
      </c>
      <c r="I586" s="23" t="s">
        <v>40</v>
      </c>
      <c r="J586" s="24">
        <v>13200</v>
      </c>
      <c r="K586" s="21" t="s">
        <v>40</v>
      </c>
      <c r="L586" s="33">
        <v>0.125</v>
      </c>
      <c r="M586" s="33">
        <v>0.05</v>
      </c>
      <c r="N586" s="22"/>
      <c r="O586" s="23" t="s">
        <v>40</v>
      </c>
      <c r="P586" s="20">
        <f>(C586+(E586*F586*H586))-N586</f>
        <v>468</v>
      </c>
      <c r="Q586" s="23" t="s">
        <v>40</v>
      </c>
      <c r="R586" s="24">
        <f>P586*(J586-(J586*L586)-((J586-(J586*L586))*M586))</f>
        <v>5135130</v>
      </c>
      <c r="S586" s="24">
        <f>R586/1.11</f>
        <v>4626243.2432432426</v>
      </c>
    </row>
    <row r="587" spans="1:19" s="19" customFormat="1" x14ac:dyDescent="0.2">
      <c r="A587" s="18"/>
      <c r="C587" s="51"/>
      <c r="D587" s="21"/>
      <c r="E587" s="26"/>
      <c r="F587" s="22"/>
      <c r="G587" s="23"/>
      <c r="H587" s="22"/>
      <c r="I587" s="23"/>
      <c r="J587" s="24"/>
      <c r="K587" s="21"/>
      <c r="L587" s="25"/>
      <c r="M587" s="25"/>
      <c r="N587" s="22"/>
      <c r="O587" s="23"/>
      <c r="P587" s="20"/>
      <c r="Q587" s="23"/>
      <c r="R587" s="24"/>
      <c r="S587" s="24"/>
    </row>
    <row r="588" spans="1:19" s="81" customFormat="1" x14ac:dyDescent="0.2">
      <c r="A588" s="113" t="s">
        <v>360</v>
      </c>
      <c r="B588" s="81" t="s">
        <v>25</v>
      </c>
      <c r="C588" s="79"/>
      <c r="D588" s="82" t="s">
        <v>40</v>
      </c>
      <c r="E588" s="83"/>
      <c r="F588" s="84">
        <v>1</v>
      </c>
      <c r="G588" s="85" t="s">
        <v>20</v>
      </c>
      <c r="H588" s="84">
        <v>144</v>
      </c>
      <c r="I588" s="85" t="s">
        <v>40</v>
      </c>
      <c r="J588" s="86">
        <v>22200</v>
      </c>
      <c r="K588" s="82" t="s">
        <v>40</v>
      </c>
      <c r="L588" s="87"/>
      <c r="M588" s="87">
        <v>0.17</v>
      </c>
      <c r="N588" s="84"/>
      <c r="O588" s="85" t="s">
        <v>40</v>
      </c>
      <c r="P588" s="79">
        <f t="shared" ref="P588:P594" si="230">(C588+(E588*F588*H588))-N588</f>
        <v>0</v>
      </c>
      <c r="Q588" s="85" t="s">
        <v>40</v>
      </c>
      <c r="R588" s="86">
        <f t="shared" ref="R588:R594" si="231">P588*(J588-(J588*L588)-((J588-(J588*L588))*M588))</f>
        <v>0</v>
      </c>
      <c r="S588" s="86">
        <f t="shared" si="219"/>
        <v>0</v>
      </c>
    </row>
    <row r="589" spans="1:19" s="81" customFormat="1" x14ac:dyDescent="0.2">
      <c r="A589" s="113" t="s">
        <v>361</v>
      </c>
      <c r="B589" s="81" t="s">
        <v>25</v>
      </c>
      <c r="C589" s="79"/>
      <c r="D589" s="82" t="s">
        <v>40</v>
      </c>
      <c r="E589" s="83"/>
      <c r="F589" s="84">
        <v>1</v>
      </c>
      <c r="G589" s="85" t="s">
        <v>20</v>
      </c>
      <c r="H589" s="84">
        <v>144</v>
      </c>
      <c r="I589" s="85" t="s">
        <v>40</v>
      </c>
      <c r="J589" s="86">
        <f>1728000/144</f>
        <v>12000</v>
      </c>
      <c r="K589" s="82" t="s">
        <v>40</v>
      </c>
      <c r="L589" s="87"/>
      <c r="M589" s="87">
        <v>0.17</v>
      </c>
      <c r="N589" s="84"/>
      <c r="O589" s="85" t="s">
        <v>40</v>
      </c>
      <c r="P589" s="79">
        <f t="shared" si="230"/>
        <v>0</v>
      </c>
      <c r="Q589" s="85" t="s">
        <v>40</v>
      </c>
      <c r="R589" s="86">
        <f t="shared" si="231"/>
        <v>0</v>
      </c>
      <c r="S589" s="86">
        <f t="shared" si="219"/>
        <v>0</v>
      </c>
    </row>
    <row r="590" spans="1:19" s="81" customFormat="1" x14ac:dyDescent="0.2">
      <c r="A590" s="113" t="s">
        <v>362</v>
      </c>
      <c r="B590" s="81" t="s">
        <v>25</v>
      </c>
      <c r="C590" s="79"/>
      <c r="D590" s="82" t="s">
        <v>40</v>
      </c>
      <c r="E590" s="83"/>
      <c r="F590" s="84">
        <v>1</v>
      </c>
      <c r="G590" s="85" t="s">
        <v>20</v>
      </c>
      <c r="H590" s="84">
        <v>144</v>
      </c>
      <c r="I590" s="85" t="s">
        <v>40</v>
      </c>
      <c r="J590" s="86">
        <v>13800</v>
      </c>
      <c r="K590" s="82" t="s">
        <v>40</v>
      </c>
      <c r="L590" s="87"/>
      <c r="M590" s="87">
        <v>0.17</v>
      </c>
      <c r="N590" s="84"/>
      <c r="O590" s="85" t="s">
        <v>40</v>
      </c>
      <c r="P590" s="79">
        <f t="shared" si="230"/>
        <v>0</v>
      </c>
      <c r="Q590" s="85" t="s">
        <v>40</v>
      </c>
      <c r="R590" s="86">
        <f t="shared" si="231"/>
        <v>0</v>
      </c>
      <c r="S590" s="86">
        <f t="shared" si="219"/>
        <v>0</v>
      </c>
    </row>
    <row r="591" spans="1:19" s="81" customFormat="1" x14ac:dyDescent="0.2">
      <c r="A591" s="113" t="s">
        <v>363</v>
      </c>
      <c r="B591" s="81" t="s">
        <v>25</v>
      </c>
      <c r="C591" s="79"/>
      <c r="D591" s="82" t="s">
        <v>40</v>
      </c>
      <c r="E591" s="83"/>
      <c r="F591" s="84">
        <v>1</v>
      </c>
      <c r="G591" s="85" t="s">
        <v>20</v>
      </c>
      <c r="H591" s="84">
        <v>144</v>
      </c>
      <c r="I591" s="85" t="s">
        <v>40</v>
      </c>
      <c r="J591" s="86">
        <v>13800</v>
      </c>
      <c r="K591" s="82" t="s">
        <v>40</v>
      </c>
      <c r="L591" s="87"/>
      <c r="M591" s="87">
        <v>0.17</v>
      </c>
      <c r="N591" s="84"/>
      <c r="O591" s="85" t="s">
        <v>40</v>
      </c>
      <c r="P591" s="79">
        <f t="shared" si="230"/>
        <v>0</v>
      </c>
      <c r="Q591" s="85" t="s">
        <v>40</v>
      </c>
      <c r="R591" s="86">
        <f t="shared" si="231"/>
        <v>0</v>
      </c>
      <c r="S591" s="86">
        <f t="shared" si="219"/>
        <v>0</v>
      </c>
    </row>
    <row r="592" spans="1:19" s="81" customFormat="1" x14ac:dyDescent="0.2">
      <c r="A592" s="113" t="s">
        <v>364</v>
      </c>
      <c r="B592" s="81" t="s">
        <v>25</v>
      </c>
      <c r="C592" s="79"/>
      <c r="D592" s="82" t="s">
        <v>40</v>
      </c>
      <c r="E592" s="83"/>
      <c r="F592" s="84">
        <v>1</v>
      </c>
      <c r="G592" s="85" t="s">
        <v>20</v>
      </c>
      <c r="H592" s="84">
        <v>144</v>
      </c>
      <c r="I592" s="85" t="s">
        <v>40</v>
      </c>
      <c r="J592" s="86">
        <v>13800</v>
      </c>
      <c r="K592" s="82" t="s">
        <v>40</v>
      </c>
      <c r="L592" s="87"/>
      <c r="M592" s="87">
        <v>0.17</v>
      </c>
      <c r="N592" s="84"/>
      <c r="O592" s="85" t="s">
        <v>40</v>
      </c>
      <c r="P592" s="79">
        <f t="shared" si="230"/>
        <v>0</v>
      </c>
      <c r="Q592" s="85" t="s">
        <v>40</v>
      </c>
      <c r="R592" s="86">
        <f t="shared" si="231"/>
        <v>0</v>
      </c>
      <c r="S592" s="86">
        <f t="shared" si="219"/>
        <v>0</v>
      </c>
    </row>
    <row r="593" spans="1:19" s="81" customFormat="1" x14ac:dyDescent="0.2">
      <c r="A593" s="113" t="s">
        <v>365</v>
      </c>
      <c r="B593" s="81" t="s">
        <v>25</v>
      </c>
      <c r="C593" s="79"/>
      <c r="D593" s="82" t="s">
        <v>40</v>
      </c>
      <c r="E593" s="83"/>
      <c r="F593" s="84">
        <v>1</v>
      </c>
      <c r="G593" s="85" t="s">
        <v>20</v>
      </c>
      <c r="H593" s="84">
        <v>144</v>
      </c>
      <c r="I593" s="85" t="s">
        <v>40</v>
      </c>
      <c r="J593" s="86">
        <f>1987200/144</f>
        <v>13800</v>
      </c>
      <c r="K593" s="82" t="s">
        <v>40</v>
      </c>
      <c r="L593" s="87"/>
      <c r="M593" s="87">
        <v>0.17</v>
      </c>
      <c r="N593" s="84"/>
      <c r="O593" s="85" t="s">
        <v>40</v>
      </c>
      <c r="P593" s="79">
        <f t="shared" si="230"/>
        <v>0</v>
      </c>
      <c r="Q593" s="85" t="s">
        <v>40</v>
      </c>
      <c r="R593" s="86">
        <f t="shared" si="231"/>
        <v>0</v>
      </c>
      <c r="S593" s="86">
        <f t="shared" si="219"/>
        <v>0</v>
      </c>
    </row>
    <row r="594" spans="1:19" s="19" customFormat="1" x14ac:dyDescent="0.2">
      <c r="A594" s="43" t="s">
        <v>366</v>
      </c>
      <c r="B594" s="19" t="s">
        <v>25</v>
      </c>
      <c r="C594" s="20">
        <v>108</v>
      </c>
      <c r="D594" s="21" t="s">
        <v>40</v>
      </c>
      <c r="E594" s="26"/>
      <c r="F594" s="22">
        <v>1</v>
      </c>
      <c r="G594" s="23" t="s">
        <v>20</v>
      </c>
      <c r="H594" s="22">
        <v>144</v>
      </c>
      <c r="I594" s="23" t="s">
        <v>40</v>
      </c>
      <c r="J594" s="24">
        <f>2073600/12/12</f>
        <v>14400</v>
      </c>
      <c r="K594" s="21" t="s">
        <v>40</v>
      </c>
      <c r="L594" s="25"/>
      <c r="M594" s="25">
        <v>0.17</v>
      </c>
      <c r="N594" s="22"/>
      <c r="O594" s="23" t="s">
        <v>40</v>
      </c>
      <c r="P594" s="20">
        <f t="shared" si="230"/>
        <v>108</v>
      </c>
      <c r="Q594" s="23" t="s">
        <v>40</v>
      </c>
      <c r="R594" s="24">
        <f t="shared" si="231"/>
        <v>1290816</v>
      </c>
      <c r="S594" s="24">
        <f t="shared" si="219"/>
        <v>1162897.2972972973</v>
      </c>
    </row>
    <row r="595" spans="1:19" s="19" customFormat="1" x14ac:dyDescent="0.2">
      <c r="A595" s="43"/>
      <c r="C595" s="20"/>
      <c r="D595" s="21"/>
      <c r="E595" s="26"/>
      <c r="F595" s="22"/>
      <c r="G595" s="23"/>
      <c r="H595" s="22"/>
      <c r="I595" s="23"/>
      <c r="J595" s="24"/>
      <c r="K595" s="21"/>
      <c r="L595" s="25"/>
      <c r="M595" s="25"/>
      <c r="N595" s="22"/>
      <c r="O595" s="23"/>
      <c r="P595" s="20"/>
      <c r="Q595" s="23"/>
      <c r="R595" s="24"/>
      <c r="S595" s="24"/>
    </row>
    <row r="596" spans="1:19" s="19" customFormat="1" x14ac:dyDescent="0.2">
      <c r="A596" s="65" t="s">
        <v>367</v>
      </c>
      <c r="C596" s="20"/>
      <c r="D596" s="21"/>
      <c r="E596" s="26"/>
      <c r="F596" s="22"/>
      <c r="G596" s="23"/>
      <c r="H596" s="22"/>
      <c r="I596" s="23"/>
      <c r="J596" s="24"/>
      <c r="K596" s="21"/>
      <c r="L596" s="25"/>
      <c r="M596" s="25"/>
      <c r="N596" s="22"/>
      <c r="O596" s="23"/>
      <c r="P596" s="20"/>
      <c r="Q596" s="23"/>
      <c r="R596" s="24"/>
      <c r="S596" s="24"/>
    </row>
    <row r="597" spans="1:19" s="19" customFormat="1" x14ac:dyDescent="0.2">
      <c r="A597" s="18" t="s">
        <v>368</v>
      </c>
      <c r="B597" s="19" t="s">
        <v>181</v>
      </c>
      <c r="C597" s="20">
        <v>2109</v>
      </c>
      <c r="D597" s="21" t="s">
        <v>40</v>
      </c>
      <c r="E597" s="26"/>
      <c r="F597" s="22">
        <v>1</v>
      </c>
      <c r="G597" s="23" t="s">
        <v>20</v>
      </c>
      <c r="H597" s="22">
        <v>240</v>
      </c>
      <c r="I597" s="23" t="s">
        <v>40</v>
      </c>
      <c r="J597" s="24">
        <v>10000</v>
      </c>
      <c r="K597" s="21" t="s">
        <v>40</v>
      </c>
      <c r="L597" s="25"/>
      <c r="M597" s="25"/>
      <c r="N597" s="22"/>
      <c r="O597" s="23" t="s">
        <v>40</v>
      </c>
      <c r="P597" s="20">
        <f>(C597+(E597*F597*H597))-N597</f>
        <v>2109</v>
      </c>
      <c r="Q597" s="23" t="s">
        <v>40</v>
      </c>
      <c r="R597" s="24">
        <f>P597*(J597-(J597*L597)-((J597-(J597*L597))*M597))</f>
        <v>21090000</v>
      </c>
      <c r="S597" s="24">
        <f t="shared" si="219"/>
        <v>19000000</v>
      </c>
    </row>
    <row r="598" spans="1:19" s="19" customFormat="1" x14ac:dyDescent="0.2">
      <c r="A598" s="18" t="s">
        <v>369</v>
      </c>
      <c r="B598" s="19" t="s">
        <v>181</v>
      </c>
      <c r="C598" s="20">
        <v>1472</v>
      </c>
      <c r="D598" s="21" t="s">
        <v>40</v>
      </c>
      <c r="E598" s="26"/>
      <c r="F598" s="22">
        <v>1</v>
      </c>
      <c r="G598" s="23" t="s">
        <v>20</v>
      </c>
      <c r="H598" s="22">
        <v>240</v>
      </c>
      <c r="I598" s="23" t="s">
        <v>40</v>
      </c>
      <c r="J598" s="24">
        <v>10000</v>
      </c>
      <c r="K598" s="21" t="s">
        <v>40</v>
      </c>
      <c r="L598" s="25"/>
      <c r="M598" s="25"/>
      <c r="N598" s="22"/>
      <c r="O598" s="23" t="s">
        <v>40</v>
      </c>
      <c r="P598" s="20">
        <f>(C598+(E598*F598*H598))-N598</f>
        <v>1472</v>
      </c>
      <c r="Q598" s="23" t="s">
        <v>40</v>
      </c>
      <c r="R598" s="24">
        <f>P598*(J598-(J598*L598)-((J598-(J598*L598))*M598))</f>
        <v>14720000</v>
      </c>
      <c r="S598" s="24">
        <f t="shared" si="219"/>
        <v>13261261.26126126</v>
      </c>
    </row>
    <row r="599" spans="1:19" s="19" customFormat="1" x14ac:dyDescent="0.2">
      <c r="A599" s="18" t="s">
        <v>370</v>
      </c>
      <c r="B599" s="19" t="s">
        <v>181</v>
      </c>
      <c r="C599" s="20">
        <v>1145</v>
      </c>
      <c r="D599" s="21" t="s">
        <v>40</v>
      </c>
      <c r="E599" s="26"/>
      <c r="F599" s="22">
        <v>1</v>
      </c>
      <c r="G599" s="23" t="s">
        <v>20</v>
      </c>
      <c r="H599" s="22">
        <v>240</v>
      </c>
      <c r="I599" s="23" t="s">
        <v>40</v>
      </c>
      <c r="J599" s="24">
        <v>10000</v>
      </c>
      <c r="K599" s="21" t="s">
        <v>40</v>
      </c>
      <c r="L599" s="25"/>
      <c r="M599" s="25"/>
      <c r="N599" s="22"/>
      <c r="O599" s="23" t="s">
        <v>40</v>
      </c>
      <c r="P599" s="20">
        <f>(C599+(E599*F599*H599))-N599</f>
        <v>1145</v>
      </c>
      <c r="Q599" s="23" t="s">
        <v>40</v>
      </c>
      <c r="R599" s="24">
        <f>P599*(J599-(J599*L599)-((J599-(J599*L599))*M599))</f>
        <v>11450000</v>
      </c>
      <c r="S599" s="24">
        <f t="shared" si="219"/>
        <v>10315315.315315314</v>
      </c>
    </row>
    <row r="600" spans="1:19" s="19" customFormat="1" x14ac:dyDescent="0.2">
      <c r="A600" s="18" t="s">
        <v>371</v>
      </c>
      <c r="B600" s="19" t="s">
        <v>181</v>
      </c>
      <c r="C600" s="20">
        <v>19</v>
      </c>
      <c r="D600" s="21" t="s">
        <v>40</v>
      </c>
      <c r="E600" s="26"/>
      <c r="F600" s="22">
        <v>1</v>
      </c>
      <c r="G600" s="23" t="s">
        <v>20</v>
      </c>
      <c r="H600" s="22">
        <v>240</v>
      </c>
      <c r="I600" s="23" t="s">
        <v>40</v>
      </c>
      <c r="J600" s="24">
        <v>10000</v>
      </c>
      <c r="K600" s="21" t="s">
        <v>40</v>
      </c>
      <c r="L600" s="25"/>
      <c r="M600" s="25"/>
      <c r="N600" s="22"/>
      <c r="O600" s="23" t="s">
        <v>40</v>
      </c>
      <c r="P600" s="20">
        <f>(C600+(E600*F600*H600))-N600</f>
        <v>19</v>
      </c>
      <c r="Q600" s="23" t="s">
        <v>40</v>
      </c>
      <c r="R600" s="24">
        <f>P600*(J600-(J600*L600)-((J600-(J600*L600))*M600))</f>
        <v>190000</v>
      </c>
      <c r="S600" s="24">
        <f t="shared" si="219"/>
        <v>171171.17117117115</v>
      </c>
    </row>
    <row r="601" spans="1:19" s="19" customFormat="1" x14ac:dyDescent="0.2">
      <c r="A601" s="18"/>
      <c r="C601" s="20"/>
      <c r="D601" s="21"/>
      <c r="E601" s="26"/>
      <c r="F601" s="22"/>
      <c r="G601" s="23"/>
      <c r="H601" s="22"/>
      <c r="I601" s="23"/>
      <c r="J601" s="24"/>
      <c r="K601" s="21"/>
      <c r="L601" s="25"/>
      <c r="M601" s="25"/>
      <c r="N601" s="22"/>
      <c r="O601" s="23"/>
      <c r="P601" s="20"/>
      <c r="Q601" s="23"/>
      <c r="R601" s="24"/>
      <c r="S601" s="24"/>
    </row>
    <row r="602" spans="1:19" s="81" customFormat="1" x14ac:dyDescent="0.2">
      <c r="A602" s="80" t="s">
        <v>401</v>
      </c>
      <c r="B602" s="81" t="s">
        <v>260</v>
      </c>
      <c r="C602" s="79"/>
      <c r="D602" s="82" t="s">
        <v>40</v>
      </c>
      <c r="E602" s="83"/>
      <c r="F602" s="84">
        <v>1</v>
      </c>
      <c r="G602" s="85" t="s">
        <v>20</v>
      </c>
      <c r="H602" s="84">
        <v>120</v>
      </c>
      <c r="I602" s="85" t="s">
        <v>40</v>
      </c>
      <c r="J602" s="86">
        <v>25500</v>
      </c>
      <c r="K602" s="82" t="s">
        <v>40</v>
      </c>
      <c r="L602" s="87"/>
      <c r="M602" s="87"/>
      <c r="N602" s="84"/>
      <c r="O602" s="85" t="s">
        <v>40</v>
      </c>
      <c r="P602" s="79">
        <f>(C602+(E602*F602*H602))-N602</f>
        <v>0</v>
      </c>
      <c r="Q602" s="85" t="s">
        <v>40</v>
      </c>
      <c r="R602" s="86">
        <f>P602*(J602-(J602*L602)-((J602-(J602*L602))*M602))</f>
        <v>0</v>
      </c>
      <c r="S602" s="86">
        <f>R602/1.11</f>
        <v>0</v>
      </c>
    </row>
    <row r="603" spans="1:19" s="81" customFormat="1" x14ac:dyDescent="0.2">
      <c r="A603" s="80" t="s">
        <v>742</v>
      </c>
      <c r="B603" s="81" t="s">
        <v>260</v>
      </c>
      <c r="C603" s="79"/>
      <c r="D603" s="82" t="s">
        <v>40</v>
      </c>
      <c r="E603" s="83"/>
      <c r="F603" s="84">
        <v>1</v>
      </c>
      <c r="G603" s="85" t="s">
        <v>20</v>
      </c>
      <c r="H603" s="84">
        <v>120</v>
      </c>
      <c r="I603" s="85" t="s">
        <v>40</v>
      </c>
      <c r="J603" s="86">
        <v>19000</v>
      </c>
      <c r="K603" s="82" t="s">
        <v>40</v>
      </c>
      <c r="L603" s="87"/>
      <c r="M603" s="87"/>
      <c r="N603" s="84"/>
      <c r="O603" s="85" t="s">
        <v>40</v>
      </c>
      <c r="P603" s="79">
        <f>(C603+(E603*F603*H603))-N603</f>
        <v>0</v>
      </c>
      <c r="Q603" s="85" t="s">
        <v>40</v>
      </c>
      <c r="R603" s="86">
        <f>P603*(J603-(J603*L603)-((J603-(J603*L603))*M603))</f>
        <v>0</v>
      </c>
      <c r="S603" s="86">
        <f t="shared" ref="S603" si="232">R603/1.11</f>
        <v>0</v>
      </c>
    </row>
    <row r="604" spans="1:19" s="19" customFormat="1" x14ac:dyDescent="0.2">
      <c r="A604" s="18"/>
      <c r="C604" s="20"/>
      <c r="D604" s="21"/>
      <c r="E604" s="26"/>
      <c r="F604" s="22"/>
      <c r="G604" s="23"/>
      <c r="H604" s="22"/>
      <c r="I604" s="23"/>
      <c r="J604" s="24"/>
      <c r="K604" s="21"/>
      <c r="L604" s="25"/>
      <c r="M604" s="25"/>
      <c r="N604" s="22"/>
      <c r="O604" s="23"/>
      <c r="P604" s="20"/>
      <c r="Q604" s="23"/>
      <c r="R604" s="24"/>
      <c r="S604" s="24"/>
    </row>
    <row r="605" spans="1:19" s="81" customFormat="1" x14ac:dyDescent="0.2">
      <c r="A605" s="80" t="s">
        <v>372</v>
      </c>
      <c r="B605" s="81" t="s">
        <v>18</v>
      </c>
      <c r="C605" s="79"/>
      <c r="D605" s="82" t="s">
        <v>40</v>
      </c>
      <c r="E605" s="83"/>
      <c r="F605" s="84">
        <v>1</v>
      </c>
      <c r="G605" s="85" t="s">
        <v>20</v>
      </c>
      <c r="H605" s="84">
        <v>144</v>
      </c>
      <c r="I605" s="85" t="s">
        <v>40</v>
      </c>
      <c r="J605" s="86">
        <v>19800</v>
      </c>
      <c r="K605" s="82" t="s">
        <v>40</v>
      </c>
      <c r="L605" s="87">
        <v>0.125</v>
      </c>
      <c r="M605" s="87">
        <v>0.05</v>
      </c>
      <c r="N605" s="84"/>
      <c r="O605" s="85" t="s">
        <v>40</v>
      </c>
      <c r="P605" s="79">
        <f t="shared" ref="P605:P623" si="233">(C605+(E605*F605*H605))-N605</f>
        <v>0</v>
      </c>
      <c r="Q605" s="85" t="s">
        <v>40</v>
      </c>
      <c r="R605" s="86">
        <f t="shared" ref="R605:R623" si="234">P605*(J605-(J605*L605)-((J605-(J605*L605))*M605))</f>
        <v>0</v>
      </c>
      <c r="S605" s="86">
        <f t="shared" si="219"/>
        <v>0</v>
      </c>
    </row>
    <row r="606" spans="1:19" s="81" customFormat="1" x14ac:dyDescent="0.2">
      <c r="A606" s="80" t="s">
        <v>373</v>
      </c>
      <c r="B606" s="81" t="s">
        <v>18</v>
      </c>
      <c r="C606" s="79"/>
      <c r="D606" s="82" t="s">
        <v>40</v>
      </c>
      <c r="E606" s="83"/>
      <c r="F606" s="84">
        <v>1</v>
      </c>
      <c r="G606" s="85" t="s">
        <v>20</v>
      </c>
      <c r="H606" s="84">
        <v>144</v>
      </c>
      <c r="I606" s="85" t="s">
        <v>40</v>
      </c>
      <c r="J606" s="86">
        <v>20400</v>
      </c>
      <c r="K606" s="82" t="s">
        <v>40</v>
      </c>
      <c r="L606" s="87">
        <v>0.125</v>
      </c>
      <c r="M606" s="87">
        <v>0.05</v>
      </c>
      <c r="N606" s="84"/>
      <c r="O606" s="85" t="s">
        <v>40</v>
      </c>
      <c r="P606" s="79">
        <f t="shared" si="233"/>
        <v>0</v>
      </c>
      <c r="Q606" s="85" t="s">
        <v>40</v>
      </c>
      <c r="R606" s="86">
        <f t="shared" si="234"/>
        <v>0</v>
      </c>
      <c r="S606" s="86">
        <f t="shared" si="219"/>
        <v>0</v>
      </c>
    </row>
    <row r="607" spans="1:19" s="81" customFormat="1" x14ac:dyDescent="0.2">
      <c r="A607" s="113" t="s">
        <v>658</v>
      </c>
      <c r="B607" s="81" t="s">
        <v>18</v>
      </c>
      <c r="C607" s="79"/>
      <c r="D607" s="82" t="s">
        <v>40</v>
      </c>
      <c r="E607" s="83"/>
      <c r="F607" s="84">
        <v>1</v>
      </c>
      <c r="G607" s="85" t="s">
        <v>20</v>
      </c>
      <c r="H607" s="84">
        <v>144</v>
      </c>
      <c r="I607" s="85" t="s">
        <v>40</v>
      </c>
      <c r="J607" s="86">
        <v>69600</v>
      </c>
      <c r="K607" s="82" t="s">
        <v>40</v>
      </c>
      <c r="L607" s="87">
        <v>0.125</v>
      </c>
      <c r="M607" s="87">
        <v>0.05</v>
      </c>
      <c r="N607" s="84"/>
      <c r="O607" s="85" t="s">
        <v>40</v>
      </c>
      <c r="P607" s="79">
        <f t="shared" si="233"/>
        <v>0</v>
      </c>
      <c r="Q607" s="85" t="s">
        <v>40</v>
      </c>
      <c r="R607" s="86">
        <f t="shared" si="234"/>
        <v>0</v>
      </c>
      <c r="S607" s="86">
        <f t="shared" si="219"/>
        <v>0</v>
      </c>
    </row>
    <row r="608" spans="1:19" s="81" customFormat="1" x14ac:dyDescent="0.2">
      <c r="A608" s="113" t="s">
        <v>789</v>
      </c>
      <c r="B608" s="81" t="s">
        <v>18</v>
      </c>
      <c r="C608" s="79"/>
      <c r="D608" s="82" t="s">
        <v>40</v>
      </c>
      <c r="E608" s="83"/>
      <c r="F608" s="84">
        <v>1</v>
      </c>
      <c r="G608" s="85" t="s">
        <v>20</v>
      </c>
      <c r="H608" s="84">
        <v>144</v>
      </c>
      <c r="I608" s="85" t="s">
        <v>40</v>
      </c>
      <c r="J608" s="86">
        <v>32400</v>
      </c>
      <c r="K608" s="82" t="s">
        <v>40</v>
      </c>
      <c r="L608" s="87">
        <v>0.125</v>
      </c>
      <c r="M608" s="87">
        <v>0.05</v>
      </c>
      <c r="N608" s="84"/>
      <c r="O608" s="85" t="s">
        <v>40</v>
      </c>
      <c r="P608" s="79">
        <f t="shared" si="233"/>
        <v>0</v>
      </c>
      <c r="Q608" s="85" t="s">
        <v>40</v>
      </c>
      <c r="R608" s="86">
        <f t="shared" si="234"/>
        <v>0</v>
      </c>
      <c r="S608" s="86">
        <f t="shared" si="219"/>
        <v>0</v>
      </c>
    </row>
    <row r="609" spans="1:19" s="19" customFormat="1" x14ac:dyDescent="0.2">
      <c r="A609" s="147" t="s">
        <v>919</v>
      </c>
      <c r="B609" s="19" t="s">
        <v>18</v>
      </c>
      <c r="C609" s="20"/>
      <c r="D609" s="21" t="s">
        <v>40</v>
      </c>
      <c r="E609" s="26">
        <v>1</v>
      </c>
      <c r="F609" s="22">
        <v>1</v>
      </c>
      <c r="G609" s="23" t="s">
        <v>20</v>
      </c>
      <c r="H609" s="22">
        <v>144</v>
      </c>
      <c r="I609" s="23" t="s">
        <v>40</v>
      </c>
      <c r="J609" s="24">
        <v>34200</v>
      </c>
      <c r="K609" s="21" t="s">
        <v>40</v>
      </c>
      <c r="L609" s="25">
        <v>0.125</v>
      </c>
      <c r="M609" s="25">
        <v>0.05</v>
      </c>
      <c r="N609" s="22"/>
      <c r="O609" s="23" t="s">
        <v>40</v>
      </c>
      <c r="P609" s="20">
        <f t="shared" ref="P609" si="235">(C609+(E609*F609*H609))-N609</f>
        <v>144</v>
      </c>
      <c r="Q609" s="23" t="s">
        <v>40</v>
      </c>
      <c r="R609" s="24">
        <f t="shared" ref="R609" si="236">P609*(J609-(J609*L609)-((J609-(J609*L609))*M609))</f>
        <v>4093740</v>
      </c>
      <c r="S609" s="24">
        <f t="shared" si="219"/>
        <v>3688054.0540540535</v>
      </c>
    </row>
    <row r="610" spans="1:19" s="81" customFormat="1" x14ac:dyDescent="0.2">
      <c r="A610" s="113" t="s">
        <v>374</v>
      </c>
      <c r="B610" s="81" t="s">
        <v>18</v>
      </c>
      <c r="C610" s="79"/>
      <c r="D610" s="82" t="s">
        <v>40</v>
      </c>
      <c r="E610" s="83"/>
      <c r="F610" s="84">
        <v>1</v>
      </c>
      <c r="G610" s="85" t="s">
        <v>20</v>
      </c>
      <c r="H610" s="84">
        <v>144</v>
      </c>
      <c r="I610" s="85" t="s">
        <v>40</v>
      </c>
      <c r="J610" s="86">
        <v>27000</v>
      </c>
      <c r="K610" s="82" t="s">
        <v>40</v>
      </c>
      <c r="L610" s="87">
        <v>0.125</v>
      </c>
      <c r="M610" s="87">
        <v>0.05</v>
      </c>
      <c r="N610" s="84"/>
      <c r="O610" s="85" t="s">
        <v>40</v>
      </c>
      <c r="P610" s="79">
        <f t="shared" si="233"/>
        <v>0</v>
      </c>
      <c r="Q610" s="85" t="s">
        <v>40</v>
      </c>
      <c r="R610" s="86">
        <f t="shared" si="234"/>
        <v>0</v>
      </c>
      <c r="S610" s="86">
        <f t="shared" si="219"/>
        <v>0</v>
      </c>
    </row>
    <row r="611" spans="1:19" s="81" customFormat="1" x14ac:dyDescent="0.2">
      <c r="A611" s="113" t="s">
        <v>714</v>
      </c>
      <c r="B611" s="81" t="s">
        <v>18</v>
      </c>
      <c r="C611" s="79"/>
      <c r="D611" s="82" t="s">
        <v>40</v>
      </c>
      <c r="E611" s="83">
        <v>1</v>
      </c>
      <c r="F611" s="84">
        <v>1</v>
      </c>
      <c r="G611" s="85" t="s">
        <v>20</v>
      </c>
      <c r="H611" s="84">
        <v>144</v>
      </c>
      <c r="I611" s="85" t="s">
        <v>40</v>
      </c>
      <c r="J611" s="86">
        <v>21600</v>
      </c>
      <c r="K611" s="82" t="s">
        <v>40</v>
      </c>
      <c r="L611" s="87">
        <v>0.125</v>
      </c>
      <c r="M611" s="87">
        <v>0.05</v>
      </c>
      <c r="N611" s="84"/>
      <c r="O611" s="85" t="s">
        <v>40</v>
      </c>
      <c r="P611" s="79">
        <f t="shared" si="233"/>
        <v>144</v>
      </c>
      <c r="Q611" s="85" t="s">
        <v>40</v>
      </c>
      <c r="R611" s="86">
        <f t="shared" si="234"/>
        <v>2585520</v>
      </c>
      <c r="S611" s="86">
        <f t="shared" ref="S611:S690" si="237">R611/1.11</f>
        <v>2329297.297297297</v>
      </c>
    </row>
    <row r="612" spans="1:19" s="81" customFormat="1" x14ac:dyDescent="0.2">
      <c r="A612" s="113" t="s">
        <v>375</v>
      </c>
      <c r="B612" s="81" t="s">
        <v>18</v>
      </c>
      <c r="C612" s="79"/>
      <c r="D612" s="82" t="s">
        <v>40</v>
      </c>
      <c r="E612" s="83">
        <v>2</v>
      </c>
      <c r="F612" s="84">
        <v>1</v>
      </c>
      <c r="G612" s="85" t="s">
        <v>20</v>
      </c>
      <c r="H612" s="84">
        <v>144</v>
      </c>
      <c r="I612" s="85" t="s">
        <v>40</v>
      </c>
      <c r="J612" s="86">
        <v>43200</v>
      </c>
      <c r="K612" s="82" t="s">
        <v>40</v>
      </c>
      <c r="L612" s="87">
        <v>0.125</v>
      </c>
      <c r="M612" s="87">
        <v>0.05</v>
      </c>
      <c r="N612" s="84"/>
      <c r="O612" s="85" t="s">
        <v>40</v>
      </c>
      <c r="P612" s="79">
        <f t="shared" si="233"/>
        <v>288</v>
      </c>
      <c r="Q612" s="85" t="s">
        <v>40</v>
      </c>
      <c r="R612" s="86">
        <f t="shared" si="234"/>
        <v>10342080</v>
      </c>
      <c r="S612" s="86">
        <f t="shared" si="237"/>
        <v>9317189.1891891882</v>
      </c>
    </row>
    <row r="613" spans="1:19" s="81" customFormat="1" x14ac:dyDescent="0.2">
      <c r="A613" s="113" t="s">
        <v>376</v>
      </c>
      <c r="B613" s="81" t="s">
        <v>18</v>
      </c>
      <c r="C613" s="79"/>
      <c r="D613" s="82" t="s">
        <v>40</v>
      </c>
      <c r="E613" s="83"/>
      <c r="F613" s="84">
        <v>1</v>
      </c>
      <c r="G613" s="85" t="s">
        <v>20</v>
      </c>
      <c r="H613" s="84">
        <v>144</v>
      </c>
      <c r="I613" s="85" t="s">
        <v>40</v>
      </c>
      <c r="J613" s="86">
        <v>22800</v>
      </c>
      <c r="K613" s="82" t="s">
        <v>40</v>
      </c>
      <c r="L613" s="87">
        <v>0.125</v>
      </c>
      <c r="M613" s="87">
        <v>0.05</v>
      </c>
      <c r="N613" s="84"/>
      <c r="O613" s="85" t="s">
        <v>40</v>
      </c>
      <c r="P613" s="79">
        <f t="shared" si="233"/>
        <v>0</v>
      </c>
      <c r="Q613" s="85" t="s">
        <v>40</v>
      </c>
      <c r="R613" s="86">
        <f t="shared" si="234"/>
        <v>0</v>
      </c>
      <c r="S613" s="86">
        <f t="shared" si="237"/>
        <v>0</v>
      </c>
    </row>
    <row r="614" spans="1:19" s="19" customFormat="1" x14ac:dyDescent="0.2">
      <c r="A614" s="140" t="s">
        <v>377</v>
      </c>
      <c r="B614" s="19" t="s">
        <v>18</v>
      </c>
      <c r="C614" s="20"/>
      <c r="D614" s="21" t="s">
        <v>40</v>
      </c>
      <c r="E614" s="26">
        <v>3</v>
      </c>
      <c r="F614" s="22">
        <v>1</v>
      </c>
      <c r="G614" s="23" t="s">
        <v>20</v>
      </c>
      <c r="H614" s="22">
        <v>144</v>
      </c>
      <c r="I614" s="23" t="s">
        <v>40</v>
      </c>
      <c r="J614" s="138">
        <v>28200</v>
      </c>
      <c r="K614" s="21" t="s">
        <v>40</v>
      </c>
      <c r="L614" s="25">
        <v>0.125</v>
      </c>
      <c r="M614" s="25">
        <v>0.05</v>
      </c>
      <c r="N614" s="22"/>
      <c r="O614" s="68" t="s">
        <v>40</v>
      </c>
      <c r="P614" s="20">
        <f t="shared" ref="P614:P615" si="238">(C614+(E614*F614*H614))-N614</f>
        <v>432</v>
      </c>
      <c r="Q614" s="23" t="s">
        <v>40</v>
      </c>
      <c r="R614" s="24">
        <f t="shared" ref="R614:R615" si="239">P614*(J614-(J614*L614)-((J614-(J614*L614))*M614))</f>
        <v>10126620</v>
      </c>
      <c r="S614" s="24">
        <f t="shared" ref="S614:S615" si="240">R614/1.11</f>
        <v>9123081.0810810812</v>
      </c>
    </row>
    <row r="615" spans="1:19" s="19" customFormat="1" x14ac:dyDescent="0.2">
      <c r="A615" s="140" t="s">
        <v>377</v>
      </c>
      <c r="B615" s="19" t="s">
        <v>18</v>
      </c>
      <c r="C615" s="20">
        <v>312</v>
      </c>
      <c r="D615" s="21" t="s">
        <v>40</v>
      </c>
      <c r="E615" s="26"/>
      <c r="F615" s="22">
        <v>1</v>
      </c>
      <c r="G615" s="23" t="s">
        <v>20</v>
      </c>
      <c r="H615" s="22">
        <v>144</v>
      </c>
      <c r="I615" s="23" t="s">
        <v>40</v>
      </c>
      <c r="J615" s="138">
        <v>26400</v>
      </c>
      <c r="K615" s="21" t="s">
        <v>40</v>
      </c>
      <c r="L615" s="25">
        <v>0.125</v>
      </c>
      <c r="M615" s="25">
        <v>0.05</v>
      </c>
      <c r="N615" s="22"/>
      <c r="O615" s="68" t="s">
        <v>40</v>
      </c>
      <c r="P615" s="20">
        <f t="shared" si="238"/>
        <v>312</v>
      </c>
      <c r="Q615" s="23" t="s">
        <v>40</v>
      </c>
      <c r="R615" s="24">
        <f t="shared" si="239"/>
        <v>6846840</v>
      </c>
      <c r="S615" s="24">
        <f t="shared" si="240"/>
        <v>6168324.3243243238</v>
      </c>
    </row>
    <row r="616" spans="1:19" s="19" customFormat="1" x14ac:dyDescent="0.2">
      <c r="A616" s="140" t="s">
        <v>869</v>
      </c>
      <c r="B616" s="19" t="s">
        <v>18</v>
      </c>
      <c r="C616" s="20">
        <v>351</v>
      </c>
      <c r="D616" s="21" t="s">
        <v>40</v>
      </c>
      <c r="E616" s="26"/>
      <c r="F616" s="22">
        <v>1</v>
      </c>
      <c r="G616" s="23" t="s">
        <v>20</v>
      </c>
      <c r="H616" s="22">
        <v>144</v>
      </c>
      <c r="I616" s="23" t="s">
        <v>40</v>
      </c>
      <c r="J616" s="138"/>
      <c r="K616" s="21" t="s">
        <v>40</v>
      </c>
      <c r="L616" s="25">
        <v>0.125</v>
      </c>
      <c r="M616" s="25">
        <v>0.05</v>
      </c>
      <c r="N616" s="22"/>
      <c r="O616" s="68" t="s">
        <v>40</v>
      </c>
      <c r="P616" s="20">
        <f t="shared" si="233"/>
        <v>351</v>
      </c>
      <c r="Q616" s="23" t="s">
        <v>40</v>
      </c>
      <c r="R616" s="24">
        <f t="shared" si="234"/>
        <v>0</v>
      </c>
      <c r="S616" s="24">
        <f t="shared" si="237"/>
        <v>0</v>
      </c>
    </row>
    <row r="617" spans="1:19" s="19" customFormat="1" x14ac:dyDescent="0.2">
      <c r="A617" s="43" t="s">
        <v>378</v>
      </c>
      <c r="B617" s="19" t="s">
        <v>18</v>
      </c>
      <c r="C617" s="20">
        <v>233</v>
      </c>
      <c r="D617" s="21" t="s">
        <v>40</v>
      </c>
      <c r="E617" s="26">
        <v>6</v>
      </c>
      <c r="F617" s="22">
        <v>1</v>
      </c>
      <c r="G617" s="23" t="s">
        <v>20</v>
      </c>
      <c r="H617" s="22">
        <v>144</v>
      </c>
      <c r="I617" s="23" t="s">
        <v>40</v>
      </c>
      <c r="J617" s="24">
        <v>27600</v>
      </c>
      <c r="K617" s="21" t="s">
        <v>40</v>
      </c>
      <c r="L617" s="25">
        <v>0.125</v>
      </c>
      <c r="M617" s="25">
        <v>0.05</v>
      </c>
      <c r="N617" s="22"/>
      <c r="O617" s="23" t="s">
        <v>40</v>
      </c>
      <c r="P617" s="20">
        <f t="shared" si="233"/>
        <v>1097</v>
      </c>
      <c r="Q617" s="23" t="s">
        <v>40</v>
      </c>
      <c r="R617" s="24">
        <f t="shared" si="234"/>
        <v>25167922.5</v>
      </c>
      <c r="S617" s="24">
        <f t="shared" si="237"/>
        <v>22673804.054054052</v>
      </c>
    </row>
    <row r="618" spans="1:19" s="72" customFormat="1" x14ac:dyDescent="0.2">
      <c r="A618" s="113" t="s">
        <v>379</v>
      </c>
      <c r="B618" s="72" t="s">
        <v>18</v>
      </c>
      <c r="C618" s="73"/>
      <c r="D618" s="74" t="s">
        <v>40</v>
      </c>
      <c r="E618" s="75"/>
      <c r="F618" s="76">
        <v>1</v>
      </c>
      <c r="G618" s="77" t="s">
        <v>20</v>
      </c>
      <c r="H618" s="76">
        <v>144</v>
      </c>
      <c r="I618" s="77" t="s">
        <v>40</v>
      </c>
      <c r="J618" s="16">
        <v>25800</v>
      </c>
      <c r="K618" s="74" t="s">
        <v>40</v>
      </c>
      <c r="L618" s="78">
        <v>0.125</v>
      </c>
      <c r="M618" s="78">
        <v>0.05</v>
      </c>
      <c r="N618" s="76"/>
      <c r="O618" s="77" t="s">
        <v>40</v>
      </c>
      <c r="P618" s="73">
        <f t="shared" si="233"/>
        <v>0</v>
      </c>
      <c r="Q618" s="77" t="s">
        <v>40</v>
      </c>
      <c r="R618" s="16">
        <f t="shared" si="234"/>
        <v>0</v>
      </c>
      <c r="S618" s="16">
        <f t="shared" si="237"/>
        <v>0</v>
      </c>
    </row>
    <row r="619" spans="1:19" x14ac:dyDescent="0.2">
      <c r="A619" s="145" t="s">
        <v>921</v>
      </c>
      <c r="B619" s="2" t="s">
        <v>18</v>
      </c>
      <c r="D619" s="4" t="s">
        <v>40</v>
      </c>
      <c r="E619" s="5">
        <v>1</v>
      </c>
      <c r="F619" s="6">
        <v>1</v>
      </c>
      <c r="G619" s="7" t="s">
        <v>20</v>
      </c>
      <c r="H619" s="6">
        <v>144</v>
      </c>
      <c r="I619" s="7" t="s">
        <v>40</v>
      </c>
      <c r="J619" s="8">
        <v>22200</v>
      </c>
      <c r="K619" s="4" t="s">
        <v>40</v>
      </c>
      <c r="L619" s="9">
        <v>0.125</v>
      </c>
      <c r="M619" s="9">
        <v>0.05</v>
      </c>
      <c r="O619" s="7" t="s">
        <v>40</v>
      </c>
      <c r="P619" s="3">
        <f t="shared" ref="P619" si="241">(C619+(E619*F619*H619))-N619</f>
        <v>144</v>
      </c>
      <c r="Q619" s="7" t="s">
        <v>40</v>
      </c>
      <c r="R619" s="8">
        <f t="shared" ref="R619" si="242">P619*(J619-(J619*L619)-((J619-(J619*L619))*M619))</f>
        <v>2657340</v>
      </c>
      <c r="S619" s="8">
        <f t="shared" ref="S619" si="243">R619/1.11</f>
        <v>2394000</v>
      </c>
    </row>
    <row r="620" spans="1:19" x14ac:dyDescent="0.2">
      <c r="A620" s="17" t="s">
        <v>380</v>
      </c>
      <c r="B620" s="2" t="s">
        <v>18</v>
      </c>
      <c r="D620" s="4" t="s">
        <v>40</v>
      </c>
      <c r="E620" s="5">
        <v>8</v>
      </c>
      <c r="F620" s="6">
        <v>1</v>
      </c>
      <c r="G620" s="7" t="s">
        <v>20</v>
      </c>
      <c r="H620" s="6">
        <v>144</v>
      </c>
      <c r="I620" s="7" t="s">
        <v>40</v>
      </c>
      <c r="J620" s="8">
        <v>14100</v>
      </c>
      <c r="K620" s="4" t="s">
        <v>40</v>
      </c>
      <c r="L620" s="9">
        <v>0.125</v>
      </c>
      <c r="M620" s="9">
        <v>0.05</v>
      </c>
      <c r="O620" s="7" t="s">
        <v>40</v>
      </c>
      <c r="P620" s="3">
        <f t="shared" si="233"/>
        <v>1152</v>
      </c>
      <c r="Q620" s="7" t="s">
        <v>40</v>
      </c>
      <c r="R620" s="8">
        <f t="shared" si="234"/>
        <v>13502160</v>
      </c>
      <c r="S620" s="8">
        <f t="shared" si="237"/>
        <v>12164108.108108107</v>
      </c>
    </row>
    <row r="621" spans="1:19" s="72" customFormat="1" x14ac:dyDescent="0.2">
      <c r="A621" s="71" t="s">
        <v>701</v>
      </c>
      <c r="B621" s="72" t="s">
        <v>18</v>
      </c>
      <c r="C621" s="73"/>
      <c r="D621" s="74" t="s">
        <v>40</v>
      </c>
      <c r="E621" s="75"/>
      <c r="F621" s="76">
        <v>1</v>
      </c>
      <c r="G621" s="77" t="s">
        <v>20</v>
      </c>
      <c r="H621" s="76">
        <v>144</v>
      </c>
      <c r="I621" s="77" t="s">
        <v>40</v>
      </c>
      <c r="J621" s="16">
        <v>25800</v>
      </c>
      <c r="K621" s="74" t="s">
        <v>40</v>
      </c>
      <c r="L621" s="78">
        <v>0.125</v>
      </c>
      <c r="M621" s="78">
        <v>0.05</v>
      </c>
      <c r="N621" s="76"/>
      <c r="O621" s="77" t="s">
        <v>40</v>
      </c>
      <c r="P621" s="73">
        <f t="shared" si="233"/>
        <v>0</v>
      </c>
      <c r="Q621" s="77" t="s">
        <v>40</v>
      </c>
      <c r="R621" s="16">
        <f t="shared" si="234"/>
        <v>0</v>
      </c>
      <c r="S621" s="16">
        <f t="shared" si="237"/>
        <v>0</v>
      </c>
    </row>
    <row r="622" spans="1:19" x14ac:dyDescent="0.2">
      <c r="A622" s="17" t="s">
        <v>381</v>
      </c>
      <c r="B622" s="2" t="s">
        <v>18</v>
      </c>
      <c r="C622" s="3">
        <v>432</v>
      </c>
      <c r="D622" s="4" t="s">
        <v>40</v>
      </c>
      <c r="E622" s="5">
        <v>5</v>
      </c>
      <c r="F622" s="6">
        <v>1</v>
      </c>
      <c r="G622" s="7" t="s">
        <v>20</v>
      </c>
      <c r="H622" s="6">
        <v>144</v>
      </c>
      <c r="I622" s="7" t="s">
        <v>40</v>
      </c>
      <c r="J622" s="8">
        <v>20400</v>
      </c>
      <c r="K622" s="4" t="s">
        <v>40</v>
      </c>
      <c r="L622" s="9">
        <v>0.125</v>
      </c>
      <c r="M622" s="9">
        <v>0.05</v>
      </c>
      <c r="O622" s="7" t="s">
        <v>40</v>
      </c>
      <c r="P622" s="3">
        <f t="shared" si="233"/>
        <v>1152</v>
      </c>
      <c r="Q622" s="7" t="s">
        <v>40</v>
      </c>
      <c r="R622" s="8">
        <f t="shared" si="234"/>
        <v>19535040</v>
      </c>
      <c r="S622" s="8">
        <f t="shared" si="237"/>
        <v>17599135.135135133</v>
      </c>
    </row>
    <row r="623" spans="1:19" s="72" customFormat="1" x14ac:dyDescent="0.2">
      <c r="A623" s="71" t="s">
        <v>798</v>
      </c>
      <c r="B623" s="72" t="s">
        <v>18</v>
      </c>
      <c r="C623" s="73"/>
      <c r="D623" s="74" t="s">
        <v>40</v>
      </c>
      <c r="E623" s="75"/>
      <c r="F623" s="76">
        <v>1</v>
      </c>
      <c r="G623" s="77" t="s">
        <v>20</v>
      </c>
      <c r="H623" s="76">
        <v>144</v>
      </c>
      <c r="I623" s="77" t="s">
        <v>40</v>
      </c>
      <c r="J623" s="16">
        <v>17400</v>
      </c>
      <c r="K623" s="74" t="s">
        <v>40</v>
      </c>
      <c r="L623" s="78">
        <v>0.125</v>
      </c>
      <c r="M623" s="78">
        <v>0.1</v>
      </c>
      <c r="N623" s="76"/>
      <c r="O623" s="77" t="s">
        <v>40</v>
      </c>
      <c r="P623" s="73">
        <f t="shared" si="233"/>
        <v>0</v>
      </c>
      <c r="Q623" s="77" t="s">
        <v>40</v>
      </c>
      <c r="R623" s="16">
        <f t="shared" si="234"/>
        <v>0</v>
      </c>
      <c r="S623" s="16">
        <f t="shared" si="237"/>
        <v>0</v>
      </c>
    </row>
    <row r="625" spans="1:19" s="72" customFormat="1" x14ac:dyDescent="0.2">
      <c r="A625" s="71" t="s">
        <v>382</v>
      </c>
      <c r="B625" s="72" t="s">
        <v>25</v>
      </c>
      <c r="C625" s="79"/>
      <c r="D625" s="74" t="s">
        <v>40</v>
      </c>
      <c r="E625" s="75"/>
      <c r="F625" s="76">
        <v>1</v>
      </c>
      <c r="G625" s="77" t="s">
        <v>20</v>
      </c>
      <c r="H625" s="76">
        <v>144</v>
      </c>
      <c r="I625" s="77" t="s">
        <v>40</v>
      </c>
      <c r="J625" s="16">
        <v>25200</v>
      </c>
      <c r="K625" s="74" t="s">
        <v>40</v>
      </c>
      <c r="L625" s="78"/>
      <c r="M625" s="78">
        <v>0.17</v>
      </c>
      <c r="N625" s="76"/>
      <c r="O625" s="77" t="s">
        <v>40</v>
      </c>
      <c r="P625" s="73">
        <f t="shared" ref="P625:P657" si="244">(C625+(E625*F625*H625))-N625</f>
        <v>0</v>
      </c>
      <c r="Q625" s="77" t="s">
        <v>40</v>
      </c>
      <c r="R625" s="16">
        <f t="shared" ref="R625:R657" si="245">P625*(J625-(J625*L625)-((J625-(J625*L625))*M625))</f>
        <v>0</v>
      </c>
      <c r="S625" s="16">
        <f t="shared" si="237"/>
        <v>0</v>
      </c>
    </row>
    <row r="626" spans="1:19" x14ac:dyDescent="0.2">
      <c r="A626" s="17" t="s">
        <v>674</v>
      </c>
      <c r="B626" s="2" t="s">
        <v>25</v>
      </c>
      <c r="C626" s="3">
        <v>432</v>
      </c>
      <c r="D626" s="4" t="s">
        <v>40</v>
      </c>
      <c r="E626" s="5">
        <v>2</v>
      </c>
      <c r="F626" s="6">
        <v>1</v>
      </c>
      <c r="G626" s="7" t="s">
        <v>20</v>
      </c>
      <c r="H626" s="6">
        <v>144</v>
      </c>
      <c r="I626" s="7" t="s">
        <v>40</v>
      </c>
      <c r="J626" s="8">
        <f>3758400/144</f>
        <v>26100</v>
      </c>
      <c r="K626" s="4" t="s">
        <v>40</v>
      </c>
      <c r="M626" s="9">
        <v>0.17</v>
      </c>
      <c r="O626" s="7" t="s">
        <v>40</v>
      </c>
      <c r="P626" s="3">
        <f t="shared" si="244"/>
        <v>720</v>
      </c>
      <c r="Q626" s="7" t="s">
        <v>40</v>
      </c>
      <c r="R626" s="8">
        <f t="shared" si="245"/>
        <v>15597360</v>
      </c>
      <c r="S626" s="8">
        <f t="shared" si="237"/>
        <v>14051675.675675675</v>
      </c>
    </row>
    <row r="627" spans="1:19" x14ac:dyDescent="0.2">
      <c r="A627" s="17" t="s">
        <v>383</v>
      </c>
      <c r="B627" s="2" t="s">
        <v>25</v>
      </c>
      <c r="C627" s="3">
        <v>60</v>
      </c>
      <c r="D627" s="4" t="s">
        <v>40</v>
      </c>
      <c r="F627" s="6">
        <v>1</v>
      </c>
      <c r="G627" s="7" t="s">
        <v>20</v>
      </c>
      <c r="H627" s="6">
        <v>144</v>
      </c>
      <c r="I627" s="7" t="s">
        <v>40</v>
      </c>
      <c r="J627" s="8">
        <f>3715200/144</f>
        <v>25800</v>
      </c>
      <c r="K627" s="4" t="s">
        <v>40</v>
      </c>
      <c r="M627" s="9">
        <v>0.17</v>
      </c>
      <c r="O627" s="7" t="s">
        <v>40</v>
      </c>
      <c r="P627" s="3">
        <f t="shared" si="244"/>
        <v>60</v>
      </c>
      <c r="Q627" s="7" t="s">
        <v>40</v>
      </c>
      <c r="R627" s="8">
        <f t="shared" si="245"/>
        <v>1284840</v>
      </c>
      <c r="S627" s="8">
        <f t="shared" si="237"/>
        <v>1157513.5135135134</v>
      </c>
    </row>
    <row r="628" spans="1:19" s="72" customFormat="1" x14ac:dyDescent="0.2">
      <c r="A628" s="71" t="s">
        <v>394</v>
      </c>
      <c r="B628" s="72" t="s">
        <v>25</v>
      </c>
      <c r="C628" s="79"/>
      <c r="D628" s="74" t="s">
        <v>40</v>
      </c>
      <c r="E628" s="75"/>
      <c r="F628" s="76">
        <v>1</v>
      </c>
      <c r="G628" s="77" t="s">
        <v>20</v>
      </c>
      <c r="H628" s="76">
        <v>144</v>
      </c>
      <c r="I628" s="77" t="s">
        <v>40</v>
      </c>
      <c r="J628" s="16">
        <v>25800</v>
      </c>
      <c r="K628" s="74" t="s">
        <v>40</v>
      </c>
      <c r="L628" s="78"/>
      <c r="M628" s="78">
        <v>0.17</v>
      </c>
      <c r="N628" s="76"/>
      <c r="O628" s="77" t="s">
        <v>40</v>
      </c>
      <c r="P628" s="73">
        <f t="shared" si="244"/>
        <v>0</v>
      </c>
      <c r="Q628" s="77" t="s">
        <v>40</v>
      </c>
      <c r="R628" s="16">
        <f t="shared" si="245"/>
        <v>0</v>
      </c>
      <c r="S628" s="16">
        <f>R628/1.11</f>
        <v>0</v>
      </c>
    </row>
    <row r="629" spans="1:19" x14ac:dyDescent="0.2">
      <c r="A629" s="43" t="s">
        <v>778</v>
      </c>
      <c r="B629" s="2" t="s">
        <v>25</v>
      </c>
      <c r="C629" s="3">
        <v>288</v>
      </c>
      <c r="D629" s="4" t="s">
        <v>40</v>
      </c>
      <c r="F629" s="6">
        <v>1</v>
      </c>
      <c r="G629" s="7" t="s">
        <v>20</v>
      </c>
      <c r="H629" s="6">
        <v>144</v>
      </c>
      <c r="I629" s="7" t="s">
        <v>40</v>
      </c>
      <c r="J629" s="8">
        <f>3628800/144</f>
        <v>25200</v>
      </c>
      <c r="K629" s="4" t="s">
        <v>40</v>
      </c>
      <c r="M629" s="9">
        <v>0.17</v>
      </c>
      <c r="O629" s="7" t="s">
        <v>40</v>
      </c>
      <c r="P629" s="3">
        <f t="shared" si="244"/>
        <v>288</v>
      </c>
      <c r="Q629" s="7" t="s">
        <v>40</v>
      </c>
      <c r="R629" s="8">
        <f t="shared" si="245"/>
        <v>6023808</v>
      </c>
      <c r="S629" s="8">
        <f t="shared" ref="S629" si="246">R629/1.11</f>
        <v>5426854.0540540535</v>
      </c>
    </row>
    <row r="630" spans="1:19" x14ac:dyDescent="0.2">
      <c r="A630" s="43" t="s">
        <v>384</v>
      </c>
      <c r="B630" s="2" t="s">
        <v>25</v>
      </c>
      <c r="C630" s="3">
        <f>21408/12</f>
        <v>1784</v>
      </c>
      <c r="D630" s="4" t="s">
        <v>40</v>
      </c>
      <c r="E630" s="5">
        <v>40</v>
      </c>
      <c r="F630" s="6">
        <v>1</v>
      </c>
      <c r="G630" s="7" t="s">
        <v>20</v>
      </c>
      <c r="H630" s="6">
        <v>144</v>
      </c>
      <c r="I630" s="7" t="s">
        <v>40</v>
      </c>
      <c r="J630" s="8">
        <f>3758400/144</f>
        <v>26100</v>
      </c>
      <c r="K630" s="4" t="s">
        <v>40</v>
      </c>
      <c r="M630" s="9">
        <v>0.17</v>
      </c>
      <c r="O630" s="7" t="s">
        <v>40</v>
      </c>
      <c r="P630" s="3">
        <f t="shared" si="244"/>
        <v>7544</v>
      </c>
      <c r="Q630" s="7" t="s">
        <v>40</v>
      </c>
      <c r="R630" s="8">
        <f t="shared" si="245"/>
        <v>163425672</v>
      </c>
      <c r="S630" s="8">
        <f t="shared" si="237"/>
        <v>147230335.13513511</v>
      </c>
    </row>
    <row r="631" spans="1:19" x14ac:dyDescent="0.2">
      <c r="A631" s="147" t="s">
        <v>384</v>
      </c>
      <c r="B631" s="2" t="s">
        <v>25</v>
      </c>
      <c r="D631" s="4" t="s">
        <v>40</v>
      </c>
      <c r="E631" s="5">
        <v>10</v>
      </c>
      <c r="F631" s="6">
        <v>1</v>
      </c>
      <c r="G631" s="7" t="s">
        <v>20</v>
      </c>
      <c r="H631" s="6">
        <v>144</v>
      </c>
      <c r="I631" s="7" t="s">
        <v>40</v>
      </c>
      <c r="J631" s="8">
        <f>3758400/144</f>
        <v>26100</v>
      </c>
      <c r="K631" s="4" t="s">
        <v>40</v>
      </c>
      <c r="L631" s="9">
        <v>0.05</v>
      </c>
      <c r="M631" s="9">
        <v>0.17</v>
      </c>
      <c r="O631" s="7" t="s">
        <v>40</v>
      </c>
      <c r="P631" s="3">
        <f t="shared" ref="P631" si="247">(C631+(E631*F631*H631))-N631</f>
        <v>1440</v>
      </c>
      <c r="Q631" s="7" t="s">
        <v>40</v>
      </c>
      <c r="R631" s="8">
        <f t="shared" ref="R631" si="248">P631*(J631-(J631*L631)-((J631-(J631*L631))*M631))</f>
        <v>29634983.999999996</v>
      </c>
      <c r="S631" s="8">
        <f t="shared" ref="S631" si="249">R631/1.11</f>
        <v>26698183.783783779</v>
      </c>
    </row>
    <row r="632" spans="1:19" s="72" customFormat="1" x14ac:dyDescent="0.2">
      <c r="A632" s="113" t="s">
        <v>385</v>
      </c>
      <c r="B632" s="72" t="s">
        <v>25</v>
      </c>
      <c r="C632" s="79"/>
      <c r="D632" s="74" t="s">
        <v>40</v>
      </c>
      <c r="E632" s="75"/>
      <c r="F632" s="76">
        <v>1</v>
      </c>
      <c r="G632" s="77" t="s">
        <v>20</v>
      </c>
      <c r="H632" s="76">
        <v>144</v>
      </c>
      <c r="I632" s="77" t="s">
        <v>40</v>
      </c>
      <c r="J632" s="16">
        <f>3628800/144</f>
        <v>25200</v>
      </c>
      <c r="K632" s="74" t="s">
        <v>40</v>
      </c>
      <c r="L632" s="78"/>
      <c r="M632" s="78">
        <v>0.17</v>
      </c>
      <c r="N632" s="76"/>
      <c r="O632" s="77" t="s">
        <v>40</v>
      </c>
      <c r="P632" s="73">
        <f t="shared" si="244"/>
        <v>0</v>
      </c>
      <c r="Q632" s="77" t="s">
        <v>40</v>
      </c>
      <c r="R632" s="16">
        <f t="shared" si="245"/>
        <v>0</v>
      </c>
      <c r="S632" s="16">
        <f t="shared" si="237"/>
        <v>0</v>
      </c>
    </row>
    <row r="633" spans="1:19" s="72" customFormat="1" x14ac:dyDescent="0.2">
      <c r="A633" s="113" t="s">
        <v>386</v>
      </c>
      <c r="B633" s="72" t="s">
        <v>25</v>
      </c>
      <c r="C633" s="79"/>
      <c r="D633" s="74" t="s">
        <v>40</v>
      </c>
      <c r="E633" s="75"/>
      <c r="F633" s="76">
        <v>1</v>
      </c>
      <c r="G633" s="77" t="s">
        <v>20</v>
      </c>
      <c r="H633" s="76">
        <v>144</v>
      </c>
      <c r="I633" s="77" t="s">
        <v>40</v>
      </c>
      <c r="J633" s="16">
        <f>3628800/144</f>
        <v>25200</v>
      </c>
      <c r="K633" s="74" t="s">
        <v>40</v>
      </c>
      <c r="L633" s="78"/>
      <c r="M633" s="78">
        <v>0.17</v>
      </c>
      <c r="N633" s="76"/>
      <c r="O633" s="77" t="s">
        <v>40</v>
      </c>
      <c r="P633" s="73">
        <f t="shared" si="244"/>
        <v>0</v>
      </c>
      <c r="Q633" s="77" t="s">
        <v>40</v>
      </c>
      <c r="R633" s="16">
        <f t="shared" si="245"/>
        <v>0</v>
      </c>
      <c r="S633" s="16">
        <f t="shared" si="237"/>
        <v>0</v>
      </c>
    </row>
    <row r="634" spans="1:19" s="81" customFormat="1" x14ac:dyDescent="0.2">
      <c r="A634" s="80" t="s">
        <v>870</v>
      </c>
      <c r="B634" s="81" t="s">
        <v>25</v>
      </c>
      <c r="C634" s="117"/>
      <c r="D634" s="82" t="s">
        <v>40</v>
      </c>
      <c r="E634" s="83"/>
      <c r="F634" s="84">
        <v>1</v>
      </c>
      <c r="G634" s="85" t="s">
        <v>20</v>
      </c>
      <c r="H634" s="84">
        <v>144</v>
      </c>
      <c r="I634" s="85" t="s">
        <v>40</v>
      </c>
      <c r="J634" s="86">
        <f>5875200/144</f>
        <v>40800</v>
      </c>
      <c r="K634" s="82" t="s">
        <v>40</v>
      </c>
      <c r="L634" s="87"/>
      <c r="M634" s="87">
        <v>0.17</v>
      </c>
      <c r="N634" s="84"/>
      <c r="O634" s="85" t="s">
        <v>40</v>
      </c>
      <c r="P634" s="79">
        <f t="shared" si="244"/>
        <v>0</v>
      </c>
      <c r="Q634" s="85" t="s">
        <v>40</v>
      </c>
      <c r="R634" s="86">
        <f t="shared" si="245"/>
        <v>0</v>
      </c>
      <c r="S634" s="86">
        <f t="shared" si="237"/>
        <v>0</v>
      </c>
    </row>
    <row r="635" spans="1:19" s="19" customFormat="1" x14ac:dyDescent="0.2">
      <c r="A635" s="134" t="s">
        <v>387</v>
      </c>
      <c r="B635" s="19" t="s">
        <v>25</v>
      </c>
      <c r="C635" s="20"/>
      <c r="D635" s="21" t="s">
        <v>40</v>
      </c>
      <c r="E635" s="26">
        <v>123</v>
      </c>
      <c r="F635" s="22">
        <v>1</v>
      </c>
      <c r="G635" s="23" t="s">
        <v>20</v>
      </c>
      <c r="H635" s="22">
        <v>144</v>
      </c>
      <c r="I635" s="23" t="s">
        <v>40</v>
      </c>
      <c r="J635" s="24">
        <f>5616000/144</f>
        <v>39000</v>
      </c>
      <c r="K635" s="21" t="s">
        <v>40</v>
      </c>
      <c r="L635" s="133">
        <v>2.5000000000000001E-2</v>
      </c>
      <c r="M635" s="133">
        <v>0.17</v>
      </c>
      <c r="N635" s="22"/>
      <c r="O635" s="23" t="s">
        <v>40</v>
      </c>
      <c r="P635" s="20">
        <f t="shared" ref="P635" si="250">(C635+(E635*F635*H635))-N635</f>
        <v>17712</v>
      </c>
      <c r="Q635" s="23" t="s">
        <v>40</v>
      </c>
      <c r="R635" s="24">
        <f t="shared" ref="R635" si="251">P635*(J635-(J635*L635)-((J635-(J635*L635))*M635))</f>
        <v>559004004</v>
      </c>
      <c r="S635" s="24">
        <f t="shared" ref="S635" si="252">R635/1.11</f>
        <v>503607210.81081074</v>
      </c>
    </row>
    <row r="636" spans="1:19" s="19" customFormat="1" x14ac:dyDescent="0.2">
      <c r="A636" s="134" t="s">
        <v>387</v>
      </c>
      <c r="B636" s="19" t="s">
        <v>25</v>
      </c>
      <c r="C636" s="20">
        <v>1965</v>
      </c>
      <c r="D636" s="21" t="s">
        <v>40</v>
      </c>
      <c r="E636" s="26">
        <v>71</v>
      </c>
      <c r="F636" s="22">
        <v>1</v>
      </c>
      <c r="G636" s="23" t="s">
        <v>20</v>
      </c>
      <c r="H636" s="22">
        <v>144</v>
      </c>
      <c r="I636" s="23" t="s">
        <v>40</v>
      </c>
      <c r="J636" s="24">
        <f>5616000/144</f>
        <v>39000</v>
      </c>
      <c r="K636" s="21" t="s">
        <v>40</v>
      </c>
      <c r="L636" s="133"/>
      <c r="M636" s="133">
        <v>0.17</v>
      </c>
      <c r="N636" s="22"/>
      <c r="O636" s="23" t="s">
        <v>40</v>
      </c>
      <c r="P636" s="20">
        <f t="shared" si="244"/>
        <v>12189</v>
      </c>
      <c r="Q636" s="23" t="s">
        <v>40</v>
      </c>
      <c r="R636" s="24">
        <f t="shared" si="245"/>
        <v>394557930</v>
      </c>
      <c r="S636" s="24">
        <f t="shared" si="237"/>
        <v>355457594.59459454</v>
      </c>
    </row>
    <row r="637" spans="1:19" s="98" customFormat="1" x14ac:dyDescent="0.2">
      <c r="A637" s="90" t="s">
        <v>388</v>
      </c>
      <c r="B637" s="98" t="s">
        <v>25</v>
      </c>
      <c r="C637" s="99"/>
      <c r="D637" s="100" t="s">
        <v>40</v>
      </c>
      <c r="E637" s="101">
        <v>58</v>
      </c>
      <c r="F637" s="102">
        <v>1</v>
      </c>
      <c r="G637" s="103" t="s">
        <v>20</v>
      </c>
      <c r="H637" s="102">
        <v>144</v>
      </c>
      <c r="I637" s="103" t="s">
        <v>40</v>
      </c>
      <c r="J637" s="104">
        <v>39000</v>
      </c>
      <c r="K637" s="100" t="s">
        <v>40</v>
      </c>
      <c r="L637" s="105">
        <v>2.5000000000000001E-2</v>
      </c>
      <c r="M637" s="105">
        <v>0.17</v>
      </c>
      <c r="N637" s="102"/>
      <c r="O637" s="103" t="s">
        <v>40</v>
      </c>
      <c r="P637" s="99">
        <f t="shared" ref="P637" si="253">(C637+(E637*F637*H637))-N637</f>
        <v>8352</v>
      </c>
      <c r="Q637" s="103" t="s">
        <v>40</v>
      </c>
      <c r="R637" s="104">
        <f t="shared" ref="R637" si="254">P637*(J637-(J637*L637)-((J637-(J637*L637))*M637))</f>
        <v>263595384</v>
      </c>
      <c r="S637" s="104">
        <f t="shared" ref="S637" si="255">R637/1.11</f>
        <v>237473318.91891891</v>
      </c>
    </row>
    <row r="638" spans="1:19" s="98" customFormat="1" x14ac:dyDescent="0.2">
      <c r="A638" s="90" t="s">
        <v>388</v>
      </c>
      <c r="B638" s="98" t="s">
        <v>25</v>
      </c>
      <c r="C638" s="99"/>
      <c r="D638" s="100" t="s">
        <v>40</v>
      </c>
      <c r="E638" s="101">
        <v>4</v>
      </c>
      <c r="F638" s="102">
        <v>1</v>
      </c>
      <c r="G638" s="103" t="s">
        <v>20</v>
      </c>
      <c r="H638" s="102">
        <v>144</v>
      </c>
      <c r="I638" s="103" t="s">
        <v>40</v>
      </c>
      <c r="J638" s="104">
        <v>39000</v>
      </c>
      <c r="K638" s="100" t="s">
        <v>40</v>
      </c>
      <c r="L638" s="105"/>
      <c r="M638" s="105">
        <v>0.17</v>
      </c>
      <c r="N638" s="102"/>
      <c r="O638" s="103" t="s">
        <v>40</v>
      </c>
      <c r="P638" s="99">
        <f t="shared" ref="P638" si="256">(C638+(E638*F638*H638))-N638</f>
        <v>576</v>
      </c>
      <c r="Q638" s="103" t="s">
        <v>40</v>
      </c>
      <c r="R638" s="104">
        <f t="shared" ref="R638" si="257">P638*(J638-(J638*L638)-((J638-(J638*L638))*M638))</f>
        <v>18645120</v>
      </c>
      <c r="S638" s="104">
        <f t="shared" ref="S638" si="258">R638/1.11</f>
        <v>16797405.405405402</v>
      </c>
    </row>
    <row r="639" spans="1:19" s="98" customFormat="1" x14ac:dyDescent="0.2">
      <c r="A639" s="90" t="s">
        <v>873</v>
      </c>
      <c r="B639" s="98" t="s">
        <v>25</v>
      </c>
      <c r="C639" s="99"/>
      <c r="D639" s="100" t="s">
        <v>40</v>
      </c>
      <c r="E639" s="101">
        <v>2</v>
      </c>
      <c r="F639" s="102">
        <v>1</v>
      </c>
      <c r="G639" s="103" t="s">
        <v>20</v>
      </c>
      <c r="H639" s="102">
        <v>144</v>
      </c>
      <c r="I639" s="103" t="s">
        <v>40</v>
      </c>
      <c r="J639" s="104">
        <v>39000</v>
      </c>
      <c r="K639" s="100" t="s">
        <v>40</v>
      </c>
      <c r="L639" s="105"/>
      <c r="M639" s="105">
        <v>0.17</v>
      </c>
      <c r="N639" s="102"/>
      <c r="O639" s="103" t="s">
        <v>40</v>
      </c>
      <c r="P639" s="99">
        <f t="shared" si="244"/>
        <v>288</v>
      </c>
      <c r="Q639" s="103" t="s">
        <v>40</v>
      </c>
      <c r="R639" s="104">
        <f t="shared" ref="R639" si="259">P639*(J639-(J639*L639)-((J639-(J639*L639))*M639))</f>
        <v>9322560</v>
      </c>
      <c r="S639" s="104">
        <f t="shared" ref="S639" si="260">R639/1.11</f>
        <v>8398702.7027027011</v>
      </c>
    </row>
    <row r="640" spans="1:19" s="98" customFormat="1" x14ac:dyDescent="0.2">
      <c r="A640" s="144" t="s">
        <v>922</v>
      </c>
      <c r="B640" s="98" t="s">
        <v>25</v>
      </c>
      <c r="C640" s="99"/>
      <c r="D640" s="100" t="s">
        <v>40</v>
      </c>
      <c r="E640" s="101">
        <v>1</v>
      </c>
      <c r="F640" s="102">
        <v>1</v>
      </c>
      <c r="G640" s="103" t="s">
        <v>20</v>
      </c>
      <c r="H640" s="102">
        <v>144</v>
      </c>
      <c r="I640" s="103" t="s">
        <v>40</v>
      </c>
      <c r="J640" s="104">
        <v>39000</v>
      </c>
      <c r="K640" s="100" t="s">
        <v>40</v>
      </c>
      <c r="L640" s="105"/>
      <c r="M640" s="105">
        <v>0.17</v>
      </c>
      <c r="N640" s="102"/>
      <c r="O640" s="103" t="s">
        <v>40</v>
      </c>
      <c r="P640" s="99">
        <f t="shared" ref="P640" si="261">(C640+(E640*F640*H640))-N640</f>
        <v>144</v>
      </c>
      <c r="Q640" s="103" t="s">
        <v>40</v>
      </c>
      <c r="R640" s="104">
        <f t="shared" ref="R640" si="262">P640*(J640-(J640*L640)-((J640-(J640*L640))*M640))</f>
        <v>4661280</v>
      </c>
      <c r="S640" s="104">
        <f t="shared" ref="S640" si="263">R640/1.11</f>
        <v>4199351.3513513505</v>
      </c>
    </row>
    <row r="641" spans="1:19" s="19" customFormat="1" x14ac:dyDescent="0.2">
      <c r="A641" s="18" t="s">
        <v>389</v>
      </c>
      <c r="B641" s="19" t="s">
        <v>25</v>
      </c>
      <c r="C641" s="20">
        <v>537</v>
      </c>
      <c r="D641" s="21" t="s">
        <v>40</v>
      </c>
      <c r="E641" s="26"/>
      <c r="F641" s="22">
        <v>1</v>
      </c>
      <c r="G641" s="23" t="s">
        <v>20</v>
      </c>
      <c r="H641" s="22">
        <v>144</v>
      </c>
      <c r="I641" s="23" t="s">
        <v>40</v>
      </c>
      <c r="J641" s="24">
        <f>5356800/144</f>
        <v>37200</v>
      </c>
      <c r="K641" s="21" t="s">
        <v>40</v>
      </c>
      <c r="L641" s="25"/>
      <c r="M641" s="25">
        <v>0.17</v>
      </c>
      <c r="N641" s="22"/>
      <c r="O641" s="23" t="s">
        <v>40</v>
      </c>
      <c r="P641" s="20">
        <f t="shared" si="244"/>
        <v>537</v>
      </c>
      <c r="Q641" s="23" t="s">
        <v>40</v>
      </c>
      <c r="R641" s="24">
        <f t="shared" si="245"/>
        <v>16580412</v>
      </c>
      <c r="S641" s="24">
        <f t="shared" si="237"/>
        <v>14937308.108108107</v>
      </c>
    </row>
    <row r="642" spans="1:19" s="19" customFormat="1" x14ac:dyDescent="0.2">
      <c r="A642" s="145" t="s">
        <v>746</v>
      </c>
      <c r="B642" s="19" t="s">
        <v>25</v>
      </c>
      <c r="C642" s="20"/>
      <c r="D642" s="21" t="s">
        <v>40</v>
      </c>
      <c r="E642" s="26">
        <v>10</v>
      </c>
      <c r="F642" s="22">
        <v>1</v>
      </c>
      <c r="G642" s="23" t="s">
        <v>20</v>
      </c>
      <c r="H642" s="22">
        <v>144</v>
      </c>
      <c r="I642" s="23" t="s">
        <v>40</v>
      </c>
      <c r="J642" s="24">
        <f>5702400/144</f>
        <v>39600</v>
      </c>
      <c r="K642" s="21" t="s">
        <v>40</v>
      </c>
      <c r="L642" s="25">
        <v>0.05</v>
      </c>
      <c r="M642" s="25">
        <v>0.17</v>
      </c>
      <c r="N642" s="22"/>
      <c r="O642" s="23" t="s">
        <v>40</v>
      </c>
      <c r="P642" s="20">
        <f t="shared" ref="P642" si="264">(C642+(E642*F642*H642))-N642</f>
        <v>1440</v>
      </c>
      <c r="Q642" s="23" t="s">
        <v>40</v>
      </c>
      <c r="R642" s="24">
        <f t="shared" ref="R642" si="265">P642*(J642-(J642*L642)-((J642-(J642*L642))*M642))</f>
        <v>44963424</v>
      </c>
      <c r="S642" s="24">
        <f t="shared" ref="S642" si="266">R642/1.11</f>
        <v>40507589.189189188</v>
      </c>
    </row>
    <row r="643" spans="1:19" s="19" customFormat="1" x14ac:dyDescent="0.2">
      <c r="A643" s="18" t="s">
        <v>746</v>
      </c>
      <c r="B643" s="19" t="s">
        <v>25</v>
      </c>
      <c r="C643" s="20">
        <v>566</v>
      </c>
      <c r="D643" s="21" t="s">
        <v>40</v>
      </c>
      <c r="E643" s="26">
        <v>2</v>
      </c>
      <c r="F643" s="22">
        <v>1</v>
      </c>
      <c r="G643" s="23" t="s">
        <v>20</v>
      </c>
      <c r="H643" s="22">
        <v>144</v>
      </c>
      <c r="I643" s="23" t="s">
        <v>40</v>
      </c>
      <c r="J643" s="24">
        <f>5702400/144</f>
        <v>39600</v>
      </c>
      <c r="K643" s="21" t="s">
        <v>40</v>
      </c>
      <c r="L643" s="25"/>
      <c r="M643" s="25">
        <v>0.17</v>
      </c>
      <c r="N643" s="22"/>
      <c r="O643" s="23" t="s">
        <v>40</v>
      </c>
      <c r="P643" s="20">
        <f t="shared" si="244"/>
        <v>854</v>
      </c>
      <c r="Q643" s="23" t="s">
        <v>40</v>
      </c>
      <c r="R643" s="24">
        <f t="shared" si="245"/>
        <v>28069272</v>
      </c>
      <c r="S643" s="24">
        <f t="shared" si="237"/>
        <v>25287632.432432432</v>
      </c>
    </row>
    <row r="644" spans="1:19" s="19" customFormat="1" x14ac:dyDescent="0.2">
      <c r="A644" s="18" t="s">
        <v>747</v>
      </c>
      <c r="B644" s="19" t="s">
        <v>25</v>
      </c>
      <c r="C644" s="51"/>
      <c r="D644" s="21" t="s">
        <v>40</v>
      </c>
      <c r="E644" s="26">
        <v>1</v>
      </c>
      <c r="F644" s="22">
        <v>1</v>
      </c>
      <c r="G644" s="23" t="s">
        <v>20</v>
      </c>
      <c r="H644" s="22">
        <v>144</v>
      </c>
      <c r="I644" s="23" t="s">
        <v>40</v>
      </c>
      <c r="J644" s="24">
        <f>5702400/144</f>
        <v>39600</v>
      </c>
      <c r="K644" s="21" t="s">
        <v>40</v>
      </c>
      <c r="L644" s="25"/>
      <c r="M644" s="25">
        <v>0.17</v>
      </c>
      <c r="N644" s="22"/>
      <c r="O644" s="23" t="s">
        <v>40</v>
      </c>
      <c r="P644" s="20">
        <f t="shared" si="244"/>
        <v>144</v>
      </c>
      <c r="Q644" s="23" t="s">
        <v>40</v>
      </c>
      <c r="R644" s="24">
        <f t="shared" si="245"/>
        <v>4732992</v>
      </c>
      <c r="S644" s="24">
        <f t="shared" si="237"/>
        <v>4263956.7567567565</v>
      </c>
    </row>
    <row r="645" spans="1:19" s="19" customFormat="1" x14ac:dyDescent="0.2">
      <c r="A645" s="18" t="s">
        <v>390</v>
      </c>
      <c r="B645" s="19" t="s">
        <v>25</v>
      </c>
      <c r="C645" s="20">
        <v>318</v>
      </c>
      <c r="D645" s="21" t="s">
        <v>40</v>
      </c>
      <c r="E645" s="26">
        <v>14</v>
      </c>
      <c r="F645" s="22">
        <v>1</v>
      </c>
      <c r="G645" s="23" t="s">
        <v>20</v>
      </c>
      <c r="H645" s="22">
        <v>144</v>
      </c>
      <c r="I645" s="23" t="s">
        <v>40</v>
      </c>
      <c r="J645" s="24">
        <f>5702400/144</f>
        <v>39600</v>
      </c>
      <c r="K645" s="21" t="s">
        <v>40</v>
      </c>
      <c r="L645" s="25"/>
      <c r="M645" s="25">
        <v>0.17</v>
      </c>
      <c r="N645" s="22"/>
      <c r="O645" s="23" t="s">
        <v>40</v>
      </c>
      <c r="P645" s="20">
        <f t="shared" si="244"/>
        <v>2334</v>
      </c>
      <c r="Q645" s="23" t="s">
        <v>40</v>
      </c>
      <c r="R645" s="24">
        <f t="shared" si="245"/>
        <v>76713912</v>
      </c>
      <c r="S645" s="24">
        <f t="shared" si="237"/>
        <v>69111632.432432428</v>
      </c>
    </row>
    <row r="646" spans="1:19" s="19" customFormat="1" x14ac:dyDescent="0.2">
      <c r="A646" s="18" t="s">
        <v>923</v>
      </c>
      <c r="B646" s="19" t="s">
        <v>25</v>
      </c>
      <c r="C646" s="20"/>
      <c r="D646" s="21" t="s">
        <v>40</v>
      </c>
      <c r="E646" s="26">
        <v>2</v>
      </c>
      <c r="F646" s="22">
        <v>1</v>
      </c>
      <c r="G646" s="23" t="s">
        <v>20</v>
      </c>
      <c r="H646" s="22">
        <v>144</v>
      </c>
      <c r="I646" s="23" t="s">
        <v>40</v>
      </c>
      <c r="J646" s="24">
        <v>33000</v>
      </c>
      <c r="K646" s="21" t="s">
        <v>40</v>
      </c>
      <c r="L646" s="25"/>
      <c r="M646" s="25">
        <v>0.17</v>
      </c>
      <c r="N646" s="22"/>
      <c r="O646" s="23" t="s">
        <v>40</v>
      </c>
      <c r="P646" s="20">
        <f t="shared" ref="P646" si="267">(C646+(E646*F646*H646))-N646</f>
        <v>288</v>
      </c>
      <c r="Q646" s="23" t="s">
        <v>40</v>
      </c>
      <c r="R646" s="24">
        <f t="shared" ref="R646" si="268">P646*(J646-(J646*L646)-((J646-(J646*L646))*M646))</f>
        <v>7888320</v>
      </c>
      <c r="S646" s="24">
        <f t="shared" ref="S646" si="269">R646/1.11</f>
        <v>7106594.5945945941</v>
      </c>
    </row>
    <row r="647" spans="1:19" x14ac:dyDescent="0.2">
      <c r="A647" s="17" t="s">
        <v>391</v>
      </c>
      <c r="B647" s="2" t="s">
        <v>25</v>
      </c>
      <c r="C647" s="3">
        <v>738</v>
      </c>
      <c r="D647" s="4" t="s">
        <v>40</v>
      </c>
      <c r="E647" s="5">
        <v>7</v>
      </c>
      <c r="F647" s="6">
        <v>1</v>
      </c>
      <c r="G647" s="7" t="s">
        <v>20</v>
      </c>
      <c r="H647" s="6">
        <v>144</v>
      </c>
      <c r="I647" s="7" t="s">
        <v>40</v>
      </c>
      <c r="J647" s="8">
        <f>2764800/144</f>
        <v>19200</v>
      </c>
      <c r="K647" s="4" t="s">
        <v>40</v>
      </c>
      <c r="M647" s="9">
        <v>0.17</v>
      </c>
      <c r="O647" s="7" t="s">
        <v>40</v>
      </c>
      <c r="P647" s="3">
        <f t="shared" si="244"/>
        <v>1746</v>
      </c>
      <c r="Q647" s="7" t="s">
        <v>40</v>
      </c>
      <c r="R647" s="8">
        <f t="shared" si="245"/>
        <v>27824256</v>
      </c>
      <c r="S647" s="8">
        <f t="shared" si="237"/>
        <v>25066897.297297295</v>
      </c>
    </row>
    <row r="648" spans="1:19" s="72" customFormat="1" x14ac:dyDescent="0.2">
      <c r="A648" s="71" t="s">
        <v>392</v>
      </c>
      <c r="B648" s="72" t="s">
        <v>25</v>
      </c>
      <c r="C648" s="73"/>
      <c r="D648" s="74" t="s">
        <v>40</v>
      </c>
      <c r="E648" s="75"/>
      <c r="F648" s="76">
        <v>1</v>
      </c>
      <c r="G648" s="77" t="s">
        <v>20</v>
      </c>
      <c r="H648" s="76">
        <v>144</v>
      </c>
      <c r="I648" s="77" t="s">
        <v>40</v>
      </c>
      <c r="J648" s="16">
        <f>2764800/144</f>
        <v>19200</v>
      </c>
      <c r="K648" s="74" t="s">
        <v>40</v>
      </c>
      <c r="L648" s="78"/>
      <c r="M648" s="78">
        <v>0.17</v>
      </c>
      <c r="N648" s="76"/>
      <c r="O648" s="77" t="s">
        <v>40</v>
      </c>
      <c r="P648" s="73">
        <f t="shared" si="244"/>
        <v>0</v>
      </c>
      <c r="Q648" s="77" t="s">
        <v>40</v>
      </c>
      <c r="R648" s="16">
        <f t="shared" si="245"/>
        <v>0</v>
      </c>
      <c r="S648" s="16">
        <f t="shared" si="237"/>
        <v>0</v>
      </c>
    </row>
    <row r="649" spans="1:19" s="72" customFormat="1" x14ac:dyDescent="0.2">
      <c r="A649" s="71" t="s">
        <v>393</v>
      </c>
      <c r="B649" s="72" t="s">
        <v>25</v>
      </c>
      <c r="C649" s="73"/>
      <c r="D649" s="74" t="s">
        <v>40</v>
      </c>
      <c r="E649" s="75"/>
      <c r="F649" s="76">
        <v>1</v>
      </c>
      <c r="G649" s="77" t="s">
        <v>20</v>
      </c>
      <c r="H649" s="76">
        <v>144</v>
      </c>
      <c r="I649" s="77" t="s">
        <v>40</v>
      </c>
      <c r="J649" s="16">
        <v>23400</v>
      </c>
      <c r="K649" s="74" t="s">
        <v>40</v>
      </c>
      <c r="L649" s="78"/>
      <c r="M649" s="78">
        <v>0.17</v>
      </c>
      <c r="N649" s="76"/>
      <c r="O649" s="77" t="s">
        <v>40</v>
      </c>
      <c r="P649" s="73">
        <f t="shared" si="244"/>
        <v>0</v>
      </c>
      <c r="Q649" s="77" t="s">
        <v>40</v>
      </c>
      <c r="R649" s="16">
        <f t="shared" si="245"/>
        <v>0</v>
      </c>
      <c r="S649" s="16">
        <f t="shared" si="237"/>
        <v>0</v>
      </c>
    </row>
    <row r="650" spans="1:19" s="19" customFormat="1" x14ac:dyDescent="0.2">
      <c r="A650" s="18" t="s">
        <v>395</v>
      </c>
      <c r="B650" s="19" t="s">
        <v>25</v>
      </c>
      <c r="C650" s="20">
        <v>423</v>
      </c>
      <c r="D650" s="21" t="s">
        <v>40</v>
      </c>
      <c r="E650" s="26">
        <v>5</v>
      </c>
      <c r="F650" s="22">
        <v>1</v>
      </c>
      <c r="G650" s="23" t="s">
        <v>20</v>
      </c>
      <c r="H650" s="22">
        <v>144</v>
      </c>
      <c r="I650" s="23" t="s">
        <v>40</v>
      </c>
      <c r="J650" s="24">
        <f>3542400/144</f>
        <v>24600</v>
      </c>
      <c r="K650" s="21" t="s">
        <v>40</v>
      </c>
      <c r="L650" s="25"/>
      <c r="M650" s="25">
        <v>0.17</v>
      </c>
      <c r="N650" s="22"/>
      <c r="O650" s="23" t="s">
        <v>40</v>
      </c>
      <c r="P650" s="20">
        <f t="shared" si="244"/>
        <v>1143</v>
      </c>
      <c r="Q650" s="23" t="s">
        <v>40</v>
      </c>
      <c r="R650" s="24">
        <f t="shared" si="245"/>
        <v>23337774</v>
      </c>
      <c r="S650" s="24">
        <f t="shared" si="237"/>
        <v>21025021.62162162</v>
      </c>
    </row>
    <row r="651" spans="1:19" s="19" customFormat="1" x14ac:dyDescent="0.2">
      <c r="A651" s="18" t="s">
        <v>396</v>
      </c>
      <c r="B651" s="19" t="s">
        <v>25</v>
      </c>
      <c r="C651" s="20">
        <v>2721</v>
      </c>
      <c r="D651" s="21" t="s">
        <v>40</v>
      </c>
      <c r="E651" s="26">
        <v>52</v>
      </c>
      <c r="F651" s="22">
        <v>1</v>
      </c>
      <c r="G651" s="23" t="s">
        <v>20</v>
      </c>
      <c r="H651" s="22">
        <v>144</v>
      </c>
      <c r="I651" s="23" t="s">
        <v>40</v>
      </c>
      <c r="J651" s="24">
        <f>3110400/144</f>
        <v>21600</v>
      </c>
      <c r="K651" s="21" t="s">
        <v>40</v>
      </c>
      <c r="L651" s="25"/>
      <c r="M651" s="25">
        <v>0.17</v>
      </c>
      <c r="N651" s="22"/>
      <c r="O651" s="23" t="s">
        <v>40</v>
      </c>
      <c r="P651" s="20">
        <f t="shared" si="244"/>
        <v>10209</v>
      </c>
      <c r="Q651" s="23" t="s">
        <v>40</v>
      </c>
      <c r="R651" s="24">
        <f t="shared" si="245"/>
        <v>183026952</v>
      </c>
      <c r="S651" s="24">
        <f t="shared" si="237"/>
        <v>164889145.94594592</v>
      </c>
    </row>
    <row r="652" spans="1:19" s="19" customFormat="1" x14ac:dyDescent="0.2">
      <c r="A652" s="18" t="s">
        <v>780</v>
      </c>
      <c r="B652" s="19" t="s">
        <v>25</v>
      </c>
      <c r="C652" s="20"/>
      <c r="D652" s="21" t="s">
        <v>40</v>
      </c>
      <c r="E652" s="26">
        <v>5</v>
      </c>
      <c r="F652" s="22">
        <v>1</v>
      </c>
      <c r="G652" s="23" t="s">
        <v>20</v>
      </c>
      <c r="H652" s="22">
        <v>144</v>
      </c>
      <c r="I652" s="23" t="s">
        <v>40</v>
      </c>
      <c r="J652" s="24">
        <f>3456000/144</f>
        <v>24000</v>
      </c>
      <c r="K652" s="21" t="s">
        <v>40</v>
      </c>
      <c r="L652" s="25"/>
      <c r="M652" s="25">
        <v>0.17</v>
      </c>
      <c r="N652" s="22"/>
      <c r="O652" s="23" t="s">
        <v>40</v>
      </c>
      <c r="P652" s="20">
        <f t="shared" si="244"/>
        <v>720</v>
      </c>
      <c r="Q652" s="23" t="s">
        <v>40</v>
      </c>
      <c r="R652" s="24">
        <f t="shared" si="245"/>
        <v>14342400</v>
      </c>
      <c r="S652" s="24">
        <f t="shared" si="237"/>
        <v>12921081.081081079</v>
      </c>
    </row>
    <row r="653" spans="1:19" s="19" customFormat="1" x14ac:dyDescent="0.2">
      <c r="A653" s="18" t="s">
        <v>397</v>
      </c>
      <c r="B653" s="19" t="s">
        <v>25</v>
      </c>
      <c r="C653" s="20">
        <v>576</v>
      </c>
      <c r="D653" s="21" t="s">
        <v>40</v>
      </c>
      <c r="E653" s="26">
        <v>6</v>
      </c>
      <c r="F653" s="22">
        <v>1</v>
      </c>
      <c r="G653" s="23" t="s">
        <v>20</v>
      </c>
      <c r="H653" s="22">
        <v>144</v>
      </c>
      <c r="I653" s="23" t="s">
        <v>40</v>
      </c>
      <c r="J653" s="24">
        <f>3758400/144</f>
        <v>26100</v>
      </c>
      <c r="K653" s="21" t="s">
        <v>40</v>
      </c>
      <c r="L653" s="25"/>
      <c r="M653" s="25">
        <v>0.17</v>
      </c>
      <c r="N653" s="22"/>
      <c r="O653" s="23" t="s">
        <v>40</v>
      </c>
      <c r="P653" s="20">
        <f t="shared" si="244"/>
        <v>1440</v>
      </c>
      <c r="Q653" s="23" t="s">
        <v>40</v>
      </c>
      <c r="R653" s="24">
        <f t="shared" si="245"/>
        <v>31194720</v>
      </c>
      <c r="S653" s="24">
        <f t="shared" si="237"/>
        <v>28103351.351351351</v>
      </c>
    </row>
    <row r="654" spans="1:19" s="19" customFormat="1" x14ac:dyDescent="0.2">
      <c r="A654" s="18" t="s">
        <v>709</v>
      </c>
      <c r="B654" s="19" t="s">
        <v>25</v>
      </c>
      <c r="C654" s="20">
        <v>27</v>
      </c>
      <c r="D654" s="21" t="s">
        <v>40</v>
      </c>
      <c r="E654" s="26"/>
      <c r="F654" s="22">
        <v>1</v>
      </c>
      <c r="G654" s="23" t="s">
        <v>20</v>
      </c>
      <c r="H654" s="22">
        <v>144</v>
      </c>
      <c r="I654" s="23" t="s">
        <v>40</v>
      </c>
      <c r="J654" s="24">
        <f>5616000/144</f>
        <v>39000</v>
      </c>
      <c r="K654" s="21" t="s">
        <v>40</v>
      </c>
      <c r="L654" s="25"/>
      <c r="M654" s="25">
        <v>0.17</v>
      </c>
      <c r="N654" s="22"/>
      <c r="O654" s="23" t="s">
        <v>40</v>
      </c>
      <c r="P654" s="20">
        <f t="shared" si="244"/>
        <v>27</v>
      </c>
      <c r="Q654" s="23" t="s">
        <v>40</v>
      </c>
      <c r="R654" s="24">
        <f t="shared" si="245"/>
        <v>873990</v>
      </c>
      <c r="S654" s="24">
        <f t="shared" si="237"/>
        <v>787378.37837837834</v>
      </c>
    </row>
    <row r="655" spans="1:19" s="19" customFormat="1" x14ac:dyDescent="0.2">
      <c r="A655" s="18" t="s">
        <v>398</v>
      </c>
      <c r="B655" s="19" t="s">
        <v>25</v>
      </c>
      <c r="C655" s="20"/>
      <c r="D655" s="21" t="s">
        <v>40</v>
      </c>
      <c r="E655" s="26">
        <v>2</v>
      </c>
      <c r="F655" s="22">
        <v>1</v>
      </c>
      <c r="G655" s="23" t="s">
        <v>20</v>
      </c>
      <c r="H655" s="22">
        <v>144</v>
      </c>
      <c r="I655" s="23" t="s">
        <v>40</v>
      </c>
      <c r="J655" s="24">
        <f>5270400/144</f>
        <v>36600</v>
      </c>
      <c r="K655" s="21" t="s">
        <v>40</v>
      </c>
      <c r="L655" s="25"/>
      <c r="M655" s="25">
        <v>0.17</v>
      </c>
      <c r="N655" s="22"/>
      <c r="O655" s="23" t="s">
        <v>40</v>
      </c>
      <c r="P655" s="20">
        <f t="shared" si="244"/>
        <v>288</v>
      </c>
      <c r="Q655" s="23" t="s">
        <v>40</v>
      </c>
      <c r="R655" s="24">
        <f t="shared" si="245"/>
        <v>8748864</v>
      </c>
      <c r="S655" s="24">
        <f t="shared" si="237"/>
        <v>7881859.4594594585</v>
      </c>
    </row>
    <row r="656" spans="1:19" s="81" customFormat="1" x14ac:dyDescent="0.2">
      <c r="A656" s="80" t="s">
        <v>399</v>
      </c>
      <c r="B656" s="81" t="s">
        <v>25</v>
      </c>
      <c r="C656" s="79"/>
      <c r="D656" s="82" t="s">
        <v>40</v>
      </c>
      <c r="E656" s="83"/>
      <c r="F656" s="84">
        <v>1</v>
      </c>
      <c r="G656" s="85" t="s">
        <v>20</v>
      </c>
      <c r="H656" s="84">
        <v>144</v>
      </c>
      <c r="I656" s="85" t="s">
        <v>40</v>
      </c>
      <c r="J656" s="86">
        <f>5616000/144</f>
        <v>39000</v>
      </c>
      <c r="K656" s="82" t="s">
        <v>40</v>
      </c>
      <c r="L656" s="87"/>
      <c r="M656" s="87">
        <v>0.17</v>
      </c>
      <c r="N656" s="84"/>
      <c r="O656" s="85" t="s">
        <v>40</v>
      </c>
      <c r="P656" s="79">
        <f t="shared" si="244"/>
        <v>0</v>
      </c>
      <c r="Q656" s="85" t="s">
        <v>40</v>
      </c>
      <c r="R656" s="86">
        <f t="shared" si="245"/>
        <v>0</v>
      </c>
      <c r="S656" s="86">
        <f t="shared" si="237"/>
        <v>0</v>
      </c>
    </row>
    <row r="657" spans="1:19" x14ac:dyDescent="0.2">
      <c r="A657" s="17" t="s">
        <v>400</v>
      </c>
      <c r="B657" s="2" t="s">
        <v>25</v>
      </c>
      <c r="D657" s="4" t="s">
        <v>40</v>
      </c>
      <c r="E657" s="5">
        <v>2</v>
      </c>
      <c r="F657" s="6">
        <v>1</v>
      </c>
      <c r="G657" s="7" t="s">
        <v>20</v>
      </c>
      <c r="H657" s="6">
        <v>144</v>
      </c>
      <c r="I657" s="7" t="s">
        <v>40</v>
      </c>
      <c r="J657" s="8">
        <f>5616000/144</f>
        <v>39000</v>
      </c>
      <c r="K657" s="4" t="s">
        <v>40</v>
      </c>
      <c r="M657" s="9">
        <v>0.17</v>
      </c>
      <c r="O657" s="7" t="s">
        <v>40</v>
      </c>
      <c r="P657" s="3">
        <f t="shared" si="244"/>
        <v>288</v>
      </c>
      <c r="Q657" s="7" t="s">
        <v>40</v>
      </c>
      <c r="R657" s="8">
        <f t="shared" si="245"/>
        <v>9322560</v>
      </c>
      <c r="S657" s="8">
        <f t="shared" si="237"/>
        <v>8398702.7027027011</v>
      </c>
    </row>
    <row r="659" spans="1:19" s="19" customFormat="1" x14ac:dyDescent="0.2">
      <c r="A659" s="18" t="s">
        <v>402</v>
      </c>
      <c r="B659" s="19" t="s">
        <v>260</v>
      </c>
      <c r="C659" s="20">
        <v>2304</v>
      </c>
      <c r="D659" s="21" t="s">
        <v>40</v>
      </c>
      <c r="E659" s="26"/>
      <c r="F659" s="22">
        <v>1</v>
      </c>
      <c r="G659" s="23" t="s">
        <v>20</v>
      </c>
      <c r="H659" s="22">
        <v>144</v>
      </c>
      <c r="I659" s="23" t="s">
        <v>40</v>
      </c>
      <c r="J659" s="24">
        <v>22500</v>
      </c>
      <c r="K659" s="21" t="s">
        <v>40</v>
      </c>
      <c r="L659" s="25"/>
      <c r="M659" s="25"/>
      <c r="N659" s="22"/>
      <c r="O659" s="23" t="s">
        <v>40</v>
      </c>
      <c r="P659" s="20">
        <f t="shared" ref="P659:P668" si="270">(C659+(E659*F659*H659))-N659</f>
        <v>2304</v>
      </c>
      <c r="Q659" s="23" t="s">
        <v>40</v>
      </c>
      <c r="R659" s="24">
        <f t="shared" ref="R659:R668" si="271">P659*(J659-(J659*L659)-((J659-(J659*L659))*M659))</f>
        <v>51840000</v>
      </c>
      <c r="S659" s="24">
        <f t="shared" si="237"/>
        <v>46702702.702702701</v>
      </c>
    </row>
    <row r="660" spans="1:19" s="72" customFormat="1" x14ac:dyDescent="0.2">
      <c r="A660" s="71" t="s">
        <v>403</v>
      </c>
      <c r="B660" s="72" t="s">
        <v>260</v>
      </c>
      <c r="C660" s="73"/>
      <c r="D660" s="74" t="s">
        <v>40</v>
      </c>
      <c r="E660" s="75"/>
      <c r="F660" s="76">
        <v>1</v>
      </c>
      <c r="G660" s="77" t="s">
        <v>20</v>
      </c>
      <c r="H660" s="76">
        <v>144</v>
      </c>
      <c r="I660" s="77" t="s">
        <v>40</v>
      </c>
      <c r="J660" s="16">
        <v>26000</v>
      </c>
      <c r="K660" s="74" t="s">
        <v>40</v>
      </c>
      <c r="L660" s="78"/>
      <c r="M660" s="78"/>
      <c r="N660" s="76"/>
      <c r="O660" s="77" t="s">
        <v>40</v>
      </c>
      <c r="P660" s="73">
        <f t="shared" si="270"/>
        <v>0</v>
      </c>
      <c r="Q660" s="77" t="s">
        <v>40</v>
      </c>
      <c r="R660" s="16">
        <f t="shared" si="271"/>
        <v>0</v>
      </c>
      <c r="S660" s="16">
        <f t="shared" si="237"/>
        <v>0</v>
      </c>
    </row>
    <row r="661" spans="1:19" s="19" customFormat="1" x14ac:dyDescent="0.2">
      <c r="A661" s="18" t="s">
        <v>404</v>
      </c>
      <c r="B661" s="19" t="s">
        <v>260</v>
      </c>
      <c r="C661" s="20">
        <v>90</v>
      </c>
      <c r="D661" s="21" t="s">
        <v>40</v>
      </c>
      <c r="E661" s="26">
        <v>10</v>
      </c>
      <c r="F661" s="22">
        <v>1</v>
      </c>
      <c r="G661" s="23" t="s">
        <v>20</v>
      </c>
      <c r="H661" s="22">
        <v>96</v>
      </c>
      <c r="I661" s="23" t="s">
        <v>40</v>
      </c>
      <c r="J661" s="24">
        <v>31500</v>
      </c>
      <c r="K661" s="21" t="s">
        <v>40</v>
      </c>
      <c r="L661" s="25"/>
      <c r="M661" s="25"/>
      <c r="N661" s="22"/>
      <c r="O661" s="23" t="s">
        <v>40</v>
      </c>
      <c r="P661" s="20">
        <f t="shared" si="270"/>
        <v>1050</v>
      </c>
      <c r="Q661" s="23" t="s">
        <v>40</v>
      </c>
      <c r="R661" s="24">
        <f t="shared" si="271"/>
        <v>33075000</v>
      </c>
      <c r="S661" s="24">
        <f t="shared" si="237"/>
        <v>29797297.297297295</v>
      </c>
    </row>
    <row r="662" spans="1:19" s="72" customFormat="1" x14ac:dyDescent="0.2">
      <c r="A662" s="71" t="s">
        <v>715</v>
      </c>
      <c r="B662" s="72" t="s">
        <v>260</v>
      </c>
      <c r="C662" s="73"/>
      <c r="D662" s="74" t="s">
        <v>40</v>
      </c>
      <c r="E662" s="75"/>
      <c r="F662" s="76">
        <v>1</v>
      </c>
      <c r="G662" s="77" t="s">
        <v>20</v>
      </c>
      <c r="H662" s="76">
        <v>144</v>
      </c>
      <c r="I662" s="77" t="s">
        <v>40</v>
      </c>
      <c r="J662" s="16">
        <f>31818+(31818*10%)</f>
        <v>34999.800000000003</v>
      </c>
      <c r="K662" s="74" t="s">
        <v>40</v>
      </c>
      <c r="L662" s="78"/>
      <c r="M662" s="78"/>
      <c r="N662" s="76"/>
      <c r="O662" s="77" t="s">
        <v>40</v>
      </c>
      <c r="P662" s="73">
        <f t="shared" si="270"/>
        <v>0</v>
      </c>
      <c r="Q662" s="77" t="s">
        <v>40</v>
      </c>
      <c r="R662" s="16">
        <f t="shared" si="271"/>
        <v>0</v>
      </c>
      <c r="S662" s="16">
        <f t="shared" si="237"/>
        <v>0</v>
      </c>
    </row>
    <row r="663" spans="1:19" s="19" customFormat="1" x14ac:dyDescent="0.2">
      <c r="A663" s="18" t="s">
        <v>832</v>
      </c>
      <c r="B663" s="19" t="s">
        <v>260</v>
      </c>
      <c r="C663" s="20"/>
      <c r="D663" s="21" t="s">
        <v>40</v>
      </c>
      <c r="E663" s="26">
        <v>22</v>
      </c>
      <c r="F663" s="22">
        <v>1</v>
      </c>
      <c r="G663" s="23" t="s">
        <v>20</v>
      </c>
      <c r="H663" s="22">
        <v>144</v>
      </c>
      <c r="I663" s="23" t="s">
        <v>40</v>
      </c>
      <c r="J663" s="24">
        <v>18250</v>
      </c>
      <c r="K663" s="21" t="s">
        <v>40</v>
      </c>
      <c r="L663" s="25"/>
      <c r="M663" s="25"/>
      <c r="N663" s="22"/>
      <c r="O663" s="23" t="s">
        <v>40</v>
      </c>
      <c r="P663" s="20">
        <f t="shared" ref="P663" si="272">(C663+(E663*F663*H663))-N663</f>
        <v>3168</v>
      </c>
      <c r="Q663" s="23" t="s">
        <v>40</v>
      </c>
      <c r="R663" s="24">
        <f t="shared" ref="R663" si="273">P663*(J663-(J663*L663)-((J663-(J663*L663))*M663))</f>
        <v>57816000</v>
      </c>
      <c r="S663" s="24">
        <f t="shared" ref="S663" si="274">R663/1.11</f>
        <v>52086486.48648648</v>
      </c>
    </row>
    <row r="664" spans="1:19" s="19" customFormat="1" x14ac:dyDescent="0.2">
      <c r="A664" s="18" t="s">
        <v>832</v>
      </c>
      <c r="B664" s="19" t="s">
        <v>260</v>
      </c>
      <c r="C664" s="20">
        <f>115+69+60+144</f>
        <v>388</v>
      </c>
      <c r="D664" s="21" t="s">
        <v>40</v>
      </c>
      <c r="E664" s="26"/>
      <c r="F664" s="22">
        <v>1</v>
      </c>
      <c r="G664" s="23" t="s">
        <v>20</v>
      </c>
      <c r="H664" s="22">
        <v>144</v>
      </c>
      <c r="I664" s="23" t="s">
        <v>40</v>
      </c>
      <c r="J664" s="24">
        <v>16175</v>
      </c>
      <c r="K664" s="21" t="s">
        <v>40</v>
      </c>
      <c r="L664" s="25"/>
      <c r="M664" s="25"/>
      <c r="N664" s="22"/>
      <c r="O664" s="23" t="s">
        <v>40</v>
      </c>
      <c r="P664" s="20">
        <f>(C664+(E664*F664*H664))-N664</f>
        <v>388</v>
      </c>
      <c r="Q664" s="23" t="s">
        <v>40</v>
      </c>
      <c r="R664" s="24">
        <f>P664*(J664-(J664*L664)-((J664-(J664*L664))*M664))</f>
        <v>6275900</v>
      </c>
      <c r="S664" s="24">
        <f>R664/1.11</f>
        <v>5653963.9639639631</v>
      </c>
    </row>
    <row r="665" spans="1:19" s="19" customFormat="1" x14ac:dyDescent="0.2">
      <c r="A665" s="18" t="s">
        <v>832</v>
      </c>
      <c r="B665" s="19" t="s">
        <v>260</v>
      </c>
      <c r="C665" s="20"/>
      <c r="D665" s="21" t="s">
        <v>40</v>
      </c>
      <c r="E665" s="26">
        <v>1</v>
      </c>
      <c r="F665" s="22">
        <v>1</v>
      </c>
      <c r="G665" s="23" t="s">
        <v>20</v>
      </c>
      <c r="H665" s="22">
        <v>144</v>
      </c>
      <c r="I665" s="23" t="s">
        <v>40</v>
      </c>
      <c r="J665" s="24">
        <v>0</v>
      </c>
      <c r="K665" s="21" t="s">
        <v>40</v>
      </c>
      <c r="L665" s="25"/>
      <c r="M665" s="25"/>
      <c r="N665" s="22"/>
      <c r="O665" s="23" t="s">
        <v>40</v>
      </c>
      <c r="P665" s="20">
        <f>(C665+(E665*F665*H665))-N665</f>
        <v>144</v>
      </c>
      <c r="Q665" s="23" t="s">
        <v>40</v>
      </c>
      <c r="R665" s="24">
        <f>P665*(J665-(J665*L665)-((J665-(J665*L665))*M665))</f>
        <v>0</v>
      </c>
      <c r="S665" s="24">
        <f>R665/1.11</f>
        <v>0</v>
      </c>
    </row>
    <row r="666" spans="1:19" s="19" customFormat="1" x14ac:dyDescent="0.2">
      <c r="A666" s="18" t="s">
        <v>885</v>
      </c>
      <c r="B666" s="19" t="s">
        <v>260</v>
      </c>
      <c r="C666" s="20"/>
      <c r="D666" s="21" t="s">
        <v>40</v>
      </c>
      <c r="E666" s="26">
        <v>1</v>
      </c>
      <c r="F666" s="22">
        <v>1</v>
      </c>
      <c r="G666" s="23" t="s">
        <v>20</v>
      </c>
      <c r="H666" s="22">
        <v>72</v>
      </c>
      <c r="I666" s="23" t="s">
        <v>40</v>
      </c>
      <c r="J666" s="24">
        <v>18250</v>
      </c>
      <c r="K666" s="21" t="s">
        <v>40</v>
      </c>
      <c r="L666" s="25"/>
      <c r="M666" s="25"/>
      <c r="N666" s="22"/>
      <c r="O666" s="23" t="s">
        <v>40</v>
      </c>
      <c r="P666" s="20">
        <f>(C666+(E666*F666*H666))-N666</f>
        <v>72</v>
      </c>
      <c r="Q666" s="23" t="s">
        <v>40</v>
      </c>
      <c r="R666" s="24">
        <f>P666*(J666-(J666*L666)-((J666-(J666*L666))*M666))</f>
        <v>1314000</v>
      </c>
      <c r="S666" s="24">
        <f>R666/1.11</f>
        <v>1183783.7837837837</v>
      </c>
    </row>
    <row r="667" spans="1:19" s="19" customFormat="1" x14ac:dyDescent="0.2">
      <c r="A667" s="18" t="s">
        <v>885</v>
      </c>
      <c r="B667" s="19" t="s">
        <v>260</v>
      </c>
      <c r="C667" s="20"/>
      <c r="D667" s="21" t="s">
        <v>40</v>
      </c>
      <c r="E667" s="26">
        <v>1</v>
      </c>
      <c r="F667" s="22">
        <v>1</v>
      </c>
      <c r="G667" s="23" t="s">
        <v>20</v>
      </c>
      <c r="H667" s="22">
        <v>72</v>
      </c>
      <c r="I667" s="23" t="s">
        <v>40</v>
      </c>
      <c r="J667" s="24">
        <v>0</v>
      </c>
      <c r="K667" s="21" t="s">
        <v>40</v>
      </c>
      <c r="L667" s="25"/>
      <c r="M667" s="25"/>
      <c r="N667" s="22"/>
      <c r="O667" s="23" t="s">
        <v>40</v>
      </c>
      <c r="P667" s="20">
        <f t="shared" ref="P667" si="275">(C667+(E667*F667*H667))-N667</f>
        <v>72</v>
      </c>
      <c r="Q667" s="23" t="s">
        <v>40</v>
      </c>
      <c r="R667" s="24">
        <f t="shared" ref="R667" si="276">P667*(J667-(J667*L667)-((J667-(J667*L667))*M667))</f>
        <v>0</v>
      </c>
      <c r="S667" s="24">
        <f t="shared" ref="S667" si="277">R667/1.11</f>
        <v>0</v>
      </c>
    </row>
    <row r="668" spans="1:19" s="19" customFormat="1" x14ac:dyDescent="0.2">
      <c r="A668" s="18" t="s">
        <v>817</v>
      </c>
      <c r="B668" s="19" t="s">
        <v>260</v>
      </c>
      <c r="C668" s="20"/>
      <c r="D668" s="21" t="s">
        <v>40</v>
      </c>
      <c r="E668" s="26">
        <v>1</v>
      </c>
      <c r="F668" s="22">
        <v>1</v>
      </c>
      <c r="G668" s="23" t="s">
        <v>20</v>
      </c>
      <c r="H668" s="22">
        <v>120</v>
      </c>
      <c r="I668" s="23" t="s">
        <v>40</v>
      </c>
      <c r="J668" s="24">
        <v>18250</v>
      </c>
      <c r="K668" s="21" t="s">
        <v>40</v>
      </c>
      <c r="L668" s="25"/>
      <c r="M668" s="25"/>
      <c r="N668" s="22"/>
      <c r="O668" s="23" t="s">
        <v>40</v>
      </c>
      <c r="P668" s="20">
        <f t="shared" si="270"/>
        <v>120</v>
      </c>
      <c r="Q668" s="23" t="s">
        <v>40</v>
      </c>
      <c r="R668" s="24">
        <f t="shared" si="271"/>
        <v>2190000</v>
      </c>
      <c r="S668" s="24">
        <f t="shared" si="237"/>
        <v>1972972.9729729728</v>
      </c>
    </row>
    <row r="669" spans="1:19" s="19" customFormat="1" x14ac:dyDescent="0.2">
      <c r="A669" s="18" t="s">
        <v>818</v>
      </c>
      <c r="B669" s="19" t="s">
        <v>260</v>
      </c>
      <c r="C669" s="20"/>
      <c r="D669" s="21" t="s">
        <v>40</v>
      </c>
      <c r="E669" s="26">
        <v>1</v>
      </c>
      <c r="F669" s="22">
        <v>1</v>
      </c>
      <c r="G669" s="23" t="s">
        <v>20</v>
      </c>
      <c r="H669" s="22">
        <v>120</v>
      </c>
      <c r="I669" s="23" t="s">
        <v>40</v>
      </c>
      <c r="J669" s="24">
        <v>18250</v>
      </c>
      <c r="K669" s="21" t="s">
        <v>40</v>
      </c>
      <c r="L669" s="25"/>
      <c r="M669" s="25"/>
      <c r="N669" s="22"/>
      <c r="O669" s="23" t="s">
        <v>40</v>
      </c>
      <c r="P669" s="20">
        <f t="shared" ref="P669:P671" si="278">(C669+(E669*F669*H669))-N669</f>
        <v>120</v>
      </c>
      <c r="Q669" s="23" t="s">
        <v>40</v>
      </c>
      <c r="R669" s="24">
        <f t="shared" ref="R669:R671" si="279">P669*(J669-(J669*L669)-((J669-(J669*L669))*M669))</f>
        <v>2190000</v>
      </c>
      <c r="S669" s="24">
        <f t="shared" ref="S669:S671" si="280">R669/1.11</f>
        <v>1972972.9729729728</v>
      </c>
    </row>
    <row r="670" spans="1:19" s="19" customFormat="1" x14ac:dyDescent="0.2">
      <c r="A670" s="18" t="s">
        <v>819</v>
      </c>
      <c r="B670" s="19" t="s">
        <v>260</v>
      </c>
      <c r="C670" s="20"/>
      <c r="D670" s="21" t="s">
        <v>40</v>
      </c>
      <c r="E670" s="26">
        <v>1</v>
      </c>
      <c r="F670" s="22">
        <v>1</v>
      </c>
      <c r="G670" s="23" t="s">
        <v>20</v>
      </c>
      <c r="H670" s="22">
        <v>120</v>
      </c>
      <c r="I670" s="23" t="s">
        <v>40</v>
      </c>
      <c r="J670" s="24">
        <v>18250</v>
      </c>
      <c r="K670" s="21" t="s">
        <v>40</v>
      </c>
      <c r="L670" s="25"/>
      <c r="M670" s="25"/>
      <c r="N670" s="22"/>
      <c r="O670" s="23" t="s">
        <v>40</v>
      </c>
      <c r="P670" s="20">
        <f t="shared" si="278"/>
        <v>120</v>
      </c>
      <c r="Q670" s="23" t="s">
        <v>40</v>
      </c>
      <c r="R670" s="24">
        <f t="shared" si="279"/>
        <v>2190000</v>
      </c>
      <c r="S670" s="24">
        <f t="shared" si="280"/>
        <v>1972972.9729729728</v>
      </c>
    </row>
    <row r="671" spans="1:19" s="19" customFormat="1" x14ac:dyDescent="0.2">
      <c r="A671" s="18" t="s">
        <v>820</v>
      </c>
      <c r="B671" s="19" t="s">
        <v>260</v>
      </c>
      <c r="C671" s="20"/>
      <c r="D671" s="21" t="s">
        <v>40</v>
      </c>
      <c r="E671" s="26">
        <v>1</v>
      </c>
      <c r="F671" s="22">
        <v>1</v>
      </c>
      <c r="G671" s="23" t="s">
        <v>20</v>
      </c>
      <c r="H671" s="22">
        <v>120</v>
      </c>
      <c r="I671" s="23" t="s">
        <v>40</v>
      </c>
      <c r="J671" s="24">
        <v>18250</v>
      </c>
      <c r="K671" s="21" t="s">
        <v>40</v>
      </c>
      <c r="L671" s="25"/>
      <c r="M671" s="25"/>
      <c r="N671" s="22"/>
      <c r="O671" s="23" t="s">
        <v>40</v>
      </c>
      <c r="P671" s="20">
        <f t="shared" si="278"/>
        <v>120</v>
      </c>
      <c r="Q671" s="23" t="s">
        <v>40</v>
      </c>
      <c r="R671" s="24">
        <f t="shared" si="279"/>
        <v>2190000</v>
      </c>
      <c r="S671" s="24">
        <f t="shared" si="280"/>
        <v>1972972.9729729728</v>
      </c>
    </row>
    <row r="672" spans="1:19" s="19" customFormat="1" x14ac:dyDescent="0.2">
      <c r="A672" s="18" t="s">
        <v>888</v>
      </c>
      <c r="B672" s="19" t="s">
        <v>260</v>
      </c>
      <c r="C672" s="20"/>
      <c r="D672" s="21" t="s">
        <v>40</v>
      </c>
      <c r="E672" s="26">
        <v>1</v>
      </c>
      <c r="F672" s="22">
        <v>1</v>
      </c>
      <c r="G672" s="23" t="s">
        <v>20</v>
      </c>
      <c r="H672" s="22">
        <v>120</v>
      </c>
      <c r="I672" s="23" t="s">
        <v>40</v>
      </c>
      <c r="J672" s="24">
        <v>18250</v>
      </c>
      <c r="K672" s="21" t="s">
        <v>40</v>
      </c>
      <c r="L672" s="25"/>
      <c r="M672" s="25"/>
      <c r="N672" s="22"/>
      <c r="O672" s="23" t="s">
        <v>40</v>
      </c>
      <c r="P672" s="20">
        <f t="shared" ref="P672" si="281">(C672+(E672*F672*H672))-N672</f>
        <v>120</v>
      </c>
      <c r="Q672" s="23" t="s">
        <v>40</v>
      </c>
      <c r="R672" s="24">
        <f t="shared" ref="R672" si="282">P672*(J672-(J672*L672)-((J672-(J672*L672))*M672))</f>
        <v>2190000</v>
      </c>
      <c r="S672" s="24">
        <f t="shared" ref="S672" si="283">R672/1.11</f>
        <v>1972972.9729729728</v>
      </c>
    </row>
    <row r="673" spans="1:19" s="19" customFormat="1" x14ac:dyDescent="0.2">
      <c r="A673" s="18" t="s">
        <v>889</v>
      </c>
      <c r="B673" s="19" t="s">
        <v>260</v>
      </c>
      <c r="C673" s="20"/>
      <c r="D673" s="21" t="s">
        <v>40</v>
      </c>
      <c r="E673" s="26">
        <v>1</v>
      </c>
      <c r="F673" s="22">
        <v>1</v>
      </c>
      <c r="G673" s="23" t="s">
        <v>20</v>
      </c>
      <c r="H673" s="22">
        <v>120</v>
      </c>
      <c r="I673" s="23" t="s">
        <v>40</v>
      </c>
      <c r="J673" s="24">
        <v>18250</v>
      </c>
      <c r="K673" s="21" t="s">
        <v>40</v>
      </c>
      <c r="L673" s="25"/>
      <c r="M673" s="25"/>
      <c r="N673" s="22"/>
      <c r="O673" s="23" t="s">
        <v>40</v>
      </c>
      <c r="P673" s="20">
        <f t="shared" ref="P673:P678" si="284">(C673+(E673*F673*H673))-N673</f>
        <v>120</v>
      </c>
      <c r="Q673" s="23" t="s">
        <v>40</v>
      </c>
      <c r="R673" s="24">
        <f t="shared" ref="R673:R678" si="285">P673*(J673-(J673*L673)-((J673-(J673*L673))*M673))</f>
        <v>2190000</v>
      </c>
      <c r="S673" s="24">
        <f t="shared" ref="S673:S678" si="286">R673/1.11</f>
        <v>1972972.9729729728</v>
      </c>
    </row>
    <row r="674" spans="1:19" s="19" customFormat="1" x14ac:dyDescent="0.2">
      <c r="A674" s="18" t="s">
        <v>890</v>
      </c>
      <c r="B674" s="19" t="s">
        <v>260</v>
      </c>
      <c r="C674" s="20"/>
      <c r="D674" s="21" t="s">
        <v>40</v>
      </c>
      <c r="E674" s="26">
        <v>2</v>
      </c>
      <c r="F674" s="22">
        <v>1</v>
      </c>
      <c r="G674" s="23" t="s">
        <v>20</v>
      </c>
      <c r="H674" s="22">
        <v>120</v>
      </c>
      <c r="I674" s="23" t="s">
        <v>40</v>
      </c>
      <c r="J674" s="24">
        <v>18250</v>
      </c>
      <c r="K674" s="21" t="s">
        <v>40</v>
      </c>
      <c r="L674" s="25"/>
      <c r="M674" s="25"/>
      <c r="N674" s="22"/>
      <c r="O674" s="23" t="s">
        <v>40</v>
      </c>
      <c r="P674" s="20">
        <f t="shared" si="284"/>
        <v>240</v>
      </c>
      <c r="Q674" s="23" t="s">
        <v>40</v>
      </c>
      <c r="R674" s="24">
        <f t="shared" si="285"/>
        <v>4380000</v>
      </c>
      <c r="S674" s="24">
        <f t="shared" si="286"/>
        <v>3945945.9459459456</v>
      </c>
    </row>
    <row r="675" spans="1:19" s="19" customFormat="1" x14ac:dyDescent="0.2">
      <c r="A675" s="18" t="s">
        <v>891</v>
      </c>
      <c r="B675" s="19" t="s">
        <v>260</v>
      </c>
      <c r="C675" s="20"/>
      <c r="D675" s="21" t="s">
        <v>40</v>
      </c>
      <c r="E675" s="26">
        <v>2</v>
      </c>
      <c r="F675" s="22">
        <v>1</v>
      </c>
      <c r="G675" s="23" t="s">
        <v>20</v>
      </c>
      <c r="H675" s="22">
        <v>120</v>
      </c>
      <c r="I675" s="23" t="s">
        <v>40</v>
      </c>
      <c r="J675" s="24">
        <v>18250</v>
      </c>
      <c r="K675" s="21" t="s">
        <v>40</v>
      </c>
      <c r="L675" s="25"/>
      <c r="M675" s="25"/>
      <c r="N675" s="22"/>
      <c r="O675" s="23" t="s">
        <v>40</v>
      </c>
      <c r="P675" s="20">
        <f t="shared" si="284"/>
        <v>240</v>
      </c>
      <c r="Q675" s="23" t="s">
        <v>40</v>
      </c>
      <c r="R675" s="24">
        <f t="shared" si="285"/>
        <v>4380000</v>
      </c>
      <c r="S675" s="24">
        <f t="shared" si="286"/>
        <v>3945945.9459459456</v>
      </c>
    </row>
    <row r="676" spans="1:19" s="19" customFormat="1" x14ac:dyDescent="0.2">
      <c r="A676" s="18" t="s">
        <v>892</v>
      </c>
      <c r="B676" s="19" t="s">
        <v>260</v>
      </c>
      <c r="C676" s="20"/>
      <c r="D676" s="21" t="s">
        <v>40</v>
      </c>
      <c r="E676" s="26">
        <v>2</v>
      </c>
      <c r="F676" s="22">
        <v>1</v>
      </c>
      <c r="G676" s="23" t="s">
        <v>20</v>
      </c>
      <c r="H676" s="22">
        <v>120</v>
      </c>
      <c r="I676" s="23" t="s">
        <v>40</v>
      </c>
      <c r="J676" s="24">
        <v>18250</v>
      </c>
      <c r="K676" s="21" t="s">
        <v>40</v>
      </c>
      <c r="L676" s="25"/>
      <c r="M676" s="25"/>
      <c r="N676" s="22"/>
      <c r="O676" s="23" t="s">
        <v>40</v>
      </c>
      <c r="P676" s="20">
        <f t="shared" si="284"/>
        <v>240</v>
      </c>
      <c r="Q676" s="23" t="s">
        <v>40</v>
      </c>
      <c r="R676" s="24">
        <f t="shared" si="285"/>
        <v>4380000</v>
      </c>
      <c r="S676" s="24">
        <f t="shared" si="286"/>
        <v>3945945.9459459456</v>
      </c>
    </row>
    <row r="677" spans="1:19" s="19" customFormat="1" x14ac:dyDescent="0.2">
      <c r="A677" s="18" t="s">
        <v>893</v>
      </c>
      <c r="B677" s="19" t="s">
        <v>260</v>
      </c>
      <c r="C677" s="20"/>
      <c r="D677" s="21" t="s">
        <v>40</v>
      </c>
      <c r="E677" s="26">
        <v>1</v>
      </c>
      <c r="F677" s="22">
        <v>1</v>
      </c>
      <c r="G677" s="23" t="s">
        <v>20</v>
      </c>
      <c r="H677" s="22">
        <v>120</v>
      </c>
      <c r="I677" s="23" t="s">
        <v>40</v>
      </c>
      <c r="J677" s="24">
        <v>18250</v>
      </c>
      <c r="K677" s="21" t="s">
        <v>40</v>
      </c>
      <c r="L677" s="25"/>
      <c r="M677" s="25"/>
      <c r="N677" s="22"/>
      <c r="O677" s="23" t="s">
        <v>40</v>
      </c>
      <c r="P677" s="20">
        <f t="shared" si="284"/>
        <v>120</v>
      </c>
      <c r="Q677" s="23" t="s">
        <v>40</v>
      </c>
      <c r="R677" s="24">
        <f t="shared" si="285"/>
        <v>2190000</v>
      </c>
      <c r="S677" s="24">
        <f t="shared" si="286"/>
        <v>1972972.9729729728</v>
      </c>
    </row>
    <row r="678" spans="1:19" s="19" customFormat="1" x14ac:dyDescent="0.2">
      <c r="A678" s="18" t="s">
        <v>894</v>
      </c>
      <c r="B678" s="19" t="s">
        <v>260</v>
      </c>
      <c r="C678" s="20"/>
      <c r="D678" s="21" t="s">
        <v>40</v>
      </c>
      <c r="E678" s="26">
        <v>2</v>
      </c>
      <c r="F678" s="22">
        <v>1</v>
      </c>
      <c r="G678" s="23" t="s">
        <v>20</v>
      </c>
      <c r="H678" s="22">
        <v>120</v>
      </c>
      <c r="I678" s="23" t="s">
        <v>40</v>
      </c>
      <c r="J678" s="24">
        <v>18250</v>
      </c>
      <c r="K678" s="21" t="s">
        <v>40</v>
      </c>
      <c r="L678" s="25"/>
      <c r="M678" s="25"/>
      <c r="N678" s="22"/>
      <c r="O678" s="23" t="s">
        <v>40</v>
      </c>
      <c r="P678" s="20">
        <f t="shared" si="284"/>
        <v>240</v>
      </c>
      <c r="Q678" s="23" t="s">
        <v>40</v>
      </c>
      <c r="R678" s="24">
        <f t="shared" si="285"/>
        <v>4380000</v>
      </c>
      <c r="S678" s="24">
        <f t="shared" si="286"/>
        <v>3945945.9459459456</v>
      </c>
    </row>
    <row r="679" spans="1:19" s="19" customFormat="1" x14ac:dyDescent="0.2">
      <c r="A679" s="18" t="s">
        <v>895</v>
      </c>
      <c r="B679" s="19" t="s">
        <v>260</v>
      </c>
      <c r="C679" s="20"/>
      <c r="D679" s="21" t="s">
        <v>40</v>
      </c>
      <c r="E679" s="26">
        <v>1</v>
      </c>
      <c r="F679" s="22">
        <v>1</v>
      </c>
      <c r="G679" s="23" t="s">
        <v>20</v>
      </c>
      <c r="H679" s="22">
        <v>120</v>
      </c>
      <c r="I679" s="23" t="s">
        <v>40</v>
      </c>
      <c r="J679" s="24">
        <v>18250</v>
      </c>
      <c r="K679" s="21" t="s">
        <v>40</v>
      </c>
      <c r="L679" s="25"/>
      <c r="M679" s="25"/>
      <c r="N679" s="22"/>
      <c r="O679" s="23" t="s">
        <v>40</v>
      </c>
      <c r="P679" s="20">
        <f t="shared" ref="P679" si="287">(C679+(E679*F679*H679))-N679</f>
        <v>120</v>
      </c>
      <c r="Q679" s="23" t="s">
        <v>40</v>
      </c>
      <c r="R679" s="24">
        <f t="shared" ref="R679" si="288">P679*(J679-(J679*L679)-((J679-(J679*L679))*M679))</f>
        <v>2190000</v>
      </c>
      <c r="S679" s="24">
        <f t="shared" ref="S679" si="289">R679/1.11</f>
        <v>1972972.9729729728</v>
      </c>
    </row>
    <row r="680" spans="1:19" s="19" customFormat="1" x14ac:dyDescent="0.2">
      <c r="A680" s="18" t="s">
        <v>896</v>
      </c>
      <c r="B680" s="19" t="s">
        <v>260</v>
      </c>
      <c r="C680" s="20"/>
      <c r="D680" s="21" t="s">
        <v>40</v>
      </c>
      <c r="E680" s="26">
        <v>1</v>
      </c>
      <c r="F680" s="22">
        <v>1</v>
      </c>
      <c r="G680" s="23" t="s">
        <v>20</v>
      </c>
      <c r="H680" s="22">
        <v>60</v>
      </c>
      <c r="I680" s="23" t="s">
        <v>40</v>
      </c>
      <c r="J680" s="24">
        <v>18250</v>
      </c>
      <c r="K680" s="21" t="s">
        <v>40</v>
      </c>
      <c r="L680" s="25"/>
      <c r="M680" s="25"/>
      <c r="N680" s="22"/>
      <c r="O680" s="23" t="s">
        <v>40</v>
      </c>
      <c r="P680" s="20">
        <f t="shared" ref="P680" si="290">(C680+(E680*F680*H680))-N680</f>
        <v>60</v>
      </c>
      <c r="Q680" s="23" t="s">
        <v>40</v>
      </c>
      <c r="R680" s="24">
        <f t="shared" ref="R680" si="291">P680*(J680-(J680*L680)-((J680-(J680*L680))*M680))</f>
        <v>1095000</v>
      </c>
      <c r="S680" s="24">
        <f t="shared" ref="S680" si="292">R680/1.11</f>
        <v>986486.48648648639</v>
      </c>
    </row>
    <row r="681" spans="1:19" s="19" customFormat="1" x14ac:dyDescent="0.2">
      <c r="A681" s="18" t="s">
        <v>896</v>
      </c>
      <c r="B681" s="19" t="s">
        <v>260</v>
      </c>
      <c r="C681" s="20"/>
      <c r="D681" s="21" t="s">
        <v>40</v>
      </c>
      <c r="E681" s="26">
        <v>1</v>
      </c>
      <c r="F681" s="22">
        <v>1</v>
      </c>
      <c r="G681" s="23" t="s">
        <v>20</v>
      </c>
      <c r="H681" s="22">
        <v>60</v>
      </c>
      <c r="I681" s="23" t="s">
        <v>40</v>
      </c>
      <c r="J681" s="24">
        <v>0</v>
      </c>
      <c r="K681" s="21" t="s">
        <v>40</v>
      </c>
      <c r="L681" s="25"/>
      <c r="M681" s="25"/>
      <c r="N681" s="22"/>
      <c r="O681" s="23" t="s">
        <v>40</v>
      </c>
      <c r="P681" s="20">
        <v>0</v>
      </c>
      <c r="Q681" s="23" t="s">
        <v>40</v>
      </c>
      <c r="R681" s="24">
        <v>0</v>
      </c>
      <c r="S681" s="24">
        <v>0</v>
      </c>
    </row>
    <row r="682" spans="1:19" s="19" customFormat="1" x14ac:dyDescent="0.2">
      <c r="A682" s="150" t="s">
        <v>934</v>
      </c>
      <c r="B682" s="19" t="s">
        <v>260</v>
      </c>
      <c r="C682" s="20"/>
      <c r="D682" s="21" t="s">
        <v>40</v>
      </c>
      <c r="E682" s="26">
        <v>5</v>
      </c>
      <c r="F682" s="22">
        <v>1</v>
      </c>
      <c r="G682" s="23" t="s">
        <v>20</v>
      </c>
      <c r="H682" s="22">
        <v>120</v>
      </c>
      <c r="I682" s="23" t="s">
        <v>935</v>
      </c>
      <c r="J682" s="24">
        <v>16750</v>
      </c>
      <c r="K682" s="21" t="s">
        <v>40</v>
      </c>
      <c r="L682" s="25"/>
      <c r="M682" s="25"/>
      <c r="N682" s="22"/>
      <c r="O682" s="23" t="s">
        <v>40</v>
      </c>
      <c r="P682" s="20">
        <f t="shared" ref="P682" si="293">(C682+(E682*F682*H682))-N682</f>
        <v>600</v>
      </c>
      <c r="Q682" s="23" t="s">
        <v>40</v>
      </c>
      <c r="R682" s="24">
        <f t="shared" ref="R682" si="294">P682*(J682-(J682*L682)-((J682-(J682*L682))*M682))</f>
        <v>10050000</v>
      </c>
      <c r="S682" s="24">
        <f t="shared" ref="S682" si="295">R682/1.11</f>
        <v>9054054.0540540535</v>
      </c>
    </row>
    <row r="684" spans="1:19" x14ac:dyDescent="0.2">
      <c r="A684" s="17" t="s">
        <v>704</v>
      </c>
      <c r="B684" s="2" t="s">
        <v>690</v>
      </c>
      <c r="C684" s="3">
        <v>43</v>
      </c>
      <c r="D684" s="4" t="s">
        <v>40</v>
      </c>
      <c r="F684" s="6">
        <v>1</v>
      </c>
      <c r="G684" s="7" t="s">
        <v>20</v>
      </c>
      <c r="H684" s="6">
        <v>96</v>
      </c>
      <c r="I684" s="7" t="s">
        <v>40</v>
      </c>
      <c r="J684" s="8">
        <v>26500</v>
      </c>
      <c r="K684" s="4" t="s">
        <v>40</v>
      </c>
      <c r="O684" s="7" t="s">
        <v>40</v>
      </c>
      <c r="P684" s="3">
        <f>(C684+(E684*F684*H684))-N684</f>
        <v>43</v>
      </c>
      <c r="Q684" s="7" t="s">
        <v>40</v>
      </c>
      <c r="R684" s="8">
        <f>P684*(J684-(J684*L684)-((J684-(J684*L684))*M684))</f>
        <v>1139500</v>
      </c>
      <c r="S684" s="8">
        <f t="shared" si="237"/>
        <v>1026576.5765765765</v>
      </c>
    </row>
    <row r="686" spans="1:19" x14ac:dyDescent="0.2">
      <c r="A686" s="17" t="s">
        <v>743</v>
      </c>
      <c r="B686" s="2" t="s">
        <v>171</v>
      </c>
      <c r="C686" s="3">
        <v>249</v>
      </c>
      <c r="D686" s="4" t="s">
        <v>40</v>
      </c>
      <c r="F686" s="6">
        <v>1</v>
      </c>
      <c r="G686" s="7" t="s">
        <v>20</v>
      </c>
      <c r="H686" s="6">
        <v>144</v>
      </c>
      <c r="I686" s="7" t="s">
        <v>40</v>
      </c>
      <c r="J686" s="8">
        <v>19000</v>
      </c>
      <c r="K686" s="4" t="s">
        <v>40</v>
      </c>
      <c r="L686" s="9">
        <v>0.02</v>
      </c>
      <c r="O686" s="7" t="s">
        <v>40</v>
      </c>
      <c r="P686" s="3">
        <f>(C686+(E686*F686*H686))-N686</f>
        <v>249</v>
      </c>
      <c r="Q686" s="7" t="s">
        <v>40</v>
      </c>
      <c r="R686" s="8">
        <f>P686*(J686-(J686*L686)-((J686-(J686*L686))*M686))</f>
        <v>4636380</v>
      </c>
      <c r="S686" s="8">
        <f t="shared" ref="S686" si="296">R686/1.11</f>
        <v>4176918.9189189184</v>
      </c>
    </row>
    <row r="687" spans="1:19" x14ac:dyDescent="0.2">
      <c r="A687" s="17" t="s">
        <v>405</v>
      </c>
      <c r="B687" s="2" t="s">
        <v>171</v>
      </c>
      <c r="C687" s="3">
        <v>360</v>
      </c>
      <c r="D687" s="4" t="s">
        <v>40</v>
      </c>
      <c r="F687" s="6">
        <v>1</v>
      </c>
      <c r="G687" s="7" t="s">
        <v>20</v>
      </c>
      <c r="H687" s="6">
        <v>192</v>
      </c>
      <c r="I687" s="7" t="s">
        <v>40</v>
      </c>
      <c r="J687" s="8">
        <v>12750</v>
      </c>
      <c r="K687" s="4" t="s">
        <v>40</v>
      </c>
      <c r="L687" s="9">
        <v>0.05</v>
      </c>
      <c r="O687" s="7" t="s">
        <v>40</v>
      </c>
      <c r="P687" s="3">
        <f>(C687+(E687*F687*H687))-N687</f>
        <v>360</v>
      </c>
      <c r="Q687" s="7" t="s">
        <v>40</v>
      </c>
      <c r="R687" s="8">
        <f>P687*(J687-(J687*L687)-((J687-(J687*L687))*M687))</f>
        <v>4360500</v>
      </c>
      <c r="S687" s="8">
        <f t="shared" si="237"/>
        <v>3928378.3783783782</v>
      </c>
    </row>
    <row r="689" spans="1:19" x14ac:dyDescent="0.2">
      <c r="A689" s="15" t="s">
        <v>406</v>
      </c>
    </row>
    <row r="690" spans="1:19" s="81" customFormat="1" x14ac:dyDescent="0.2">
      <c r="A690" s="118" t="s">
        <v>407</v>
      </c>
      <c r="B690" s="81" t="s">
        <v>18</v>
      </c>
      <c r="C690" s="79"/>
      <c r="D690" s="82" t="s">
        <v>151</v>
      </c>
      <c r="E690" s="83"/>
      <c r="F690" s="84">
        <v>8</v>
      </c>
      <c r="G690" s="85" t="s">
        <v>33</v>
      </c>
      <c r="H690" s="84">
        <v>24</v>
      </c>
      <c r="I690" s="85" t="s">
        <v>151</v>
      </c>
      <c r="J690" s="86">
        <v>16500</v>
      </c>
      <c r="K690" s="82" t="s">
        <v>151</v>
      </c>
      <c r="L690" s="87">
        <v>0.125</v>
      </c>
      <c r="M690" s="87">
        <v>0.05</v>
      </c>
      <c r="N690" s="84"/>
      <c r="O690" s="85" t="s">
        <v>151</v>
      </c>
      <c r="P690" s="79">
        <f t="shared" ref="P690:P695" si="297">(C690+(E690*F690*H690))-N690</f>
        <v>0</v>
      </c>
      <c r="Q690" s="85" t="s">
        <v>151</v>
      </c>
      <c r="R690" s="86">
        <f t="shared" ref="R690:R695" si="298">P690*(J690-(J690*L690)-((J690-(J690*L690))*M690))</f>
        <v>0</v>
      </c>
      <c r="S690" s="86">
        <f t="shared" si="237"/>
        <v>0</v>
      </c>
    </row>
    <row r="691" spans="1:19" s="72" customFormat="1" x14ac:dyDescent="0.2">
      <c r="A691" s="118" t="s">
        <v>799</v>
      </c>
      <c r="B691" s="72" t="s">
        <v>18</v>
      </c>
      <c r="C691" s="73"/>
      <c r="D691" s="74" t="s">
        <v>151</v>
      </c>
      <c r="E691" s="75"/>
      <c r="F691" s="76">
        <v>12</v>
      </c>
      <c r="G691" s="77" t="s">
        <v>33</v>
      </c>
      <c r="H691" s="76">
        <v>24</v>
      </c>
      <c r="I691" s="77" t="s">
        <v>151</v>
      </c>
      <c r="J691" s="16">
        <v>14400</v>
      </c>
      <c r="K691" s="74" t="s">
        <v>151</v>
      </c>
      <c r="L691" s="78">
        <v>0.125</v>
      </c>
      <c r="M691" s="78">
        <v>0.05</v>
      </c>
      <c r="N691" s="76"/>
      <c r="O691" s="77" t="s">
        <v>151</v>
      </c>
      <c r="P691" s="73">
        <f t="shared" si="297"/>
        <v>0</v>
      </c>
      <c r="Q691" s="77" t="s">
        <v>151</v>
      </c>
      <c r="R691" s="16">
        <f t="shared" si="298"/>
        <v>0</v>
      </c>
      <c r="S691" s="16">
        <f t="shared" ref="S691:S798" si="299">R691/1.11</f>
        <v>0</v>
      </c>
    </row>
    <row r="692" spans="1:19" x14ac:dyDescent="0.2">
      <c r="A692" s="52" t="s">
        <v>408</v>
      </c>
      <c r="B692" s="2" t="s">
        <v>18</v>
      </c>
      <c r="C692" s="3">
        <v>7</v>
      </c>
      <c r="D692" s="4" t="s">
        <v>151</v>
      </c>
      <c r="F692" s="6">
        <v>8</v>
      </c>
      <c r="G692" s="7" t="s">
        <v>33</v>
      </c>
      <c r="H692" s="6">
        <v>30</v>
      </c>
      <c r="I692" s="7" t="s">
        <v>151</v>
      </c>
      <c r="K692" s="4" t="s">
        <v>151</v>
      </c>
      <c r="L692" s="9">
        <v>0.1</v>
      </c>
      <c r="M692" s="9">
        <v>0.05</v>
      </c>
      <c r="O692" s="7" t="s">
        <v>151</v>
      </c>
      <c r="P692" s="3">
        <f t="shared" si="297"/>
        <v>7</v>
      </c>
      <c r="Q692" s="7" t="s">
        <v>151</v>
      </c>
      <c r="R692" s="8">
        <f t="shared" si="298"/>
        <v>0</v>
      </c>
      <c r="S692" s="8">
        <f t="shared" si="299"/>
        <v>0</v>
      </c>
    </row>
    <row r="693" spans="1:19" s="72" customFormat="1" x14ac:dyDescent="0.2">
      <c r="A693" s="118" t="s">
        <v>409</v>
      </c>
      <c r="B693" s="72" t="s">
        <v>18</v>
      </c>
      <c r="C693" s="73"/>
      <c r="D693" s="74" t="s">
        <v>151</v>
      </c>
      <c r="E693" s="75"/>
      <c r="F693" s="76">
        <v>8</v>
      </c>
      <c r="G693" s="77" t="s">
        <v>33</v>
      </c>
      <c r="H693" s="76">
        <v>24</v>
      </c>
      <c r="I693" s="77" t="s">
        <v>151</v>
      </c>
      <c r="J693" s="16">
        <v>21000</v>
      </c>
      <c r="K693" s="74" t="s">
        <v>151</v>
      </c>
      <c r="L693" s="78">
        <v>0.125</v>
      </c>
      <c r="M693" s="78">
        <v>0.05</v>
      </c>
      <c r="N693" s="76"/>
      <c r="O693" s="77" t="s">
        <v>151</v>
      </c>
      <c r="P693" s="73">
        <f t="shared" si="297"/>
        <v>0</v>
      </c>
      <c r="Q693" s="77" t="s">
        <v>151</v>
      </c>
      <c r="R693" s="16">
        <f t="shared" si="298"/>
        <v>0</v>
      </c>
      <c r="S693" s="16">
        <f t="shared" si="299"/>
        <v>0</v>
      </c>
    </row>
    <row r="694" spans="1:19" s="88" customFormat="1" x14ac:dyDescent="0.2">
      <c r="A694" s="132" t="s">
        <v>410</v>
      </c>
      <c r="B694" s="88" t="s">
        <v>18</v>
      </c>
      <c r="C694" s="91"/>
      <c r="D694" s="92" t="s">
        <v>151</v>
      </c>
      <c r="E694" s="93">
        <v>5</v>
      </c>
      <c r="F694" s="94">
        <v>8</v>
      </c>
      <c r="G694" s="95" t="s">
        <v>33</v>
      </c>
      <c r="H694" s="94">
        <v>24</v>
      </c>
      <c r="I694" s="95" t="s">
        <v>151</v>
      </c>
      <c r="J694" s="96">
        <v>16800</v>
      </c>
      <c r="K694" s="92" t="s">
        <v>151</v>
      </c>
      <c r="L694" s="97">
        <v>0.125</v>
      </c>
      <c r="M694" s="97">
        <v>0.05</v>
      </c>
      <c r="N694" s="94"/>
      <c r="O694" s="95" t="s">
        <v>151</v>
      </c>
      <c r="P694" s="91">
        <f t="shared" si="297"/>
        <v>960</v>
      </c>
      <c r="Q694" s="95" t="s">
        <v>151</v>
      </c>
      <c r="R694" s="96">
        <f t="shared" si="298"/>
        <v>13406400</v>
      </c>
      <c r="S694" s="96">
        <f t="shared" si="299"/>
        <v>12077837.837837838</v>
      </c>
    </row>
    <row r="695" spans="1:19" s="72" customFormat="1" x14ac:dyDescent="0.2">
      <c r="A695" s="118" t="s">
        <v>411</v>
      </c>
      <c r="B695" s="72" t="s">
        <v>18</v>
      </c>
      <c r="C695" s="73"/>
      <c r="D695" s="74" t="s">
        <v>151</v>
      </c>
      <c r="E695" s="75"/>
      <c r="F695" s="76">
        <v>6</v>
      </c>
      <c r="G695" s="77" t="s">
        <v>33</v>
      </c>
      <c r="H695" s="76">
        <v>24</v>
      </c>
      <c r="I695" s="77" t="s">
        <v>151</v>
      </c>
      <c r="J695" s="16">
        <v>21000</v>
      </c>
      <c r="K695" s="74" t="s">
        <v>151</v>
      </c>
      <c r="L695" s="78">
        <v>0.125</v>
      </c>
      <c r="M695" s="78">
        <v>0.05</v>
      </c>
      <c r="N695" s="76"/>
      <c r="O695" s="77" t="s">
        <v>151</v>
      </c>
      <c r="P695" s="73">
        <f t="shared" si="297"/>
        <v>0</v>
      </c>
      <c r="Q695" s="77" t="s">
        <v>151</v>
      </c>
      <c r="R695" s="16">
        <f t="shared" si="298"/>
        <v>0</v>
      </c>
      <c r="S695" s="16">
        <f t="shared" si="299"/>
        <v>0</v>
      </c>
    </row>
    <row r="696" spans="1:19" s="72" customFormat="1" x14ac:dyDescent="0.2">
      <c r="A696" s="119"/>
      <c r="C696" s="73"/>
      <c r="D696" s="74"/>
      <c r="E696" s="75"/>
      <c r="F696" s="76"/>
      <c r="G696" s="77"/>
      <c r="H696" s="76"/>
      <c r="I696" s="77"/>
      <c r="J696" s="16"/>
      <c r="K696" s="74"/>
      <c r="L696" s="78"/>
      <c r="M696" s="78"/>
      <c r="N696" s="76"/>
      <c r="O696" s="77"/>
      <c r="P696" s="73"/>
      <c r="Q696" s="77"/>
      <c r="R696" s="16"/>
      <c r="S696" s="16"/>
    </row>
    <row r="697" spans="1:19" s="72" customFormat="1" x14ac:dyDescent="0.2">
      <c r="A697" s="71" t="s">
        <v>412</v>
      </c>
      <c r="B697" s="72" t="s">
        <v>25</v>
      </c>
      <c r="C697" s="73"/>
      <c r="D697" s="74" t="s">
        <v>151</v>
      </c>
      <c r="E697" s="75"/>
      <c r="F697" s="76">
        <v>8</v>
      </c>
      <c r="G697" s="77" t="s">
        <v>33</v>
      </c>
      <c r="H697" s="76">
        <v>30</v>
      </c>
      <c r="I697" s="77" t="s">
        <v>151</v>
      </c>
      <c r="J697" s="16">
        <f>4800000/8/30</f>
        <v>20000</v>
      </c>
      <c r="K697" s="74" t="s">
        <v>151</v>
      </c>
      <c r="L697" s="78"/>
      <c r="M697" s="78">
        <v>0.17</v>
      </c>
      <c r="N697" s="76"/>
      <c r="O697" s="77" t="s">
        <v>151</v>
      </c>
      <c r="P697" s="73">
        <f>(C697+(E697*F697*H697))-N697</f>
        <v>0</v>
      </c>
      <c r="Q697" s="77" t="s">
        <v>151</v>
      </c>
      <c r="R697" s="16">
        <f>P697*(J697-(J697*L697)-((J697-(J697*L697))*M697))</f>
        <v>0</v>
      </c>
      <c r="S697" s="16">
        <f t="shared" si="299"/>
        <v>0</v>
      </c>
    </row>
    <row r="698" spans="1:19" s="72" customFormat="1" x14ac:dyDescent="0.2">
      <c r="A698" s="71" t="s">
        <v>675</v>
      </c>
      <c r="B698" s="72" t="s">
        <v>25</v>
      </c>
      <c r="C698" s="73"/>
      <c r="D698" s="74" t="s">
        <v>151</v>
      </c>
      <c r="E698" s="75"/>
      <c r="F698" s="76">
        <v>6</v>
      </c>
      <c r="G698" s="77" t="s">
        <v>33</v>
      </c>
      <c r="H698" s="76">
        <v>30</v>
      </c>
      <c r="I698" s="77" t="s">
        <v>151</v>
      </c>
      <c r="J698" s="16">
        <f>2664000/6/30</f>
        <v>14800</v>
      </c>
      <c r="K698" s="74" t="s">
        <v>151</v>
      </c>
      <c r="L698" s="78"/>
      <c r="M698" s="78">
        <v>0.17</v>
      </c>
      <c r="N698" s="76"/>
      <c r="O698" s="77" t="s">
        <v>151</v>
      </c>
      <c r="P698" s="73">
        <f>(C698+(E698*F698*H698))-N698</f>
        <v>0</v>
      </c>
      <c r="Q698" s="77" t="s">
        <v>151</v>
      </c>
      <c r="R698" s="16">
        <f>P698*(J698-(J698*L698)-((J698-(J698*L698))*M698))</f>
        <v>0</v>
      </c>
      <c r="S698" s="16">
        <f t="shared" si="299"/>
        <v>0</v>
      </c>
    </row>
    <row r="700" spans="1:19" x14ac:dyDescent="0.2">
      <c r="A700" s="15" t="s">
        <v>413</v>
      </c>
    </row>
    <row r="701" spans="1:19" s="72" customFormat="1" x14ac:dyDescent="0.2">
      <c r="A701" s="71" t="s">
        <v>414</v>
      </c>
      <c r="B701" s="72" t="s">
        <v>18</v>
      </c>
      <c r="C701" s="73"/>
      <c r="D701" s="74" t="s">
        <v>40</v>
      </c>
      <c r="E701" s="75"/>
      <c r="F701" s="76">
        <v>48</v>
      </c>
      <c r="G701" s="77" t="s">
        <v>33</v>
      </c>
      <c r="H701" s="76">
        <v>12</v>
      </c>
      <c r="I701" s="77" t="s">
        <v>19</v>
      </c>
      <c r="J701" s="16">
        <v>5800</v>
      </c>
      <c r="K701" s="74" t="s">
        <v>19</v>
      </c>
      <c r="L701" s="78">
        <v>0.125</v>
      </c>
      <c r="M701" s="78">
        <v>0.05</v>
      </c>
      <c r="N701" s="76"/>
      <c r="O701" s="77" t="s">
        <v>19</v>
      </c>
      <c r="P701" s="73">
        <f>(C701+(E701*F701*H701))-N701</f>
        <v>0</v>
      </c>
      <c r="Q701" s="77" t="s">
        <v>19</v>
      </c>
      <c r="R701" s="16">
        <f>P701*(J701-(J701*L701)-((J701-(J701*L701))*M701))</f>
        <v>0</v>
      </c>
      <c r="S701" s="16">
        <f>R701/1.11</f>
        <v>0</v>
      </c>
    </row>
    <row r="703" spans="1:19" x14ac:dyDescent="0.2">
      <c r="A703" s="52" t="s">
        <v>771</v>
      </c>
      <c r="B703" s="2" t="s">
        <v>25</v>
      </c>
      <c r="C703" s="3">
        <v>576</v>
      </c>
      <c r="D703" s="4" t="s">
        <v>19</v>
      </c>
      <c r="F703" s="6">
        <v>24</v>
      </c>
      <c r="G703" s="7" t="s">
        <v>33</v>
      </c>
      <c r="H703" s="6">
        <v>24</v>
      </c>
      <c r="I703" s="7" t="s">
        <v>19</v>
      </c>
      <c r="J703" s="8">
        <f>2822400/24/24</f>
        <v>4900</v>
      </c>
      <c r="K703" s="4" t="s">
        <v>19</v>
      </c>
      <c r="M703" s="9">
        <v>0.17</v>
      </c>
      <c r="O703" s="7" t="s">
        <v>19</v>
      </c>
      <c r="P703" s="3">
        <f>(C703+(E703*F703*H703))-N703</f>
        <v>576</v>
      </c>
      <c r="Q703" s="7" t="s">
        <v>19</v>
      </c>
      <c r="R703" s="8">
        <f>P703*(J703-(J703*L703)-((J703-(J703*L703))*M703))</f>
        <v>2342592</v>
      </c>
      <c r="S703" s="8">
        <f t="shared" si="299"/>
        <v>2110443.2432432431</v>
      </c>
    </row>
    <row r="704" spans="1:19" x14ac:dyDescent="0.2">
      <c r="A704" s="52" t="s">
        <v>772</v>
      </c>
      <c r="B704" s="2" t="s">
        <v>25</v>
      </c>
      <c r="C704" s="3">
        <v>4</v>
      </c>
      <c r="D704" s="4" t="s">
        <v>40</v>
      </c>
      <c r="F704" s="6">
        <v>24</v>
      </c>
      <c r="G704" s="7" t="s">
        <v>33</v>
      </c>
      <c r="H704" s="6">
        <v>2</v>
      </c>
      <c r="I704" s="7" t="s">
        <v>40</v>
      </c>
      <c r="J704" s="8">
        <f>2592000/24/2</f>
        <v>54000</v>
      </c>
      <c r="K704" s="4" t="s">
        <v>40</v>
      </c>
      <c r="M704" s="9">
        <v>0.17</v>
      </c>
      <c r="O704" s="7" t="s">
        <v>40</v>
      </c>
      <c r="P704" s="3">
        <f>(C704+(E704*F704*H704))-N704</f>
        <v>4</v>
      </c>
      <c r="Q704" s="7" t="s">
        <v>40</v>
      </c>
      <c r="R704" s="8">
        <f>P704*(J704-(J704*L704)-((J704-(J704*L704))*M704))</f>
        <v>179280</v>
      </c>
      <c r="S704" s="8">
        <f t="shared" si="299"/>
        <v>161513.51351351349</v>
      </c>
    </row>
    <row r="705" spans="1:19" x14ac:dyDescent="0.2">
      <c r="A705" s="52" t="s">
        <v>773</v>
      </c>
      <c r="B705" s="2" t="s">
        <v>25</v>
      </c>
      <c r="C705" s="3">
        <v>576</v>
      </c>
      <c r="D705" s="4" t="s">
        <v>19</v>
      </c>
      <c r="F705" s="6">
        <v>24</v>
      </c>
      <c r="G705" s="7" t="s">
        <v>33</v>
      </c>
      <c r="H705" s="6">
        <v>24</v>
      </c>
      <c r="I705" s="7" t="s">
        <v>19</v>
      </c>
      <c r="J705" s="8">
        <f>1900800/24/24</f>
        <v>3300</v>
      </c>
      <c r="K705" s="4" t="s">
        <v>19</v>
      </c>
      <c r="M705" s="9">
        <v>0.17</v>
      </c>
      <c r="O705" s="7" t="s">
        <v>19</v>
      </c>
      <c r="P705" s="3">
        <f>(C705+(E705*F705*H705))-N705</f>
        <v>576</v>
      </c>
      <c r="Q705" s="7" t="s">
        <v>19</v>
      </c>
      <c r="R705" s="8">
        <f>P705*(J705-(J705*L705)-((J705-(J705*L705))*M705))</f>
        <v>1577664</v>
      </c>
      <c r="S705" s="8">
        <f t="shared" si="299"/>
        <v>1421318.9189189188</v>
      </c>
    </row>
    <row r="706" spans="1:19" x14ac:dyDescent="0.2">
      <c r="A706" s="53"/>
    </row>
    <row r="707" spans="1:19" x14ac:dyDescent="0.2">
      <c r="A707" s="15" t="s">
        <v>415</v>
      </c>
    </row>
    <row r="708" spans="1:19" s="72" customFormat="1" x14ac:dyDescent="0.2">
      <c r="A708" s="71" t="s">
        <v>416</v>
      </c>
      <c r="B708" s="72" t="s">
        <v>18</v>
      </c>
      <c r="C708" s="73"/>
      <c r="D708" s="74" t="s">
        <v>98</v>
      </c>
      <c r="E708" s="75"/>
      <c r="F708" s="76">
        <v>18</v>
      </c>
      <c r="G708" s="77" t="s">
        <v>33</v>
      </c>
      <c r="H708" s="76">
        <v>12</v>
      </c>
      <c r="I708" s="77" t="s">
        <v>98</v>
      </c>
      <c r="J708" s="16">
        <f>36000/12</f>
        <v>3000</v>
      </c>
      <c r="K708" s="74" t="s">
        <v>98</v>
      </c>
      <c r="L708" s="78">
        <v>0.125</v>
      </c>
      <c r="M708" s="78">
        <v>0.05</v>
      </c>
      <c r="N708" s="76"/>
      <c r="O708" s="77" t="s">
        <v>98</v>
      </c>
      <c r="P708" s="73">
        <f>(C708+(E708*F708*H708))-N708</f>
        <v>0</v>
      </c>
      <c r="Q708" s="77" t="s">
        <v>98</v>
      </c>
      <c r="R708" s="16">
        <f>P708*(J708-(J708*L708)-((J708-(J708*L708))*M708))</f>
        <v>0</v>
      </c>
      <c r="S708" s="16">
        <f t="shared" si="299"/>
        <v>0</v>
      </c>
    </row>
    <row r="709" spans="1:19" s="72" customFormat="1" x14ac:dyDescent="0.2">
      <c r="A709" s="71" t="s">
        <v>417</v>
      </c>
      <c r="B709" s="72" t="s">
        <v>18</v>
      </c>
      <c r="C709" s="73"/>
      <c r="D709" s="74" t="s">
        <v>40</v>
      </c>
      <c r="E709" s="75"/>
      <c r="F709" s="76">
        <v>18</v>
      </c>
      <c r="G709" s="77" t="s">
        <v>33</v>
      </c>
      <c r="H709" s="76">
        <v>24</v>
      </c>
      <c r="I709" s="77" t="s">
        <v>40</v>
      </c>
      <c r="J709" s="16">
        <v>27600</v>
      </c>
      <c r="K709" s="74" t="s">
        <v>40</v>
      </c>
      <c r="L709" s="78">
        <v>0.125</v>
      </c>
      <c r="M709" s="78">
        <v>0.05</v>
      </c>
      <c r="N709" s="76"/>
      <c r="O709" s="77" t="s">
        <v>40</v>
      </c>
      <c r="P709" s="73">
        <f>(C709+(E709*F709*H709))-N709</f>
        <v>0</v>
      </c>
      <c r="Q709" s="77" t="s">
        <v>40</v>
      </c>
      <c r="R709" s="16">
        <f>P709*(J709-(J709*L709)-((J709-(J709*L709))*M709))</f>
        <v>0</v>
      </c>
      <c r="S709" s="16">
        <f t="shared" si="299"/>
        <v>0</v>
      </c>
    </row>
    <row r="710" spans="1:19" s="72" customFormat="1" x14ac:dyDescent="0.2">
      <c r="A710" s="71"/>
      <c r="C710" s="73"/>
      <c r="D710" s="74"/>
      <c r="E710" s="75"/>
      <c r="F710" s="76"/>
      <c r="G710" s="77"/>
      <c r="H710" s="76"/>
      <c r="I710" s="77"/>
      <c r="J710" s="16"/>
      <c r="K710" s="74"/>
      <c r="L710" s="78"/>
      <c r="M710" s="78"/>
      <c r="N710" s="76"/>
      <c r="O710" s="77"/>
      <c r="P710" s="73"/>
      <c r="Q710" s="77"/>
      <c r="R710" s="16"/>
      <c r="S710" s="16"/>
    </row>
    <row r="711" spans="1:19" s="72" customFormat="1" x14ac:dyDescent="0.2">
      <c r="A711" s="71" t="s">
        <v>418</v>
      </c>
      <c r="B711" s="72" t="s">
        <v>260</v>
      </c>
      <c r="C711" s="73"/>
      <c r="D711" s="74" t="s">
        <v>40</v>
      </c>
      <c r="E711" s="75"/>
      <c r="F711" s="76">
        <v>1</v>
      </c>
      <c r="G711" s="77" t="s">
        <v>20</v>
      </c>
      <c r="H711" s="76">
        <v>96</v>
      </c>
      <c r="I711" s="77" t="s">
        <v>40</v>
      </c>
      <c r="J711" s="16">
        <v>9500</v>
      </c>
      <c r="K711" s="74" t="s">
        <v>40</v>
      </c>
      <c r="L711" s="78"/>
      <c r="M711" s="78"/>
      <c r="N711" s="76"/>
      <c r="O711" s="77" t="s">
        <v>40</v>
      </c>
      <c r="P711" s="73">
        <f>(C711+(E711*F711*H711))-N711</f>
        <v>0</v>
      </c>
      <c r="Q711" s="77" t="s">
        <v>40</v>
      </c>
      <c r="R711" s="16">
        <f>P711*(J711-(J711*L711)-((J711-(J711*L711))*M711))</f>
        <v>0</v>
      </c>
      <c r="S711" s="16">
        <f t="shared" si="299"/>
        <v>0</v>
      </c>
    </row>
    <row r="712" spans="1:19" s="88" customFormat="1" x14ac:dyDescent="0.2">
      <c r="A712" s="107" t="s">
        <v>879</v>
      </c>
      <c r="B712" s="88" t="s">
        <v>260</v>
      </c>
      <c r="C712" s="91"/>
      <c r="D712" s="92" t="s">
        <v>98</v>
      </c>
      <c r="E712" s="93">
        <v>2</v>
      </c>
      <c r="F712" s="94">
        <v>1</v>
      </c>
      <c r="G712" s="95" t="s">
        <v>20</v>
      </c>
      <c r="H712" s="94">
        <v>80</v>
      </c>
      <c r="I712" s="95" t="s">
        <v>98</v>
      </c>
      <c r="J712" s="96">
        <v>22500</v>
      </c>
      <c r="K712" s="92" t="s">
        <v>98</v>
      </c>
      <c r="L712" s="97"/>
      <c r="M712" s="97"/>
      <c r="N712" s="94"/>
      <c r="O712" s="95" t="s">
        <v>98</v>
      </c>
      <c r="P712" s="91">
        <f>(C712+(E712*F712*H712))-N712</f>
        <v>160</v>
      </c>
      <c r="Q712" s="95" t="s">
        <v>98</v>
      </c>
      <c r="R712" s="96">
        <f>P712*(J712-(J712*L712)-((J712-(J712*L712))*M712))</f>
        <v>3600000</v>
      </c>
      <c r="S712" s="96">
        <f t="shared" ref="S712" si="300">R712/1.11</f>
        <v>3243243.2432432431</v>
      </c>
    </row>
    <row r="714" spans="1:19" x14ac:dyDescent="0.2">
      <c r="A714" s="17" t="s">
        <v>419</v>
      </c>
      <c r="B714" s="2" t="s">
        <v>25</v>
      </c>
      <c r="C714" s="3">
        <v>417</v>
      </c>
      <c r="D714" s="4" t="s">
        <v>19</v>
      </c>
      <c r="F714" s="6">
        <v>144</v>
      </c>
      <c r="G714" s="7" t="s">
        <v>33</v>
      </c>
      <c r="H714" s="6">
        <v>2</v>
      </c>
      <c r="I714" s="7" t="s">
        <v>40</v>
      </c>
      <c r="J714" s="8">
        <f>6739200/144/2</f>
        <v>23400</v>
      </c>
      <c r="K714" s="4" t="s">
        <v>40</v>
      </c>
      <c r="M714" s="9">
        <v>0.17</v>
      </c>
      <c r="O714" s="7" t="s">
        <v>40</v>
      </c>
      <c r="P714" s="3">
        <f>(C714+(E714*F714*H714))-N714</f>
        <v>417</v>
      </c>
      <c r="Q714" s="7" t="s">
        <v>40</v>
      </c>
      <c r="R714" s="8">
        <f>P714*(J714-(J714*L714)-((J714-(J714*L714))*M714))</f>
        <v>8098974</v>
      </c>
      <c r="S714" s="8">
        <f t="shared" si="299"/>
        <v>7296372.9729729723</v>
      </c>
    </row>
    <row r="715" spans="1:19" s="88" customFormat="1" x14ac:dyDescent="0.2">
      <c r="A715" s="107" t="s">
        <v>420</v>
      </c>
      <c r="B715" s="88" t="s">
        <v>25</v>
      </c>
      <c r="C715" s="91"/>
      <c r="D715" s="92" t="s">
        <v>33</v>
      </c>
      <c r="E715" s="93">
        <v>1</v>
      </c>
      <c r="F715" s="94">
        <v>1</v>
      </c>
      <c r="G715" s="95" t="s">
        <v>20</v>
      </c>
      <c r="H715" s="94">
        <v>120</v>
      </c>
      <c r="I715" s="95" t="s">
        <v>33</v>
      </c>
      <c r="J715" s="96">
        <f>2160000/120</f>
        <v>18000</v>
      </c>
      <c r="K715" s="92" t="s">
        <v>33</v>
      </c>
      <c r="L715" s="97"/>
      <c r="M715" s="97">
        <v>0.17</v>
      </c>
      <c r="N715" s="94"/>
      <c r="O715" s="95" t="s">
        <v>33</v>
      </c>
      <c r="P715" s="91">
        <f>(C715+(E715*F715*H715))-N715</f>
        <v>120</v>
      </c>
      <c r="Q715" s="95" t="s">
        <v>33</v>
      </c>
      <c r="R715" s="96">
        <f>P715*(J715-(J715*L715)-((J715-(J715*L715))*M715))</f>
        <v>1792800</v>
      </c>
      <c r="S715" s="96">
        <f t="shared" si="299"/>
        <v>1615135.1351351349</v>
      </c>
    </row>
    <row r="717" spans="1:19" x14ac:dyDescent="0.2">
      <c r="A717" s="17" t="s">
        <v>421</v>
      </c>
      <c r="B717" s="2" t="s">
        <v>181</v>
      </c>
      <c r="C717" s="3">
        <v>2400</v>
      </c>
      <c r="D717" s="4" t="s">
        <v>33</v>
      </c>
      <c r="F717" s="6">
        <v>1</v>
      </c>
      <c r="G717" s="7" t="s">
        <v>20</v>
      </c>
      <c r="H717" s="6">
        <v>240</v>
      </c>
      <c r="I717" s="7" t="s">
        <v>33</v>
      </c>
      <c r="J717" s="8">
        <v>5500</v>
      </c>
      <c r="K717" s="4" t="s">
        <v>33</v>
      </c>
      <c r="O717" s="7" t="s">
        <v>33</v>
      </c>
      <c r="P717" s="3">
        <f>(C717+(E717*F717*H717))-N717</f>
        <v>2400</v>
      </c>
      <c r="Q717" s="7" t="s">
        <v>33</v>
      </c>
      <c r="R717" s="8">
        <f>P717*(J717-(J717*L717)-((J717-(J717*L717))*M717))</f>
        <v>13200000</v>
      </c>
      <c r="S717" s="8">
        <f t="shared" si="299"/>
        <v>11891891.891891891</v>
      </c>
    </row>
    <row r="719" spans="1:19" x14ac:dyDescent="0.2">
      <c r="A719" s="15" t="s">
        <v>512</v>
      </c>
    </row>
    <row r="720" spans="1:19" s="19" customFormat="1" x14ac:dyDescent="0.2">
      <c r="A720" s="18" t="s">
        <v>805</v>
      </c>
      <c r="B720" s="19" t="s">
        <v>18</v>
      </c>
      <c r="C720" s="20">
        <v>984</v>
      </c>
      <c r="D720" s="21" t="s">
        <v>19</v>
      </c>
      <c r="E720" s="26">
        <v>2</v>
      </c>
      <c r="F720" s="22">
        <v>48</v>
      </c>
      <c r="G720" s="23" t="s">
        <v>33</v>
      </c>
      <c r="H720" s="22">
        <v>12</v>
      </c>
      <c r="I720" s="23" t="s">
        <v>19</v>
      </c>
      <c r="J720" s="24">
        <v>2350</v>
      </c>
      <c r="K720" s="21" t="s">
        <v>19</v>
      </c>
      <c r="L720" s="25">
        <v>0.1</v>
      </c>
      <c r="M720" s="25">
        <v>0.05</v>
      </c>
      <c r="N720" s="22"/>
      <c r="O720" s="23" t="s">
        <v>19</v>
      </c>
      <c r="P720" s="20">
        <f>(C720+(E720*F720*H720))-N720</f>
        <v>2136</v>
      </c>
      <c r="Q720" s="23" t="s">
        <v>19</v>
      </c>
      <c r="R720" s="24">
        <f>P720*(J720-(J720*L720)-((J720-(J720*L720))*M720))</f>
        <v>4291758</v>
      </c>
      <c r="S720" s="8">
        <f>R720/1.11</f>
        <v>3866448.6486486485</v>
      </c>
    </row>
    <row r="721" spans="1:19" s="19" customFormat="1" x14ac:dyDescent="0.2">
      <c r="A721" s="18" t="s">
        <v>805</v>
      </c>
      <c r="B721" s="19" t="s">
        <v>18</v>
      </c>
      <c r="C721" s="20">
        <v>192</v>
      </c>
      <c r="D721" s="21" t="s">
        <v>19</v>
      </c>
      <c r="E721" s="26">
        <v>1</v>
      </c>
      <c r="F721" s="22">
        <v>48</v>
      </c>
      <c r="G721" s="23" t="s">
        <v>33</v>
      </c>
      <c r="H721" s="22">
        <v>12</v>
      </c>
      <c r="I721" s="23" t="s">
        <v>19</v>
      </c>
      <c r="J721" s="24">
        <v>2350</v>
      </c>
      <c r="K721" s="21" t="s">
        <v>19</v>
      </c>
      <c r="L721" s="25">
        <v>0.125</v>
      </c>
      <c r="M721" s="25">
        <v>0.05</v>
      </c>
      <c r="N721" s="22"/>
      <c r="O721" s="23" t="s">
        <v>19</v>
      </c>
      <c r="P721" s="20">
        <f>(C721+(E721*F721*H721))-N721</f>
        <v>768</v>
      </c>
      <c r="Q721" s="23" t="s">
        <v>19</v>
      </c>
      <c r="R721" s="24">
        <f>P721*(J721-(J721*L721)-((J721-(J721*L721))*M721))</f>
        <v>1500240</v>
      </c>
      <c r="S721" s="8">
        <f>R721/1.11</f>
        <v>1351567.5675675673</v>
      </c>
    </row>
    <row r="722" spans="1:19" s="19" customFormat="1" x14ac:dyDescent="0.2">
      <c r="A722" s="18"/>
      <c r="C722" s="20"/>
      <c r="D722" s="21"/>
      <c r="E722" s="26"/>
      <c r="F722" s="22"/>
      <c r="G722" s="23"/>
      <c r="H722" s="22"/>
      <c r="I722" s="23"/>
      <c r="J722" s="24"/>
      <c r="K722" s="21"/>
      <c r="L722" s="25"/>
      <c r="M722" s="25"/>
      <c r="N722" s="22"/>
      <c r="O722" s="23"/>
      <c r="P722" s="20"/>
      <c r="Q722" s="23"/>
      <c r="R722" s="24"/>
      <c r="S722" s="8"/>
    </row>
    <row r="723" spans="1:19" s="72" customFormat="1" x14ac:dyDescent="0.2">
      <c r="A723" s="116" t="s">
        <v>513</v>
      </c>
      <c r="B723" s="72" t="s">
        <v>25</v>
      </c>
      <c r="C723" s="73"/>
      <c r="D723" s="74" t="s">
        <v>40</v>
      </c>
      <c r="E723" s="75">
        <v>5</v>
      </c>
      <c r="F723" s="76">
        <v>1</v>
      </c>
      <c r="G723" s="77" t="s">
        <v>20</v>
      </c>
      <c r="H723" s="76">
        <v>60</v>
      </c>
      <c r="I723" s="77" t="s">
        <v>40</v>
      </c>
      <c r="J723" s="16">
        <f>2160000/60</f>
        <v>36000</v>
      </c>
      <c r="K723" s="74" t="s">
        <v>40</v>
      </c>
      <c r="L723" s="78"/>
      <c r="M723" s="78">
        <v>0.17</v>
      </c>
      <c r="N723" s="76"/>
      <c r="O723" s="77" t="s">
        <v>40</v>
      </c>
      <c r="P723" s="73">
        <f>(C723+(E723*F723*H723))-N723</f>
        <v>300</v>
      </c>
      <c r="Q723" s="77" t="s">
        <v>40</v>
      </c>
      <c r="R723" s="16">
        <f>P723*(J723-(J723*L723)-((J723-(J723*L723))*M723))</f>
        <v>8964000</v>
      </c>
      <c r="S723" s="16">
        <f>R723/1.11</f>
        <v>8075675.6756756753</v>
      </c>
    </row>
    <row r="724" spans="1:19" x14ac:dyDescent="0.2">
      <c r="A724" s="49" t="s">
        <v>514</v>
      </c>
      <c r="B724" s="2" t="s">
        <v>25</v>
      </c>
      <c r="C724" s="3">
        <v>175</v>
      </c>
      <c r="D724" s="4" t="s">
        <v>40</v>
      </c>
      <c r="F724" s="6">
        <v>12</v>
      </c>
      <c r="G724" s="7" t="s">
        <v>83</v>
      </c>
      <c r="H724" s="6">
        <v>12</v>
      </c>
      <c r="I724" s="7" t="s">
        <v>40</v>
      </c>
      <c r="J724" s="8">
        <f>1555200/144</f>
        <v>10800</v>
      </c>
      <c r="K724" s="4" t="s">
        <v>40</v>
      </c>
      <c r="L724" s="9">
        <v>0.05</v>
      </c>
      <c r="M724" s="9">
        <v>0.17</v>
      </c>
      <c r="O724" s="7" t="s">
        <v>40</v>
      </c>
      <c r="P724" s="3">
        <f>(C724+(E724*F724*H724))-N724</f>
        <v>175</v>
      </c>
      <c r="Q724" s="7" t="s">
        <v>40</v>
      </c>
      <c r="R724" s="8">
        <f>P724*(J724-(J724*L724)-((J724-(J724*L724))*M724))</f>
        <v>1490264.9999999998</v>
      </c>
      <c r="S724" s="8">
        <f>R724/1.11</f>
        <v>1342581.0810810807</v>
      </c>
    </row>
    <row r="725" spans="1:19" x14ac:dyDescent="0.2">
      <c r="A725" s="43"/>
    </row>
    <row r="726" spans="1:19" x14ac:dyDescent="0.2">
      <c r="A726" s="15" t="s">
        <v>515</v>
      </c>
    </row>
    <row r="727" spans="1:19" s="72" customFormat="1" x14ac:dyDescent="0.2">
      <c r="A727" s="116" t="s">
        <v>516</v>
      </c>
      <c r="B727" s="72" t="s">
        <v>25</v>
      </c>
      <c r="C727" s="73"/>
      <c r="D727" s="74" t="s">
        <v>40</v>
      </c>
      <c r="E727" s="75"/>
      <c r="F727" s="76">
        <v>1</v>
      </c>
      <c r="G727" s="77" t="s">
        <v>20</v>
      </c>
      <c r="H727" s="76">
        <v>60</v>
      </c>
      <c r="I727" s="77" t="s">
        <v>40</v>
      </c>
      <c r="J727" s="16">
        <f>2268000/60</f>
        <v>37800</v>
      </c>
      <c r="K727" s="74" t="s">
        <v>40</v>
      </c>
      <c r="L727" s="78"/>
      <c r="M727" s="78">
        <v>0.17</v>
      </c>
      <c r="N727" s="76"/>
      <c r="O727" s="77" t="s">
        <v>40</v>
      </c>
      <c r="P727" s="73">
        <f>(C727+(E727*F727*H727))-N727</f>
        <v>0</v>
      </c>
      <c r="Q727" s="77" t="s">
        <v>40</v>
      </c>
      <c r="R727" s="16">
        <f>P727*(J727-(J727*L727)-((J727-(J727*L727))*M727))</f>
        <v>0</v>
      </c>
      <c r="S727" s="16">
        <f>R727/1.11</f>
        <v>0</v>
      </c>
    </row>
    <row r="729" spans="1:19" s="19" customFormat="1" x14ac:dyDescent="0.2">
      <c r="A729" s="134" t="s">
        <v>739</v>
      </c>
      <c r="B729" s="19" t="s">
        <v>597</v>
      </c>
      <c r="C729" s="20">
        <v>12</v>
      </c>
      <c r="D729" s="21" t="s">
        <v>151</v>
      </c>
      <c r="E729" s="26"/>
      <c r="F729" s="22">
        <v>1</v>
      </c>
      <c r="G729" s="23" t="s">
        <v>151</v>
      </c>
      <c r="H729" s="22">
        <v>1</v>
      </c>
      <c r="I729" s="23" t="s">
        <v>151</v>
      </c>
      <c r="J729" s="138">
        <v>4000</v>
      </c>
      <c r="K729" s="21" t="s">
        <v>19</v>
      </c>
      <c r="L729" s="25"/>
      <c r="M729" s="25">
        <v>1.0999999999999999E-2</v>
      </c>
      <c r="N729" s="22"/>
      <c r="O729" s="23" t="s">
        <v>19</v>
      </c>
      <c r="P729" s="20">
        <f>(C729+(E729*F729*H729))-N729</f>
        <v>12</v>
      </c>
      <c r="Q729" s="23" t="s">
        <v>19</v>
      </c>
      <c r="R729" s="24">
        <f>P729*(J729-(J729*L729)-((J729-(J729*L729))*M729))</f>
        <v>47472</v>
      </c>
      <c r="S729" s="24">
        <f t="shared" ref="S729" si="301">R729/1.11</f>
        <v>42767.567567567567</v>
      </c>
    </row>
    <row r="730" spans="1:19" s="19" customFormat="1" x14ac:dyDescent="0.2">
      <c r="A730" s="134" t="s">
        <v>871</v>
      </c>
      <c r="B730" s="19" t="s">
        <v>597</v>
      </c>
      <c r="C730" s="20">
        <v>48</v>
      </c>
      <c r="D730" s="21" t="s">
        <v>151</v>
      </c>
      <c r="E730" s="26"/>
      <c r="F730" s="22">
        <v>1</v>
      </c>
      <c r="G730" s="23" t="s">
        <v>151</v>
      </c>
      <c r="H730" s="22">
        <v>1</v>
      </c>
      <c r="I730" s="23" t="s">
        <v>151</v>
      </c>
      <c r="J730" s="138"/>
      <c r="K730" s="21" t="s">
        <v>19</v>
      </c>
      <c r="L730" s="25"/>
      <c r="M730" s="25">
        <v>1.0999999999999999E-2</v>
      </c>
      <c r="N730" s="22"/>
      <c r="O730" s="23" t="s">
        <v>19</v>
      </c>
      <c r="P730" s="20">
        <f>(C730+(E730*F730*H730))-N730</f>
        <v>48</v>
      </c>
      <c r="Q730" s="23" t="s">
        <v>19</v>
      </c>
      <c r="R730" s="24">
        <f>P730*(J730-(J730*L730)-((J730-(J730*L730))*M730))</f>
        <v>0</v>
      </c>
      <c r="S730" s="24">
        <f t="shared" ref="S730" si="302">R730/1.11</f>
        <v>0</v>
      </c>
    </row>
    <row r="731" spans="1:19" x14ac:dyDescent="0.2">
      <c r="A731" s="43"/>
    </row>
    <row r="732" spans="1:19" x14ac:dyDescent="0.2">
      <c r="A732" s="15" t="s">
        <v>517</v>
      </c>
    </row>
    <row r="733" spans="1:19" s="81" customFormat="1" x14ac:dyDescent="0.2">
      <c r="A733" s="80" t="s">
        <v>518</v>
      </c>
      <c r="B733" s="81" t="s">
        <v>18</v>
      </c>
      <c r="C733" s="79"/>
      <c r="D733" s="82" t="s">
        <v>151</v>
      </c>
      <c r="E733" s="83"/>
      <c r="F733" s="84">
        <v>8</v>
      </c>
      <c r="G733" s="85" t="s">
        <v>33</v>
      </c>
      <c r="H733" s="84">
        <v>12</v>
      </c>
      <c r="I733" s="85" t="s">
        <v>151</v>
      </c>
      <c r="J733" s="86">
        <v>17000</v>
      </c>
      <c r="K733" s="82" t="s">
        <v>151</v>
      </c>
      <c r="L733" s="87">
        <v>0.125</v>
      </c>
      <c r="M733" s="87">
        <v>0.05</v>
      </c>
      <c r="N733" s="84"/>
      <c r="O733" s="85" t="s">
        <v>151</v>
      </c>
      <c r="P733" s="79">
        <f>(C733+(E733*F733*H733))-N733</f>
        <v>0</v>
      </c>
      <c r="Q733" s="85" t="s">
        <v>151</v>
      </c>
      <c r="R733" s="86">
        <f>P733*(J733-(J733*L733)-((J733-(J733*L733))*M733))</f>
        <v>0</v>
      </c>
      <c r="S733" s="16">
        <f>R733/1.11</f>
        <v>0</v>
      </c>
    </row>
    <row r="734" spans="1:19" s="81" customFormat="1" x14ac:dyDescent="0.2">
      <c r="A734" s="80" t="s">
        <v>519</v>
      </c>
      <c r="B734" s="81" t="s">
        <v>18</v>
      </c>
      <c r="C734" s="79"/>
      <c r="D734" s="82" t="s">
        <v>151</v>
      </c>
      <c r="E734" s="83"/>
      <c r="F734" s="84">
        <v>8</v>
      </c>
      <c r="G734" s="85" t="s">
        <v>33</v>
      </c>
      <c r="H734" s="84">
        <v>6</v>
      </c>
      <c r="I734" s="85" t="s">
        <v>151</v>
      </c>
      <c r="J734" s="86">
        <v>34000</v>
      </c>
      <c r="K734" s="82" t="s">
        <v>151</v>
      </c>
      <c r="L734" s="87">
        <v>0.125</v>
      </c>
      <c r="M734" s="87">
        <v>0.05</v>
      </c>
      <c r="N734" s="84"/>
      <c r="O734" s="85" t="s">
        <v>151</v>
      </c>
      <c r="P734" s="79">
        <f>(C734+(E734*F734*H734))-N734</f>
        <v>0</v>
      </c>
      <c r="Q734" s="85" t="s">
        <v>151</v>
      </c>
      <c r="R734" s="86">
        <f>P734*(J734-(J734*L734)-((J734-(J734*L734))*M734))</f>
        <v>0</v>
      </c>
      <c r="S734" s="16">
        <f>R734/1.11</f>
        <v>0</v>
      </c>
    </row>
    <row r="735" spans="1:19" s="19" customFormat="1" x14ac:dyDescent="0.2">
      <c r="A735" s="18" t="s">
        <v>520</v>
      </c>
      <c r="B735" s="19" t="s">
        <v>18</v>
      </c>
      <c r="C735" s="20">
        <v>62</v>
      </c>
      <c r="D735" s="21" t="s">
        <v>151</v>
      </c>
      <c r="E735" s="26">
        <v>1</v>
      </c>
      <c r="F735" s="22">
        <v>6</v>
      </c>
      <c r="G735" s="23" t="s">
        <v>33</v>
      </c>
      <c r="H735" s="22">
        <v>24</v>
      </c>
      <c r="I735" s="23" t="s">
        <v>151</v>
      </c>
      <c r="J735" s="24">
        <v>31500</v>
      </c>
      <c r="K735" s="21" t="s">
        <v>151</v>
      </c>
      <c r="L735" s="25">
        <v>0.125</v>
      </c>
      <c r="M735" s="25">
        <v>0.05</v>
      </c>
      <c r="N735" s="22"/>
      <c r="O735" s="23" t="s">
        <v>151</v>
      </c>
      <c r="P735" s="20">
        <f>(C735+(E735*F735*H735))-N735</f>
        <v>206</v>
      </c>
      <c r="Q735" s="23" t="s">
        <v>151</v>
      </c>
      <c r="R735" s="24">
        <f>P735*(J735-(J735*L735)-((J735-(J735*L735))*M735))</f>
        <v>5393981.25</v>
      </c>
      <c r="S735" s="8">
        <f>R735/1.11</f>
        <v>4859442.5675675673</v>
      </c>
    </row>
    <row r="736" spans="1:19" s="81" customFormat="1" x14ac:dyDescent="0.2">
      <c r="A736" s="80" t="s">
        <v>521</v>
      </c>
      <c r="B736" s="81" t="s">
        <v>18</v>
      </c>
      <c r="C736" s="79"/>
      <c r="D736" s="82" t="s">
        <v>151</v>
      </c>
      <c r="E736" s="83"/>
      <c r="F736" s="84">
        <v>6</v>
      </c>
      <c r="G736" s="85" t="s">
        <v>33</v>
      </c>
      <c r="H736" s="84">
        <v>12</v>
      </c>
      <c r="I736" s="85" t="s">
        <v>151</v>
      </c>
      <c r="J736" s="86">
        <v>63000</v>
      </c>
      <c r="K736" s="82" t="s">
        <v>151</v>
      </c>
      <c r="L736" s="87">
        <v>0.125</v>
      </c>
      <c r="M736" s="87">
        <v>0.05</v>
      </c>
      <c r="N736" s="84"/>
      <c r="O736" s="85" t="s">
        <v>151</v>
      </c>
      <c r="P736" s="79">
        <f>(C736+(E736*F736*H736))-N736</f>
        <v>0</v>
      </c>
      <c r="Q736" s="85" t="s">
        <v>151</v>
      </c>
      <c r="R736" s="86">
        <f>P736*(J736-(J736*L736)-((J736-(J736*L736))*M736))</f>
        <v>0</v>
      </c>
      <c r="S736" s="16">
        <f>R736/1.11</f>
        <v>0</v>
      </c>
    </row>
    <row r="737" spans="1:19" s="81" customFormat="1" x14ac:dyDescent="0.2">
      <c r="A737" s="80" t="s">
        <v>522</v>
      </c>
      <c r="B737" s="81" t="s">
        <v>18</v>
      </c>
      <c r="C737" s="79"/>
      <c r="D737" s="82" t="s">
        <v>151</v>
      </c>
      <c r="E737" s="83"/>
      <c r="F737" s="84">
        <v>6</v>
      </c>
      <c r="G737" s="85" t="s">
        <v>33</v>
      </c>
      <c r="H737" s="84">
        <v>24</v>
      </c>
      <c r="I737" s="85" t="s">
        <v>151</v>
      </c>
      <c r="J737" s="86"/>
      <c r="K737" s="82" t="s">
        <v>151</v>
      </c>
      <c r="L737" s="87">
        <v>0.1</v>
      </c>
      <c r="M737" s="87">
        <v>0.05</v>
      </c>
      <c r="N737" s="84"/>
      <c r="O737" s="85" t="s">
        <v>151</v>
      </c>
      <c r="P737" s="79">
        <f>(C737+(E737*F737*H737))-N737</f>
        <v>0</v>
      </c>
      <c r="Q737" s="85" t="s">
        <v>151</v>
      </c>
      <c r="R737" s="86">
        <f>P737*(J737-(J737*L737)-((J737-(J737*L737))*M737))</f>
        <v>0</v>
      </c>
      <c r="S737" s="16">
        <f>R737/1.11</f>
        <v>0</v>
      </c>
    </row>
    <row r="738" spans="1:19" s="81" customFormat="1" x14ac:dyDescent="0.2">
      <c r="A738" s="80"/>
      <c r="C738" s="79"/>
      <c r="D738" s="82"/>
      <c r="E738" s="83"/>
      <c r="F738" s="84"/>
      <c r="G738" s="85"/>
      <c r="H738" s="84"/>
      <c r="I738" s="85"/>
      <c r="J738" s="86"/>
      <c r="K738" s="82"/>
      <c r="L738" s="87"/>
      <c r="M738" s="87"/>
      <c r="N738" s="84"/>
      <c r="O738" s="85"/>
      <c r="P738" s="79"/>
      <c r="Q738" s="85"/>
      <c r="R738" s="86"/>
      <c r="S738" s="16"/>
    </row>
    <row r="739" spans="1:19" s="98" customFormat="1" x14ac:dyDescent="0.2">
      <c r="A739" s="90" t="s">
        <v>875</v>
      </c>
      <c r="B739" s="98" t="s">
        <v>25</v>
      </c>
      <c r="C739" s="99"/>
      <c r="D739" s="100" t="s">
        <v>151</v>
      </c>
      <c r="E739" s="101">
        <v>10</v>
      </c>
      <c r="F739" s="102">
        <v>6</v>
      </c>
      <c r="G739" s="103" t="s">
        <v>33</v>
      </c>
      <c r="H739" s="102">
        <v>24</v>
      </c>
      <c r="I739" s="103" t="s">
        <v>151</v>
      </c>
      <c r="J739" s="104">
        <v>25000</v>
      </c>
      <c r="K739" s="100" t="s">
        <v>151</v>
      </c>
      <c r="L739" s="105">
        <v>0.05</v>
      </c>
      <c r="M739" s="105">
        <v>0.17</v>
      </c>
      <c r="N739" s="102"/>
      <c r="O739" s="103" t="s">
        <v>151</v>
      </c>
      <c r="P739" s="99">
        <f>(C739+(E739*F739*H739))-N739</f>
        <v>1440</v>
      </c>
      <c r="Q739" s="103" t="s">
        <v>151</v>
      </c>
      <c r="R739" s="104">
        <f>P739*(J739-(J739*L739)-((J739-(J739*L739))*M739))</f>
        <v>28386000</v>
      </c>
      <c r="S739" s="104">
        <f>R739/1.11</f>
        <v>25572972.97297297</v>
      </c>
    </row>
    <row r="740" spans="1:19" s="98" customFormat="1" x14ac:dyDescent="0.2">
      <c r="A740" s="144" t="s">
        <v>914</v>
      </c>
      <c r="B740" s="98" t="s">
        <v>25</v>
      </c>
      <c r="C740" s="99"/>
      <c r="D740" s="100" t="s">
        <v>151</v>
      </c>
      <c r="E740" s="101">
        <v>3</v>
      </c>
      <c r="F740" s="102">
        <v>6</v>
      </c>
      <c r="G740" s="103" t="s">
        <v>33</v>
      </c>
      <c r="H740" s="102">
        <v>12</v>
      </c>
      <c r="I740" s="103" t="s">
        <v>151</v>
      </c>
      <c r="J740" s="104">
        <v>49000</v>
      </c>
      <c r="K740" s="100" t="s">
        <v>151</v>
      </c>
      <c r="L740" s="105">
        <v>0.05</v>
      </c>
      <c r="M740" s="105">
        <v>0.17</v>
      </c>
      <c r="N740" s="102"/>
      <c r="O740" s="103" t="s">
        <v>151</v>
      </c>
      <c r="P740" s="99">
        <f>(C740+(E740*F740*H740))-N740</f>
        <v>216</v>
      </c>
      <c r="Q740" s="103" t="s">
        <v>151</v>
      </c>
      <c r="R740" s="104">
        <f>P740*(J740-(J740*L740)-((J740-(J740*L740))*M740))</f>
        <v>8345484</v>
      </c>
      <c r="S740" s="104">
        <f>R740/1.11</f>
        <v>7518454.0540540535</v>
      </c>
    </row>
    <row r="742" spans="1:19" ht="15.75" x14ac:dyDescent="0.25">
      <c r="A742" s="14" t="s">
        <v>422</v>
      </c>
    </row>
    <row r="743" spans="1:19" s="19" customFormat="1" x14ac:dyDescent="0.2">
      <c r="A743" s="18" t="s">
        <v>423</v>
      </c>
      <c r="B743" s="19" t="s">
        <v>18</v>
      </c>
      <c r="C743" s="20">
        <v>59</v>
      </c>
      <c r="D743" s="21" t="s">
        <v>83</v>
      </c>
      <c r="E743" s="26">
        <v>81</v>
      </c>
      <c r="F743" s="22">
        <v>1</v>
      </c>
      <c r="G743" s="23" t="s">
        <v>20</v>
      </c>
      <c r="H743" s="22">
        <v>30</v>
      </c>
      <c r="I743" s="23" t="s">
        <v>83</v>
      </c>
      <c r="J743" s="24">
        <v>104400</v>
      </c>
      <c r="K743" s="21" t="s">
        <v>83</v>
      </c>
      <c r="L743" s="25">
        <v>0.125</v>
      </c>
      <c r="M743" s="25">
        <v>0.05</v>
      </c>
      <c r="N743" s="22"/>
      <c r="O743" s="23" t="s">
        <v>83</v>
      </c>
      <c r="P743" s="20">
        <f t="shared" ref="P743:P750" si="303">(C743+(E743*F743*H743))-N743</f>
        <v>2489</v>
      </c>
      <c r="Q743" s="23" t="s">
        <v>83</v>
      </c>
      <c r="R743" s="24">
        <f t="shared" ref="R743:R750" si="304">P743*(J743-(J743*L743)-((J743-(J743*L743))*M743))</f>
        <v>216001642.5</v>
      </c>
      <c r="S743" s="24">
        <f t="shared" si="299"/>
        <v>194596074.32432431</v>
      </c>
    </row>
    <row r="744" spans="1:19" s="81" customFormat="1" x14ac:dyDescent="0.2">
      <c r="A744" s="80" t="s">
        <v>654</v>
      </c>
      <c r="B744" s="81" t="s">
        <v>18</v>
      </c>
      <c r="C744" s="79"/>
      <c r="D744" s="82" t="s">
        <v>83</v>
      </c>
      <c r="E744" s="83"/>
      <c r="F744" s="84">
        <v>1</v>
      </c>
      <c r="G744" s="85" t="s">
        <v>20</v>
      </c>
      <c r="H744" s="84">
        <v>30</v>
      </c>
      <c r="I744" s="85" t="s">
        <v>83</v>
      </c>
      <c r="J744" s="86">
        <v>102000</v>
      </c>
      <c r="K744" s="82" t="s">
        <v>83</v>
      </c>
      <c r="L744" s="87">
        <v>0.125</v>
      </c>
      <c r="M744" s="87">
        <v>0.05</v>
      </c>
      <c r="N744" s="84"/>
      <c r="O744" s="85" t="s">
        <v>83</v>
      </c>
      <c r="P744" s="79">
        <f t="shared" si="303"/>
        <v>0</v>
      </c>
      <c r="Q744" s="85" t="s">
        <v>83</v>
      </c>
      <c r="R744" s="86">
        <f t="shared" si="304"/>
        <v>0</v>
      </c>
      <c r="S744" s="86">
        <f t="shared" si="299"/>
        <v>0</v>
      </c>
    </row>
    <row r="745" spans="1:19" s="98" customFormat="1" x14ac:dyDescent="0.2">
      <c r="A745" s="144" t="s">
        <v>654</v>
      </c>
      <c r="B745" s="98" t="s">
        <v>18</v>
      </c>
      <c r="C745" s="99"/>
      <c r="D745" s="100" t="s">
        <v>83</v>
      </c>
      <c r="E745" s="101">
        <v>1</v>
      </c>
      <c r="F745" s="102">
        <v>1</v>
      </c>
      <c r="G745" s="103" t="s">
        <v>20</v>
      </c>
      <c r="H745" s="102">
        <v>30</v>
      </c>
      <c r="I745" s="103" t="s">
        <v>83</v>
      </c>
      <c r="J745" s="104">
        <v>109200</v>
      </c>
      <c r="K745" s="100" t="s">
        <v>83</v>
      </c>
      <c r="L745" s="105">
        <v>0.125</v>
      </c>
      <c r="M745" s="105">
        <v>0.05</v>
      </c>
      <c r="N745" s="102"/>
      <c r="O745" s="103" t="s">
        <v>83</v>
      </c>
      <c r="P745" s="99">
        <f t="shared" ref="P745" si="305">(C745+(E745*F745*H745))-N745</f>
        <v>30</v>
      </c>
      <c r="Q745" s="103" t="s">
        <v>83</v>
      </c>
      <c r="R745" s="104">
        <f t="shared" ref="R745" si="306">P745*(J745-(J745*L745)-((J745-(J745*L745))*M745))</f>
        <v>2723175</v>
      </c>
      <c r="S745" s="104">
        <f t="shared" ref="S745" si="307">R745/1.11</f>
        <v>2453310.8108108104</v>
      </c>
    </row>
    <row r="746" spans="1:19" s="72" customFormat="1" x14ac:dyDescent="0.2">
      <c r="A746" s="71" t="s">
        <v>424</v>
      </c>
      <c r="B746" s="72" t="s">
        <v>18</v>
      </c>
      <c r="C746" s="73"/>
      <c r="D746" s="74" t="s">
        <v>83</v>
      </c>
      <c r="E746" s="75"/>
      <c r="F746" s="76">
        <v>1</v>
      </c>
      <c r="G746" s="77" t="s">
        <v>20</v>
      </c>
      <c r="H746" s="76">
        <v>30</v>
      </c>
      <c r="I746" s="77" t="s">
        <v>83</v>
      </c>
      <c r="J746" s="16">
        <v>99000</v>
      </c>
      <c r="K746" s="74" t="s">
        <v>83</v>
      </c>
      <c r="L746" s="78">
        <v>0.125</v>
      </c>
      <c r="M746" s="78">
        <v>0.05</v>
      </c>
      <c r="N746" s="76"/>
      <c r="O746" s="77" t="s">
        <v>83</v>
      </c>
      <c r="P746" s="73">
        <f t="shared" si="303"/>
        <v>0</v>
      </c>
      <c r="Q746" s="77" t="s">
        <v>83</v>
      </c>
      <c r="R746" s="16">
        <f t="shared" si="304"/>
        <v>0</v>
      </c>
      <c r="S746" s="16">
        <f t="shared" si="299"/>
        <v>0</v>
      </c>
    </row>
    <row r="747" spans="1:19" x14ac:dyDescent="0.2">
      <c r="A747" s="17" t="s">
        <v>425</v>
      </c>
      <c r="B747" s="2" t="s">
        <v>18</v>
      </c>
      <c r="D747" s="4" t="s">
        <v>83</v>
      </c>
      <c r="E747" s="5">
        <v>3</v>
      </c>
      <c r="F747" s="6">
        <v>1</v>
      </c>
      <c r="G747" s="7" t="s">
        <v>20</v>
      </c>
      <c r="H747" s="6">
        <v>30</v>
      </c>
      <c r="I747" s="7" t="s">
        <v>83</v>
      </c>
      <c r="J747" s="8">
        <v>96000</v>
      </c>
      <c r="K747" s="4" t="s">
        <v>83</v>
      </c>
      <c r="L747" s="9">
        <v>0.125</v>
      </c>
      <c r="M747" s="9">
        <v>0.05</v>
      </c>
      <c r="O747" s="7" t="s">
        <v>83</v>
      </c>
      <c r="P747" s="3">
        <f t="shared" si="303"/>
        <v>90</v>
      </c>
      <c r="Q747" s="7" t="s">
        <v>83</v>
      </c>
      <c r="R747" s="8">
        <f t="shared" si="304"/>
        <v>7182000</v>
      </c>
      <c r="S747" s="8">
        <f t="shared" si="299"/>
        <v>6470270.2702702694</v>
      </c>
    </row>
    <row r="748" spans="1:19" s="72" customFormat="1" x14ac:dyDescent="0.2">
      <c r="A748" s="71" t="s">
        <v>426</v>
      </c>
      <c r="B748" s="72" t="s">
        <v>18</v>
      </c>
      <c r="C748" s="73"/>
      <c r="D748" s="74" t="s">
        <v>83</v>
      </c>
      <c r="E748" s="75"/>
      <c r="F748" s="76">
        <v>1</v>
      </c>
      <c r="G748" s="77" t="s">
        <v>20</v>
      </c>
      <c r="H748" s="76">
        <v>30</v>
      </c>
      <c r="I748" s="77" t="s">
        <v>83</v>
      </c>
      <c r="J748" s="16">
        <v>109000</v>
      </c>
      <c r="K748" s="74" t="s">
        <v>83</v>
      </c>
      <c r="L748" s="78">
        <v>0.125</v>
      </c>
      <c r="M748" s="78">
        <v>0.05</v>
      </c>
      <c r="N748" s="76"/>
      <c r="O748" s="77" t="s">
        <v>83</v>
      </c>
      <c r="P748" s="73">
        <f t="shared" si="303"/>
        <v>0</v>
      </c>
      <c r="Q748" s="77" t="s">
        <v>83</v>
      </c>
      <c r="R748" s="16">
        <f t="shared" si="304"/>
        <v>0</v>
      </c>
      <c r="S748" s="16">
        <f t="shared" si="299"/>
        <v>0</v>
      </c>
    </row>
    <row r="749" spans="1:19" s="72" customFormat="1" x14ac:dyDescent="0.2">
      <c r="A749" s="71" t="s">
        <v>797</v>
      </c>
      <c r="B749" s="72" t="s">
        <v>18</v>
      </c>
      <c r="C749" s="73"/>
      <c r="D749" s="74" t="s">
        <v>83</v>
      </c>
      <c r="E749" s="75"/>
      <c r="F749" s="76">
        <v>1</v>
      </c>
      <c r="G749" s="77" t="s">
        <v>20</v>
      </c>
      <c r="H749" s="76">
        <v>30</v>
      </c>
      <c r="I749" s="77" t="s">
        <v>83</v>
      </c>
      <c r="J749" s="16">
        <v>144000</v>
      </c>
      <c r="K749" s="74" t="s">
        <v>83</v>
      </c>
      <c r="L749" s="78">
        <v>0.125</v>
      </c>
      <c r="M749" s="78">
        <v>0.05</v>
      </c>
      <c r="N749" s="76"/>
      <c r="O749" s="77" t="s">
        <v>83</v>
      </c>
      <c r="P749" s="73">
        <f t="shared" si="303"/>
        <v>0</v>
      </c>
      <c r="Q749" s="77" t="s">
        <v>83</v>
      </c>
      <c r="R749" s="16">
        <f t="shared" si="304"/>
        <v>0</v>
      </c>
      <c r="S749" s="16">
        <f t="shared" si="299"/>
        <v>0</v>
      </c>
    </row>
    <row r="750" spans="1:19" s="72" customFormat="1" x14ac:dyDescent="0.2">
      <c r="A750" s="71" t="s">
        <v>733</v>
      </c>
      <c r="B750" s="72" t="s">
        <v>18</v>
      </c>
      <c r="C750" s="73"/>
      <c r="D750" s="74" t="s">
        <v>83</v>
      </c>
      <c r="E750" s="75"/>
      <c r="F750" s="76">
        <v>1</v>
      </c>
      <c r="G750" s="77" t="s">
        <v>20</v>
      </c>
      <c r="H750" s="76">
        <v>30</v>
      </c>
      <c r="I750" s="77" t="s">
        <v>83</v>
      </c>
      <c r="J750" s="16">
        <v>144000</v>
      </c>
      <c r="K750" s="74" t="s">
        <v>83</v>
      </c>
      <c r="L750" s="78">
        <v>0.125</v>
      </c>
      <c r="M750" s="78">
        <v>0.05</v>
      </c>
      <c r="N750" s="76"/>
      <c r="O750" s="77" t="s">
        <v>83</v>
      </c>
      <c r="P750" s="73">
        <f t="shared" si="303"/>
        <v>0</v>
      </c>
      <c r="Q750" s="77" t="s">
        <v>83</v>
      </c>
      <c r="R750" s="16">
        <f t="shared" si="304"/>
        <v>0</v>
      </c>
      <c r="S750" s="16">
        <f t="shared" si="299"/>
        <v>0</v>
      </c>
    </row>
    <row r="751" spans="1:19" s="88" customFormat="1" x14ac:dyDescent="0.2">
      <c r="A751" s="144" t="s">
        <v>930</v>
      </c>
      <c r="B751" s="88" t="s">
        <v>18</v>
      </c>
      <c r="C751" s="91"/>
      <c r="D751" s="92" t="s">
        <v>83</v>
      </c>
      <c r="E751" s="93">
        <v>1</v>
      </c>
      <c r="F751" s="94">
        <v>1</v>
      </c>
      <c r="G751" s="95" t="s">
        <v>20</v>
      </c>
      <c r="H751" s="94">
        <v>30</v>
      </c>
      <c r="I751" s="95" t="s">
        <v>83</v>
      </c>
      <c r="J751" s="96">
        <v>99000</v>
      </c>
      <c r="K751" s="92" t="s">
        <v>83</v>
      </c>
      <c r="L751" s="97">
        <v>0.125</v>
      </c>
      <c r="M751" s="97">
        <v>0.05</v>
      </c>
      <c r="N751" s="94"/>
      <c r="O751" s="95" t="s">
        <v>83</v>
      </c>
      <c r="P751" s="91">
        <f t="shared" ref="P751" si="308">(C751+(E751*F751*H751))-N751</f>
        <v>30</v>
      </c>
      <c r="Q751" s="95" t="s">
        <v>83</v>
      </c>
      <c r="R751" s="96">
        <f t="shared" ref="R751" si="309">P751*(J751-(J751*L751)-((J751-(J751*L751))*M751))</f>
        <v>2468812.5</v>
      </c>
      <c r="S751" s="96">
        <f t="shared" ref="S751" si="310">R751/1.11</f>
        <v>2224155.405405405</v>
      </c>
    </row>
    <row r="753" spans="1:19" s="17" customFormat="1" x14ac:dyDescent="0.2">
      <c r="A753" s="43" t="s">
        <v>752</v>
      </c>
      <c r="B753" s="17" t="s">
        <v>25</v>
      </c>
      <c r="C753" s="54">
        <v>5</v>
      </c>
      <c r="D753" s="55" t="s">
        <v>83</v>
      </c>
      <c r="E753" s="35"/>
      <c r="F753" s="56">
        <v>1</v>
      </c>
      <c r="G753" s="57" t="s">
        <v>20</v>
      </c>
      <c r="H753" s="56">
        <v>20</v>
      </c>
      <c r="I753" s="57" t="s">
        <v>83</v>
      </c>
      <c r="J753" s="58">
        <f>2448000/20</f>
        <v>122400</v>
      </c>
      <c r="K753" s="55" t="s">
        <v>83</v>
      </c>
      <c r="L753" s="59"/>
      <c r="M753" s="59">
        <v>0.17</v>
      </c>
      <c r="N753" s="56"/>
      <c r="O753" s="57" t="s">
        <v>83</v>
      </c>
      <c r="P753" s="54">
        <f t="shared" ref="P753:P771" si="311">(C753+(E753*F753*H753))-N753</f>
        <v>5</v>
      </c>
      <c r="Q753" s="57" t="s">
        <v>83</v>
      </c>
      <c r="R753" s="58">
        <f t="shared" ref="R753:R771" si="312">P753*(J753-(J753*L753)-((J753-(J753*L753))*M753))</f>
        <v>507960</v>
      </c>
      <c r="S753" s="8">
        <f t="shared" ref="S753:S754" si="313">R753/1.11</f>
        <v>457621.6216216216</v>
      </c>
    </row>
    <row r="754" spans="1:19" s="18" customFormat="1" x14ac:dyDescent="0.2">
      <c r="A754" s="43" t="s">
        <v>427</v>
      </c>
      <c r="B754" s="18" t="s">
        <v>25</v>
      </c>
      <c r="C754" s="44">
        <v>40</v>
      </c>
      <c r="D754" s="45" t="s">
        <v>83</v>
      </c>
      <c r="E754" s="46">
        <v>1</v>
      </c>
      <c r="F754" s="47">
        <v>1</v>
      </c>
      <c r="G754" s="42" t="s">
        <v>20</v>
      </c>
      <c r="H754" s="47">
        <v>20</v>
      </c>
      <c r="I754" s="42" t="s">
        <v>83</v>
      </c>
      <c r="J754" s="29">
        <v>115200</v>
      </c>
      <c r="K754" s="45" t="s">
        <v>83</v>
      </c>
      <c r="L754" s="48"/>
      <c r="M754" s="48">
        <v>0.17</v>
      </c>
      <c r="N754" s="47"/>
      <c r="O754" s="42" t="s">
        <v>83</v>
      </c>
      <c r="P754" s="44">
        <f t="shared" ref="P754" si="314">(C754+(E754*F754*H754))-N754</f>
        <v>60</v>
      </c>
      <c r="Q754" s="42" t="s">
        <v>83</v>
      </c>
      <c r="R754" s="29">
        <f t="shared" ref="R754" si="315">P754*(J754-(J754*L754)-((J754-(J754*L754))*M754))</f>
        <v>5736960</v>
      </c>
      <c r="S754" s="24">
        <f t="shared" si="313"/>
        <v>5168432.4324324317</v>
      </c>
    </row>
    <row r="755" spans="1:19" s="71" customFormat="1" x14ac:dyDescent="0.2">
      <c r="A755" s="113" t="s">
        <v>744</v>
      </c>
      <c r="B755" s="71" t="s">
        <v>25</v>
      </c>
      <c r="C755" s="120"/>
      <c r="D755" s="121" t="s">
        <v>83</v>
      </c>
      <c r="E755" s="122"/>
      <c r="F755" s="123">
        <v>1</v>
      </c>
      <c r="G755" s="124" t="s">
        <v>20</v>
      </c>
      <c r="H755" s="123">
        <v>20</v>
      </c>
      <c r="I755" s="124" t="s">
        <v>83</v>
      </c>
      <c r="J755" s="125">
        <f>2880000/20</f>
        <v>144000</v>
      </c>
      <c r="K755" s="121" t="s">
        <v>83</v>
      </c>
      <c r="L755" s="126"/>
      <c r="M755" s="126">
        <v>0.17</v>
      </c>
      <c r="N755" s="123"/>
      <c r="O755" s="124" t="s">
        <v>83</v>
      </c>
      <c r="P755" s="120">
        <f t="shared" si="311"/>
        <v>0</v>
      </c>
      <c r="Q755" s="124" t="s">
        <v>83</v>
      </c>
      <c r="R755" s="125">
        <f t="shared" si="312"/>
        <v>0</v>
      </c>
      <c r="S755" s="16">
        <f t="shared" si="299"/>
        <v>0</v>
      </c>
    </row>
    <row r="756" spans="1:19" s="17" customFormat="1" x14ac:dyDescent="0.2">
      <c r="A756" s="43" t="s">
        <v>657</v>
      </c>
      <c r="B756" s="17" t="s">
        <v>25</v>
      </c>
      <c r="C756" s="54">
        <v>60</v>
      </c>
      <c r="D756" s="55" t="s">
        <v>83</v>
      </c>
      <c r="E756" s="35"/>
      <c r="F756" s="56">
        <v>1</v>
      </c>
      <c r="G756" s="57" t="s">
        <v>20</v>
      </c>
      <c r="H756" s="56">
        <v>20</v>
      </c>
      <c r="I756" s="57" t="s">
        <v>83</v>
      </c>
      <c r="J756" s="58">
        <f>2448000/20</f>
        <v>122400</v>
      </c>
      <c r="K756" s="55" t="s">
        <v>83</v>
      </c>
      <c r="L756" s="59"/>
      <c r="M756" s="59">
        <v>0.17</v>
      </c>
      <c r="N756" s="56"/>
      <c r="O756" s="57" t="s">
        <v>83</v>
      </c>
      <c r="P756" s="54">
        <f t="shared" si="311"/>
        <v>60</v>
      </c>
      <c r="Q756" s="57" t="s">
        <v>83</v>
      </c>
      <c r="R756" s="58">
        <f t="shared" si="312"/>
        <v>6095520</v>
      </c>
      <c r="S756" s="8">
        <f t="shared" si="299"/>
        <v>5491459.4594594594</v>
      </c>
    </row>
    <row r="757" spans="1:19" s="17" customFormat="1" x14ac:dyDescent="0.2">
      <c r="A757" s="43" t="s">
        <v>428</v>
      </c>
      <c r="B757" s="17" t="s">
        <v>25</v>
      </c>
      <c r="C757" s="54">
        <v>20</v>
      </c>
      <c r="D757" s="55" t="s">
        <v>83</v>
      </c>
      <c r="E757" s="35">
        <v>13</v>
      </c>
      <c r="F757" s="56">
        <v>1</v>
      </c>
      <c r="G757" s="57" t="s">
        <v>20</v>
      </c>
      <c r="H757" s="56">
        <v>20</v>
      </c>
      <c r="I757" s="57" t="s">
        <v>83</v>
      </c>
      <c r="J757" s="58">
        <f>2112000/20</f>
        <v>105600</v>
      </c>
      <c r="K757" s="55" t="s">
        <v>83</v>
      </c>
      <c r="L757" s="59"/>
      <c r="M757" s="59">
        <v>0.17</v>
      </c>
      <c r="N757" s="56"/>
      <c r="O757" s="57" t="s">
        <v>83</v>
      </c>
      <c r="P757" s="54">
        <f t="shared" si="311"/>
        <v>280</v>
      </c>
      <c r="Q757" s="57" t="s">
        <v>83</v>
      </c>
      <c r="R757" s="58">
        <f t="shared" si="312"/>
        <v>24541440</v>
      </c>
      <c r="S757" s="8">
        <f t="shared" si="299"/>
        <v>22109405.405405402</v>
      </c>
    </row>
    <row r="758" spans="1:19" s="17" customFormat="1" x14ac:dyDescent="0.2">
      <c r="A758" s="43" t="s">
        <v>429</v>
      </c>
      <c r="B758" s="17" t="s">
        <v>25</v>
      </c>
      <c r="C758" s="54"/>
      <c r="D758" s="55" t="s">
        <v>83</v>
      </c>
      <c r="E758" s="35">
        <v>2</v>
      </c>
      <c r="F758" s="56">
        <v>1</v>
      </c>
      <c r="G758" s="57" t="s">
        <v>20</v>
      </c>
      <c r="H758" s="56">
        <v>20</v>
      </c>
      <c r="I758" s="57" t="s">
        <v>83</v>
      </c>
      <c r="J758" s="58">
        <f>2448000/20</f>
        <v>122400</v>
      </c>
      <c r="K758" s="55" t="s">
        <v>83</v>
      </c>
      <c r="L758" s="59"/>
      <c r="M758" s="59">
        <v>0.17</v>
      </c>
      <c r="N758" s="56"/>
      <c r="O758" s="57" t="s">
        <v>83</v>
      </c>
      <c r="P758" s="54">
        <f t="shared" si="311"/>
        <v>40</v>
      </c>
      <c r="Q758" s="57" t="s">
        <v>83</v>
      </c>
      <c r="R758" s="58">
        <f t="shared" si="312"/>
        <v>4063680</v>
      </c>
      <c r="S758" s="8">
        <f t="shared" si="299"/>
        <v>3660972.9729729728</v>
      </c>
    </row>
    <row r="759" spans="1:19" s="17" customFormat="1" x14ac:dyDescent="0.2">
      <c r="A759" s="43" t="s">
        <v>430</v>
      </c>
      <c r="B759" s="17" t="s">
        <v>25</v>
      </c>
      <c r="C759" s="54">
        <v>20</v>
      </c>
      <c r="D759" s="55" t="s">
        <v>83</v>
      </c>
      <c r="E759" s="35"/>
      <c r="F759" s="56">
        <v>1</v>
      </c>
      <c r="G759" s="57" t="s">
        <v>20</v>
      </c>
      <c r="H759" s="56">
        <v>20</v>
      </c>
      <c r="I759" s="57" t="s">
        <v>83</v>
      </c>
      <c r="J759" s="58">
        <f>2256000/20</f>
        <v>112800</v>
      </c>
      <c r="K759" s="55" t="s">
        <v>83</v>
      </c>
      <c r="L759" s="59"/>
      <c r="M759" s="59">
        <v>0.17</v>
      </c>
      <c r="N759" s="56"/>
      <c r="O759" s="57" t="s">
        <v>83</v>
      </c>
      <c r="P759" s="54">
        <f t="shared" si="311"/>
        <v>20</v>
      </c>
      <c r="Q759" s="57" t="s">
        <v>83</v>
      </c>
      <c r="R759" s="58">
        <f t="shared" si="312"/>
        <v>1872480</v>
      </c>
      <c r="S759" s="8">
        <f t="shared" si="299"/>
        <v>1686918.9189189188</v>
      </c>
    </row>
    <row r="760" spans="1:19" s="17" customFormat="1" x14ac:dyDescent="0.2">
      <c r="A760" s="43" t="s">
        <v>431</v>
      </c>
      <c r="B760" s="17" t="s">
        <v>25</v>
      </c>
      <c r="C760" s="44"/>
      <c r="D760" s="55" t="s">
        <v>83</v>
      </c>
      <c r="E760" s="35">
        <v>1</v>
      </c>
      <c r="F760" s="56">
        <v>1</v>
      </c>
      <c r="G760" s="57" t="s">
        <v>20</v>
      </c>
      <c r="H760" s="56">
        <v>20</v>
      </c>
      <c r="I760" s="57" t="s">
        <v>83</v>
      </c>
      <c r="J760" s="58">
        <f>8500*12</f>
        <v>102000</v>
      </c>
      <c r="K760" s="55" t="s">
        <v>83</v>
      </c>
      <c r="L760" s="59"/>
      <c r="M760" s="59">
        <v>0.17</v>
      </c>
      <c r="N760" s="60"/>
      <c r="O760" s="57" t="s">
        <v>83</v>
      </c>
      <c r="P760" s="54">
        <f t="shared" si="311"/>
        <v>20</v>
      </c>
      <c r="Q760" s="57" t="s">
        <v>83</v>
      </c>
      <c r="R760" s="58">
        <f t="shared" si="312"/>
        <v>1693200</v>
      </c>
      <c r="S760" s="8">
        <f t="shared" si="299"/>
        <v>1525405.4054054052</v>
      </c>
    </row>
    <row r="761" spans="1:19" s="71" customFormat="1" x14ac:dyDescent="0.2">
      <c r="A761" s="113" t="s">
        <v>432</v>
      </c>
      <c r="B761" s="71" t="s">
        <v>25</v>
      </c>
      <c r="C761" s="127"/>
      <c r="D761" s="121" t="s">
        <v>83</v>
      </c>
      <c r="E761" s="122"/>
      <c r="F761" s="123">
        <v>1</v>
      </c>
      <c r="G761" s="124" t="s">
        <v>20</v>
      </c>
      <c r="H761" s="123">
        <v>20</v>
      </c>
      <c r="I761" s="124" t="s">
        <v>83</v>
      </c>
      <c r="J761" s="125">
        <v>103200</v>
      </c>
      <c r="K761" s="121" t="s">
        <v>83</v>
      </c>
      <c r="L761" s="126"/>
      <c r="M761" s="126">
        <v>0.17</v>
      </c>
      <c r="N761" s="123"/>
      <c r="O761" s="124" t="s">
        <v>83</v>
      </c>
      <c r="P761" s="120">
        <f t="shared" si="311"/>
        <v>0</v>
      </c>
      <c r="Q761" s="124" t="s">
        <v>83</v>
      </c>
      <c r="R761" s="125">
        <f t="shared" si="312"/>
        <v>0</v>
      </c>
      <c r="S761" s="16">
        <f t="shared" si="299"/>
        <v>0</v>
      </c>
    </row>
    <row r="762" spans="1:19" s="72" customFormat="1" x14ac:dyDescent="0.2">
      <c r="A762" s="71" t="s">
        <v>433</v>
      </c>
      <c r="B762" s="72" t="s">
        <v>25</v>
      </c>
      <c r="C762" s="79"/>
      <c r="D762" s="74" t="s">
        <v>83</v>
      </c>
      <c r="E762" s="75"/>
      <c r="F762" s="76">
        <v>1</v>
      </c>
      <c r="G762" s="77" t="s">
        <v>20</v>
      </c>
      <c r="H762" s="76">
        <v>20</v>
      </c>
      <c r="I762" s="77" t="s">
        <v>83</v>
      </c>
      <c r="J762" s="16">
        <f>1980000/20</f>
        <v>99000</v>
      </c>
      <c r="K762" s="74" t="s">
        <v>83</v>
      </c>
      <c r="L762" s="78"/>
      <c r="M762" s="78">
        <v>0.17</v>
      </c>
      <c r="N762" s="76"/>
      <c r="O762" s="77" t="s">
        <v>83</v>
      </c>
      <c r="P762" s="73">
        <f t="shared" si="311"/>
        <v>0</v>
      </c>
      <c r="Q762" s="77" t="s">
        <v>83</v>
      </c>
      <c r="R762" s="16">
        <f t="shared" si="312"/>
        <v>0</v>
      </c>
      <c r="S762" s="16">
        <f t="shared" si="299"/>
        <v>0</v>
      </c>
    </row>
    <row r="763" spans="1:19" s="18" customFormat="1" x14ac:dyDescent="0.2">
      <c r="A763" s="43" t="s">
        <v>434</v>
      </c>
      <c r="B763" s="18" t="s">
        <v>25</v>
      </c>
      <c r="C763" s="44">
        <v>115</v>
      </c>
      <c r="D763" s="45" t="s">
        <v>83</v>
      </c>
      <c r="E763" s="46">
        <v>5</v>
      </c>
      <c r="F763" s="47">
        <v>1</v>
      </c>
      <c r="G763" s="42" t="s">
        <v>20</v>
      </c>
      <c r="H763" s="47">
        <v>20</v>
      </c>
      <c r="I763" s="42" t="s">
        <v>83</v>
      </c>
      <c r="J763" s="29">
        <f>2208000/20</f>
        <v>110400</v>
      </c>
      <c r="K763" s="45" t="s">
        <v>83</v>
      </c>
      <c r="L763" s="48"/>
      <c r="M763" s="48">
        <v>0.17</v>
      </c>
      <c r="N763" s="47"/>
      <c r="O763" s="42" t="s">
        <v>83</v>
      </c>
      <c r="P763" s="44">
        <f t="shared" si="311"/>
        <v>215</v>
      </c>
      <c r="Q763" s="42" t="s">
        <v>83</v>
      </c>
      <c r="R763" s="29">
        <f t="shared" si="312"/>
        <v>19700880</v>
      </c>
      <c r="S763" s="24">
        <f t="shared" si="299"/>
        <v>17748540.540540539</v>
      </c>
    </row>
    <row r="764" spans="1:19" s="18" customFormat="1" x14ac:dyDescent="0.2">
      <c r="A764" s="43" t="s">
        <v>435</v>
      </c>
      <c r="B764" s="18" t="s">
        <v>25</v>
      </c>
      <c r="C764" s="44">
        <v>96</v>
      </c>
      <c r="D764" s="45" t="s">
        <v>83</v>
      </c>
      <c r="E764" s="46">
        <v>5</v>
      </c>
      <c r="F764" s="47">
        <v>1</v>
      </c>
      <c r="G764" s="42" t="s">
        <v>20</v>
      </c>
      <c r="H764" s="47">
        <v>20</v>
      </c>
      <c r="I764" s="42" t="s">
        <v>83</v>
      </c>
      <c r="J764" s="29">
        <f>2208000/20</f>
        <v>110400</v>
      </c>
      <c r="K764" s="45" t="s">
        <v>83</v>
      </c>
      <c r="L764" s="48"/>
      <c r="M764" s="48">
        <v>0.17</v>
      </c>
      <c r="N764" s="47"/>
      <c r="O764" s="42" t="s">
        <v>83</v>
      </c>
      <c r="P764" s="44">
        <f t="shared" si="311"/>
        <v>196</v>
      </c>
      <c r="Q764" s="42" t="s">
        <v>83</v>
      </c>
      <c r="R764" s="29">
        <f t="shared" si="312"/>
        <v>17959872</v>
      </c>
      <c r="S764" s="24">
        <f t="shared" si="299"/>
        <v>16180064.864864863</v>
      </c>
    </row>
    <row r="765" spans="1:19" s="17" customFormat="1" x14ac:dyDescent="0.2">
      <c r="A765" s="43" t="s">
        <v>436</v>
      </c>
      <c r="B765" s="17" t="s">
        <v>25</v>
      </c>
      <c r="C765" s="54">
        <v>19</v>
      </c>
      <c r="D765" s="55" t="s">
        <v>83</v>
      </c>
      <c r="E765" s="35"/>
      <c r="F765" s="56">
        <v>1</v>
      </c>
      <c r="G765" s="57" t="s">
        <v>20</v>
      </c>
      <c r="H765" s="56">
        <v>20</v>
      </c>
      <c r="I765" s="57" t="s">
        <v>83</v>
      </c>
      <c r="J765" s="58">
        <f>2112000/20</f>
        <v>105600</v>
      </c>
      <c r="K765" s="55" t="s">
        <v>83</v>
      </c>
      <c r="L765" s="59"/>
      <c r="M765" s="59">
        <v>0.17</v>
      </c>
      <c r="N765" s="56"/>
      <c r="O765" s="57" t="s">
        <v>83</v>
      </c>
      <c r="P765" s="54">
        <f t="shared" si="311"/>
        <v>19</v>
      </c>
      <c r="Q765" s="57" t="s">
        <v>83</v>
      </c>
      <c r="R765" s="58">
        <f t="shared" si="312"/>
        <v>1665312</v>
      </c>
      <c r="S765" s="8">
        <f t="shared" si="299"/>
        <v>1500281.0810810809</v>
      </c>
    </row>
    <row r="766" spans="1:19" s="71" customFormat="1" x14ac:dyDescent="0.2">
      <c r="A766" s="113" t="s">
        <v>437</v>
      </c>
      <c r="B766" s="71" t="s">
        <v>25</v>
      </c>
      <c r="C766" s="120"/>
      <c r="D766" s="121" t="s">
        <v>83</v>
      </c>
      <c r="E766" s="122"/>
      <c r="F766" s="123">
        <v>1</v>
      </c>
      <c r="G766" s="124" t="s">
        <v>20</v>
      </c>
      <c r="H766" s="123">
        <v>20</v>
      </c>
      <c r="I766" s="124" t="s">
        <v>83</v>
      </c>
      <c r="J766" s="125">
        <f>2160000/20</f>
        <v>108000</v>
      </c>
      <c r="K766" s="121" t="s">
        <v>83</v>
      </c>
      <c r="L766" s="126"/>
      <c r="M766" s="126">
        <v>0.17</v>
      </c>
      <c r="N766" s="123"/>
      <c r="O766" s="124" t="s">
        <v>83</v>
      </c>
      <c r="P766" s="120">
        <f t="shared" si="311"/>
        <v>0</v>
      </c>
      <c r="Q766" s="124" t="s">
        <v>83</v>
      </c>
      <c r="R766" s="125">
        <f t="shared" si="312"/>
        <v>0</v>
      </c>
      <c r="S766" s="16">
        <f t="shared" si="299"/>
        <v>0</v>
      </c>
    </row>
    <row r="767" spans="1:19" s="17" customFormat="1" x14ac:dyDescent="0.2">
      <c r="A767" s="43" t="s">
        <v>438</v>
      </c>
      <c r="B767" s="17" t="s">
        <v>25</v>
      </c>
      <c r="C767" s="54"/>
      <c r="D767" s="55" t="s">
        <v>83</v>
      </c>
      <c r="E767" s="35">
        <v>12</v>
      </c>
      <c r="F767" s="56">
        <v>1</v>
      </c>
      <c r="G767" s="57" t="s">
        <v>20</v>
      </c>
      <c r="H767" s="56">
        <v>20</v>
      </c>
      <c r="I767" s="57" t="s">
        <v>83</v>
      </c>
      <c r="J767" s="58">
        <f>2160000/20</f>
        <v>108000</v>
      </c>
      <c r="K767" s="55" t="s">
        <v>83</v>
      </c>
      <c r="L767" s="59"/>
      <c r="M767" s="59">
        <v>0.17</v>
      </c>
      <c r="N767" s="56"/>
      <c r="O767" s="57" t="s">
        <v>83</v>
      </c>
      <c r="P767" s="54">
        <f t="shared" si="311"/>
        <v>240</v>
      </c>
      <c r="Q767" s="57" t="s">
        <v>83</v>
      </c>
      <c r="R767" s="58">
        <f t="shared" si="312"/>
        <v>21513600</v>
      </c>
      <c r="S767" s="8">
        <f t="shared" si="299"/>
        <v>19381621.62162162</v>
      </c>
    </row>
    <row r="768" spans="1:19" s="71" customFormat="1" x14ac:dyDescent="0.2">
      <c r="A768" s="113" t="s">
        <v>710</v>
      </c>
      <c r="B768" s="71" t="s">
        <v>25</v>
      </c>
      <c r="C768" s="120"/>
      <c r="D768" s="121" t="s">
        <v>83</v>
      </c>
      <c r="E768" s="122">
        <v>5</v>
      </c>
      <c r="F768" s="123">
        <v>1</v>
      </c>
      <c r="G768" s="124" t="s">
        <v>20</v>
      </c>
      <c r="H768" s="123">
        <v>20</v>
      </c>
      <c r="I768" s="124" t="s">
        <v>83</v>
      </c>
      <c r="J768" s="125">
        <f>2256000/20</f>
        <v>112800</v>
      </c>
      <c r="K768" s="121" t="s">
        <v>83</v>
      </c>
      <c r="L768" s="126"/>
      <c r="M768" s="126">
        <v>0.17</v>
      </c>
      <c r="N768" s="123"/>
      <c r="O768" s="124" t="s">
        <v>83</v>
      </c>
      <c r="P768" s="120">
        <f t="shared" si="311"/>
        <v>100</v>
      </c>
      <c r="Q768" s="124" t="s">
        <v>83</v>
      </c>
      <c r="R768" s="125">
        <f t="shared" si="312"/>
        <v>9362400</v>
      </c>
      <c r="S768" s="16">
        <f t="shared" si="299"/>
        <v>8434594.5945945941</v>
      </c>
    </row>
    <row r="769" spans="1:19" s="17" customFormat="1" x14ac:dyDescent="0.2">
      <c r="A769" s="43" t="s">
        <v>439</v>
      </c>
      <c r="B769" s="17" t="s">
        <v>25</v>
      </c>
      <c r="C769" s="54"/>
      <c r="D769" s="55" t="s">
        <v>83</v>
      </c>
      <c r="E769" s="35">
        <v>1</v>
      </c>
      <c r="F769" s="56">
        <v>1</v>
      </c>
      <c r="G769" s="57" t="s">
        <v>20</v>
      </c>
      <c r="H769" s="56">
        <v>20</v>
      </c>
      <c r="I769" s="57" t="s">
        <v>83</v>
      </c>
      <c r="J769" s="58">
        <f>2112000/20</f>
        <v>105600</v>
      </c>
      <c r="K769" s="55" t="s">
        <v>83</v>
      </c>
      <c r="L769" s="59"/>
      <c r="M769" s="59">
        <v>0.17</v>
      </c>
      <c r="N769" s="56"/>
      <c r="O769" s="57" t="s">
        <v>83</v>
      </c>
      <c r="P769" s="54">
        <f t="shared" si="311"/>
        <v>20</v>
      </c>
      <c r="Q769" s="57" t="s">
        <v>83</v>
      </c>
      <c r="R769" s="58">
        <f t="shared" si="312"/>
        <v>1752960</v>
      </c>
      <c r="S769" s="8">
        <f t="shared" si="299"/>
        <v>1579243.2432432431</v>
      </c>
    </row>
    <row r="770" spans="1:19" s="71" customFormat="1" x14ac:dyDescent="0.2">
      <c r="A770" s="113" t="s">
        <v>440</v>
      </c>
      <c r="B770" s="71" t="s">
        <v>25</v>
      </c>
      <c r="C770" s="120"/>
      <c r="D770" s="121" t="s">
        <v>83</v>
      </c>
      <c r="E770" s="122"/>
      <c r="F770" s="123">
        <v>1</v>
      </c>
      <c r="G770" s="124" t="s">
        <v>20</v>
      </c>
      <c r="H770" s="123">
        <v>20</v>
      </c>
      <c r="I770" s="124" t="s">
        <v>83</v>
      </c>
      <c r="J770" s="125">
        <f>2352000/20</f>
        <v>117600</v>
      </c>
      <c r="K770" s="121" t="s">
        <v>83</v>
      </c>
      <c r="L770" s="126"/>
      <c r="M770" s="126">
        <v>0.17</v>
      </c>
      <c r="N770" s="123"/>
      <c r="O770" s="124" t="s">
        <v>83</v>
      </c>
      <c r="P770" s="120">
        <f t="shared" si="311"/>
        <v>0</v>
      </c>
      <c r="Q770" s="124" t="s">
        <v>83</v>
      </c>
      <c r="R770" s="125">
        <f t="shared" si="312"/>
        <v>0</v>
      </c>
      <c r="S770" s="16">
        <f t="shared" si="299"/>
        <v>0</v>
      </c>
    </row>
    <row r="771" spans="1:19" s="17" customFormat="1" x14ac:dyDescent="0.2">
      <c r="A771" s="43" t="s">
        <v>745</v>
      </c>
      <c r="B771" s="17" t="s">
        <v>25</v>
      </c>
      <c r="C771" s="54"/>
      <c r="D771" s="55" t="s">
        <v>83</v>
      </c>
      <c r="E771" s="35">
        <v>1</v>
      </c>
      <c r="F771" s="56">
        <v>1</v>
      </c>
      <c r="G771" s="57" t="s">
        <v>20</v>
      </c>
      <c r="H771" s="56">
        <v>20</v>
      </c>
      <c r="I771" s="57" t="s">
        <v>83</v>
      </c>
      <c r="J771" s="58">
        <f>2256000/20</f>
        <v>112800</v>
      </c>
      <c r="K771" s="55" t="s">
        <v>83</v>
      </c>
      <c r="L771" s="59"/>
      <c r="M771" s="59">
        <v>0.17</v>
      </c>
      <c r="N771" s="56"/>
      <c r="O771" s="57" t="s">
        <v>83</v>
      </c>
      <c r="P771" s="54">
        <f t="shared" si="311"/>
        <v>20</v>
      </c>
      <c r="Q771" s="57" t="s">
        <v>83</v>
      </c>
      <c r="R771" s="58">
        <f t="shared" si="312"/>
        <v>1872480</v>
      </c>
      <c r="S771" s="8">
        <f t="shared" si="299"/>
        <v>1686918.9189189188</v>
      </c>
    </row>
    <row r="772" spans="1:19" s="17" customFormat="1" x14ac:dyDescent="0.2">
      <c r="A772" s="43"/>
      <c r="C772" s="54"/>
      <c r="D772" s="55"/>
      <c r="E772" s="35"/>
      <c r="F772" s="56"/>
      <c r="G772" s="57"/>
      <c r="H772" s="56"/>
      <c r="I772" s="57"/>
      <c r="J772" s="58"/>
      <c r="K772" s="55"/>
      <c r="L772" s="59"/>
      <c r="M772" s="59"/>
      <c r="N772" s="56"/>
      <c r="O772" s="57"/>
      <c r="P772" s="54"/>
      <c r="Q772" s="57"/>
      <c r="R772" s="58"/>
      <c r="S772" s="8"/>
    </row>
    <row r="773" spans="1:19" s="17" customFormat="1" x14ac:dyDescent="0.2">
      <c r="A773" s="43" t="s">
        <v>441</v>
      </c>
      <c r="B773" s="17" t="s">
        <v>181</v>
      </c>
      <c r="C773" s="54">
        <v>181</v>
      </c>
      <c r="D773" s="55" t="s">
        <v>83</v>
      </c>
      <c r="E773" s="35"/>
      <c r="F773" s="56">
        <v>1</v>
      </c>
      <c r="G773" s="57" t="s">
        <v>20</v>
      </c>
      <c r="H773" s="56">
        <v>30</v>
      </c>
      <c r="I773" s="57" t="s">
        <v>83</v>
      </c>
      <c r="J773" s="58">
        <v>155000</v>
      </c>
      <c r="K773" s="55" t="s">
        <v>83</v>
      </c>
      <c r="L773" s="59"/>
      <c r="M773" s="59"/>
      <c r="N773" s="56"/>
      <c r="O773" s="57" t="s">
        <v>83</v>
      </c>
      <c r="P773" s="54">
        <f>(C773+(E773*F773*H773))-N773</f>
        <v>181</v>
      </c>
      <c r="Q773" s="57" t="s">
        <v>83</v>
      </c>
      <c r="R773" s="58">
        <f>P773*(J773-(J773*L773)-((J773-(J773*L773))*M773))</f>
        <v>28055000</v>
      </c>
      <c r="S773" s="8">
        <f t="shared" si="299"/>
        <v>25274774.774774771</v>
      </c>
    </row>
    <row r="774" spans="1:19" s="17" customFormat="1" x14ac:dyDescent="0.2">
      <c r="A774" s="43" t="s">
        <v>933</v>
      </c>
      <c r="B774" s="17" t="s">
        <v>181</v>
      </c>
      <c r="C774" s="54"/>
      <c r="D774" s="55" t="s">
        <v>33</v>
      </c>
      <c r="E774" s="35">
        <v>30</v>
      </c>
      <c r="F774" s="56">
        <v>1</v>
      </c>
      <c r="G774" s="57" t="s">
        <v>20</v>
      </c>
      <c r="H774" s="56">
        <v>40</v>
      </c>
      <c r="I774" s="57" t="s">
        <v>33</v>
      </c>
      <c r="J774" s="58">
        <v>52703</v>
      </c>
      <c r="K774" s="55" t="s">
        <v>33</v>
      </c>
      <c r="L774" s="59"/>
      <c r="M774" s="59"/>
      <c r="N774" s="56"/>
      <c r="O774" s="57" t="s">
        <v>33</v>
      </c>
      <c r="P774" s="54">
        <f>(C774+(E774*F774*H774))-N774</f>
        <v>1200</v>
      </c>
      <c r="Q774" s="57" t="s">
        <v>33</v>
      </c>
      <c r="R774" s="58">
        <f>P774*(J774-(J774*L774)-((J774-(J774*L774))*M774))</f>
        <v>63243600</v>
      </c>
      <c r="S774" s="8">
        <f t="shared" ref="S774" si="316">R774/1.11</f>
        <v>56976216.216216214</v>
      </c>
    </row>
    <row r="775" spans="1:19" s="17" customFormat="1" x14ac:dyDescent="0.2">
      <c r="A775" s="43"/>
      <c r="C775" s="54"/>
      <c r="D775" s="55"/>
      <c r="E775" s="35"/>
      <c r="F775" s="56"/>
      <c r="G775" s="57"/>
      <c r="H775" s="56"/>
      <c r="I775" s="57"/>
      <c r="J775" s="58"/>
      <c r="K775" s="55"/>
      <c r="L775" s="59"/>
      <c r="M775" s="59"/>
      <c r="N775" s="56"/>
      <c r="O775" s="57"/>
      <c r="P775" s="54"/>
      <c r="Q775" s="57"/>
      <c r="R775" s="58"/>
      <c r="S775" s="8"/>
    </row>
    <row r="776" spans="1:19" x14ac:dyDescent="0.2">
      <c r="A776" s="15" t="s">
        <v>442</v>
      </c>
    </row>
    <row r="777" spans="1:19" x14ac:dyDescent="0.2">
      <c r="A777" s="17" t="s">
        <v>443</v>
      </c>
      <c r="B777" s="2" t="s">
        <v>181</v>
      </c>
      <c r="C777" s="3">
        <v>103</v>
      </c>
      <c r="D777" s="4" t="s">
        <v>33</v>
      </c>
      <c r="F777" s="6">
        <v>1</v>
      </c>
      <c r="G777" s="7" t="s">
        <v>20</v>
      </c>
      <c r="H777" s="6">
        <v>40</v>
      </c>
      <c r="I777" s="7" t="s">
        <v>33</v>
      </c>
      <c r="J777" s="8">
        <v>33600</v>
      </c>
      <c r="K777" s="4" t="s">
        <v>33</v>
      </c>
      <c r="O777" s="7" t="s">
        <v>33</v>
      </c>
      <c r="P777" s="3">
        <f>(C777+(E777*F777*H777))-N777</f>
        <v>103</v>
      </c>
      <c r="Q777" s="7" t="s">
        <v>33</v>
      </c>
      <c r="R777" s="8">
        <f>P777*(J777-(J777*L777)-((J777-(J777*L777))*M777))</f>
        <v>3460800</v>
      </c>
      <c r="S777" s="8">
        <f t="shared" si="299"/>
        <v>3117837.8378378376</v>
      </c>
    </row>
    <row r="778" spans="1:19" x14ac:dyDescent="0.2">
      <c r="A778" s="17" t="s">
        <v>444</v>
      </c>
      <c r="B778" s="2" t="s">
        <v>181</v>
      </c>
      <c r="C778" s="3">
        <v>118</v>
      </c>
      <c r="D778" s="4" t="s">
        <v>33</v>
      </c>
      <c r="F778" s="6">
        <v>1</v>
      </c>
      <c r="G778" s="7" t="s">
        <v>20</v>
      </c>
      <c r="H778" s="6">
        <v>40</v>
      </c>
      <c r="I778" s="7" t="s">
        <v>33</v>
      </c>
      <c r="J778" s="8">
        <v>33600</v>
      </c>
      <c r="K778" s="4" t="s">
        <v>33</v>
      </c>
      <c r="O778" s="7" t="s">
        <v>33</v>
      </c>
      <c r="P778" s="3">
        <f>(C778+(E778*F778*H778))-N778</f>
        <v>118</v>
      </c>
      <c r="Q778" s="7" t="s">
        <v>33</v>
      </c>
      <c r="R778" s="8">
        <f>P778*(J778-(J778*L778)-((J778-(J778*L778))*M778))</f>
        <v>3964800</v>
      </c>
      <c r="S778" s="8">
        <f t="shared" si="299"/>
        <v>3571891.8918918916</v>
      </c>
    </row>
    <row r="779" spans="1:19" x14ac:dyDescent="0.2">
      <c r="A779" s="17" t="s">
        <v>445</v>
      </c>
      <c r="B779" s="2" t="s">
        <v>181</v>
      </c>
      <c r="C779" s="3">
        <v>318</v>
      </c>
      <c r="D779" s="4" t="s">
        <v>33</v>
      </c>
      <c r="F779" s="6">
        <v>1</v>
      </c>
      <c r="G779" s="7" t="s">
        <v>20</v>
      </c>
      <c r="H779" s="6">
        <v>40</v>
      </c>
      <c r="I779" s="7" t="s">
        <v>33</v>
      </c>
      <c r="J779" s="8">
        <v>33600</v>
      </c>
      <c r="K779" s="4" t="s">
        <v>33</v>
      </c>
      <c r="O779" s="7" t="s">
        <v>33</v>
      </c>
      <c r="P779" s="3">
        <f>(C779+(E779*F779*H779))-N779</f>
        <v>318</v>
      </c>
      <c r="Q779" s="7" t="s">
        <v>33</v>
      </c>
      <c r="R779" s="8">
        <f>P779*(J779-(J779*L779)-((J779-(J779*L779))*M779))</f>
        <v>10684800</v>
      </c>
      <c r="S779" s="8">
        <f t="shared" si="299"/>
        <v>9625945.9459459446</v>
      </c>
    </row>
    <row r="780" spans="1:19" s="72" customFormat="1" x14ac:dyDescent="0.2">
      <c r="A780" s="71" t="s">
        <v>446</v>
      </c>
      <c r="B780" s="72" t="s">
        <v>181</v>
      </c>
      <c r="C780" s="79"/>
      <c r="D780" s="74" t="s">
        <v>33</v>
      </c>
      <c r="E780" s="75"/>
      <c r="F780" s="76">
        <v>1</v>
      </c>
      <c r="G780" s="77" t="s">
        <v>20</v>
      </c>
      <c r="H780" s="76">
        <v>40</v>
      </c>
      <c r="I780" s="77" t="s">
        <v>33</v>
      </c>
      <c r="J780" s="16">
        <v>33600</v>
      </c>
      <c r="K780" s="74" t="s">
        <v>33</v>
      </c>
      <c r="L780" s="78"/>
      <c r="M780" s="78"/>
      <c r="N780" s="76"/>
      <c r="O780" s="77" t="s">
        <v>33</v>
      </c>
      <c r="P780" s="73">
        <f>(C780+(E780*F780*H780))-N780</f>
        <v>0</v>
      </c>
      <c r="Q780" s="77" t="s">
        <v>33</v>
      </c>
      <c r="R780" s="16">
        <f>P780*(J780-(J780*L780)-((J780-(J780*L780))*M780))</f>
        <v>0</v>
      </c>
      <c r="S780" s="16">
        <f t="shared" si="299"/>
        <v>0</v>
      </c>
    </row>
    <row r="781" spans="1:19" s="72" customFormat="1" x14ac:dyDescent="0.2">
      <c r="A781" s="71" t="s">
        <v>447</v>
      </c>
      <c r="B781" s="72" t="s">
        <v>181</v>
      </c>
      <c r="C781" s="79"/>
      <c r="D781" s="74" t="s">
        <v>33</v>
      </c>
      <c r="E781" s="75"/>
      <c r="F781" s="76">
        <v>1</v>
      </c>
      <c r="G781" s="77" t="s">
        <v>20</v>
      </c>
      <c r="H781" s="76">
        <v>24</v>
      </c>
      <c r="I781" s="77" t="s">
        <v>33</v>
      </c>
      <c r="J781" s="16">
        <v>38400</v>
      </c>
      <c r="K781" s="74" t="s">
        <v>33</v>
      </c>
      <c r="L781" s="78"/>
      <c r="M781" s="78"/>
      <c r="N781" s="76"/>
      <c r="O781" s="77" t="s">
        <v>33</v>
      </c>
      <c r="P781" s="73">
        <f>(C781+(E781*F781*H781))-N781</f>
        <v>0</v>
      </c>
      <c r="Q781" s="77" t="s">
        <v>33</v>
      </c>
      <c r="R781" s="16">
        <f>P781*(J781-(J781*L781)-((J781-(J781*L781))*M781))</f>
        <v>0</v>
      </c>
      <c r="S781" s="16">
        <f t="shared" si="299"/>
        <v>0</v>
      </c>
    </row>
    <row r="782" spans="1:19" x14ac:dyDescent="0.2">
      <c r="C782" s="20"/>
    </row>
    <row r="783" spans="1:19" x14ac:dyDescent="0.2">
      <c r="A783" s="15" t="s">
        <v>448</v>
      </c>
      <c r="C783" s="20"/>
    </row>
    <row r="784" spans="1:19" x14ac:dyDescent="0.2">
      <c r="A784" s="53" t="s">
        <v>449</v>
      </c>
      <c r="B784" s="2" t="s">
        <v>18</v>
      </c>
      <c r="C784" s="20">
        <v>698</v>
      </c>
      <c r="D784" s="4" t="s">
        <v>83</v>
      </c>
      <c r="F784" s="6">
        <v>1</v>
      </c>
      <c r="G784" s="7" t="s">
        <v>20</v>
      </c>
      <c r="H784" s="6">
        <v>12</v>
      </c>
      <c r="I784" s="7" t="s">
        <v>83</v>
      </c>
      <c r="J784" s="8">
        <v>255600</v>
      </c>
      <c r="K784" s="4" t="s">
        <v>83</v>
      </c>
      <c r="L784" s="9">
        <v>0.125</v>
      </c>
      <c r="M784" s="9">
        <v>0.05</v>
      </c>
      <c r="O784" s="7" t="s">
        <v>83</v>
      </c>
      <c r="P784" s="3">
        <f>(C784+(E784*F784*H784))-N784</f>
        <v>698</v>
      </c>
      <c r="Q784" s="7" t="s">
        <v>83</v>
      </c>
      <c r="R784" s="8">
        <f>P784*(J784-(J784*L784)-((J784-(J784*L784))*M784))</f>
        <v>148302315</v>
      </c>
      <c r="S784" s="8">
        <f t="shared" ref="S784:S785" si="317">R784/1.11</f>
        <v>133605689.18918918</v>
      </c>
    </row>
    <row r="785" spans="1:19" s="72" customFormat="1" x14ac:dyDescent="0.2">
      <c r="A785" s="119" t="s">
        <v>450</v>
      </c>
      <c r="B785" s="72" t="s">
        <v>25</v>
      </c>
      <c r="C785" s="79"/>
      <c r="D785" s="74" t="s">
        <v>40</v>
      </c>
      <c r="E785" s="75"/>
      <c r="F785" s="76">
        <v>12</v>
      </c>
      <c r="G785" s="77" t="s">
        <v>33</v>
      </c>
      <c r="H785" s="76">
        <v>6</v>
      </c>
      <c r="I785" s="77" t="s">
        <v>40</v>
      </c>
      <c r="J785" s="16">
        <v>21000</v>
      </c>
      <c r="K785" s="74" t="s">
        <v>40</v>
      </c>
      <c r="L785" s="78"/>
      <c r="M785" s="78">
        <v>0.17</v>
      </c>
      <c r="N785" s="76"/>
      <c r="O785" s="77" t="s">
        <v>40</v>
      </c>
      <c r="P785" s="73">
        <f>(C785+(E785*F785*H785))-N785</f>
        <v>0</v>
      </c>
      <c r="Q785" s="77" t="s">
        <v>40</v>
      </c>
      <c r="R785" s="16">
        <f>P785*(J785-(J785*L785)-((J785-(J785*L785))*M785))</f>
        <v>0</v>
      </c>
      <c r="S785" s="16">
        <f t="shared" si="317"/>
        <v>0</v>
      </c>
    </row>
    <row r="786" spans="1:19" x14ac:dyDescent="0.2">
      <c r="A786" s="53"/>
      <c r="C786" s="20"/>
    </row>
    <row r="787" spans="1:19" x14ac:dyDescent="0.2">
      <c r="A787" s="15" t="s">
        <v>451</v>
      </c>
      <c r="C787" s="20"/>
    </row>
    <row r="788" spans="1:19" s="72" customFormat="1" x14ac:dyDescent="0.2">
      <c r="A788" s="119" t="s">
        <v>452</v>
      </c>
      <c r="B788" s="72" t="s">
        <v>18</v>
      </c>
      <c r="C788" s="79"/>
      <c r="D788" s="74" t="s">
        <v>40</v>
      </c>
      <c r="E788" s="75"/>
      <c r="F788" s="76">
        <v>1</v>
      </c>
      <c r="G788" s="77" t="s">
        <v>20</v>
      </c>
      <c r="H788" s="76">
        <v>144</v>
      </c>
      <c r="I788" s="77" t="s">
        <v>40</v>
      </c>
      <c r="J788" s="16">
        <v>49200</v>
      </c>
      <c r="K788" s="74" t="s">
        <v>40</v>
      </c>
      <c r="L788" s="78">
        <v>0.125</v>
      </c>
      <c r="M788" s="78">
        <v>0.05</v>
      </c>
      <c r="N788" s="76"/>
      <c r="O788" s="77" t="s">
        <v>40</v>
      </c>
      <c r="P788" s="73">
        <f t="shared" ref="P788:P794" si="318">(C788+(E788*F788*H788))-N788</f>
        <v>0</v>
      </c>
      <c r="Q788" s="77" t="s">
        <v>40</v>
      </c>
      <c r="R788" s="16">
        <f t="shared" ref="R788:R794" si="319">P788*(J788-(J788*L788)-((J788-(J788*L788))*M788))</f>
        <v>0</v>
      </c>
      <c r="S788" s="16">
        <f t="shared" si="299"/>
        <v>0</v>
      </c>
    </row>
    <row r="789" spans="1:19" s="81" customFormat="1" x14ac:dyDescent="0.2">
      <c r="A789" s="119" t="s">
        <v>453</v>
      </c>
      <c r="B789" s="81" t="s">
        <v>18</v>
      </c>
      <c r="C789" s="79"/>
      <c r="D789" s="82" t="s">
        <v>40</v>
      </c>
      <c r="E789" s="83"/>
      <c r="F789" s="84">
        <v>1</v>
      </c>
      <c r="G789" s="85" t="s">
        <v>20</v>
      </c>
      <c r="H789" s="84">
        <v>120</v>
      </c>
      <c r="I789" s="85" t="s">
        <v>40</v>
      </c>
      <c r="J789" s="86">
        <v>30600</v>
      </c>
      <c r="K789" s="82" t="s">
        <v>40</v>
      </c>
      <c r="L789" s="87">
        <v>0.125</v>
      </c>
      <c r="M789" s="87">
        <v>0.05</v>
      </c>
      <c r="N789" s="84"/>
      <c r="O789" s="85" t="s">
        <v>40</v>
      </c>
      <c r="P789" s="79">
        <f t="shared" si="318"/>
        <v>0</v>
      </c>
      <c r="Q789" s="85" t="s">
        <v>40</v>
      </c>
      <c r="R789" s="86">
        <f t="shared" si="319"/>
        <v>0</v>
      </c>
      <c r="S789" s="86">
        <f t="shared" si="299"/>
        <v>0</v>
      </c>
    </row>
    <row r="790" spans="1:19" x14ac:dyDescent="0.2">
      <c r="A790" s="53" t="s">
        <v>454</v>
      </c>
      <c r="B790" s="2" t="s">
        <v>18</v>
      </c>
      <c r="C790" s="3">
        <v>108</v>
      </c>
      <c r="D790" s="4" t="s">
        <v>40</v>
      </c>
      <c r="F790" s="6">
        <v>1</v>
      </c>
      <c r="G790" s="7" t="s">
        <v>20</v>
      </c>
      <c r="H790" s="6">
        <v>144</v>
      </c>
      <c r="I790" s="7" t="s">
        <v>40</v>
      </c>
      <c r="J790" s="8">
        <v>23400</v>
      </c>
      <c r="K790" s="4" t="s">
        <v>40</v>
      </c>
      <c r="L790" s="9">
        <v>0.125</v>
      </c>
      <c r="M790" s="9">
        <v>0.05</v>
      </c>
      <c r="O790" s="7" t="s">
        <v>40</v>
      </c>
      <c r="P790" s="3">
        <f t="shared" si="318"/>
        <v>108</v>
      </c>
      <c r="Q790" s="7" t="s">
        <v>40</v>
      </c>
      <c r="R790" s="8">
        <f t="shared" si="319"/>
        <v>2100735</v>
      </c>
      <c r="S790" s="8">
        <f t="shared" si="299"/>
        <v>1892554.054054054</v>
      </c>
    </row>
    <row r="791" spans="1:19" s="72" customFormat="1" x14ac:dyDescent="0.2">
      <c r="A791" s="119" t="s">
        <v>455</v>
      </c>
      <c r="B791" s="72" t="s">
        <v>18</v>
      </c>
      <c r="C791" s="73"/>
      <c r="D791" s="74" t="s">
        <v>40</v>
      </c>
      <c r="E791" s="75"/>
      <c r="F791" s="76">
        <v>1</v>
      </c>
      <c r="G791" s="77" t="s">
        <v>20</v>
      </c>
      <c r="H791" s="76">
        <v>144</v>
      </c>
      <c r="I791" s="77" t="s">
        <v>40</v>
      </c>
      <c r="J791" s="16">
        <v>40800</v>
      </c>
      <c r="K791" s="74" t="s">
        <v>40</v>
      </c>
      <c r="L791" s="78">
        <v>0.125</v>
      </c>
      <c r="M791" s="78">
        <v>0.05</v>
      </c>
      <c r="N791" s="76"/>
      <c r="O791" s="77" t="s">
        <v>40</v>
      </c>
      <c r="P791" s="73">
        <f t="shared" si="318"/>
        <v>0</v>
      </c>
      <c r="Q791" s="77" t="s">
        <v>40</v>
      </c>
      <c r="R791" s="16">
        <f t="shared" si="319"/>
        <v>0</v>
      </c>
      <c r="S791" s="16">
        <f t="shared" si="299"/>
        <v>0</v>
      </c>
    </row>
    <row r="792" spans="1:19" x14ac:dyDescent="0.2">
      <c r="A792" s="53" t="s">
        <v>734</v>
      </c>
      <c r="B792" s="2" t="s">
        <v>18</v>
      </c>
      <c r="C792" s="3">
        <v>144</v>
      </c>
      <c r="D792" s="4" t="s">
        <v>40</v>
      </c>
      <c r="F792" s="6">
        <v>1</v>
      </c>
      <c r="G792" s="7" t="s">
        <v>20</v>
      </c>
      <c r="H792" s="6">
        <v>144</v>
      </c>
      <c r="I792" s="7" t="s">
        <v>40</v>
      </c>
      <c r="J792" s="8">
        <v>40800</v>
      </c>
      <c r="K792" s="4" t="s">
        <v>40</v>
      </c>
      <c r="L792" s="9">
        <v>0.125</v>
      </c>
      <c r="M792" s="9">
        <v>0.05</v>
      </c>
      <c r="O792" s="7" t="s">
        <v>40</v>
      </c>
      <c r="P792" s="3">
        <f t="shared" si="318"/>
        <v>144</v>
      </c>
      <c r="Q792" s="7" t="s">
        <v>40</v>
      </c>
      <c r="R792" s="8">
        <f t="shared" si="319"/>
        <v>4883760</v>
      </c>
      <c r="S792" s="8">
        <f t="shared" si="299"/>
        <v>4399783.7837837832</v>
      </c>
    </row>
    <row r="793" spans="1:19" s="19" customFormat="1" x14ac:dyDescent="0.2">
      <c r="A793" s="53" t="s">
        <v>456</v>
      </c>
      <c r="B793" s="19" t="s">
        <v>18</v>
      </c>
      <c r="C793" s="20"/>
      <c r="D793" s="21" t="s">
        <v>40</v>
      </c>
      <c r="E793" s="26">
        <v>3</v>
      </c>
      <c r="F793" s="22">
        <v>1</v>
      </c>
      <c r="G793" s="23" t="s">
        <v>20</v>
      </c>
      <c r="H793" s="22">
        <v>144</v>
      </c>
      <c r="I793" s="23" t="s">
        <v>40</v>
      </c>
      <c r="J793" s="24">
        <v>40800</v>
      </c>
      <c r="K793" s="21" t="s">
        <v>40</v>
      </c>
      <c r="L793" s="25">
        <v>0.125</v>
      </c>
      <c r="M793" s="25">
        <v>0.05</v>
      </c>
      <c r="N793" s="22"/>
      <c r="O793" s="23" t="s">
        <v>40</v>
      </c>
      <c r="P793" s="20">
        <f t="shared" ref="P793" si="320">(C793+(E793*F793*H793))-N793</f>
        <v>432</v>
      </c>
      <c r="Q793" s="23" t="s">
        <v>40</v>
      </c>
      <c r="R793" s="24">
        <f t="shared" ref="R793" si="321">P793*(J793-(J793*L793)-((J793-(J793*L793))*M793))</f>
        <v>14651280</v>
      </c>
      <c r="S793" s="24">
        <f t="shared" ref="S793" si="322">R793/1.11</f>
        <v>13199351.351351351</v>
      </c>
    </row>
    <row r="794" spans="1:19" s="72" customFormat="1" x14ac:dyDescent="0.2">
      <c r="A794" s="119" t="s">
        <v>794</v>
      </c>
      <c r="B794" s="72" t="s">
        <v>18</v>
      </c>
      <c r="C794" s="73"/>
      <c r="D794" s="74" t="s">
        <v>40</v>
      </c>
      <c r="E794" s="75"/>
      <c r="F794" s="76">
        <v>1</v>
      </c>
      <c r="G794" s="77" t="s">
        <v>20</v>
      </c>
      <c r="H794" s="76">
        <v>144</v>
      </c>
      <c r="I794" s="77" t="s">
        <v>40</v>
      </c>
      <c r="J794" s="16">
        <v>25200</v>
      </c>
      <c r="K794" s="74" t="s">
        <v>40</v>
      </c>
      <c r="L794" s="78">
        <v>0.125</v>
      </c>
      <c r="M794" s="78">
        <v>0.05</v>
      </c>
      <c r="N794" s="76"/>
      <c r="O794" s="77" t="s">
        <v>40</v>
      </c>
      <c r="P794" s="73">
        <f t="shared" si="318"/>
        <v>0</v>
      </c>
      <c r="Q794" s="77" t="s">
        <v>40</v>
      </c>
      <c r="R794" s="16">
        <f t="shared" si="319"/>
        <v>0</v>
      </c>
      <c r="S794" s="16">
        <f t="shared" si="299"/>
        <v>0</v>
      </c>
    </row>
    <row r="795" spans="1:19" x14ac:dyDescent="0.2">
      <c r="A795" s="53"/>
    </row>
    <row r="796" spans="1:19" x14ac:dyDescent="0.2">
      <c r="A796" s="17" t="s">
        <v>457</v>
      </c>
      <c r="B796" s="2" t="s">
        <v>25</v>
      </c>
      <c r="C796" s="3">
        <v>142</v>
      </c>
      <c r="D796" s="4" t="s">
        <v>40</v>
      </c>
      <c r="E796" s="5">
        <v>1</v>
      </c>
      <c r="F796" s="6">
        <v>1</v>
      </c>
      <c r="G796" s="7" t="s">
        <v>20</v>
      </c>
      <c r="H796" s="6">
        <v>144</v>
      </c>
      <c r="I796" s="7" t="s">
        <v>40</v>
      </c>
      <c r="J796" s="8">
        <f>6739200/144</f>
        <v>46800</v>
      </c>
      <c r="K796" s="4" t="s">
        <v>40</v>
      </c>
      <c r="M796" s="9">
        <v>0.17</v>
      </c>
      <c r="O796" s="7" t="s">
        <v>40</v>
      </c>
      <c r="P796" s="3">
        <f>(C796+(E796*F796*H796))-N796</f>
        <v>286</v>
      </c>
      <c r="Q796" s="7" t="s">
        <v>40</v>
      </c>
      <c r="R796" s="8">
        <f>P796*(J796-(J796*L796)-((J796-(J796*L796))*M796))</f>
        <v>11109384</v>
      </c>
      <c r="S796" s="8">
        <f t="shared" si="299"/>
        <v>10008454.054054054</v>
      </c>
    </row>
    <row r="797" spans="1:19" s="72" customFormat="1" x14ac:dyDescent="0.2">
      <c r="A797" s="71" t="s">
        <v>458</v>
      </c>
      <c r="B797" s="72" t="s">
        <v>25</v>
      </c>
      <c r="C797" s="79"/>
      <c r="D797" s="74" t="s">
        <v>40</v>
      </c>
      <c r="E797" s="75"/>
      <c r="F797" s="76">
        <v>1</v>
      </c>
      <c r="G797" s="77" t="s">
        <v>20</v>
      </c>
      <c r="H797" s="76">
        <v>144</v>
      </c>
      <c r="I797" s="77" t="s">
        <v>40</v>
      </c>
      <c r="J797" s="16">
        <f>4492800/144</f>
        <v>31200</v>
      </c>
      <c r="K797" s="74" t="s">
        <v>40</v>
      </c>
      <c r="L797" s="78"/>
      <c r="M797" s="78">
        <v>0.17</v>
      </c>
      <c r="N797" s="76"/>
      <c r="O797" s="77" t="s">
        <v>40</v>
      </c>
      <c r="P797" s="73">
        <f>(C797+(E797*F797*H797))-N797</f>
        <v>0</v>
      </c>
      <c r="Q797" s="77" t="s">
        <v>40</v>
      </c>
      <c r="R797" s="16">
        <f>P797*(J797-(J797*L797)-((J797-(J797*L797))*M797))</f>
        <v>0</v>
      </c>
      <c r="S797" s="16">
        <f t="shared" si="299"/>
        <v>0</v>
      </c>
    </row>
    <row r="798" spans="1:19" s="72" customFormat="1" x14ac:dyDescent="0.2">
      <c r="A798" s="71" t="s">
        <v>459</v>
      </c>
      <c r="B798" s="72" t="s">
        <v>25</v>
      </c>
      <c r="C798" s="79"/>
      <c r="D798" s="74" t="s">
        <v>40</v>
      </c>
      <c r="E798" s="75"/>
      <c r="F798" s="76">
        <v>1</v>
      </c>
      <c r="G798" s="77" t="s">
        <v>20</v>
      </c>
      <c r="H798" s="76">
        <v>144</v>
      </c>
      <c r="I798" s="77" t="s">
        <v>40</v>
      </c>
      <c r="J798" s="16">
        <v>29400</v>
      </c>
      <c r="K798" s="74" t="s">
        <v>40</v>
      </c>
      <c r="L798" s="78"/>
      <c r="M798" s="78">
        <v>0.17</v>
      </c>
      <c r="N798" s="76"/>
      <c r="O798" s="77" t="s">
        <v>40</v>
      </c>
      <c r="P798" s="73">
        <f>(C798+(E798*F798*H798))-N798</f>
        <v>0</v>
      </c>
      <c r="Q798" s="77" t="s">
        <v>40</v>
      </c>
      <c r="R798" s="16">
        <f>P798*(J798-(J798*L798)-((J798-(J798*L798))*M798))</f>
        <v>0</v>
      </c>
      <c r="S798" s="16">
        <f t="shared" si="299"/>
        <v>0</v>
      </c>
    </row>
    <row r="799" spans="1:19" s="72" customFormat="1" x14ac:dyDescent="0.2">
      <c r="A799" s="71" t="s">
        <v>460</v>
      </c>
      <c r="B799" s="72" t="s">
        <v>25</v>
      </c>
      <c r="C799" s="79"/>
      <c r="D799" s="74" t="s">
        <v>40</v>
      </c>
      <c r="E799" s="75"/>
      <c r="F799" s="76">
        <v>1</v>
      </c>
      <c r="G799" s="77" t="s">
        <v>20</v>
      </c>
      <c r="H799" s="76">
        <v>144</v>
      </c>
      <c r="I799" s="77" t="s">
        <v>40</v>
      </c>
      <c r="J799" s="16">
        <f>2764800/144</f>
        <v>19200</v>
      </c>
      <c r="K799" s="74" t="s">
        <v>40</v>
      </c>
      <c r="L799" s="78"/>
      <c r="M799" s="78">
        <v>0.17</v>
      </c>
      <c r="N799" s="76"/>
      <c r="O799" s="77" t="s">
        <v>40</v>
      </c>
      <c r="P799" s="73">
        <f>(C799+(E799*F799*H799))-N799</f>
        <v>0</v>
      </c>
      <c r="Q799" s="77" t="s">
        <v>40</v>
      </c>
      <c r="R799" s="16">
        <f>P799*(J799-(J799*L799)-((J799-(J799*L799))*M799))</f>
        <v>0</v>
      </c>
      <c r="S799" s="16">
        <f t="shared" ref="S799:S910" si="323">R799/1.11</f>
        <v>0</v>
      </c>
    </row>
    <row r="800" spans="1:19" s="72" customFormat="1" x14ac:dyDescent="0.2">
      <c r="A800" s="71" t="s">
        <v>461</v>
      </c>
      <c r="B800" s="72" t="s">
        <v>25</v>
      </c>
      <c r="C800" s="79"/>
      <c r="D800" s="74" t="s">
        <v>40</v>
      </c>
      <c r="E800" s="75"/>
      <c r="F800" s="76">
        <v>1</v>
      </c>
      <c r="G800" s="77" t="s">
        <v>20</v>
      </c>
      <c r="H800" s="76">
        <v>144</v>
      </c>
      <c r="I800" s="77" t="s">
        <v>40</v>
      </c>
      <c r="J800" s="16">
        <f>3369600/144</f>
        <v>23400</v>
      </c>
      <c r="K800" s="74" t="s">
        <v>40</v>
      </c>
      <c r="L800" s="78"/>
      <c r="M800" s="78">
        <v>0.17</v>
      </c>
      <c r="N800" s="76"/>
      <c r="O800" s="77" t="s">
        <v>40</v>
      </c>
      <c r="P800" s="73">
        <f>(C800+(E800*F800*H800))-N800</f>
        <v>0</v>
      </c>
      <c r="Q800" s="77" t="s">
        <v>40</v>
      </c>
      <c r="R800" s="16">
        <f>P800*(J800-(J800*L800)-((J800-(J800*L800))*M800))</f>
        <v>0</v>
      </c>
      <c r="S800" s="16">
        <f t="shared" si="323"/>
        <v>0</v>
      </c>
    </row>
    <row r="801" spans="1:19" s="72" customFormat="1" x14ac:dyDescent="0.2">
      <c r="A801" s="71"/>
      <c r="C801" s="79"/>
      <c r="D801" s="74"/>
      <c r="E801" s="75"/>
      <c r="F801" s="76"/>
      <c r="G801" s="77"/>
      <c r="H801" s="76"/>
      <c r="I801" s="77"/>
      <c r="J801" s="16"/>
      <c r="K801" s="74"/>
      <c r="L801" s="78"/>
      <c r="M801" s="78"/>
      <c r="N801" s="76"/>
      <c r="O801" s="77"/>
      <c r="P801" s="73"/>
      <c r="Q801" s="77"/>
      <c r="R801" s="16"/>
      <c r="S801" s="16"/>
    </row>
    <row r="802" spans="1:19" s="72" customFormat="1" x14ac:dyDescent="0.2">
      <c r="A802" s="71" t="s">
        <v>462</v>
      </c>
      <c r="B802" s="72" t="s">
        <v>260</v>
      </c>
      <c r="C802" s="79"/>
      <c r="D802" s="74" t="s">
        <v>40</v>
      </c>
      <c r="E802" s="75"/>
      <c r="F802" s="76">
        <v>1</v>
      </c>
      <c r="G802" s="77" t="s">
        <v>20</v>
      </c>
      <c r="H802" s="76">
        <v>144</v>
      </c>
      <c r="I802" s="77" t="s">
        <v>40</v>
      </c>
      <c r="J802" s="16">
        <v>12500</v>
      </c>
      <c r="K802" s="74" t="s">
        <v>40</v>
      </c>
      <c r="L802" s="78"/>
      <c r="M802" s="78"/>
      <c r="N802" s="76"/>
      <c r="O802" s="77" t="s">
        <v>40</v>
      </c>
      <c r="P802" s="73">
        <f>(C802+(E802*F802*H802))-N802</f>
        <v>0</v>
      </c>
      <c r="Q802" s="77" t="s">
        <v>40</v>
      </c>
      <c r="R802" s="16">
        <f>P802*(J802-(J802*L802)-((J802-(J802*L802))*M802))</f>
        <v>0</v>
      </c>
      <c r="S802" s="16">
        <f>R802/1.11</f>
        <v>0</v>
      </c>
    </row>
    <row r="803" spans="1:19" s="72" customFormat="1" x14ac:dyDescent="0.2">
      <c r="A803" s="71" t="s">
        <v>463</v>
      </c>
      <c r="B803" s="72" t="s">
        <v>260</v>
      </c>
      <c r="C803" s="79"/>
      <c r="D803" s="74" t="s">
        <v>40</v>
      </c>
      <c r="E803" s="75"/>
      <c r="F803" s="76">
        <v>1</v>
      </c>
      <c r="G803" s="77" t="s">
        <v>20</v>
      </c>
      <c r="H803" s="76">
        <v>144</v>
      </c>
      <c r="I803" s="77" t="s">
        <v>40</v>
      </c>
      <c r="J803" s="16">
        <v>12500</v>
      </c>
      <c r="K803" s="74" t="s">
        <v>40</v>
      </c>
      <c r="L803" s="78"/>
      <c r="M803" s="78"/>
      <c r="N803" s="76"/>
      <c r="O803" s="77" t="s">
        <v>40</v>
      </c>
      <c r="P803" s="73">
        <f>(C803+(E803*F803*H803))-N803</f>
        <v>0</v>
      </c>
      <c r="Q803" s="77" t="s">
        <v>40</v>
      </c>
      <c r="R803" s="16">
        <f>P803*(J803-(J803*L803)-((J803-(J803*L803))*M803))</f>
        <v>0</v>
      </c>
      <c r="S803" s="16">
        <f>R803/1.11</f>
        <v>0</v>
      </c>
    </row>
    <row r="804" spans="1:19" x14ac:dyDescent="0.2">
      <c r="A804" s="17" t="s">
        <v>464</v>
      </c>
      <c r="B804" s="2" t="s">
        <v>260</v>
      </c>
      <c r="C804" s="3">
        <v>96</v>
      </c>
      <c r="D804" s="4" t="s">
        <v>40</v>
      </c>
      <c r="F804" s="6">
        <v>1</v>
      </c>
      <c r="G804" s="7" t="s">
        <v>20</v>
      </c>
      <c r="H804" s="6">
        <v>96</v>
      </c>
      <c r="I804" s="7" t="s">
        <v>40</v>
      </c>
      <c r="J804" s="8">
        <v>27500</v>
      </c>
      <c r="K804" s="4" t="s">
        <v>40</v>
      </c>
      <c r="O804" s="7" t="s">
        <v>40</v>
      </c>
      <c r="P804" s="3">
        <f>(C804+(E804*F804*H804))-N804</f>
        <v>96</v>
      </c>
      <c r="Q804" s="7" t="s">
        <v>40</v>
      </c>
      <c r="R804" s="8">
        <f>P804*(J804-(J804*L804)-((J804-(J804*L804))*M804))</f>
        <v>2640000</v>
      </c>
      <c r="S804" s="8">
        <f>R804/1.11</f>
        <v>2378378.3783783782</v>
      </c>
    </row>
    <row r="806" spans="1:19" x14ac:dyDescent="0.2">
      <c r="A806" s="15" t="s">
        <v>665</v>
      </c>
    </row>
    <row r="807" spans="1:19" x14ac:dyDescent="0.2">
      <c r="A807" s="53" t="s">
        <v>666</v>
      </c>
      <c r="B807" s="2" t="s">
        <v>18</v>
      </c>
      <c r="D807" s="4" t="s">
        <v>83</v>
      </c>
      <c r="E807" s="5">
        <v>11</v>
      </c>
      <c r="F807" s="6">
        <v>1</v>
      </c>
      <c r="G807" s="7" t="s">
        <v>20</v>
      </c>
      <c r="H807" s="6">
        <v>12</v>
      </c>
      <c r="I807" s="7" t="s">
        <v>83</v>
      </c>
      <c r="J807" s="8">
        <v>176400</v>
      </c>
      <c r="K807" s="4" t="s">
        <v>83</v>
      </c>
      <c r="L807" s="9">
        <v>0.125</v>
      </c>
      <c r="M807" s="9">
        <v>0.05</v>
      </c>
      <c r="O807" s="7" t="s">
        <v>83</v>
      </c>
      <c r="P807" s="3">
        <f t="shared" ref="P807:P812" si="324">(C807+(E807*F807*H807))-N807</f>
        <v>132</v>
      </c>
      <c r="Q807" s="7" t="s">
        <v>83</v>
      </c>
      <c r="R807" s="8">
        <f t="shared" ref="R807:R812" si="325">P807*(J807-(J807*L807)-((J807-(J807*L807))*M807))</f>
        <v>19355490</v>
      </c>
      <c r="S807" s="8">
        <f t="shared" si="323"/>
        <v>17437378.378378376</v>
      </c>
    </row>
    <row r="808" spans="1:19" s="72" customFormat="1" x14ac:dyDescent="0.2">
      <c r="A808" s="119" t="s">
        <v>667</v>
      </c>
      <c r="B808" s="72" t="s">
        <v>18</v>
      </c>
      <c r="C808" s="73"/>
      <c r="D808" s="74" t="s">
        <v>83</v>
      </c>
      <c r="E808" s="75"/>
      <c r="F808" s="76">
        <v>12</v>
      </c>
      <c r="G808" s="77" t="s">
        <v>33</v>
      </c>
      <c r="H808" s="76">
        <v>1</v>
      </c>
      <c r="I808" s="77" t="s">
        <v>83</v>
      </c>
      <c r="J808" s="16">
        <v>183600</v>
      </c>
      <c r="K808" s="74" t="s">
        <v>83</v>
      </c>
      <c r="L808" s="78">
        <v>0.125</v>
      </c>
      <c r="M808" s="78">
        <v>0.05</v>
      </c>
      <c r="N808" s="76"/>
      <c r="O808" s="77" t="s">
        <v>83</v>
      </c>
      <c r="P808" s="73">
        <f t="shared" si="324"/>
        <v>0</v>
      </c>
      <c r="Q808" s="77" t="s">
        <v>83</v>
      </c>
      <c r="R808" s="16">
        <f t="shared" si="325"/>
        <v>0</v>
      </c>
      <c r="S808" s="16">
        <f t="shared" si="323"/>
        <v>0</v>
      </c>
    </row>
    <row r="809" spans="1:19" s="19" customFormat="1" x14ac:dyDescent="0.2">
      <c r="A809" s="53" t="s">
        <v>668</v>
      </c>
      <c r="B809" s="19" t="s">
        <v>18</v>
      </c>
      <c r="C809" s="20"/>
      <c r="D809" s="21" t="s">
        <v>40</v>
      </c>
      <c r="E809" s="26">
        <v>7</v>
      </c>
      <c r="F809" s="22">
        <v>12</v>
      </c>
      <c r="G809" s="23" t="s">
        <v>83</v>
      </c>
      <c r="H809" s="22">
        <v>12</v>
      </c>
      <c r="I809" s="23" t="s">
        <v>40</v>
      </c>
      <c r="J809" s="24">
        <v>19800</v>
      </c>
      <c r="K809" s="21" t="s">
        <v>40</v>
      </c>
      <c r="L809" s="25">
        <v>0.125</v>
      </c>
      <c r="M809" s="25">
        <v>0.05</v>
      </c>
      <c r="N809" s="22"/>
      <c r="O809" s="23" t="s">
        <v>40</v>
      </c>
      <c r="P809" s="20">
        <f t="shared" ref="P809" si="326">(C809+(E809*F809*H809))-N809</f>
        <v>1008</v>
      </c>
      <c r="Q809" s="23" t="s">
        <v>40</v>
      </c>
      <c r="R809" s="24">
        <f t="shared" ref="R809" si="327">P809*(J809-(J809*L809)-((J809-(J809*L809))*M809))</f>
        <v>16590420</v>
      </c>
      <c r="S809" s="24">
        <f t="shared" ref="S809" si="328">R809/1.11</f>
        <v>14946324.324324323</v>
      </c>
    </row>
    <row r="810" spans="1:19" s="19" customFormat="1" x14ac:dyDescent="0.2">
      <c r="A810" s="53" t="s">
        <v>669</v>
      </c>
      <c r="B810" s="19" t="s">
        <v>18</v>
      </c>
      <c r="C810" s="20">
        <v>144</v>
      </c>
      <c r="D810" s="21" t="s">
        <v>40</v>
      </c>
      <c r="E810" s="26">
        <v>20</v>
      </c>
      <c r="F810" s="22">
        <v>12</v>
      </c>
      <c r="G810" s="23" t="s">
        <v>83</v>
      </c>
      <c r="H810" s="22">
        <v>6</v>
      </c>
      <c r="I810" s="23" t="s">
        <v>40</v>
      </c>
      <c r="J810" s="24">
        <f>3100*12</f>
        <v>37200</v>
      </c>
      <c r="K810" s="21" t="s">
        <v>40</v>
      </c>
      <c r="L810" s="25">
        <v>0.125</v>
      </c>
      <c r="M810" s="25">
        <v>0.05</v>
      </c>
      <c r="N810" s="22"/>
      <c r="O810" s="23" t="s">
        <v>40</v>
      </c>
      <c r="P810" s="20">
        <f t="shared" ref="P810" si="329">(C810+(E810*F810*H810))-N810</f>
        <v>1584</v>
      </c>
      <c r="Q810" s="23" t="s">
        <v>40</v>
      </c>
      <c r="R810" s="24">
        <f t="shared" ref="R810" si="330">P810*(J810-(J810*L810)-((J810-(J810*L810))*M810))</f>
        <v>48981240</v>
      </c>
      <c r="S810" s="24">
        <f t="shared" ref="S810" si="331">R810/1.11</f>
        <v>44127243.24324324</v>
      </c>
    </row>
    <row r="811" spans="1:19" s="19" customFormat="1" x14ac:dyDescent="0.2">
      <c r="A811" s="53" t="s">
        <v>670</v>
      </c>
      <c r="B811" s="19" t="s">
        <v>18</v>
      </c>
      <c r="C811" s="20">
        <v>12</v>
      </c>
      <c r="D811" s="21" t="s">
        <v>83</v>
      </c>
      <c r="E811" s="26">
        <v>1</v>
      </c>
      <c r="F811" s="22">
        <v>1</v>
      </c>
      <c r="G811" s="23" t="s">
        <v>20</v>
      </c>
      <c r="H811" s="22">
        <v>12</v>
      </c>
      <c r="I811" s="23" t="s">
        <v>83</v>
      </c>
      <c r="J811" s="24">
        <v>198000</v>
      </c>
      <c r="K811" s="21" t="s">
        <v>83</v>
      </c>
      <c r="L811" s="25">
        <v>0.125</v>
      </c>
      <c r="M811" s="25">
        <v>0.05</v>
      </c>
      <c r="N811" s="22"/>
      <c r="O811" s="23" t="s">
        <v>83</v>
      </c>
      <c r="P811" s="20">
        <f t="shared" ref="P811" si="332">(C811+(E811*F811*H811))-N811</f>
        <v>24</v>
      </c>
      <c r="Q811" s="23" t="s">
        <v>83</v>
      </c>
      <c r="R811" s="24">
        <f t="shared" ref="R811" si="333">P811*(J811-(J811*L811)-((J811-(J811*L811))*M811))</f>
        <v>3950100</v>
      </c>
      <c r="S811" s="24">
        <f t="shared" ref="S811" si="334">R811/1.11</f>
        <v>3558648.6486486485</v>
      </c>
    </row>
    <row r="812" spans="1:19" x14ac:dyDescent="0.2">
      <c r="A812" s="53" t="s">
        <v>735</v>
      </c>
      <c r="B812" s="2" t="s">
        <v>18</v>
      </c>
      <c r="C812" s="3">
        <v>10</v>
      </c>
      <c r="D812" s="4" t="s">
        <v>40</v>
      </c>
      <c r="E812" s="5">
        <v>1</v>
      </c>
      <c r="F812" s="6">
        <v>1</v>
      </c>
      <c r="G812" s="7" t="s">
        <v>20</v>
      </c>
      <c r="H812" s="6">
        <v>72</v>
      </c>
      <c r="I812" s="7" t="s">
        <v>40</v>
      </c>
      <c r="J812" s="8">
        <v>39600</v>
      </c>
      <c r="K812" s="4" t="s">
        <v>40</v>
      </c>
      <c r="L812" s="9">
        <v>0.125</v>
      </c>
      <c r="M812" s="9">
        <v>0.05</v>
      </c>
      <c r="O812" s="7" t="s">
        <v>83</v>
      </c>
      <c r="P812" s="3">
        <f t="shared" si="324"/>
        <v>82</v>
      </c>
      <c r="Q812" s="7" t="s">
        <v>83</v>
      </c>
      <c r="R812" s="8">
        <f t="shared" si="325"/>
        <v>2699235</v>
      </c>
      <c r="S812" s="8">
        <f t="shared" si="323"/>
        <v>2431743.2432432431</v>
      </c>
    </row>
    <row r="813" spans="1:19" x14ac:dyDescent="0.2">
      <c r="A813" s="53"/>
    </row>
    <row r="814" spans="1:19" x14ac:dyDescent="0.2">
      <c r="A814" s="53" t="s">
        <v>671</v>
      </c>
      <c r="B814" s="2" t="s">
        <v>25</v>
      </c>
      <c r="C814" s="3">
        <v>11</v>
      </c>
      <c r="D814" s="4" t="s">
        <v>83</v>
      </c>
      <c r="E814" s="5">
        <v>4</v>
      </c>
      <c r="F814" s="6">
        <v>1</v>
      </c>
      <c r="G814" s="7" t="s">
        <v>20</v>
      </c>
      <c r="H814" s="6">
        <v>18</v>
      </c>
      <c r="I814" s="7" t="s">
        <v>83</v>
      </c>
      <c r="J814" s="8">
        <f>3240000/18</f>
        <v>180000</v>
      </c>
      <c r="K814" s="4" t="s">
        <v>83</v>
      </c>
      <c r="M814" s="9">
        <v>0.17</v>
      </c>
      <c r="O814" s="7" t="s">
        <v>83</v>
      </c>
      <c r="P814" s="3">
        <f>(C814+(E814*F814*H814))-N814</f>
        <v>83</v>
      </c>
      <c r="Q814" s="7" t="s">
        <v>83</v>
      </c>
      <c r="R814" s="8">
        <f>P814*(J814-(J814*L814)-((J814-(J814*L814))*M814))</f>
        <v>12400200</v>
      </c>
      <c r="S814" s="8">
        <f t="shared" si="323"/>
        <v>11171351.351351351</v>
      </c>
    </row>
    <row r="815" spans="1:19" s="98" customFormat="1" x14ac:dyDescent="0.2">
      <c r="A815" s="90" t="s">
        <v>672</v>
      </c>
      <c r="B815" s="98" t="s">
        <v>25</v>
      </c>
      <c r="C815" s="99"/>
      <c r="D815" s="100" t="s">
        <v>40</v>
      </c>
      <c r="E815" s="101">
        <v>1</v>
      </c>
      <c r="F815" s="102">
        <v>12</v>
      </c>
      <c r="G815" s="103" t="s">
        <v>83</v>
      </c>
      <c r="H815" s="102">
        <v>12</v>
      </c>
      <c r="I815" s="103" t="s">
        <v>40</v>
      </c>
      <c r="J815" s="104">
        <v>16200</v>
      </c>
      <c r="K815" s="100" t="s">
        <v>40</v>
      </c>
      <c r="L815" s="105"/>
      <c r="M815" s="105">
        <v>0.17</v>
      </c>
      <c r="N815" s="102"/>
      <c r="O815" s="103" t="s">
        <v>40</v>
      </c>
      <c r="P815" s="99">
        <f>(C815+(E815*F815*H815))-N815</f>
        <v>144</v>
      </c>
      <c r="Q815" s="103" t="s">
        <v>40</v>
      </c>
      <c r="R815" s="104">
        <f>P815*(J815-(J815*L815)-((J815-(J815*L815))*M815))</f>
        <v>1936224</v>
      </c>
      <c r="S815" s="104">
        <f t="shared" ref="S815" si="335">R815/1.11</f>
        <v>1744345.9459459458</v>
      </c>
    </row>
    <row r="816" spans="1:19" x14ac:dyDescent="0.2">
      <c r="A816" s="17" t="s">
        <v>673</v>
      </c>
      <c r="B816" s="2" t="s">
        <v>25</v>
      </c>
      <c r="C816" s="3">
        <v>144</v>
      </c>
      <c r="D816" s="4" t="s">
        <v>40</v>
      </c>
      <c r="E816" s="5">
        <v>1</v>
      </c>
      <c r="F816" s="6">
        <v>12</v>
      </c>
      <c r="G816" s="7" t="s">
        <v>83</v>
      </c>
      <c r="H816" s="6">
        <v>12</v>
      </c>
      <c r="I816" s="7" t="s">
        <v>40</v>
      </c>
      <c r="J816" s="8">
        <f>2937600/12/12</f>
        <v>20400</v>
      </c>
      <c r="K816" s="4" t="s">
        <v>40</v>
      </c>
      <c r="M816" s="9">
        <v>0.17</v>
      </c>
      <c r="O816" s="7" t="s">
        <v>40</v>
      </c>
      <c r="P816" s="3">
        <f>(C816+(E816*F816*H816))-N816</f>
        <v>288</v>
      </c>
      <c r="Q816" s="7" t="s">
        <v>40</v>
      </c>
      <c r="R816" s="8">
        <f>P816*(J816-(J816*L816)-((J816-(J816*L816))*M816))</f>
        <v>4876416</v>
      </c>
      <c r="S816" s="8">
        <f t="shared" si="323"/>
        <v>4393167.5675675673</v>
      </c>
    </row>
    <row r="818" spans="1:19" x14ac:dyDescent="0.2">
      <c r="A818" s="17" t="s">
        <v>777</v>
      </c>
      <c r="B818" s="2" t="s">
        <v>181</v>
      </c>
      <c r="C818" s="20">
        <v>10520</v>
      </c>
      <c r="D818" s="4" t="s">
        <v>151</v>
      </c>
      <c r="F818" s="6">
        <v>40</v>
      </c>
      <c r="G818" s="7" t="s">
        <v>33</v>
      </c>
      <c r="H818" s="6">
        <f>1600/40</f>
        <v>40</v>
      </c>
      <c r="I818" s="7" t="s">
        <v>151</v>
      </c>
      <c r="J818" s="8">
        <v>1532</v>
      </c>
      <c r="K818" s="4" t="s">
        <v>151</v>
      </c>
      <c r="O818" s="7" t="s">
        <v>151</v>
      </c>
      <c r="P818" s="3">
        <f>(C818+(E818*F818*H818))-N818</f>
        <v>10520</v>
      </c>
      <c r="Q818" s="7" t="s">
        <v>151</v>
      </c>
      <c r="R818" s="8">
        <f>P818*(J818-(J818*L818)-((J818-(J818*L818))*M818))</f>
        <v>16116640</v>
      </c>
      <c r="S818" s="8">
        <f t="shared" si="323"/>
        <v>14519495.495495494</v>
      </c>
    </row>
    <row r="820" spans="1:19" x14ac:dyDescent="0.2">
      <c r="A820" s="15" t="s">
        <v>465</v>
      </c>
    </row>
    <row r="821" spans="1:19" s="19" customFormat="1" x14ac:dyDescent="0.2">
      <c r="A821" s="145" t="s">
        <v>931</v>
      </c>
      <c r="B821" s="19" t="s">
        <v>18</v>
      </c>
      <c r="C821" s="20"/>
      <c r="D821" s="21" t="s">
        <v>151</v>
      </c>
      <c r="E821" s="26">
        <v>3</v>
      </c>
      <c r="F821" s="22">
        <v>12</v>
      </c>
      <c r="G821" s="23" t="s">
        <v>33</v>
      </c>
      <c r="H821" s="22">
        <v>12</v>
      </c>
      <c r="I821" s="23" t="s">
        <v>151</v>
      </c>
      <c r="J821" s="24">
        <v>12200</v>
      </c>
      <c r="K821" s="21" t="s">
        <v>151</v>
      </c>
      <c r="L821" s="25">
        <v>0.125</v>
      </c>
      <c r="M821" s="25">
        <v>0.05</v>
      </c>
      <c r="N821" s="22"/>
      <c r="O821" s="23" t="s">
        <v>151</v>
      </c>
      <c r="P821" s="20">
        <f t="shared" ref="P821" si="336">(C821+(E821*F821*H821))-N821</f>
        <v>432</v>
      </c>
      <c r="Q821" s="23" t="s">
        <v>151</v>
      </c>
      <c r="R821" s="24">
        <f t="shared" ref="R821" si="337">P821*(J821-(J821*L821)-((J821-(J821*L821))*M821))</f>
        <v>4381020</v>
      </c>
      <c r="S821" s="24">
        <f t="shared" ref="S821" si="338">R821/1.11</f>
        <v>3946864.8648648644</v>
      </c>
    </row>
    <row r="822" spans="1:19" s="19" customFormat="1" x14ac:dyDescent="0.2">
      <c r="A822" s="18" t="s">
        <v>466</v>
      </c>
      <c r="B822" s="19" t="s">
        <v>18</v>
      </c>
      <c r="C822" s="20">
        <v>1236</v>
      </c>
      <c r="D822" s="21" t="s">
        <v>151</v>
      </c>
      <c r="E822" s="26">
        <v>22</v>
      </c>
      <c r="F822" s="22">
        <v>12</v>
      </c>
      <c r="G822" s="23" t="s">
        <v>33</v>
      </c>
      <c r="H822" s="22">
        <v>24</v>
      </c>
      <c r="I822" s="23" t="s">
        <v>151</v>
      </c>
      <c r="J822" s="24">
        <v>6700</v>
      </c>
      <c r="K822" s="21" t="s">
        <v>151</v>
      </c>
      <c r="L822" s="25">
        <v>0.125</v>
      </c>
      <c r="M822" s="25">
        <v>0.05</v>
      </c>
      <c r="N822" s="22"/>
      <c r="O822" s="23" t="s">
        <v>151</v>
      </c>
      <c r="P822" s="20">
        <f t="shared" ref="P822:P835" si="339">(C822+(E822*F822*H822))-N822</f>
        <v>7572</v>
      </c>
      <c r="Q822" s="23" t="s">
        <v>151</v>
      </c>
      <c r="R822" s="24">
        <f t="shared" ref="R822:R835" si="340">P822*(J822-(J822*L822)-((J822-(J822*L822))*M822))</f>
        <v>42171307.5</v>
      </c>
      <c r="S822" s="24">
        <f t="shared" si="323"/>
        <v>37992168.918918915</v>
      </c>
    </row>
    <row r="823" spans="1:19" s="19" customFormat="1" x14ac:dyDescent="0.2">
      <c r="A823" s="18" t="s">
        <v>467</v>
      </c>
      <c r="B823" s="19" t="s">
        <v>18</v>
      </c>
      <c r="C823" s="20">
        <v>96</v>
      </c>
      <c r="D823" s="21" t="s">
        <v>151</v>
      </c>
      <c r="E823" s="26">
        <v>2</v>
      </c>
      <c r="F823" s="22">
        <v>12</v>
      </c>
      <c r="G823" s="23" t="s">
        <v>33</v>
      </c>
      <c r="H823" s="22">
        <v>12</v>
      </c>
      <c r="I823" s="23" t="s">
        <v>151</v>
      </c>
      <c r="J823" s="24">
        <v>13800</v>
      </c>
      <c r="K823" s="21" t="s">
        <v>151</v>
      </c>
      <c r="L823" s="25">
        <v>0.125</v>
      </c>
      <c r="M823" s="25">
        <v>0.05</v>
      </c>
      <c r="N823" s="22"/>
      <c r="O823" s="23" t="s">
        <v>151</v>
      </c>
      <c r="P823" s="20">
        <f t="shared" si="339"/>
        <v>384</v>
      </c>
      <c r="Q823" s="23" t="s">
        <v>151</v>
      </c>
      <c r="R823" s="24">
        <f t="shared" si="340"/>
        <v>4404960</v>
      </c>
      <c r="S823" s="8">
        <f t="shared" si="323"/>
        <v>3968432.4324324322</v>
      </c>
    </row>
    <row r="824" spans="1:19" s="19" customFormat="1" x14ac:dyDescent="0.2">
      <c r="A824" s="18" t="s">
        <v>468</v>
      </c>
      <c r="B824" s="19" t="s">
        <v>18</v>
      </c>
      <c r="C824" s="20">
        <v>3084</v>
      </c>
      <c r="D824" s="21" t="s">
        <v>151</v>
      </c>
      <c r="E824" s="26">
        <v>68</v>
      </c>
      <c r="F824" s="22">
        <v>12</v>
      </c>
      <c r="G824" s="23" t="s">
        <v>33</v>
      </c>
      <c r="H824" s="22">
        <v>12</v>
      </c>
      <c r="I824" s="23" t="s">
        <v>151</v>
      </c>
      <c r="J824" s="24">
        <v>10600</v>
      </c>
      <c r="K824" s="21" t="s">
        <v>151</v>
      </c>
      <c r="L824" s="25">
        <v>0.125</v>
      </c>
      <c r="M824" s="25">
        <v>0.05</v>
      </c>
      <c r="N824" s="22"/>
      <c r="O824" s="23" t="s">
        <v>151</v>
      </c>
      <c r="P824" s="20">
        <f t="shared" si="339"/>
        <v>12876</v>
      </c>
      <c r="Q824" s="23" t="s">
        <v>151</v>
      </c>
      <c r="R824" s="24">
        <f t="shared" si="340"/>
        <v>113453655</v>
      </c>
      <c r="S824" s="24">
        <f t="shared" si="323"/>
        <v>102210499.99999999</v>
      </c>
    </row>
    <row r="825" spans="1:19" s="19" customFormat="1" x14ac:dyDescent="0.2">
      <c r="A825" s="18" t="s">
        <v>469</v>
      </c>
      <c r="B825" s="19" t="s">
        <v>18</v>
      </c>
      <c r="C825" s="20">
        <v>390</v>
      </c>
      <c r="D825" s="21" t="s">
        <v>151</v>
      </c>
      <c r="E825" s="26">
        <v>24</v>
      </c>
      <c r="F825" s="22">
        <v>12</v>
      </c>
      <c r="G825" s="23" t="s">
        <v>33</v>
      </c>
      <c r="H825" s="22">
        <v>6</v>
      </c>
      <c r="I825" s="23" t="s">
        <v>151</v>
      </c>
      <c r="J825" s="24">
        <v>21200</v>
      </c>
      <c r="K825" s="21" t="s">
        <v>151</v>
      </c>
      <c r="L825" s="25">
        <v>0.125</v>
      </c>
      <c r="M825" s="25">
        <v>0.05</v>
      </c>
      <c r="N825" s="22"/>
      <c r="O825" s="23" t="s">
        <v>151</v>
      </c>
      <c r="P825" s="20">
        <f t="shared" si="339"/>
        <v>2118</v>
      </c>
      <c r="Q825" s="23" t="s">
        <v>151</v>
      </c>
      <c r="R825" s="24">
        <f t="shared" si="340"/>
        <v>37324455</v>
      </c>
      <c r="S825" s="8">
        <f t="shared" si="323"/>
        <v>33625635.135135129</v>
      </c>
    </row>
    <row r="826" spans="1:19" s="81" customFormat="1" x14ac:dyDescent="0.2">
      <c r="A826" s="80" t="s">
        <v>470</v>
      </c>
      <c r="B826" s="81" t="s">
        <v>18</v>
      </c>
      <c r="C826" s="79"/>
      <c r="D826" s="82" t="s">
        <v>151</v>
      </c>
      <c r="E826" s="83">
        <v>3</v>
      </c>
      <c r="F826" s="84">
        <v>8</v>
      </c>
      <c r="G826" s="85" t="s">
        <v>33</v>
      </c>
      <c r="H826" s="84">
        <v>6</v>
      </c>
      <c r="I826" s="85" t="s">
        <v>151</v>
      </c>
      <c r="J826" s="86">
        <v>35000</v>
      </c>
      <c r="K826" s="82" t="s">
        <v>151</v>
      </c>
      <c r="L826" s="87">
        <v>0.125</v>
      </c>
      <c r="M826" s="87">
        <v>0.05</v>
      </c>
      <c r="N826" s="84"/>
      <c r="O826" s="85" t="s">
        <v>151</v>
      </c>
      <c r="P826" s="79">
        <f t="shared" si="339"/>
        <v>144</v>
      </c>
      <c r="Q826" s="85" t="s">
        <v>151</v>
      </c>
      <c r="R826" s="86">
        <f t="shared" si="340"/>
        <v>4189500</v>
      </c>
      <c r="S826" s="16">
        <f t="shared" si="323"/>
        <v>3774324.3243243238</v>
      </c>
    </row>
    <row r="827" spans="1:19" s="19" customFormat="1" x14ac:dyDescent="0.2">
      <c r="A827" s="18" t="s">
        <v>471</v>
      </c>
      <c r="B827" s="19" t="s">
        <v>18</v>
      </c>
      <c r="C827" s="20">
        <v>408</v>
      </c>
      <c r="D827" s="21" t="s">
        <v>151</v>
      </c>
      <c r="E827" s="26">
        <v>8</v>
      </c>
      <c r="F827" s="22">
        <v>12</v>
      </c>
      <c r="G827" s="23" t="s">
        <v>33</v>
      </c>
      <c r="H827" s="22">
        <v>12</v>
      </c>
      <c r="I827" s="23" t="s">
        <v>151</v>
      </c>
      <c r="J827" s="24">
        <v>9600</v>
      </c>
      <c r="K827" s="21" t="s">
        <v>151</v>
      </c>
      <c r="L827" s="25">
        <v>0.125</v>
      </c>
      <c r="M827" s="25">
        <v>0.05</v>
      </c>
      <c r="N827" s="22"/>
      <c r="O827" s="23" t="s">
        <v>151</v>
      </c>
      <c r="P827" s="20">
        <f t="shared" si="339"/>
        <v>1560</v>
      </c>
      <c r="Q827" s="23" t="s">
        <v>151</v>
      </c>
      <c r="R827" s="24">
        <f t="shared" si="340"/>
        <v>12448800</v>
      </c>
      <c r="S827" s="24">
        <f t="shared" si="323"/>
        <v>11215135.135135135</v>
      </c>
    </row>
    <row r="828" spans="1:19" s="72" customFormat="1" x14ac:dyDescent="0.2">
      <c r="A828" s="71" t="s">
        <v>472</v>
      </c>
      <c r="B828" s="72" t="s">
        <v>18</v>
      </c>
      <c r="C828" s="73"/>
      <c r="D828" s="74" t="s">
        <v>151</v>
      </c>
      <c r="E828" s="75"/>
      <c r="F828" s="76">
        <v>12</v>
      </c>
      <c r="G828" s="77" t="s">
        <v>33</v>
      </c>
      <c r="H828" s="76">
        <v>6</v>
      </c>
      <c r="I828" s="77" t="s">
        <v>151</v>
      </c>
      <c r="J828" s="16">
        <v>19200</v>
      </c>
      <c r="K828" s="74" t="s">
        <v>151</v>
      </c>
      <c r="L828" s="78">
        <v>0.125</v>
      </c>
      <c r="M828" s="78">
        <v>0.05</v>
      </c>
      <c r="N828" s="76"/>
      <c r="O828" s="77" t="s">
        <v>151</v>
      </c>
      <c r="P828" s="73">
        <f t="shared" si="339"/>
        <v>0</v>
      </c>
      <c r="Q828" s="77" t="s">
        <v>151</v>
      </c>
      <c r="R828" s="16">
        <f t="shared" si="340"/>
        <v>0</v>
      </c>
      <c r="S828" s="16">
        <f t="shared" si="323"/>
        <v>0</v>
      </c>
    </row>
    <row r="829" spans="1:19" s="72" customFormat="1" x14ac:dyDescent="0.2">
      <c r="A829" s="71" t="s">
        <v>473</v>
      </c>
      <c r="B829" s="72" t="s">
        <v>18</v>
      </c>
      <c r="C829" s="73"/>
      <c r="D829" s="74" t="s">
        <v>151</v>
      </c>
      <c r="E829" s="75"/>
      <c r="F829" s="76">
        <v>12</v>
      </c>
      <c r="G829" s="77" t="s">
        <v>33</v>
      </c>
      <c r="H829" s="76">
        <v>24</v>
      </c>
      <c r="I829" s="77" t="s">
        <v>151</v>
      </c>
      <c r="J829" s="16">
        <v>5800</v>
      </c>
      <c r="K829" s="74" t="s">
        <v>151</v>
      </c>
      <c r="L829" s="78">
        <v>0.125</v>
      </c>
      <c r="M829" s="78">
        <v>0.05</v>
      </c>
      <c r="N829" s="76"/>
      <c r="O829" s="77" t="s">
        <v>151</v>
      </c>
      <c r="P829" s="73">
        <f t="shared" si="339"/>
        <v>0</v>
      </c>
      <c r="Q829" s="77" t="s">
        <v>151</v>
      </c>
      <c r="R829" s="16">
        <f t="shared" si="340"/>
        <v>0</v>
      </c>
      <c r="S829" s="16">
        <f t="shared" si="323"/>
        <v>0</v>
      </c>
    </row>
    <row r="830" spans="1:19" s="19" customFormat="1" x14ac:dyDescent="0.2">
      <c r="A830" s="18" t="s">
        <v>474</v>
      </c>
      <c r="B830" s="19" t="s">
        <v>18</v>
      </c>
      <c r="C830" s="20"/>
      <c r="D830" s="21" t="s">
        <v>151</v>
      </c>
      <c r="E830" s="26">
        <v>5</v>
      </c>
      <c r="F830" s="22">
        <v>12</v>
      </c>
      <c r="G830" s="23" t="s">
        <v>33</v>
      </c>
      <c r="H830" s="22">
        <v>12</v>
      </c>
      <c r="I830" s="23" t="s">
        <v>151</v>
      </c>
      <c r="J830" s="24">
        <v>8400</v>
      </c>
      <c r="K830" s="21" t="s">
        <v>151</v>
      </c>
      <c r="L830" s="25">
        <v>0.125</v>
      </c>
      <c r="M830" s="25">
        <v>0.05</v>
      </c>
      <c r="N830" s="22"/>
      <c r="O830" s="23" t="s">
        <v>151</v>
      </c>
      <c r="P830" s="20">
        <f t="shared" ref="P830" si="341">(C830+(E830*F830*H830))-N830</f>
        <v>720</v>
      </c>
      <c r="Q830" s="23" t="s">
        <v>151</v>
      </c>
      <c r="R830" s="24">
        <f t="shared" ref="R830" si="342">P830*(J830-(J830*L830)-((J830-(J830*L830))*M830))</f>
        <v>5027400</v>
      </c>
      <c r="S830" s="24">
        <f t="shared" ref="S830" si="343">R830/1.11</f>
        <v>4529189.1891891891</v>
      </c>
    </row>
    <row r="831" spans="1:19" s="19" customFormat="1" x14ac:dyDescent="0.2">
      <c r="A831" s="18" t="s">
        <v>803</v>
      </c>
      <c r="B831" s="19" t="s">
        <v>18</v>
      </c>
      <c r="C831" s="20">
        <v>72</v>
      </c>
      <c r="D831" s="21" t="s">
        <v>151</v>
      </c>
      <c r="E831" s="26">
        <v>1</v>
      </c>
      <c r="F831" s="22">
        <v>12</v>
      </c>
      <c r="G831" s="23" t="s">
        <v>33</v>
      </c>
      <c r="H831" s="22">
        <v>6</v>
      </c>
      <c r="I831" s="23" t="s">
        <v>151</v>
      </c>
      <c r="J831" s="24">
        <v>16800</v>
      </c>
      <c r="K831" s="21" t="s">
        <v>151</v>
      </c>
      <c r="L831" s="25">
        <v>0.125</v>
      </c>
      <c r="M831" s="25">
        <v>0.05</v>
      </c>
      <c r="N831" s="22"/>
      <c r="O831" s="23" t="s">
        <v>151</v>
      </c>
      <c r="P831" s="20">
        <f t="shared" si="339"/>
        <v>144</v>
      </c>
      <c r="Q831" s="23" t="s">
        <v>151</v>
      </c>
      <c r="R831" s="24">
        <f t="shared" si="340"/>
        <v>2010960</v>
      </c>
      <c r="S831" s="8">
        <f t="shared" si="323"/>
        <v>1811675.6756756755</v>
      </c>
    </row>
    <row r="832" spans="1:19" s="19" customFormat="1" x14ac:dyDescent="0.2">
      <c r="A832" s="18" t="s">
        <v>475</v>
      </c>
      <c r="B832" s="19" t="s">
        <v>18</v>
      </c>
      <c r="C832" s="20">
        <v>144</v>
      </c>
      <c r="D832" s="21" t="s">
        <v>151</v>
      </c>
      <c r="E832" s="26"/>
      <c r="F832" s="22">
        <v>12</v>
      </c>
      <c r="G832" s="23" t="s">
        <v>33</v>
      </c>
      <c r="H832" s="22">
        <v>12</v>
      </c>
      <c r="I832" s="23" t="s">
        <v>151</v>
      </c>
      <c r="J832" s="24">
        <v>11000</v>
      </c>
      <c r="K832" s="21" t="s">
        <v>151</v>
      </c>
      <c r="L832" s="25">
        <v>0.125</v>
      </c>
      <c r="M832" s="25">
        <v>0.05</v>
      </c>
      <c r="N832" s="22"/>
      <c r="O832" s="23" t="s">
        <v>151</v>
      </c>
      <c r="P832" s="20">
        <f t="shared" si="339"/>
        <v>144</v>
      </c>
      <c r="Q832" s="23" t="s">
        <v>151</v>
      </c>
      <c r="R832" s="24">
        <f t="shared" si="340"/>
        <v>1316700</v>
      </c>
      <c r="S832" s="8">
        <f t="shared" si="323"/>
        <v>1186216.2162162161</v>
      </c>
    </row>
    <row r="833" spans="1:19" s="19" customFormat="1" x14ac:dyDescent="0.2">
      <c r="A833" s="18" t="s">
        <v>476</v>
      </c>
      <c r="B833" s="19" t="s">
        <v>18</v>
      </c>
      <c r="C833" s="20">
        <v>252</v>
      </c>
      <c r="D833" s="21" t="s">
        <v>151</v>
      </c>
      <c r="E833" s="26">
        <v>3</v>
      </c>
      <c r="F833" s="22">
        <v>12</v>
      </c>
      <c r="G833" s="23" t="s">
        <v>33</v>
      </c>
      <c r="H833" s="22">
        <v>24</v>
      </c>
      <c r="I833" s="23" t="s">
        <v>151</v>
      </c>
      <c r="J833" s="24">
        <v>5400</v>
      </c>
      <c r="K833" s="21" t="s">
        <v>151</v>
      </c>
      <c r="L833" s="25">
        <v>0.125</v>
      </c>
      <c r="M833" s="25">
        <v>0.05</v>
      </c>
      <c r="N833" s="22"/>
      <c r="O833" s="23" t="s">
        <v>151</v>
      </c>
      <c r="P833" s="20">
        <f t="shared" si="339"/>
        <v>1116</v>
      </c>
      <c r="Q833" s="23" t="s">
        <v>151</v>
      </c>
      <c r="R833" s="24">
        <f t="shared" si="340"/>
        <v>5009445</v>
      </c>
      <c r="S833" s="8">
        <f t="shared" si="323"/>
        <v>4513013.5135135129</v>
      </c>
    </row>
    <row r="834" spans="1:19" s="81" customFormat="1" x14ac:dyDescent="0.2">
      <c r="A834" s="80" t="s">
        <v>477</v>
      </c>
      <c r="B834" s="81" t="s">
        <v>18</v>
      </c>
      <c r="C834" s="79"/>
      <c r="D834" s="82" t="s">
        <v>151</v>
      </c>
      <c r="E834" s="83"/>
      <c r="F834" s="84">
        <v>12</v>
      </c>
      <c r="G834" s="85" t="s">
        <v>33</v>
      </c>
      <c r="H834" s="84">
        <v>12</v>
      </c>
      <c r="I834" s="85" t="s">
        <v>151</v>
      </c>
      <c r="J834" s="86">
        <v>16900</v>
      </c>
      <c r="K834" s="82" t="s">
        <v>151</v>
      </c>
      <c r="L834" s="87">
        <v>0.125</v>
      </c>
      <c r="M834" s="87">
        <v>0.05</v>
      </c>
      <c r="N834" s="84"/>
      <c r="O834" s="85" t="s">
        <v>151</v>
      </c>
      <c r="P834" s="79">
        <f t="shared" si="339"/>
        <v>0</v>
      </c>
      <c r="Q834" s="85" t="s">
        <v>151</v>
      </c>
      <c r="R834" s="86">
        <f t="shared" si="340"/>
        <v>0</v>
      </c>
      <c r="S834" s="16">
        <f t="shared" si="323"/>
        <v>0</v>
      </c>
    </row>
    <row r="835" spans="1:19" s="81" customFormat="1" x14ac:dyDescent="0.2">
      <c r="A835" s="80" t="s">
        <v>478</v>
      </c>
      <c r="B835" s="81" t="s">
        <v>18</v>
      </c>
      <c r="C835" s="79"/>
      <c r="D835" s="82" t="s">
        <v>151</v>
      </c>
      <c r="E835" s="83"/>
      <c r="F835" s="84">
        <v>12</v>
      </c>
      <c r="G835" s="85" t="s">
        <v>33</v>
      </c>
      <c r="H835" s="84">
        <v>6</v>
      </c>
      <c r="I835" s="85" t="s">
        <v>151</v>
      </c>
      <c r="J835" s="86">
        <v>33800</v>
      </c>
      <c r="K835" s="82" t="s">
        <v>151</v>
      </c>
      <c r="L835" s="87">
        <v>0.125</v>
      </c>
      <c r="M835" s="87">
        <v>0.05</v>
      </c>
      <c r="N835" s="84"/>
      <c r="O835" s="85" t="s">
        <v>151</v>
      </c>
      <c r="P835" s="79">
        <f t="shared" si="339"/>
        <v>0</v>
      </c>
      <c r="Q835" s="85" t="s">
        <v>151</v>
      </c>
      <c r="R835" s="86">
        <f t="shared" si="340"/>
        <v>0</v>
      </c>
      <c r="S835" s="16">
        <f t="shared" si="323"/>
        <v>0</v>
      </c>
    </row>
    <row r="836" spans="1:19" s="19" customFormat="1" x14ac:dyDescent="0.2">
      <c r="A836" s="18"/>
      <c r="C836" s="20"/>
      <c r="D836" s="21"/>
      <c r="E836" s="26"/>
      <c r="F836" s="22"/>
      <c r="G836" s="23"/>
      <c r="H836" s="22"/>
      <c r="I836" s="23"/>
      <c r="J836" s="24"/>
      <c r="K836" s="21"/>
      <c r="L836" s="25"/>
      <c r="M836" s="25"/>
      <c r="N836" s="22"/>
      <c r="O836" s="23"/>
      <c r="P836" s="20"/>
      <c r="Q836" s="23"/>
      <c r="R836" s="24"/>
      <c r="S836" s="8"/>
    </row>
    <row r="837" spans="1:19" s="19" customFormat="1" x14ac:dyDescent="0.2">
      <c r="A837" s="18" t="s">
        <v>479</v>
      </c>
      <c r="B837" s="19" t="s">
        <v>25</v>
      </c>
      <c r="C837" s="20">
        <v>166</v>
      </c>
      <c r="D837" s="21" t="s">
        <v>40</v>
      </c>
      <c r="E837" s="26">
        <v>11</v>
      </c>
      <c r="F837" s="22">
        <v>24</v>
      </c>
      <c r="G837" s="23" t="s">
        <v>33</v>
      </c>
      <c r="H837" s="22">
        <v>2</v>
      </c>
      <c r="I837" s="23" t="s">
        <v>40</v>
      </c>
      <c r="J837" s="24">
        <f>3801600/24/2</f>
        <v>79200</v>
      </c>
      <c r="K837" s="21" t="s">
        <v>40</v>
      </c>
      <c r="L837" s="25"/>
      <c r="M837" s="25">
        <v>0.17</v>
      </c>
      <c r="N837" s="22"/>
      <c r="O837" s="23" t="s">
        <v>40</v>
      </c>
      <c r="P837" s="20">
        <f t="shared" ref="P837:P838" si="344">(C837+(E837*F837*H837))-N837</f>
        <v>694</v>
      </c>
      <c r="Q837" s="23" t="s">
        <v>40</v>
      </c>
      <c r="R837" s="24">
        <f t="shared" ref="R837:R838" si="345">P837*(J837-(J837*L837)-((J837-(J837*L837))*M837))</f>
        <v>45620784</v>
      </c>
      <c r="S837" s="24">
        <f t="shared" ref="S837:S838" si="346">R837/1.11</f>
        <v>41099805.405405402</v>
      </c>
    </row>
    <row r="838" spans="1:19" s="19" customFormat="1" x14ac:dyDescent="0.2">
      <c r="A838" s="134" t="s">
        <v>480</v>
      </c>
      <c r="B838" s="19" t="s">
        <v>25</v>
      </c>
      <c r="C838" s="20"/>
      <c r="D838" s="21" t="s">
        <v>40</v>
      </c>
      <c r="E838" s="26">
        <v>100</v>
      </c>
      <c r="F838" s="22">
        <v>1</v>
      </c>
      <c r="G838" s="23" t="s">
        <v>20</v>
      </c>
      <c r="H838" s="22">
        <v>24</v>
      </c>
      <c r="I838" s="23" t="s">
        <v>40</v>
      </c>
      <c r="J838" s="24">
        <f>2980800/24</f>
        <v>124200</v>
      </c>
      <c r="K838" s="21" t="s">
        <v>40</v>
      </c>
      <c r="L838" s="133">
        <v>0.03</v>
      </c>
      <c r="M838" s="133">
        <v>0.17</v>
      </c>
      <c r="N838" s="22"/>
      <c r="O838" s="23" t="s">
        <v>40</v>
      </c>
      <c r="P838" s="20">
        <f t="shared" si="344"/>
        <v>2400</v>
      </c>
      <c r="Q838" s="23" t="s">
        <v>40</v>
      </c>
      <c r="R838" s="24">
        <f t="shared" si="345"/>
        <v>239984208</v>
      </c>
      <c r="S838" s="24">
        <f t="shared" si="346"/>
        <v>216201989.18918917</v>
      </c>
    </row>
    <row r="839" spans="1:19" s="19" customFormat="1" x14ac:dyDescent="0.2">
      <c r="A839" s="134" t="s">
        <v>480</v>
      </c>
      <c r="B839" s="19" t="s">
        <v>25</v>
      </c>
      <c r="C839" s="20">
        <v>184</v>
      </c>
      <c r="D839" s="21" t="s">
        <v>40</v>
      </c>
      <c r="E839" s="26">
        <v>11</v>
      </c>
      <c r="F839" s="22">
        <v>1</v>
      </c>
      <c r="G839" s="23" t="s">
        <v>20</v>
      </c>
      <c r="H839" s="22">
        <v>24</v>
      </c>
      <c r="I839" s="23" t="s">
        <v>40</v>
      </c>
      <c r="J839" s="24">
        <f>2980800/24</f>
        <v>124200</v>
      </c>
      <c r="K839" s="21" t="s">
        <v>40</v>
      </c>
      <c r="L839" s="133"/>
      <c r="M839" s="133">
        <v>0.17</v>
      </c>
      <c r="N839" s="22"/>
      <c r="O839" s="23" t="s">
        <v>40</v>
      </c>
      <c r="P839" s="20">
        <f t="shared" ref="P839:P849" si="347">(C839+(E839*F839*H839))-N839</f>
        <v>448</v>
      </c>
      <c r="Q839" s="23" t="s">
        <v>40</v>
      </c>
      <c r="R839" s="24">
        <f t="shared" ref="R839:R849" si="348">P839*(J839-(J839*L839)-((J839-(J839*L839))*M839))</f>
        <v>46182528</v>
      </c>
      <c r="S839" s="24">
        <f t="shared" si="323"/>
        <v>41605881.081081077</v>
      </c>
    </row>
    <row r="840" spans="1:19" x14ac:dyDescent="0.2">
      <c r="A840" s="17" t="s">
        <v>481</v>
      </c>
      <c r="B840" s="2" t="s">
        <v>25</v>
      </c>
      <c r="D840" s="4" t="s">
        <v>40</v>
      </c>
      <c r="E840" s="5">
        <v>2</v>
      </c>
      <c r="F840" s="6">
        <v>1</v>
      </c>
      <c r="G840" s="7" t="s">
        <v>20</v>
      </c>
      <c r="H840" s="6">
        <v>12</v>
      </c>
      <c r="I840" s="7" t="s">
        <v>40</v>
      </c>
      <c r="J840" s="8">
        <f>2980800/12</f>
        <v>248400</v>
      </c>
      <c r="K840" s="4" t="s">
        <v>40</v>
      </c>
      <c r="M840" s="9">
        <v>0.17</v>
      </c>
      <c r="O840" s="7" t="s">
        <v>40</v>
      </c>
      <c r="P840" s="3">
        <f t="shared" si="347"/>
        <v>24</v>
      </c>
      <c r="Q840" s="7" t="s">
        <v>40</v>
      </c>
      <c r="R840" s="8">
        <f t="shared" si="348"/>
        <v>4948128</v>
      </c>
      <c r="S840" s="8">
        <f t="shared" si="323"/>
        <v>4457772.9729729723</v>
      </c>
    </row>
    <row r="841" spans="1:19" x14ac:dyDescent="0.2">
      <c r="A841" s="17" t="s">
        <v>677</v>
      </c>
      <c r="B841" s="2" t="s">
        <v>25</v>
      </c>
      <c r="C841" s="3">
        <v>106</v>
      </c>
      <c r="D841" s="4" t="s">
        <v>151</v>
      </c>
      <c r="E841" s="5">
        <v>1</v>
      </c>
      <c r="F841" s="6">
        <v>20</v>
      </c>
      <c r="G841" s="7" t="s">
        <v>33</v>
      </c>
      <c r="H841" s="6">
        <v>4</v>
      </c>
      <c r="I841" s="7" t="s">
        <v>151</v>
      </c>
      <c r="J841" s="8">
        <f>2640000/20/4</f>
        <v>33000</v>
      </c>
      <c r="K841" s="4" t="s">
        <v>151</v>
      </c>
      <c r="M841" s="9">
        <v>0.17</v>
      </c>
      <c r="O841" s="7" t="s">
        <v>151</v>
      </c>
      <c r="P841" s="3">
        <f t="shared" si="347"/>
        <v>186</v>
      </c>
      <c r="Q841" s="7" t="s">
        <v>151</v>
      </c>
      <c r="R841" s="8">
        <f t="shared" si="348"/>
        <v>5094540</v>
      </c>
      <c r="S841" s="8">
        <f>R841/1.11</f>
        <v>4589675.6756756753</v>
      </c>
    </row>
    <row r="842" spans="1:19" s="72" customFormat="1" x14ac:dyDescent="0.2">
      <c r="A842" s="71" t="s">
        <v>482</v>
      </c>
      <c r="B842" s="72" t="s">
        <v>25</v>
      </c>
      <c r="C842" s="73"/>
      <c r="D842" s="74" t="s">
        <v>40</v>
      </c>
      <c r="E842" s="75"/>
      <c r="F842" s="76">
        <v>1</v>
      </c>
      <c r="G842" s="77" t="s">
        <v>20</v>
      </c>
      <c r="H842" s="76">
        <v>24</v>
      </c>
      <c r="I842" s="77" t="s">
        <v>40</v>
      </c>
      <c r="J842" s="16">
        <f>2448000/24</f>
        <v>102000</v>
      </c>
      <c r="K842" s="74" t="s">
        <v>40</v>
      </c>
      <c r="L842" s="78"/>
      <c r="M842" s="78">
        <v>0.17</v>
      </c>
      <c r="N842" s="76"/>
      <c r="O842" s="77" t="s">
        <v>40</v>
      </c>
      <c r="P842" s="73">
        <f t="shared" si="347"/>
        <v>0</v>
      </c>
      <c r="Q842" s="77" t="s">
        <v>40</v>
      </c>
      <c r="R842" s="16">
        <f t="shared" si="348"/>
        <v>0</v>
      </c>
      <c r="S842" s="16">
        <f t="shared" si="323"/>
        <v>0</v>
      </c>
    </row>
    <row r="843" spans="1:19" x14ac:dyDescent="0.2">
      <c r="A843" s="17" t="s">
        <v>483</v>
      </c>
      <c r="B843" s="2" t="s">
        <v>25</v>
      </c>
      <c r="C843" s="3">
        <v>10</v>
      </c>
      <c r="D843" s="4" t="s">
        <v>40</v>
      </c>
      <c r="F843" s="6">
        <v>1</v>
      </c>
      <c r="G843" s="7" t="s">
        <v>20</v>
      </c>
      <c r="H843" s="6">
        <v>16</v>
      </c>
      <c r="I843" s="7" t="s">
        <v>40</v>
      </c>
      <c r="J843" s="8">
        <f>1824000/16</f>
        <v>114000</v>
      </c>
      <c r="K843" s="4" t="s">
        <v>40</v>
      </c>
      <c r="M843" s="9">
        <v>0.17</v>
      </c>
      <c r="O843" s="7" t="s">
        <v>40</v>
      </c>
      <c r="P843" s="3">
        <f t="shared" si="347"/>
        <v>10</v>
      </c>
      <c r="Q843" s="7" t="s">
        <v>40</v>
      </c>
      <c r="R843" s="8">
        <f t="shared" si="348"/>
        <v>946200</v>
      </c>
      <c r="S843" s="8">
        <f t="shared" si="323"/>
        <v>852432.43243243231</v>
      </c>
    </row>
    <row r="844" spans="1:19" s="72" customFormat="1" x14ac:dyDescent="0.2">
      <c r="A844" s="71" t="s">
        <v>680</v>
      </c>
      <c r="B844" s="72" t="s">
        <v>25</v>
      </c>
      <c r="C844" s="73"/>
      <c r="D844" s="74" t="s">
        <v>151</v>
      </c>
      <c r="E844" s="75"/>
      <c r="F844" s="76">
        <v>24</v>
      </c>
      <c r="G844" s="77" t="s">
        <v>33</v>
      </c>
      <c r="H844" s="76">
        <v>6</v>
      </c>
      <c r="I844" s="77" t="s">
        <v>151</v>
      </c>
      <c r="J844" s="16">
        <f>2448000/24/6</f>
        <v>17000</v>
      </c>
      <c r="K844" s="74" t="s">
        <v>151</v>
      </c>
      <c r="L844" s="78"/>
      <c r="M844" s="78">
        <v>0.17</v>
      </c>
      <c r="N844" s="76"/>
      <c r="O844" s="77" t="s">
        <v>151</v>
      </c>
      <c r="P844" s="73">
        <f t="shared" si="347"/>
        <v>0</v>
      </c>
      <c r="Q844" s="77" t="s">
        <v>151</v>
      </c>
      <c r="R844" s="16">
        <f t="shared" si="348"/>
        <v>0</v>
      </c>
      <c r="S844" s="16">
        <f t="shared" si="323"/>
        <v>0</v>
      </c>
    </row>
    <row r="845" spans="1:19" x14ac:dyDescent="0.2">
      <c r="A845" s="17" t="s">
        <v>484</v>
      </c>
      <c r="B845" s="2" t="s">
        <v>25</v>
      </c>
      <c r="D845" s="4" t="s">
        <v>151</v>
      </c>
      <c r="E845" s="5">
        <v>2</v>
      </c>
      <c r="F845" s="6">
        <v>10</v>
      </c>
      <c r="G845" s="7" t="s">
        <v>40</v>
      </c>
      <c r="H845" s="6">
        <v>12</v>
      </c>
      <c r="I845" s="7" t="s">
        <v>151</v>
      </c>
      <c r="J845" s="8">
        <f>2040000/10/12</f>
        <v>17000</v>
      </c>
      <c r="K845" s="4" t="s">
        <v>151</v>
      </c>
      <c r="M845" s="9">
        <v>0.17</v>
      </c>
      <c r="O845" s="7" t="s">
        <v>151</v>
      </c>
      <c r="P845" s="3">
        <f t="shared" si="347"/>
        <v>240</v>
      </c>
      <c r="Q845" s="7" t="s">
        <v>151</v>
      </c>
      <c r="R845" s="8">
        <f t="shared" si="348"/>
        <v>3386400</v>
      </c>
      <c r="S845" s="8">
        <f t="shared" si="323"/>
        <v>3050810.8108108104</v>
      </c>
    </row>
    <row r="846" spans="1:19" s="88" customFormat="1" x14ac:dyDescent="0.2">
      <c r="A846" s="107" t="s">
        <v>485</v>
      </c>
      <c r="B846" s="88" t="s">
        <v>25</v>
      </c>
      <c r="C846" s="91"/>
      <c r="D846" s="92" t="s">
        <v>151</v>
      </c>
      <c r="E846" s="93">
        <v>1</v>
      </c>
      <c r="F846" s="94">
        <v>10</v>
      </c>
      <c r="G846" s="95" t="s">
        <v>33</v>
      </c>
      <c r="H846" s="94">
        <v>6</v>
      </c>
      <c r="I846" s="95" t="s">
        <v>151</v>
      </c>
      <c r="J846" s="96">
        <f>2040000/10/6</f>
        <v>34000</v>
      </c>
      <c r="K846" s="92" t="s">
        <v>151</v>
      </c>
      <c r="L846" s="97"/>
      <c r="M846" s="97">
        <v>0.17</v>
      </c>
      <c r="N846" s="94"/>
      <c r="O846" s="95" t="s">
        <v>151</v>
      </c>
      <c r="P846" s="91">
        <f t="shared" si="347"/>
        <v>60</v>
      </c>
      <c r="Q846" s="95" t="s">
        <v>151</v>
      </c>
      <c r="R846" s="96">
        <f t="shared" si="348"/>
        <v>1693200</v>
      </c>
      <c r="S846" s="96">
        <f t="shared" si="323"/>
        <v>1525405.4054054052</v>
      </c>
    </row>
    <row r="847" spans="1:19" s="81" customFormat="1" x14ac:dyDescent="0.2">
      <c r="A847" s="80" t="s">
        <v>486</v>
      </c>
      <c r="B847" s="81" t="s">
        <v>25</v>
      </c>
      <c r="C847" s="79"/>
      <c r="D847" s="82" t="s">
        <v>151</v>
      </c>
      <c r="E847" s="83">
        <v>3</v>
      </c>
      <c r="F847" s="84">
        <v>24</v>
      </c>
      <c r="G847" s="85" t="s">
        <v>40</v>
      </c>
      <c r="H847" s="84">
        <v>12</v>
      </c>
      <c r="I847" s="85" t="s">
        <v>151</v>
      </c>
      <c r="J847" s="86">
        <f>3571200/24/12</f>
        <v>12400</v>
      </c>
      <c r="K847" s="82" t="s">
        <v>151</v>
      </c>
      <c r="L847" s="87"/>
      <c r="M847" s="87">
        <v>0.17</v>
      </c>
      <c r="N847" s="84"/>
      <c r="O847" s="85" t="s">
        <v>151</v>
      </c>
      <c r="P847" s="79">
        <f t="shared" si="347"/>
        <v>864</v>
      </c>
      <c r="Q847" s="85" t="s">
        <v>151</v>
      </c>
      <c r="R847" s="86">
        <f t="shared" si="348"/>
        <v>8892288</v>
      </c>
      <c r="S847" s="16">
        <f t="shared" si="323"/>
        <v>8011070.2702702694</v>
      </c>
    </row>
    <row r="848" spans="1:19" s="98" customFormat="1" x14ac:dyDescent="0.2">
      <c r="A848" s="90" t="s">
        <v>487</v>
      </c>
      <c r="B848" s="98" t="s">
        <v>25</v>
      </c>
      <c r="C848" s="99"/>
      <c r="D848" s="100" t="s">
        <v>151</v>
      </c>
      <c r="E848" s="101">
        <v>2</v>
      </c>
      <c r="F848" s="102">
        <v>16</v>
      </c>
      <c r="G848" s="103" t="s">
        <v>40</v>
      </c>
      <c r="H848" s="102">
        <v>12</v>
      </c>
      <c r="I848" s="103" t="s">
        <v>151</v>
      </c>
      <c r="J848" s="104">
        <f>3648000/16/12</f>
        <v>19000</v>
      </c>
      <c r="K848" s="100" t="s">
        <v>151</v>
      </c>
      <c r="L848" s="105"/>
      <c r="M848" s="105">
        <v>0.17</v>
      </c>
      <c r="N848" s="102"/>
      <c r="O848" s="103" t="s">
        <v>151</v>
      </c>
      <c r="P848" s="99">
        <f t="shared" si="347"/>
        <v>384</v>
      </c>
      <c r="Q848" s="103" t="s">
        <v>151</v>
      </c>
      <c r="R848" s="104">
        <f t="shared" si="348"/>
        <v>6055680</v>
      </c>
      <c r="S848" s="96">
        <f t="shared" si="323"/>
        <v>5455567.5675675673</v>
      </c>
    </row>
    <row r="849" spans="1:19" s="72" customFormat="1" x14ac:dyDescent="0.2">
      <c r="A849" s="71" t="s">
        <v>488</v>
      </c>
      <c r="B849" s="72" t="s">
        <v>25</v>
      </c>
      <c r="C849" s="73"/>
      <c r="D849" s="74" t="s">
        <v>151</v>
      </c>
      <c r="E849" s="75"/>
      <c r="F849" s="76">
        <v>24</v>
      </c>
      <c r="G849" s="77" t="s">
        <v>33</v>
      </c>
      <c r="H849" s="76">
        <v>6</v>
      </c>
      <c r="I849" s="77" t="s">
        <v>151</v>
      </c>
      <c r="J849" s="16">
        <v>22000</v>
      </c>
      <c r="K849" s="74" t="s">
        <v>151</v>
      </c>
      <c r="L849" s="78"/>
      <c r="M849" s="78">
        <v>0.17</v>
      </c>
      <c r="N849" s="76"/>
      <c r="O849" s="77" t="s">
        <v>151</v>
      </c>
      <c r="P849" s="73">
        <f t="shared" si="347"/>
        <v>0</v>
      </c>
      <c r="Q849" s="77" t="s">
        <v>151</v>
      </c>
      <c r="R849" s="16">
        <f t="shared" si="348"/>
        <v>0</v>
      </c>
      <c r="S849" s="16">
        <f t="shared" si="323"/>
        <v>0</v>
      </c>
    </row>
    <row r="851" spans="1:19" x14ac:dyDescent="0.2">
      <c r="A851" s="18" t="s">
        <v>881</v>
      </c>
      <c r="B851" s="2" t="s">
        <v>260</v>
      </c>
      <c r="D851" s="4" t="s">
        <v>151</v>
      </c>
      <c r="E851" s="5">
        <v>1</v>
      </c>
      <c r="F851" s="6">
        <v>1</v>
      </c>
      <c r="G851" s="7" t="s">
        <v>20</v>
      </c>
      <c r="H851" s="6">
        <v>144</v>
      </c>
      <c r="I851" s="7" t="s">
        <v>151</v>
      </c>
      <c r="J851" s="8">
        <v>18500</v>
      </c>
      <c r="K851" s="4" t="s">
        <v>151</v>
      </c>
      <c r="O851" s="77" t="s">
        <v>151</v>
      </c>
      <c r="P851" s="73">
        <f t="shared" ref="P851" si="349">(C851+(E851*F851*H851))-N851</f>
        <v>144</v>
      </c>
      <c r="Q851" s="77" t="s">
        <v>151</v>
      </c>
      <c r="R851" s="16">
        <f t="shared" ref="R851" si="350">P851*(J851-(J851*L851)-((J851-(J851*L851))*M851))</f>
        <v>2664000</v>
      </c>
      <c r="S851" s="16">
        <f t="shared" ref="S851" si="351">R851/1.11</f>
        <v>2400000</v>
      </c>
    </row>
    <row r="852" spans="1:19" x14ac:dyDescent="0.2">
      <c r="A852" s="18" t="s">
        <v>882</v>
      </c>
      <c r="B852" s="2" t="s">
        <v>260</v>
      </c>
      <c r="D852" s="4" t="s">
        <v>151</v>
      </c>
      <c r="E852" s="5">
        <v>1</v>
      </c>
      <c r="F852" s="6">
        <v>1</v>
      </c>
      <c r="G852" s="7" t="s">
        <v>20</v>
      </c>
      <c r="H852" s="6">
        <v>240</v>
      </c>
      <c r="I852" s="7" t="s">
        <v>151</v>
      </c>
      <c r="J852" s="8">
        <v>8800</v>
      </c>
      <c r="K852" s="4" t="s">
        <v>151</v>
      </c>
      <c r="O852" s="77" t="s">
        <v>151</v>
      </c>
      <c r="P852" s="73">
        <f t="shared" ref="P852:P853" si="352">(C852+(E852*F852*H852))-N852</f>
        <v>240</v>
      </c>
      <c r="Q852" s="77" t="s">
        <v>151</v>
      </c>
      <c r="R852" s="16">
        <f t="shared" ref="R852:R853" si="353">P852*(J852-(J852*L852)-((J852-(J852*L852))*M852))</f>
        <v>2112000</v>
      </c>
      <c r="S852" s="16">
        <f t="shared" ref="S852:S853" si="354">R852/1.11</f>
        <v>1902702.7027027025</v>
      </c>
    </row>
    <row r="853" spans="1:19" x14ac:dyDescent="0.2">
      <c r="A853" s="18" t="s">
        <v>883</v>
      </c>
      <c r="B853" s="2" t="s">
        <v>260</v>
      </c>
      <c r="D853" s="4" t="s">
        <v>151</v>
      </c>
      <c r="E853" s="5">
        <v>2</v>
      </c>
      <c r="F853" s="6">
        <v>1</v>
      </c>
      <c r="G853" s="7" t="s">
        <v>20</v>
      </c>
      <c r="H853" s="6">
        <v>288</v>
      </c>
      <c r="I853" s="7" t="s">
        <v>151</v>
      </c>
      <c r="J853" s="8">
        <v>10800</v>
      </c>
      <c r="K853" s="4" t="s">
        <v>151</v>
      </c>
      <c r="O853" s="77" t="s">
        <v>151</v>
      </c>
      <c r="P853" s="73">
        <f t="shared" si="352"/>
        <v>576</v>
      </c>
      <c r="Q853" s="77" t="s">
        <v>151</v>
      </c>
      <c r="R853" s="16">
        <f t="shared" si="353"/>
        <v>6220800</v>
      </c>
      <c r="S853" s="16">
        <f t="shared" si="354"/>
        <v>5604324.3243243238</v>
      </c>
    </row>
    <row r="855" spans="1:19" ht="15.75" x14ac:dyDescent="0.25">
      <c r="A855" s="14" t="s">
        <v>489</v>
      </c>
    </row>
    <row r="856" spans="1:19" x14ac:dyDescent="0.2">
      <c r="A856" s="17" t="s">
        <v>490</v>
      </c>
      <c r="B856" s="2" t="s">
        <v>18</v>
      </c>
      <c r="C856" s="3">
        <v>72</v>
      </c>
      <c r="D856" s="4" t="s">
        <v>19</v>
      </c>
      <c r="F856" s="6">
        <v>12</v>
      </c>
      <c r="G856" s="7" t="s">
        <v>33</v>
      </c>
      <c r="H856" s="6">
        <v>24</v>
      </c>
      <c r="I856" s="7" t="s">
        <v>19</v>
      </c>
      <c r="J856" s="8">
        <v>3550</v>
      </c>
      <c r="K856" s="4" t="s">
        <v>19</v>
      </c>
      <c r="L856" s="9">
        <v>0.125</v>
      </c>
      <c r="M856" s="9">
        <v>0.05</v>
      </c>
      <c r="O856" s="7" t="s">
        <v>19</v>
      </c>
      <c r="P856" s="3">
        <f>(C856+(E856*F856*H856))-N856</f>
        <v>72</v>
      </c>
      <c r="Q856" s="7" t="s">
        <v>19</v>
      </c>
      <c r="R856" s="8">
        <f>P856*(J856-(J856*L856)-((J856-(J856*L856))*M856))</f>
        <v>212467.5</v>
      </c>
      <c r="S856" s="8">
        <f t="shared" si="323"/>
        <v>191412.16216216216</v>
      </c>
    </row>
    <row r="857" spans="1:19" s="19" customFormat="1" x14ac:dyDescent="0.2">
      <c r="A857" s="31" t="s">
        <v>825</v>
      </c>
      <c r="B857" s="19" t="s">
        <v>18</v>
      </c>
      <c r="C857" s="20"/>
      <c r="D857" s="21" t="s">
        <v>19</v>
      </c>
      <c r="E857" s="26">
        <v>1</v>
      </c>
      <c r="F857" s="22">
        <v>1</v>
      </c>
      <c r="G857" s="23" t="s">
        <v>20</v>
      </c>
      <c r="H857" s="22">
        <v>288</v>
      </c>
      <c r="I857" s="23" t="s">
        <v>19</v>
      </c>
      <c r="J857" s="32">
        <v>4000</v>
      </c>
      <c r="K857" s="21" t="s">
        <v>19</v>
      </c>
      <c r="L857" s="25">
        <v>0.125</v>
      </c>
      <c r="M857" s="25">
        <v>0.05</v>
      </c>
      <c r="N857" s="22"/>
      <c r="O857" s="23" t="s">
        <v>19</v>
      </c>
      <c r="P857" s="20">
        <f>(C857+(E857*F857*H857))-N857</f>
        <v>288</v>
      </c>
      <c r="Q857" s="23" t="s">
        <v>19</v>
      </c>
      <c r="R857" s="24">
        <f>P857*(J857-(J857*L857)-((J857-(J857*L857))*M857))</f>
        <v>957600</v>
      </c>
      <c r="S857" s="24">
        <f t="shared" ref="S857" si="355">R857/1.11</f>
        <v>862702.70270270261</v>
      </c>
    </row>
    <row r="858" spans="1:19" s="19" customFormat="1" x14ac:dyDescent="0.2">
      <c r="A858" s="31" t="s">
        <v>491</v>
      </c>
      <c r="B858" s="19" t="s">
        <v>18</v>
      </c>
      <c r="C858" s="20">
        <v>276</v>
      </c>
      <c r="D858" s="21" t="s">
        <v>19</v>
      </c>
      <c r="E858" s="26"/>
      <c r="F858" s="22">
        <v>1</v>
      </c>
      <c r="G858" s="23" t="s">
        <v>20</v>
      </c>
      <c r="H858" s="22">
        <v>288</v>
      </c>
      <c r="I858" s="23" t="s">
        <v>19</v>
      </c>
      <c r="J858" s="32">
        <v>3550</v>
      </c>
      <c r="K858" s="21" t="s">
        <v>19</v>
      </c>
      <c r="L858" s="25">
        <v>0.125</v>
      </c>
      <c r="M858" s="25">
        <v>0.05</v>
      </c>
      <c r="N858" s="22"/>
      <c r="O858" s="23" t="s">
        <v>19</v>
      </c>
      <c r="P858" s="20">
        <f>(C858+(E858*F858*H858))-N858</f>
        <v>276</v>
      </c>
      <c r="Q858" s="23" t="s">
        <v>19</v>
      </c>
      <c r="R858" s="24">
        <f>P858*(J858-(J858*L858)-((J858-(J858*L858))*M858))</f>
        <v>814458.75</v>
      </c>
      <c r="S858" s="24">
        <f t="shared" si="323"/>
        <v>733746.62162162154</v>
      </c>
    </row>
    <row r="859" spans="1:19" s="19" customFormat="1" x14ac:dyDescent="0.2">
      <c r="A859" s="18" t="s">
        <v>492</v>
      </c>
      <c r="B859" s="19" t="s">
        <v>18</v>
      </c>
      <c r="C859" s="20">
        <v>2508</v>
      </c>
      <c r="D859" s="21" t="s">
        <v>19</v>
      </c>
      <c r="E859" s="26">
        <v>54</v>
      </c>
      <c r="F859" s="22">
        <v>1</v>
      </c>
      <c r="G859" s="23" t="s">
        <v>20</v>
      </c>
      <c r="H859" s="22">
        <v>288</v>
      </c>
      <c r="I859" s="23" t="s">
        <v>19</v>
      </c>
      <c r="J859" s="24">
        <v>4800</v>
      </c>
      <c r="K859" s="21" t="s">
        <v>19</v>
      </c>
      <c r="L859" s="25">
        <v>0.125</v>
      </c>
      <c r="M859" s="25">
        <v>0.05</v>
      </c>
      <c r="N859" s="22"/>
      <c r="O859" s="23" t="s">
        <v>19</v>
      </c>
      <c r="P859" s="20">
        <f>(C859+(E859*F859*H859))-N859</f>
        <v>18060</v>
      </c>
      <c r="Q859" s="23" t="s">
        <v>19</v>
      </c>
      <c r="R859" s="24">
        <f>P859*(J859-(J859*L859)-((J859-(J859*L859))*M859))</f>
        <v>72059400</v>
      </c>
      <c r="S859" s="24">
        <f t="shared" si="323"/>
        <v>64918378.378378376</v>
      </c>
    </row>
    <row r="860" spans="1:19" s="19" customFormat="1" x14ac:dyDescent="0.2">
      <c r="A860" s="145" t="s">
        <v>929</v>
      </c>
      <c r="B860" s="19" t="s">
        <v>18</v>
      </c>
      <c r="C860" s="20"/>
      <c r="D860" s="21" t="s">
        <v>19</v>
      </c>
      <c r="E860" s="26">
        <v>2</v>
      </c>
      <c r="F860" s="22">
        <v>1</v>
      </c>
      <c r="G860" s="23" t="s">
        <v>20</v>
      </c>
      <c r="H860" s="22">
        <v>288</v>
      </c>
      <c r="I860" s="23" t="s">
        <v>19</v>
      </c>
      <c r="J860" s="24">
        <v>4800</v>
      </c>
      <c r="K860" s="21" t="s">
        <v>19</v>
      </c>
      <c r="L860" s="25">
        <v>0.125</v>
      </c>
      <c r="M860" s="25">
        <v>0.05</v>
      </c>
      <c r="N860" s="22"/>
      <c r="O860" s="23" t="s">
        <v>19</v>
      </c>
      <c r="P860" s="20">
        <f>(C860+(E860*F860*H860))-N860</f>
        <v>576</v>
      </c>
      <c r="Q860" s="23" t="s">
        <v>19</v>
      </c>
      <c r="R860" s="24">
        <f>P860*(J860-(J860*L860)-((J860-(J860*L860))*M860))</f>
        <v>2298240</v>
      </c>
      <c r="S860" s="24">
        <f t="shared" ref="S860" si="356">R860/1.11</f>
        <v>2070486.4864864864</v>
      </c>
    </row>
    <row r="861" spans="1:19" s="19" customFormat="1" x14ac:dyDescent="0.2">
      <c r="A861" s="18"/>
      <c r="C861" s="20"/>
      <c r="D861" s="21"/>
      <c r="E861" s="26"/>
      <c r="F861" s="22"/>
      <c r="G861" s="23"/>
      <c r="H861" s="22"/>
      <c r="I861" s="23"/>
      <c r="J861" s="24"/>
      <c r="K861" s="21"/>
      <c r="L861" s="25"/>
      <c r="M861" s="25"/>
      <c r="N861" s="22"/>
      <c r="O861" s="23"/>
      <c r="P861" s="20"/>
      <c r="Q861" s="23"/>
      <c r="R861" s="24"/>
      <c r="S861" s="24"/>
    </row>
    <row r="862" spans="1:19" s="19" customFormat="1" x14ac:dyDescent="0.2">
      <c r="A862" s="18" t="s">
        <v>493</v>
      </c>
      <c r="B862" s="19" t="s">
        <v>25</v>
      </c>
      <c r="C862" s="20">
        <v>174</v>
      </c>
      <c r="D862" s="21" t="s">
        <v>40</v>
      </c>
      <c r="E862" s="26">
        <v>10</v>
      </c>
      <c r="F862" s="22">
        <v>1</v>
      </c>
      <c r="G862" s="23" t="s">
        <v>20</v>
      </c>
      <c r="H862" s="22">
        <v>24</v>
      </c>
      <c r="I862" s="23" t="s">
        <v>40</v>
      </c>
      <c r="J862" s="24">
        <f>1497600/24</f>
        <v>62400</v>
      </c>
      <c r="K862" s="21" t="s">
        <v>40</v>
      </c>
      <c r="L862" s="25"/>
      <c r="M862" s="25">
        <v>0.17</v>
      </c>
      <c r="N862" s="22"/>
      <c r="O862" s="23" t="s">
        <v>40</v>
      </c>
      <c r="P862" s="20">
        <f>(C862+(E862*F862*H862))-N862</f>
        <v>414</v>
      </c>
      <c r="Q862" s="23" t="s">
        <v>40</v>
      </c>
      <c r="R862" s="24">
        <f>P862*(J862-(J862*L862)-((J862-(J862*L862))*M862))</f>
        <v>21441888</v>
      </c>
      <c r="S862" s="24">
        <f t="shared" si="323"/>
        <v>19317016.216216214</v>
      </c>
    </row>
    <row r="863" spans="1:19" s="19" customFormat="1" x14ac:dyDescent="0.2">
      <c r="A863" s="18"/>
      <c r="C863" s="20"/>
      <c r="D863" s="21"/>
      <c r="E863" s="26"/>
      <c r="F863" s="22"/>
      <c r="G863" s="23"/>
      <c r="H863" s="22"/>
      <c r="I863" s="23"/>
      <c r="J863" s="24"/>
      <c r="K863" s="21"/>
      <c r="L863" s="25"/>
      <c r="M863" s="25"/>
      <c r="N863" s="22"/>
      <c r="O863" s="23"/>
      <c r="P863" s="20"/>
      <c r="Q863" s="23"/>
      <c r="R863" s="24"/>
      <c r="S863" s="8"/>
    </row>
    <row r="864" spans="1:19" x14ac:dyDescent="0.2">
      <c r="A864" s="50" t="s">
        <v>494</v>
      </c>
      <c r="B864" s="2" t="s">
        <v>171</v>
      </c>
      <c r="C864" s="3">
        <v>1026</v>
      </c>
      <c r="D864" s="4" t="s">
        <v>19</v>
      </c>
      <c r="F864" s="6">
        <v>1</v>
      </c>
      <c r="G864" s="7" t="s">
        <v>20</v>
      </c>
      <c r="H864" s="6">
        <v>120</v>
      </c>
      <c r="I864" s="7" t="s">
        <v>19</v>
      </c>
      <c r="J864" s="8">
        <v>11500</v>
      </c>
      <c r="K864" s="4" t="s">
        <v>19</v>
      </c>
      <c r="O864" s="7" t="s">
        <v>19</v>
      </c>
      <c r="P864" s="3">
        <f t="shared" ref="P864:P867" si="357">(C864+(E864*F864*H864))-N864</f>
        <v>1026</v>
      </c>
      <c r="Q864" s="7" t="s">
        <v>19</v>
      </c>
      <c r="R864" s="8">
        <f t="shared" ref="R864:R867" si="358">P864*(J864-(J864*L864)-((J864-(J864*L864))*M864))</f>
        <v>11799000</v>
      </c>
      <c r="S864" s="8">
        <f t="shared" si="323"/>
        <v>10629729.729729729</v>
      </c>
    </row>
    <row r="865" spans="1:19" x14ac:dyDescent="0.2">
      <c r="A865" s="50" t="s">
        <v>716</v>
      </c>
      <c r="B865" s="2" t="s">
        <v>171</v>
      </c>
      <c r="C865" s="3">
        <v>251</v>
      </c>
      <c r="D865" s="4" t="s">
        <v>19</v>
      </c>
      <c r="F865" s="6">
        <v>1</v>
      </c>
      <c r="G865" s="7" t="s">
        <v>20</v>
      </c>
      <c r="H865" s="6">
        <v>100</v>
      </c>
      <c r="I865" s="7" t="s">
        <v>19</v>
      </c>
      <c r="J865" s="8">
        <v>13500</v>
      </c>
      <c r="K865" s="4" t="s">
        <v>19</v>
      </c>
      <c r="L865" s="9">
        <v>0.05</v>
      </c>
      <c r="O865" s="7" t="s">
        <v>19</v>
      </c>
      <c r="P865" s="3">
        <f t="shared" si="357"/>
        <v>251</v>
      </c>
      <c r="Q865" s="7" t="s">
        <v>19</v>
      </c>
      <c r="R865" s="8">
        <f t="shared" si="358"/>
        <v>3219075</v>
      </c>
      <c r="S865" s="8">
        <f t="shared" si="323"/>
        <v>2900067.5675675673</v>
      </c>
    </row>
    <row r="866" spans="1:19" x14ac:dyDescent="0.2">
      <c r="A866" s="50" t="s">
        <v>495</v>
      </c>
      <c r="B866" s="2" t="s">
        <v>171</v>
      </c>
      <c r="C866" s="3">
        <v>486</v>
      </c>
      <c r="D866" s="4" t="s">
        <v>19</v>
      </c>
      <c r="F866" s="6">
        <v>1</v>
      </c>
      <c r="G866" s="7" t="s">
        <v>20</v>
      </c>
      <c r="H866" s="6">
        <v>96</v>
      </c>
      <c r="I866" s="7" t="s">
        <v>19</v>
      </c>
      <c r="J866" s="8">
        <v>21000</v>
      </c>
      <c r="K866" s="4" t="s">
        <v>19</v>
      </c>
      <c r="O866" s="7" t="s">
        <v>19</v>
      </c>
      <c r="P866" s="3">
        <f t="shared" si="357"/>
        <v>486</v>
      </c>
      <c r="Q866" s="7" t="s">
        <v>19</v>
      </c>
      <c r="R866" s="8">
        <f t="shared" si="358"/>
        <v>10206000</v>
      </c>
      <c r="S866" s="8">
        <f t="shared" si="323"/>
        <v>9194594.5945945941</v>
      </c>
    </row>
    <row r="867" spans="1:19" s="72" customFormat="1" x14ac:dyDescent="0.2">
      <c r="A867" s="115" t="s">
        <v>687</v>
      </c>
      <c r="B867" s="72" t="s">
        <v>171</v>
      </c>
      <c r="C867" s="73"/>
      <c r="D867" s="74" t="s">
        <v>19</v>
      </c>
      <c r="E867" s="75"/>
      <c r="F867" s="76">
        <v>1</v>
      </c>
      <c r="G867" s="77" t="s">
        <v>20</v>
      </c>
      <c r="H867" s="76">
        <v>144</v>
      </c>
      <c r="I867" s="77" t="s">
        <v>19</v>
      </c>
      <c r="J867" s="16">
        <v>8750</v>
      </c>
      <c r="K867" s="74" t="s">
        <v>19</v>
      </c>
      <c r="L867" s="78"/>
      <c r="M867" s="78"/>
      <c r="N867" s="76"/>
      <c r="O867" s="77" t="s">
        <v>19</v>
      </c>
      <c r="P867" s="73">
        <f t="shared" si="357"/>
        <v>0</v>
      </c>
      <c r="Q867" s="77" t="s">
        <v>19</v>
      </c>
      <c r="R867" s="16">
        <f t="shared" si="358"/>
        <v>0</v>
      </c>
      <c r="S867" s="16">
        <f t="shared" si="323"/>
        <v>0</v>
      </c>
    </row>
    <row r="868" spans="1:19" x14ac:dyDescent="0.2">
      <c r="A868" s="50" t="s">
        <v>688</v>
      </c>
      <c r="B868" s="2" t="s">
        <v>171</v>
      </c>
      <c r="C868" s="3">
        <v>24</v>
      </c>
      <c r="D868" s="4" t="s">
        <v>19</v>
      </c>
      <c r="F868" s="6">
        <v>1</v>
      </c>
      <c r="G868" s="7" t="s">
        <v>20</v>
      </c>
      <c r="H868" s="6">
        <v>144</v>
      </c>
      <c r="I868" s="7" t="s">
        <v>19</v>
      </c>
      <c r="J868" s="8">
        <v>8750</v>
      </c>
      <c r="K868" s="4" t="s">
        <v>19</v>
      </c>
      <c r="O868" s="7" t="s">
        <v>19</v>
      </c>
      <c r="P868" s="3">
        <f t="shared" ref="P868:P873" si="359">(C868+(E868*F868*H868))-N868</f>
        <v>24</v>
      </c>
      <c r="Q868" s="7" t="s">
        <v>19</v>
      </c>
      <c r="R868" s="8">
        <f t="shared" ref="R868:R873" si="360">P868*(J868-(J868*L868)-((J868-(J868*L868))*M868))</f>
        <v>210000</v>
      </c>
      <c r="S868" s="8">
        <f t="shared" ref="S868:S873" si="361">R868/1.11</f>
        <v>189189.18918918917</v>
      </c>
    </row>
    <row r="869" spans="1:19" x14ac:dyDescent="0.2">
      <c r="A869" s="50" t="s">
        <v>689</v>
      </c>
      <c r="B869" s="2" t="s">
        <v>171</v>
      </c>
      <c r="C869" s="3">
        <v>40</v>
      </c>
      <c r="D869" s="4" t="s">
        <v>19</v>
      </c>
      <c r="F869" s="6">
        <v>1</v>
      </c>
      <c r="G869" s="7" t="s">
        <v>20</v>
      </c>
      <c r="H869" s="6">
        <v>160</v>
      </c>
      <c r="I869" s="7" t="s">
        <v>19</v>
      </c>
      <c r="J869" s="8">
        <v>8750</v>
      </c>
      <c r="K869" s="4" t="s">
        <v>19</v>
      </c>
      <c r="O869" s="7" t="s">
        <v>19</v>
      </c>
      <c r="P869" s="3">
        <f t="shared" si="359"/>
        <v>40</v>
      </c>
      <c r="Q869" s="7" t="s">
        <v>19</v>
      </c>
      <c r="R869" s="8">
        <f t="shared" si="360"/>
        <v>350000</v>
      </c>
      <c r="S869" s="8">
        <f t="shared" si="361"/>
        <v>315315.31531531527</v>
      </c>
    </row>
    <row r="870" spans="1:19" s="19" customFormat="1" x14ac:dyDescent="0.2">
      <c r="A870" s="42" t="s">
        <v>836</v>
      </c>
      <c r="B870" s="19" t="s">
        <v>171</v>
      </c>
      <c r="C870" s="20"/>
      <c r="D870" s="21" t="s">
        <v>19</v>
      </c>
      <c r="E870" s="26">
        <v>6</v>
      </c>
      <c r="F870" s="22">
        <v>1</v>
      </c>
      <c r="G870" s="23" t="s">
        <v>20</v>
      </c>
      <c r="H870" s="22">
        <v>160</v>
      </c>
      <c r="I870" s="23" t="s">
        <v>19</v>
      </c>
      <c r="J870" s="24">
        <v>9500</v>
      </c>
      <c r="K870" s="21" t="s">
        <v>19</v>
      </c>
      <c r="L870" s="25">
        <v>0.05</v>
      </c>
      <c r="M870" s="25"/>
      <c r="N870" s="22"/>
      <c r="O870" s="23" t="s">
        <v>19</v>
      </c>
      <c r="P870" s="20">
        <f t="shared" si="359"/>
        <v>960</v>
      </c>
      <c r="Q870" s="23" t="s">
        <v>19</v>
      </c>
      <c r="R870" s="24">
        <f t="shared" si="360"/>
        <v>8664000</v>
      </c>
      <c r="S870" s="24">
        <f t="shared" si="361"/>
        <v>7805405.405405405</v>
      </c>
    </row>
    <row r="871" spans="1:19" x14ac:dyDescent="0.2">
      <c r="A871" s="42" t="s">
        <v>830</v>
      </c>
      <c r="B871" s="2" t="s">
        <v>171</v>
      </c>
      <c r="D871" s="4" t="s">
        <v>19</v>
      </c>
      <c r="E871" s="5">
        <v>3</v>
      </c>
      <c r="F871" s="6">
        <v>1</v>
      </c>
      <c r="G871" s="7" t="s">
        <v>20</v>
      </c>
      <c r="H871" s="6">
        <v>192</v>
      </c>
      <c r="I871" s="7" t="s">
        <v>19</v>
      </c>
      <c r="J871" s="8">
        <v>9500</v>
      </c>
      <c r="K871" s="4" t="s">
        <v>19</v>
      </c>
      <c r="L871" s="9">
        <v>0.05</v>
      </c>
      <c r="O871" s="7" t="s">
        <v>19</v>
      </c>
      <c r="P871" s="3">
        <f t="shared" si="359"/>
        <v>576</v>
      </c>
      <c r="Q871" s="7" t="s">
        <v>19</v>
      </c>
      <c r="R871" s="8">
        <f t="shared" si="360"/>
        <v>5198400</v>
      </c>
      <c r="S871" s="8">
        <f t="shared" si="361"/>
        <v>4683243.2432432426</v>
      </c>
    </row>
    <row r="872" spans="1:19" s="19" customFormat="1" x14ac:dyDescent="0.2">
      <c r="A872" s="42" t="s">
        <v>897</v>
      </c>
      <c r="B872" s="19" t="s">
        <v>171</v>
      </c>
      <c r="C872" s="20"/>
      <c r="D872" s="21" t="s">
        <v>19</v>
      </c>
      <c r="E872" s="26">
        <v>10</v>
      </c>
      <c r="F872" s="22">
        <v>1</v>
      </c>
      <c r="G872" s="23" t="s">
        <v>20</v>
      </c>
      <c r="H872" s="22">
        <v>144</v>
      </c>
      <c r="I872" s="23" t="s">
        <v>19</v>
      </c>
      <c r="J872" s="24">
        <v>9500</v>
      </c>
      <c r="K872" s="21" t="s">
        <v>19</v>
      </c>
      <c r="L872" s="25">
        <v>0.05</v>
      </c>
      <c r="M872" s="25"/>
      <c r="N872" s="22"/>
      <c r="O872" s="23" t="s">
        <v>19</v>
      </c>
      <c r="P872" s="20">
        <f t="shared" si="359"/>
        <v>1440</v>
      </c>
      <c r="Q872" s="23" t="s">
        <v>19</v>
      </c>
      <c r="R872" s="24">
        <f t="shared" si="360"/>
        <v>12996000</v>
      </c>
      <c r="S872" s="24">
        <f t="shared" si="361"/>
        <v>11708108.108108107</v>
      </c>
    </row>
    <row r="873" spans="1:19" s="19" customFormat="1" x14ac:dyDescent="0.2">
      <c r="A873" s="42" t="s">
        <v>898</v>
      </c>
      <c r="B873" s="19" t="s">
        <v>171</v>
      </c>
      <c r="C873" s="20"/>
      <c r="D873" s="21" t="s">
        <v>19</v>
      </c>
      <c r="E873" s="26">
        <v>25</v>
      </c>
      <c r="F873" s="22">
        <v>1</v>
      </c>
      <c r="G873" s="23" t="s">
        <v>20</v>
      </c>
      <c r="H873" s="22">
        <v>144</v>
      </c>
      <c r="I873" s="23" t="s">
        <v>19</v>
      </c>
      <c r="J873" s="24">
        <v>9500</v>
      </c>
      <c r="K873" s="21" t="s">
        <v>19</v>
      </c>
      <c r="L873" s="25">
        <v>0.05</v>
      </c>
      <c r="M873" s="25"/>
      <c r="N873" s="22"/>
      <c r="O873" s="23" t="s">
        <v>19</v>
      </c>
      <c r="P873" s="20">
        <f t="shared" si="359"/>
        <v>3600</v>
      </c>
      <c r="Q873" s="23" t="s">
        <v>19</v>
      </c>
      <c r="R873" s="24">
        <f t="shared" si="360"/>
        <v>32490000</v>
      </c>
      <c r="S873" s="24">
        <f t="shared" si="361"/>
        <v>29270270.270270269</v>
      </c>
    </row>
    <row r="874" spans="1:19" s="19" customFormat="1" x14ac:dyDescent="0.2">
      <c r="A874" s="151" t="s">
        <v>936</v>
      </c>
      <c r="B874" s="19" t="s">
        <v>171</v>
      </c>
      <c r="C874" s="20"/>
      <c r="D874" s="21" t="s">
        <v>19</v>
      </c>
      <c r="E874" s="26">
        <v>3</v>
      </c>
      <c r="F874" s="22">
        <v>1</v>
      </c>
      <c r="G874" s="23" t="s">
        <v>20</v>
      </c>
      <c r="H874" s="22">
        <v>144</v>
      </c>
      <c r="I874" s="23" t="s">
        <v>19</v>
      </c>
      <c r="J874" s="24">
        <v>10000</v>
      </c>
      <c r="K874" s="21" t="s">
        <v>19</v>
      </c>
      <c r="L874" s="25">
        <v>0.05</v>
      </c>
      <c r="M874" s="25"/>
      <c r="N874" s="22"/>
      <c r="O874" s="23" t="s">
        <v>19</v>
      </c>
      <c r="P874" s="20">
        <f t="shared" ref="P874:P877" si="362">(C874+(E874*F874*H874))-N874</f>
        <v>432</v>
      </c>
      <c r="Q874" s="23" t="s">
        <v>19</v>
      </c>
      <c r="R874" s="24">
        <f t="shared" ref="R874:R877" si="363">P874*(J874-(J874*L874)-((J874-(J874*L874))*M874))</f>
        <v>4104000</v>
      </c>
      <c r="S874" s="24">
        <f t="shared" ref="S874:S877" si="364">R874/1.11</f>
        <v>3697297.297297297</v>
      </c>
    </row>
    <row r="875" spans="1:19" s="19" customFormat="1" x14ac:dyDescent="0.2">
      <c r="A875" s="151" t="s">
        <v>937</v>
      </c>
      <c r="B875" s="19" t="s">
        <v>171</v>
      </c>
      <c r="C875" s="20"/>
      <c r="D875" s="21" t="s">
        <v>19</v>
      </c>
      <c r="E875" s="26">
        <v>1</v>
      </c>
      <c r="F875" s="22">
        <v>1</v>
      </c>
      <c r="G875" s="23" t="s">
        <v>20</v>
      </c>
      <c r="H875" s="22">
        <v>144</v>
      </c>
      <c r="I875" s="23" t="s">
        <v>19</v>
      </c>
      <c r="J875" s="24">
        <v>10000</v>
      </c>
      <c r="K875" s="21" t="s">
        <v>19</v>
      </c>
      <c r="L875" s="25">
        <v>0.05</v>
      </c>
      <c r="M875" s="25"/>
      <c r="N875" s="22"/>
      <c r="O875" s="23" t="s">
        <v>19</v>
      </c>
      <c r="P875" s="20">
        <f t="shared" si="362"/>
        <v>144</v>
      </c>
      <c r="Q875" s="23" t="s">
        <v>19</v>
      </c>
      <c r="R875" s="24">
        <f t="shared" si="363"/>
        <v>1368000</v>
      </c>
      <c r="S875" s="24">
        <f t="shared" si="364"/>
        <v>1232432.4324324324</v>
      </c>
    </row>
    <row r="876" spans="1:19" s="19" customFormat="1" x14ac:dyDescent="0.2">
      <c r="A876" s="151" t="s">
        <v>938</v>
      </c>
      <c r="B876" s="19" t="s">
        <v>171</v>
      </c>
      <c r="C876" s="20"/>
      <c r="D876" s="21" t="s">
        <v>19</v>
      </c>
      <c r="E876" s="26">
        <v>4</v>
      </c>
      <c r="F876" s="22">
        <v>1</v>
      </c>
      <c r="G876" s="23" t="s">
        <v>20</v>
      </c>
      <c r="H876" s="22">
        <v>144</v>
      </c>
      <c r="I876" s="23" t="s">
        <v>19</v>
      </c>
      <c r="J876" s="24">
        <v>10500</v>
      </c>
      <c r="K876" s="21" t="s">
        <v>19</v>
      </c>
      <c r="L876" s="25">
        <v>0.05</v>
      </c>
      <c r="M876" s="25"/>
      <c r="N876" s="22"/>
      <c r="O876" s="23" t="s">
        <v>19</v>
      </c>
      <c r="P876" s="20">
        <f t="shared" si="362"/>
        <v>576</v>
      </c>
      <c r="Q876" s="23" t="s">
        <v>19</v>
      </c>
      <c r="R876" s="24">
        <f t="shared" si="363"/>
        <v>5745600</v>
      </c>
      <c r="S876" s="24">
        <f t="shared" si="364"/>
        <v>5176216.2162162159</v>
      </c>
    </row>
    <row r="877" spans="1:19" s="19" customFormat="1" x14ac:dyDescent="0.2">
      <c r="A877" s="151" t="s">
        <v>939</v>
      </c>
      <c r="B877" s="19" t="s">
        <v>171</v>
      </c>
      <c r="C877" s="20"/>
      <c r="D877" s="21" t="s">
        <v>19</v>
      </c>
      <c r="E877" s="26">
        <v>4</v>
      </c>
      <c r="F877" s="22">
        <v>1</v>
      </c>
      <c r="G877" s="23" t="s">
        <v>20</v>
      </c>
      <c r="H877" s="22">
        <v>144</v>
      </c>
      <c r="I877" s="23" t="s">
        <v>19</v>
      </c>
      <c r="J877" s="24">
        <v>10500</v>
      </c>
      <c r="K877" s="21" t="s">
        <v>19</v>
      </c>
      <c r="L877" s="25">
        <v>0.05</v>
      </c>
      <c r="M877" s="25"/>
      <c r="N877" s="22"/>
      <c r="O877" s="23" t="s">
        <v>19</v>
      </c>
      <c r="P877" s="20">
        <f t="shared" si="362"/>
        <v>576</v>
      </c>
      <c r="Q877" s="23" t="s">
        <v>19</v>
      </c>
      <c r="R877" s="24">
        <f t="shared" si="363"/>
        <v>5745600</v>
      </c>
      <c r="S877" s="24">
        <f t="shared" si="364"/>
        <v>5176216.2162162159</v>
      </c>
    </row>
    <row r="878" spans="1:19" s="19" customFormat="1" x14ac:dyDescent="0.2">
      <c r="A878" s="42"/>
      <c r="C878" s="20"/>
      <c r="D878" s="21"/>
      <c r="E878" s="26"/>
      <c r="F878" s="22"/>
      <c r="G878" s="23"/>
      <c r="H878" s="22"/>
      <c r="I878" s="23"/>
      <c r="J878" s="24"/>
      <c r="K878" s="21"/>
      <c r="L878" s="25"/>
      <c r="M878" s="25"/>
      <c r="N878" s="22"/>
      <c r="O878" s="23"/>
      <c r="P878" s="20"/>
      <c r="Q878" s="23"/>
      <c r="R878" s="24"/>
      <c r="S878" s="24"/>
    </row>
    <row r="879" spans="1:19" x14ac:dyDescent="0.2">
      <c r="A879" s="42"/>
    </row>
    <row r="880" spans="1:19" x14ac:dyDescent="0.2">
      <c r="A880" s="17" t="s">
        <v>683</v>
      </c>
      <c r="B880" s="2" t="s">
        <v>260</v>
      </c>
      <c r="C880" s="3">
        <v>2244</v>
      </c>
      <c r="D880" s="4" t="s">
        <v>19</v>
      </c>
      <c r="E880" s="35"/>
      <c r="F880" s="6">
        <v>1</v>
      </c>
      <c r="G880" s="7" t="s">
        <v>20</v>
      </c>
      <c r="H880" s="36">
        <v>480</v>
      </c>
      <c r="I880" s="7" t="s">
        <v>19</v>
      </c>
      <c r="J880" s="8">
        <v>26000</v>
      </c>
      <c r="K880" s="4" t="s">
        <v>19</v>
      </c>
      <c r="L880" s="34">
        <v>0.2</v>
      </c>
      <c r="O880" s="7" t="s">
        <v>19</v>
      </c>
      <c r="P880" s="3">
        <f>(C880+(E880*F880*H880))-N880</f>
        <v>2244</v>
      </c>
      <c r="Q880" s="7" t="s">
        <v>19</v>
      </c>
      <c r="R880" s="8">
        <f>P880*(J880-(J880*L880)-((J880-(J880*L880))*M880))</f>
        <v>46675200</v>
      </c>
      <c r="S880" s="8">
        <f>R880/1.11</f>
        <v>42049729.729729727</v>
      </c>
    </row>
    <row r="881" spans="1:19" x14ac:dyDescent="0.2">
      <c r="A881" s="17" t="s">
        <v>685</v>
      </c>
      <c r="B881" s="2" t="s">
        <v>260</v>
      </c>
      <c r="C881" s="3">
        <v>2208</v>
      </c>
      <c r="D881" s="4" t="s">
        <v>19</v>
      </c>
      <c r="E881" s="35"/>
      <c r="F881" s="6">
        <v>1</v>
      </c>
      <c r="G881" s="7" t="s">
        <v>20</v>
      </c>
      <c r="H881" s="36">
        <v>480</v>
      </c>
      <c r="I881" s="7" t="s">
        <v>19</v>
      </c>
      <c r="J881" s="8">
        <v>20800</v>
      </c>
      <c r="K881" s="4" t="s">
        <v>19</v>
      </c>
      <c r="L881" s="34">
        <v>0.3</v>
      </c>
      <c r="O881" s="7" t="s">
        <v>19</v>
      </c>
      <c r="P881" s="3">
        <f>(C881+(E881*F881*H881))-N881</f>
        <v>2208</v>
      </c>
      <c r="Q881" s="7" t="s">
        <v>19</v>
      </c>
      <c r="R881" s="8">
        <f>P881*(J881-(J881*L881)-((J881-(J881*L881))*M881))</f>
        <v>32148480</v>
      </c>
      <c r="S881" s="8">
        <f>R881/1.11</f>
        <v>28962594.59459459</v>
      </c>
    </row>
    <row r="882" spans="1:19" x14ac:dyDescent="0.2">
      <c r="A882" s="17" t="s">
        <v>681</v>
      </c>
      <c r="B882" s="2" t="s">
        <v>260</v>
      </c>
      <c r="C882" s="3">
        <v>1944</v>
      </c>
      <c r="D882" s="4" t="s">
        <v>19</v>
      </c>
      <c r="E882" s="35"/>
      <c r="F882" s="6">
        <v>1</v>
      </c>
      <c r="G882" s="7" t="s">
        <v>20</v>
      </c>
      <c r="H882" s="36">
        <v>480</v>
      </c>
      <c r="I882" s="7" t="s">
        <v>19</v>
      </c>
      <c r="J882" s="8">
        <v>15000</v>
      </c>
      <c r="K882" s="4" t="s">
        <v>19</v>
      </c>
      <c r="L882" s="34">
        <v>0.2</v>
      </c>
      <c r="O882" s="7" t="s">
        <v>19</v>
      </c>
      <c r="P882" s="3">
        <f>(C882+(E882*F882*H882))-N882</f>
        <v>1944</v>
      </c>
      <c r="Q882" s="7" t="s">
        <v>19</v>
      </c>
      <c r="R882" s="8">
        <f>P882*(J882-(J882*L882)-((J882-(J882*L882))*M882))</f>
        <v>23328000</v>
      </c>
      <c r="S882" s="8">
        <f>R882/1.11</f>
        <v>21016216.216216214</v>
      </c>
    </row>
    <row r="883" spans="1:19" x14ac:dyDescent="0.2">
      <c r="A883" s="17" t="s">
        <v>684</v>
      </c>
      <c r="B883" s="2" t="s">
        <v>260</v>
      </c>
      <c r="C883" s="3">
        <v>2094</v>
      </c>
      <c r="D883" s="4" t="s">
        <v>19</v>
      </c>
      <c r="E883" s="35"/>
      <c r="F883" s="6">
        <v>1</v>
      </c>
      <c r="G883" s="7" t="s">
        <v>20</v>
      </c>
      <c r="H883" s="36">
        <v>480</v>
      </c>
      <c r="I883" s="7" t="s">
        <v>19</v>
      </c>
      <c r="J883" s="8">
        <v>29900</v>
      </c>
      <c r="K883" s="4" t="s">
        <v>19</v>
      </c>
      <c r="L883" s="34">
        <v>0.25</v>
      </c>
      <c r="O883" s="7" t="s">
        <v>19</v>
      </c>
      <c r="P883" s="3">
        <f>(C883+(E883*F883*H883))-N883</f>
        <v>2094</v>
      </c>
      <c r="Q883" s="7" t="s">
        <v>19</v>
      </c>
      <c r="R883" s="8">
        <f>P883*(J883-(J883*L883)-((J883-(J883*L883))*M883))</f>
        <v>46957950</v>
      </c>
      <c r="S883" s="8">
        <f>R883/1.11</f>
        <v>42304459.459459454</v>
      </c>
    </row>
    <row r="884" spans="1:19" x14ac:dyDescent="0.2">
      <c r="A884" s="17" t="s">
        <v>682</v>
      </c>
      <c r="B884" s="2" t="s">
        <v>260</v>
      </c>
      <c r="C884" s="3">
        <v>1272</v>
      </c>
      <c r="D884" s="4" t="s">
        <v>19</v>
      </c>
      <c r="E884" s="35"/>
      <c r="F884" s="6">
        <v>1</v>
      </c>
      <c r="G884" s="7" t="s">
        <v>20</v>
      </c>
      <c r="H884" s="36">
        <v>384</v>
      </c>
      <c r="I884" s="7" t="s">
        <v>19</v>
      </c>
      <c r="J884" s="8">
        <v>16000</v>
      </c>
      <c r="K884" s="4" t="s">
        <v>19</v>
      </c>
      <c r="L884" s="34">
        <v>0.25</v>
      </c>
      <c r="O884" s="7" t="s">
        <v>19</v>
      </c>
      <c r="P884" s="3">
        <f>(C884+(E884*F884*H884))-N884</f>
        <v>1272</v>
      </c>
      <c r="Q884" s="7" t="s">
        <v>19</v>
      </c>
      <c r="R884" s="8">
        <f>P884*(J884-(J884*L884)-((J884-(J884*L884))*M884))</f>
        <v>15264000</v>
      </c>
      <c r="S884" s="8">
        <f>R884/1.11</f>
        <v>13751351.351351351</v>
      </c>
    </row>
    <row r="886" spans="1:19" ht="15.75" x14ac:dyDescent="0.25">
      <c r="A886" s="14" t="s">
        <v>496</v>
      </c>
    </row>
    <row r="887" spans="1:19" x14ac:dyDescent="0.2">
      <c r="A887" s="15" t="s">
        <v>497</v>
      </c>
    </row>
    <row r="888" spans="1:19" x14ac:dyDescent="0.2">
      <c r="A888" s="17" t="s">
        <v>764</v>
      </c>
      <c r="B888" s="2" t="s">
        <v>18</v>
      </c>
      <c r="D888" s="4" t="s">
        <v>33</v>
      </c>
      <c r="E888" s="5">
        <v>4</v>
      </c>
      <c r="F888" s="6">
        <v>1</v>
      </c>
      <c r="G888" s="7" t="s">
        <v>20</v>
      </c>
      <c r="H888" s="6">
        <v>48</v>
      </c>
      <c r="I888" s="7" t="s">
        <v>33</v>
      </c>
      <c r="J888" s="8">
        <v>31200</v>
      </c>
      <c r="K888" s="4" t="s">
        <v>33</v>
      </c>
      <c r="L888" s="9">
        <v>0.125</v>
      </c>
      <c r="M888" s="9">
        <v>0.05</v>
      </c>
      <c r="O888" s="7" t="s">
        <v>33</v>
      </c>
      <c r="P888" s="3">
        <f>(C888+(E888*F888*H888))-N888</f>
        <v>192</v>
      </c>
      <c r="Q888" s="7" t="s">
        <v>33</v>
      </c>
      <c r="R888" s="8">
        <f>P888*(J888-(J888*L888)-((J888-(J888*L888))*M888))</f>
        <v>4979520</v>
      </c>
      <c r="S888" s="8">
        <f t="shared" si="323"/>
        <v>4486054.0540540535</v>
      </c>
    </row>
    <row r="890" spans="1:19" s="19" customFormat="1" x14ac:dyDescent="0.2">
      <c r="A890" s="43" t="s">
        <v>765</v>
      </c>
      <c r="B890" s="19" t="s">
        <v>25</v>
      </c>
      <c r="C890" s="20">
        <v>122</v>
      </c>
      <c r="D890" s="21" t="s">
        <v>40</v>
      </c>
      <c r="E890" s="26">
        <v>5</v>
      </c>
      <c r="F890" s="22">
        <v>1</v>
      </c>
      <c r="G890" s="23" t="s">
        <v>20</v>
      </c>
      <c r="H890" s="22">
        <v>48</v>
      </c>
      <c r="I890" s="23" t="s">
        <v>40</v>
      </c>
      <c r="J890" s="24">
        <f>1584000/48</f>
        <v>33000</v>
      </c>
      <c r="K890" s="21" t="s">
        <v>40</v>
      </c>
      <c r="L890" s="25"/>
      <c r="M890" s="25">
        <v>0.17</v>
      </c>
      <c r="N890" s="22"/>
      <c r="O890" s="23" t="s">
        <v>40</v>
      </c>
      <c r="P890" s="20">
        <f>(C890+(E890*F890*H890))-N890</f>
        <v>362</v>
      </c>
      <c r="Q890" s="23" t="s">
        <v>40</v>
      </c>
      <c r="R890" s="24">
        <f>P890*(J890-(J890*L890)-((J890-(J890*L890))*M890))</f>
        <v>9915180</v>
      </c>
      <c r="S890" s="24">
        <f t="shared" si="323"/>
        <v>8932594.5945945941</v>
      </c>
    </row>
    <row r="892" spans="1:19" ht="15.75" x14ac:dyDescent="0.25">
      <c r="A892" s="14" t="s">
        <v>498</v>
      </c>
    </row>
    <row r="893" spans="1:19" s="19" customFormat="1" x14ac:dyDescent="0.2">
      <c r="A893" s="134" t="s">
        <v>659</v>
      </c>
      <c r="B893" s="19" t="s">
        <v>18</v>
      </c>
      <c r="C893" s="20"/>
      <c r="D893" s="21" t="s">
        <v>19</v>
      </c>
      <c r="E893" s="26">
        <v>1</v>
      </c>
      <c r="F893" s="22">
        <v>10</v>
      </c>
      <c r="G893" s="23" t="s">
        <v>33</v>
      </c>
      <c r="H893" s="22">
        <v>12</v>
      </c>
      <c r="I893" s="23" t="s">
        <v>19</v>
      </c>
      <c r="J893" s="138">
        <v>11600</v>
      </c>
      <c r="K893" s="21" t="s">
        <v>19</v>
      </c>
      <c r="L893" s="25">
        <v>0.125</v>
      </c>
      <c r="M893" s="25">
        <v>0.05</v>
      </c>
      <c r="N893" s="22"/>
      <c r="O893" s="23" t="s">
        <v>19</v>
      </c>
      <c r="P893" s="20">
        <f t="shared" ref="P893" si="365">(C893+(E893*F893*H893))-N893</f>
        <v>120</v>
      </c>
      <c r="Q893" s="23" t="s">
        <v>19</v>
      </c>
      <c r="R893" s="24">
        <f t="shared" ref="R893" si="366">P893*(J893-(J893*L893)-((J893-(J893*L893))*M893))</f>
        <v>1157100</v>
      </c>
      <c r="S893" s="24">
        <f t="shared" ref="S893" si="367">R893/1.11</f>
        <v>1042432.4324324323</v>
      </c>
    </row>
    <row r="894" spans="1:19" s="19" customFormat="1" x14ac:dyDescent="0.2">
      <c r="A894" s="134" t="s">
        <v>659</v>
      </c>
      <c r="B894" s="19" t="s">
        <v>18</v>
      </c>
      <c r="C894" s="20">
        <v>36</v>
      </c>
      <c r="D894" s="21" t="s">
        <v>19</v>
      </c>
      <c r="E894" s="26"/>
      <c r="F894" s="22">
        <v>10</v>
      </c>
      <c r="G894" s="23" t="s">
        <v>33</v>
      </c>
      <c r="H894" s="22">
        <v>12</v>
      </c>
      <c r="I894" s="23" t="s">
        <v>19</v>
      </c>
      <c r="J894" s="138">
        <v>11200</v>
      </c>
      <c r="K894" s="21" t="s">
        <v>19</v>
      </c>
      <c r="L894" s="25">
        <v>0.125</v>
      </c>
      <c r="M894" s="25">
        <v>0.05</v>
      </c>
      <c r="N894" s="22"/>
      <c r="O894" s="23" t="s">
        <v>19</v>
      </c>
      <c r="P894" s="20">
        <f t="shared" ref="P894:P899" si="368">(C894+(E894*F894*H894))-N894</f>
        <v>36</v>
      </c>
      <c r="Q894" s="23" t="s">
        <v>19</v>
      </c>
      <c r="R894" s="24">
        <f t="shared" ref="R894:R899" si="369">P894*(J894-(J894*L894)-((J894-(J894*L894))*M894))</f>
        <v>335160</v>
      </c>
      <c r="S894" s="24">
        <f t="shared" ref="S894:S895" si="370">R894/1.11</f>
        <v>301945.94594594592</v>
      </c>
    </row>
    <row r="895" spans="1:19" s="19" customFormat="1" x14ac:dyDescent="0.2">
      <c r="A895" s="18" t="s">
        <v>660</v>
      </c>
      <c r="B895" s="19" t="s">
        <v>18</v>
      </c>
      <c r="C895" s="20">
        <v>48</v>
      </c>
      <c r="D895" s="21" t="s">
        <v>19</v>
      </c>
      <c r="E895" s="26"/>
      <c r="F895" s="22">
        <v>10</v>
      </c>
      <c r="G895" s="23" t="s">
        <v>33</v>
      </c>
      <c r="H895" s="22">
        <v>12</v>
      </c>
      <c r="I895" s="23" t="s">
        <v>19</v>
      </c>
      <c r="J895" s="24">
        <v>12400</v>
      </c>
      <c r="K895" s="21" t="s">
        <v>19</v>
      </c>
      <c r="L895" s="25">
        <v>0.125</v>
      </c>
      <c r="M895" s="25">
        <v>0.05</v>
      </c>
      <c r="N895" s="22"/>
      <c r="O895" s="23" t="s">
        <v>19</v>
      </c>
      <c r="P895" s="20">
        <f t="shared" si="368"/>
        <v>48</v>
      </c>
      <c r="Q895" s="23" t="s">
        <v>19</v>
      </c>
      <c r="R895" s="24">
        <f t="shared" si="369"/>
        <v>494760</v>
      </c>
      <c r="S895" s="24">
        <f t="shared" si="370"/>
        <v>445729.7297297297</v>
      </c>
    </row>
    <row r="896" spans="1:19" s="19" customFormat="1" x14ac:dyDescent="0.2">
      <c r="A896" s="18" t="s">
        <v>499</v>
      </c>
      <c r="B896" s="19" t="s">
        <v>18</v>
      </c>
      <c r="C896" s="20">
        <v>840</v>
      </c>
      <c r="D896" s="21" t="s">
        <v>19</v>
      </c>
      <c r="E896" s="26">
        <v>9</v>
      </c>
      <c r="F896" s="22">
        <v>10</v>
      </c>
      <c r="G896" s="23" t="s">
        <v>33</v>
      </c>
      <c r="H896" s="22">
        <v>12</v>
      </c>
      <c r="I896" s="23" t="s">
        <v>19</v>
      </c>
      <c r="J896" s="24">
        <v>12950</v>
      </c>
      <c r="K896" s="21" t="s">
        <v>19</v>
      </c>
      <c r="L896" s="25">
        <v>0.125</v>
      </c>
      <c r="M896" s="25">
        <v>0.05</v>
      </c>
      <c r="N896" s="22"/>
      <c r="O896" s="23" t="s">
        <v>19</v>
      </c>
      <c r="P896" s="20">
        <f t="shared" si="368"/>
        <v>1920</v>
      </c>
      <c r="Q896" s="23" t="s">
        <v>19</v>
      </c>
      <c r="R896" s="24">
        <f t="shared" si="369"/>
        <v>20668200</v>
      </c>
      <c r="S896" s="24">
        <f t="shared" si="323"/>
        <v>18620000</v>
      </c>
    </row>
    <row r="897" spans="1:19" x14ac:dyDescent="0.2">
      <c r="A897" s="17" t="s">
        <v>500</v>
      </c>
      <c r="B897" s="2" t="s">
        <v>18</v>
      </c>
      <c r="C897" s="3">
        <v>60</v>
      </c>
      <c r="D897" s="4" t="s">
        <v>19</v>
      </c>
      <c r="F897" s="6">
        <v>5</v>
      </c>
      <c r="G897" s="7" t="s">
        <v>33</v>
      </c>
      <c r="H897" s="6">
        <v>12</v>
      </c>
      <c r="I897" s="7" t="s">
        <v>19</v>
      </c>
      <c r="J897" s="8">
        <v>27000</v>
      </c>
      <c r="K897" s="4" t="s">
        <v>19</v>
      </c>
      <c r="L897" s="9">
        <v>0.125</v>
      </c>
      <c r="M897" s="9">
        <v>0.05</v>
      </c>
      <c r="O897" s="7" t="s">
        <v>19</v>
      </c>
      <c r="P897" s="3">
        <f t="shared" si="368"/>
        <v>60</v>
      </c>
      <c r="Q897" s="7" t="s">
        <v>19</v>
      </c>
      <c r="R897" s="8">
        <f t="shared" si="369"/>
        <v>1346625</v>
      </c>
      <c r="S897" s="8">
        <f t="shared" si="323"/>
        <v>1213175.6756756755</v>
      </c>
    </row>
    <row r="898" spans="1:19" x14ac:dyDescent="0.2">
      <c r="A898" s="17" t="s">
        <v>501</v>
      </c>
      <c r="B898" s="2" t="s">
        <v>18</v>
      </c>
      <c r="C898" s="3">
        <v>48</v>
      </c>
      <c r="D898" s="4" t="s">
        <v>19</v>
      </c>
      <c r="F898" s="6">
        <v>1</v>
      </c>
      <c r="G898" s="7" t="s">
        <v>20</v>
      </c>
      <c r="H898" s="6">
        <v>24</v>
      </c>
      <c r="I898" s="7" t="s">
        <v>19</v>
      </c>
      <c r="J898" s="8">
        <v>40000</v>
      </c>
      <c r="K898" s="4" t="s">
        <v>19</v>
      </c>
      <c r="L898" s="9">
        <v>0.125</v>
      </c>
      <c r="M898" s="9">
        <v>0.05</v>
      </c>
      <c r="O898" s="7" t="s">
        <v>19</v>
      </c>
      <c r="P898" s="3">
        <f t="shared" si="368"/>
        <v>48</v>
      </c>
      <c r="Q898" s="7" t="s">
        <v>19</v>
      </c>
      <c r="R898" s="8">
        <f t="shared" si="369"/>
        <v>1596000</v>
      </c>
      <c r="S898" s="8">
        <f t="shared" si="323"/>
        <v>1437837.8378378376</v>
      </c>
    </row>
    <row r="899" spans="1:19" s="88" customFormat="1" x14ac:dyDescent="0.2">
      <c r="A899" s="107" t="s">
        <v>502</v>
      </c>
      <c r="B899" s="88" t="s">
        <v>18</v>
      </c>
      <c r="C899" s="91"/>
      <c r="D899" s="92" t="s">
        <v>19</v>
      </c>
      <c r="E899" s="93">
        <v>2</v>
      </c>
      <c r="F899" s="94">
        <v>1</v>
      </c>
      <c r="G899" s="95" t="s">
        <v>20</v>
      </c>
      <c r="H899" s="94">
        <v>24</v>
      </c>
      <c r="I899" s="95" t="s">
        <v>19</v>
      </c>
      <c r="J899" s="96">
        <v>45500</v>
      </c>
      <c r="K899" s="92" t="s">
        <v>19</v>
      </c>
      <c r="L899" s="97">
        <v>0.125</v>
      </c>
      <c r="M899" s="97">
        <v>0.05</v>
      </c>
      <c r="N899" s="94"/>
      <c r="O899" s="95" t="s">
        <v>19</v>
      </c>
      <c r="P899" s="91">
        <f t="shared" si="368"/>
        <v>48</v>
      </c>
      <c r="Q899" s="95" t="s">
        <v>19</v>
      </c>
      <c r="R899" s="96">
        <f t="shared" si="369"/>
        <v>1815450</v>
      </c>
      <c r="S899" s="96">
        <f t="shared" si="323"/>
        <v>1635540.5405405404</v>
      </c>
    </row>
    <row r="901" spans="1:19" s="72" customFormat="1" x14ac:dyDescent="0.2">
      <c r="A901" s="71" t="s">
        <v>503</v>
      </c>
      <c r="B901" s="72" t="s">
        <v>25</v>
      </c>
      <c r="C901" s="73"/>
      <c r="D901" s="74" t="s">
        <v>19</v>
      </c>
      <c r="E901" s="75"/>
      <c r="F901" s="76">
        <v>10</v>
      </c>
      <c r="G901" s="77" t="s">
        <v>40</v>
      </c>
      <c r="H901" s="76">
        <v>12</v>
      </c>
      <c r="I901" s="77" t="s">
        <v>19</v>
      </c>
      <c r="J901" s="16">
        <f>1500000/10/12</f>
        <v>12500</v>
      </c>
      <c r="K901" s="74" t="s">
        <v>19</v>
      </c>
      <c r="L901" s="78"/>
      <c r="M901" s="78">
        <v>0.17</v>
      </c>
      <c r="N901" s="76"/>
      <c r="O901" s="77" t="s">
        <v>19</v>
      </c>
      <c r="P901" s="73">
        <f t="shared" ref="P901:P910" si="371">(C901+(E901*F901*H901))-N901</f>
        <v>0</v>
      </c>
      <c r="Q901" s="77" t="s">
        <v>19</v>
      </c>
      <c r="R901" s="16">
        <f t="shared" ref="R901:R910" si="372">P901*(J901-(J901*L901)-((J901-(J901*L901))*M901))</f>
        <v>0</v>
      </c>
      <c r="S901" s="16">
        <f t="shared" si="323"/>
        <v>0</v>
      </c>
    </row>
    <row r="902" spans="1:19" s="19" customFormat="1" x14ac:dyDescent="0.2">
      <c r="A902" s="18" t="s">
        <v>504</v>
      </c>
      <c r="B902" s="19" t="s">
        <v>25</v>
      </c>
      <c r="C902" s="20"/>
      <c r="D902" s="21" t="s">
        <v>40</v>
      </c>
      <c r="E902" s="26">
        <v>9</v>
      </c>
      <c r="F902" s="22">
        <v>1</v>
      </c>
      <c r="G902" s="23" t="s">
        <v>20</v>
      </c>
      <c r="H902" s="22">
        <v>10</v>
      </c>
      <c r="I902" s="23" t="s">
        <v>40</v>
      </c>
      <c r="J902" s="24">
        <f>1560000/10</f>
        <v>156000</v>
      </c>
      <c r="K902" s="21" t="s">
        <v>40</v>
      </c>
      <c r="L902" s="25"/>
      <c r="M902" s="25">
        <v>0.17</v>
      </c>
      <c r="N902" s="22"/>
      <c r="O902" s="23" t="s">
        <v>40</v>
      </c>
      <c r="P902" s="20">
        <f t="shared" si="371"/>
        <v>90</v>
      </c>
      <c r="Q902" s="23" t="s">
        <v>40</v>
      </c>
      <c r="R902" s="24">
        <f t="shared" si="372"/>
        <v>11653200</v>
      </c>
      <c r="S902" s="24">
        <f t="shared" si="323"/>
        <v>10498378.378378378</v>
      </c>
    </row>
    <row r="903" spans="1:19" s="81" customFormat="1" x14ac:dyDescent="0.2">
      <c r="A903" s="80" t="s">
        <v>505</v>
      </c>
      <c r="B903" s="81" t="s">
        <v>25</v>
      </c>
      <c r="C903" s="79"/>
      <c r="D903" s="82" t="s">
        <v>19</v>
      </c>
      <c r="E903" s="83"/>
      <c r="F903" s="84">
        <v>10</v>
      </c>
      <c r="G903" s="85" t="s">
        <v>40</v>
      </c>
      <c r="H903" s="84">
        <v>12</v>
      </c>
      <c r="I903" s="85" t="s">
        <v>19</v>
      </c>
      <c r="J903" s="86">
        <f>13000</f>
        <v>13000</v>
      </c>
      <c r="K903" s="82" t="s">
        <v>19</v>
      </c>
      <c r="L903" s="87"/>
      <c r="M903" s="87">
        <v>0.17</v>
      </c>
      <c r="N903" s="84"/>
      <c r="O903" s="85" t="s">
        <v>19</v>
      </c>
      <c r="P903" s="79">
        <f t="shared" si="371"/>
        <v>0</v>
      </c>
      <c r="Q903" s="85" t="s">
        <v>19</v>
      </c>
      <c r="R903" s="86">
        <f t="shared" si="372"/>
        <v>0</v>
      </c>
      <c r="S903" s="16">
        <f t="shared" si="323"/>
        <v>0</v>
      </c>
    </row>
    <row r="904" spans="1:19" s="19" customFormat="1" x14ac:dyDescent="0.2">
      <c r="A904" s="18" t="s">
        <v>506</v>
      </c>
      <c r="B904" s="19" t="s">
        <v>25</v>
      </c>
      <c r="C904" s="20">
        <v>20</v>
      </c>
      <c r="D904" s="21" t="s">
        <v>40</v>
      </c>
      <c r="E904" s="26">
        <v>5</v>
      </c>
      <c r="F904" s="22">
        <v>4</v>
      </c>
      <c r="G904" s="23" t="s">
        <v>33</v>
      </c>
      <c r="H904" s="22">
        <v>2</v>
      </c>
      <c r="I904" s="23" t="s">
        <v>40</v>
      </c>
      <c r="J904" s="24">
        <f>1440000/4/2</f>
        <v>180000</v>
      </c>
      <c r="K904" s="21" t="s">
        <v>40</v>
      </c>
      <c r="L904" s="25"/>
      <c r="M904" s="25">
        <v>0.17</v>
      </c>
      <c r="N904" s="22"/>
      <c r="O904" s="23" t="s">
        <v>40</v>
      </c>
      <c r="P904" s="20">
        <f t="shared" si="371"/>
        <v>60</v>
      </c>
      <c r="Q904" s="23" t="s">
        <v>40</v>
      </c>
      <c r="R904" s="24">
        <f t="shared" si="372"/>
        <v>8964000</v>
      </c>
      <c r="S904" s="24">
        <f t="shared" si="323"/>
        <v>8075675.6756756753</v>
      </c>
    </row>
    <row r="905" spans="1:19" s="19" customFormat="1" x14ac:dyDescent="0.2">
      <c r="A905" s="18" t="s">
        <v>507</v>
      </c>
      <c r="B905" s="19" t="s">
        <v>25</v>
      </c>
      <c r="C905" s="20">
        <v>3</v>
      </c>
      <c r="D905" s="21" t="s">
        <v>40</v>
      </c>
      <c r="E905" s="26">
        <v>3</v>
      </c>
      <c r="F905" s="22">
        <v>1</v>
      </c>
      <c r="G905" s="23" t="s">
        <v>20</v>
      </c>
      <c r="H905" s="22">
        <v>5</v>
      </c>
      <c r="I905" s="23" t="s">
        <v>40</v>
      </c>
      <c r="J905" s="24">
        <f>1410000/5</f>
        <v>282000</v>
      </c>
      <c r="K905" s="21" t="s">
        <v>19</v>
      </c>
      <c r="L905" s="25"/>
      <c r="M905" s="25">
        <v>0.17</v>
      </c>
      <c r="N905" s="22"/>
      <c r="O905" s="23" t="s">
        <v>40</v>
      </c>
      <c r="P905" s="20">
        <f t="shared" si="371"/>
        <v>18</v>
      </c>
      <c r="Q905" s="23" t="s">
        <v>40</v>
      </c>
      <c r="R905" s="24">
        <f t="shared" si="372"/>
        <v>4213080</v>
      </c>
      <c r="S905" s="24">
        <f t="shared" si="323"/>
        <v>3795567.5675675673</v>
      </c>
    </row>
    <row r="906" spans="1:19" s="19" customFormat="1" x14ac:dyDescent="0.2">
      <c r="A906" s="145" t="s">
        <v>508</v>
      </c>
      <c r="B906" s="19" t="s">
        <v>25</v>
      </c>
      <c r="C906" s="20"/>
      <c r="D906" s="21" t="s">
        <v>40</v>
      </c>
      <c r="E906" s="26">
        <v>1</v>
      </c>
      <c r="F906" s="22">
        <v>1</v>
      </c>
      <c r="G906" s="23" t="s">
        <v>20</v>
      </c>
      <c r="H906" s="22">
        <v>4</v>
      </c>
      <c r="I906" s="23" t="s">
        <v>40</v>
      </c>
      <c r="J906" s="24">
        <v>384000</v>
      </c>
      <c r="K906" s="21" t="s">
        <v>40</v>
      </c>
      <c r="L906" s="25"/>
      <c r="M906" s="25">
        <v>0.17</v>
      </c>
      <c r="N906" s="22"/>
      <c r="O906" s="23" t="s">
        <v>40</v>
      </c>
      <c r="P906" s="20">
        <f t="shared" ref="P906" si="373">(C906+(E906*F906*H906))-N906</f>
        <v>4</v>
      </c>
      <c r="Q906" s="23" t="s">
        <v>40</v>
      </c>
      <c r="R906" s="24">
        <f t="shared" ref="R906" si="374">P906*(J906-(J906*L906)-((J906-(J906*L906))*M906))</f>
        <v>1274880</v>
      </c>
      <c r="S906" s="24">
        <f t="shared" ref="S906" si="375">R906/1.11</f>
        <v>1148540.5405405404</v>
      </c>
    </row>
    <row r="907" spans="1:19" s="19" customFormat="1" x14ac:dyDescent="0.2">
      <c r="A907" s="18" t="s">
        <v>508</v>
      </c>
      <c r="B907" s="19" t="s">
        <v>25</v>
      </c>
      <c r="C907" s="20">
        <f>8+4</f>
        <v>12</v>
      </c>
      <c r="D907" s="21" t="s">
        <v>40</v>
      </c>
      <c r="E907" s="26"/>
      <c r="F907" s="22">
        <v>1</v>
      </c>
      <c r="G907" s="23" t="s">
        <v>20</v>
      </c>
      <c r="H907" s="22">
        <v>4</v>
      </c>
      <c r="I907" s="23" t="s">
        <v>40</v>
      </c>
      <c r="J907" s="24">
        <f>1410000/4</f>
        <v>352500</v>
      </c>
      <c r="K907" s="21" t="s">
        <v>40</v>
      </c>
      <c r="L907" s="25"/>
      <c r="M907" s="25">
        <v>0.17</v>
      </c>
      <c r="N907" s="22"/>
      <c r="O907" s="23" t="s">
        <v>40</v>
      </c>
      <c r="P907" s="20">
        <f t="shared" si="371"/>
        <v>12</v>
      </c>
      <c r="Q907" s="23" t="s">
        <v>40</v>
      </c>
      <c r="R907" s="24">
        <f t="shared" si="372"/>
        <v>3510900</v>
      </c>
      <c r="S907" s="24">
        <f t="shared" si="323"/>
        <v>3162972.9729729728</v>
      </c>
    </row>
    <row r="908" spans="1:19" s="72" customFormat="1" x14ac:dyDescent="0.2">
      <c r="A908" s="71" t="s">
        <v>509</v>
      </c>
      <c r="B908" s="72" t="s">
        <v>25</v>
      </c>
      <c r="C908" s="73"/>
      <c r="D908" s="74" t="s">
        <v>19</v>
      </c>
      <c r="E908" s="75"/>
      <c r="F908" s="76">
        <v>1</v>
      </c>
      <c r="G908" s="77" t="s">
        <v>20</v>
      </c>
      <c r="H908" s="76">
        <v>24</v>
      </c>
      <c r="I908" s="77" t="s">
        <v>19</v>
      </c>
      <c r="J908" s="16">
        <f>1164000/24</f>
        <v>48500</v>
      </c>
      <c r="K908" s="74" t="s">
        <v>19</v>
      </c>
      <c r="L908" s="78"/>
      <c r="M908" s="78">
        <v>0.17</v>
      </c>
      <c r="N908" s="76"/>
      <c r="O908" s="77" t="s">
        <v>19</v>
      </c>
      <c r="P908" s="73">
        <f t="shared" si="371"/>
        <v>0</v>
      </c>
      <c r="Q908" s="77" t="s">
        <v>19</v>
      </c>
      <c r="R908" s="16">
        <f t="shared" si="372"/>
        <v>0</v>
      </c>
      <c r="S908" s="16">
        <f t="shared" si="323"/>
        <v>0</v>
      </c>
    </row>
    <row r="909" spans="1:19" x14ac:dyDescent="0.2">
      <c r="A909" s="17" t="s">
        <v>510</v>
      </c>
      <c r="B909" s="2" t="s">
        <v>25</v>
      </c>
      <c r="C909" s="3">
        <v>66</v>
      </c>
      <c r="D909" s="4" t="s">
        <v>19</v>
      </c>
      <c r="E909" s="5">
        <v>5</v>
      </c>
      <c r="F909" s="6">
        <v>1</v>
      </c>
      <c r="G909" s="7" t="s">
        <v>20</v>
      </c>
      <c r="H909" s="6">
        <v>24</v>
      </c>
      <c r="I909" s="7" t="s">
        <v>19</v>
      </c>
      <c r="J909" s="8">
        <f>1020000/24</f>
        <v>42500</v>
      </c>
      <c r="K909" s="4" t="s">
        <v>19</v>
      </c>
      <c r="M909" s="9">
        <v>0.17</v>
      </c>
      <c r="O909" s="7" t="s">
        <v>19</v>
      </c>
      <c r="P909" s="3">
        <f t="shared" si="371"/>
        <v>186</v>
      </c>
      <c r="Q909" s="7" t="s">
        <v>19</v>
      </c>
      <c r="R909" s="8">
        <f t="shared" si="372"/>
        <v>6561150</v>
      </c>
      <c r="S909" s="8">
        <f t="shared" si="323"/>
        <v>5910945.9459459456</v>
      </c>
    </row>
    <row r="910" spans="1:19" x14ac:dyDescent="0.2">
      <c r="A910" s="17" t="s">
        <v>511</v>
      </c>
      <c r="B910" s="2" t="s">
        <v>25</v>
      </c>
      <c r="C910" s="3">
        <v>72</v>
      </c>
      <c r="D910" s="4" t="s">
        <v>19</v>
      </c>
      <c r="E910" s="5">
        <v>3</v>
      </c>
      <c r="F910" s="6">
        <v>1</v>
      </c>
      <c r="G910" s="7" t="s">
        <v>20</v>
      </c>
      <c r="H910" s="6">
        <v>24</v>
      </c>
      <c r="I910" s="7" t="s">
        <v>19</v>
      </c>
      <c r="J910" s="8">
        <f>1416000/24</f>
        <v>59000</v>
      </c>
      <c r="K910" s="4" t="s">
        <v>19</v>
      </c>
      <c r="M910" s="9">
        <v>0.17</v>
      </c>
      <c r="O910" s="7" t="s">
        <v>19</v>
      </c>
      <c r="P910" s="3">
        <f t="shared" si="371"/>
        <v>144</v>
      </c>
      <c r="Q910" s="7" t="s">
        <v>19</v>
      </c>
      <c r="R910" s="8">
        <f t="shared" si="372"/>
        <v>7051680</v>
      </c>
      <c r="S910" s="8">
        <f t="shared" si="323"/>
        <v>6352864.8648648644</v>
      </c>
    </row>
    <row r="912" spans="1:19" ht="15.75" x14ac:dyDescent="0.25">
      <c r="A912" s="14" t="s">
        <v>918</v>
      </c>
      <c r="R912" s="16"/>
      <c r="S912" s="16"/>
    </row>
    <row r="913" spans="1:19" x14ac:dyDescent="0.2">
      <c r="A913" s="17" t="s">
        <v>941</v>
      </c>
      <c r="B913" s="19" t="s">
        <v>45</v>
      </c>
      <c r="C913" s="3">
        <v>5</v>
      </c>
      <c r="D913" s="4" t="s">
        <v>19</v>
      </c>
      <c r="F913" s="6">
        <v>15</v>
      </c>
      <c r="G913" s="7" t="s">
        <v>33</v>
      </c>
      <c r="H913" s="6">
        <v>20</v>
      </c>
      <c r="I913" s="7" t="s">
        <v>835</v>
      </c>
      <c r="J913" s="24">
        <v>42900</v>
      </c>
      <c r="K913" s="21" t="s">
        <v>19</v>
      </c>
      <c r="L913" s="25">
        <v>0.1</v>
      </c>
      <c r="M913" s="25">
        <v>0.05</v>
      </c>
      <c r="N913" s="22"/>
      <c r="O913" s="23" t="s">
        <v>19</v>
      </c>
      <c r="P913" s="20">
        <f>(C913+(E913*F913*H913))-N913</f>
        <v>5</v>
      </c>
      <c r="Q913" s="23" t="s">
        <v>19</v>
      </c>
      <c r="R913" s="24">
        <f>P913*(J913-(J913*L913)-((J913-(J913*L913))*M913))</f>
        <v>183397.5</v>
      </c>
      <c r="S913" s="24">
        <f t="shared" ref="S913" si="376">R913/1.11</f>
        <v>165222.97297297296</v>
      </c>
    </row>
    <row r="914" spans="1:19" x14ac:dyDescent="0.2">
      <c r="J914" s="24"/>
      <c r="K914" s="21"/>
      <c r="L914" s="25"/>
      <c r="M914" s="25"/>
      <c r="N914" s="22"/>
      <c r="O914" s="23"/>
      <c r="P914" s="20"/>
      <c r="Q914" s="23"/>
      <c r="R914" s="24"/>
      <c r="S914" s="24"/>
    </row>
    <row r="915" spans="1:19" ht="15.75" x14ac:dyDescent="0.25">
      <c r="A915" s="14" t="s">
        <v>523</v>
      </c>
    </row>
    <row r="916" spans="1:19" s="19" customFormat="1" x14ac:dyDescent="0.2">
      <c r="A916" s="18" t="s">
        <v>524</v>
      </c>
      <c r="B916" s="19" t="s">
        <v>18</v>
      </c>
      <c r="C916" s="20">
        <v>9140</v>
      </c>
      <c r="D916" s="21" t="s">
        <v>19</v>
      </c>
      <c r="E916" s="26">
        <v>5</v>
      </c>
      <c r="F916" s="22">
        <v>72</v>
      </c>
      <c r="G916" s="23" t="s">
        <v>33</v>
      </c>
      <c r="H916" s="22">
        <v>10</v>
      </c>
      <c r="I916" s="23" t="s">
        <v>19</v>
      </c>
      <c r="J916" s="24">
        <v>3700</v>
      </c>
      <c r="K916" s="21" t="s">
        <v>19</v>
      </c>
      <c r="L916" s="25">
        <v>0.125</v>
      </c>
      <c r="M916" s="25">
        <v>0.05</v>
      </c>
      <c r="N916" s="22"/>
      <c r="O916" s="23" t="s">
        <v>19</v>
      </c>
      <c r="P916" s="20">
        <f>(C916+(E916*F916*H916))-N916</f>
        <v>12740</v>
      </c>
      <c r="Q916" s="23" t="s">
        <v>19</v>
      </c>
      <c r="R916" s="24">
        <f>P916*(J916-(J916*L916)-((J916-(J916*L916))*M916))</f>
        <v>39183462.5</v>
      </c>
      <c r="S916" s="24">
        <f t="shared" ref="S916:S996" si="377">R916/1.11</f>
        <v>35300416.666666664</v>
      </c>
    </row>
    <row r="917" spans="1:19" s="81" customFormat="1" x14ac:dyDescent="0.2">
      <c r="A917" s="80" t="s">
        <v>525</v>
      </c>
      <c r="B917" s="81" t="s">
        <v>18</v>
      </c>
      <c r="C917" s="79"/>
      <c r="D917" s="82" t="s">
        <v>151</v>
      </c>
      <c r="E917" s="83"/>
      <c r="F917" s="84">
        <v>12</v>
      </c>
      <c r="G917" s="85" t="s">
        <v>33</v>
      </c>
      <c r="H917" s="84">
        <v>24</v>
      </c>
      <c r="I917" s="85" t="s">
        <v>151</v>
      </c>
      <c r="J917" s="86">
        <v>16500</v>
      </c>
      <c r="K917" s="82" t="s">
        <v>151</v>
      </c>
      <c r="L917" s="87">
        <v>0.125</v>
      </c>
      <c r="M917" s="87">
        <v>0.05</v>
      </c>
      <c r="N917" s="84"/>
      <c r="O917" s="85" t="s">
        <v>151</v>
      </c>
      <c r="P917" s="79">
        <f>(C917+(E917*F917*H917))-N917</f>
        <v>0</v>
      </c>
      <c r="Q917" s="85" t="s">
        <v>151</v>
      </c>
      <c r="R917" s="86">
        <f>P917*(J917-(J917*L917)-((J917-(J917*L917))*M917))</f>
        <v>0</v>
      </c>
      <c r="S917" s="16">
        <f t="shared" si="377"/>
        <v>0</v>
      </c>
    </row>
    <row r="918" spans="1:19" s="19" customFormat="1" x14ac:dyDescent="0.2">
      <c r="A918" s="18"/>
      <c r="C918" s="20"/>
      <c r="D918" s="21"/>
      <c r="E918" s="26"/>
      <c r="F918" s="22"/>
      <c r="G918" s="23"/>
      <c r="H918" s="22"/>
      <c r="I918" s="23"/>
      <c r="J918" s="24"/>
      <c r="K918" s="21"/>
      <c r="L918" s="25"/>
      <c r="M918" s="25"/>
      <c r="N918" s="22"/>
      <c r="O918" s="23"/>
      <c r="P918" s="20"/>
      <c r="Q918" s="23"/>
      <c r="R918" s="24"/>
      <c r="S918" s="8"/>
    </row>
    <row r="919" spans="1:19" x14ac:dyDescent="0.2">
      <c r="A919" s="17" t="s">
        <v>526</v>
      </c>
      <c r="B919" s="2" t="s">
        <v>25</v>
      </c>
      <c r="C919" s="3">
        <v>210</v>
      </c>
      <c r="D919" s="4" t="s">
        <v>19</v>
      </c>
      <c r="E919" s="5">
        <v>3</v>
      </c>
      <c r="F919" s="6">
        <v>48</v>
      </c>
      <c r="G919" s="7" t="s">
        <v>33</v>
      </c>
      <c r="H919" s="6">
        <v>10</v>
      </c>
      <c r="I919" s="7" t="s">
        <v>19</v>
      </c>
      <c r="J919" s="8">
        <f>30500/10</f>
        <v>3050</v>
      </c>
      <c r="K919" s="4" t="s">
        <v>19</v>
      </c>
      <c r="M919" s="9">
        <v>0.17</v>
      </c>
      <c r="O919" s="7" t="s">
        <v>19</v>
      </c>
      <c r="P919" s="3">
        <f>(C919+(E919*F919*H919))-N919</f>
        <v>1650</v>
      </c>
      <c r="Q919" s="7" t="s">
        <v>19</v>
      </c>
      <c r="R919" s="8">
        <f>P919*(J919-(J919*L919)-((J919-(J919*L919))*M919))</f>
        <v>4176975</v>
      </c>
      <c r="S919" s="8">
        <f t="shared" si="377"/>
        <v>3763040.5405405401</v>
      </c>
    </row>
    <row r="920" spans="1:19" x14ac:dyDescent="0.2">
      <c r="A920" s="17" t="s">
        <v>527</v>
      </c>
      <c r="B920" s="2" t="s">
        <v>25</v>
      </c>
      <c r="D920" s="4" t="s">
        <v>19</v>
      </c>
      <c r="F920" s="6">
        <v>48</v>
      </c>
      <c r="G920" s="7" t="s">
        <v>33</v>
      </c>
      <c r="H920" s="6">
        <v>10</v>
      </c>
      <c r="I920" s="7" t="s">
        <v>19</v>
      </c>
      <c r="J920" s="8">
        <f>30500/10</f>
        <v>3050</v>
      </c>
      <c r="K920" s="4" t="s">
        <v>19</v>
      </c>
      <c r="M920" s="9">
        <v>0.17</v>
      </c>
      <c r="O920" s="7" t="s">
        <v>19</v>
      </c>
      <c r="P920" s="3">
        <f>(C920+(E920*F920*H920))-N920</f>
        <v>0</v>
      </c>
      <c r="Q920" s="7" t="s">
        <v>19</v>
      </c>
      <c r="R920" s="8">
        <f>P920*(J920-(J920*L920)-((J920-(J920*L920))*M920))</f>
        <v>0</v>
      </c>
      <c r="S920" s="8">
        <f t="shared" si="377"/>
        <v>0</v>
      </c>
    </row>
    <row r="921" spans="1:19" x14ac:dyDescent="0.2">
      <c r="A921" s="17" t="s">
        <v>528</v>
      </c>
      <c r="B921" s="2" t="s">
        <v>25</v>
      </c>
      <c r="D921" s="4" t="s">
        <v>40</v>
      </c>
      <c r="F921" s="6">
        <v>12</v>
      </c>
      <c r="G921" s="7" t="s">
        <v>33</v>
      </c>
      <c r="H921" s="6">
        <v>12</v>
      </c>
      <c r="I921" s="7" t="s">
        <v>40</v>
      </c>
      <c r="J921" s="8">
        <v>25800</v>
      </c>
      <c r="K921" s="4" t="s">
        <v>40</v>
      </c>
      <c r="M921" s="9">
        <v>0.17</v>
      </c>
      <c r="O921" s="7" t="s">
        <v>40</v>
      </c>
      <c r="P921" s="3">
        <f>(C921+(E921*F921*H921))-N921</f>
        <v>0</v>
      </c>
      <c r="Q921" s="7" t="s">
        <v>40</v>
      </c>
      <c r="R921" s="8">
        <f>P921*(J921-(J921*L921)-((J921-(J921*L921))*M921))</f>
        <v>0</v>
      </c>
      <c r="S921" s="8">
        <f t="shared" si="377"/>
        <v>0</v>
      </c>
    </row>
    <row r="923" spans="1:19" s="19" customFormat="1" x14ac:dyDescent="0.2">
      <c r="A923" s="18" t="s">
        <v>529</v>
      </c>
      <c r="B923" s="19" t="s">
        <v>260</v>
      </c>
      <c r="C923" s="20"/>
      <c r="D923" s="21" t="s">
        <v>98</v>
      </c>
      <c r="E923" s="26">
        <v>3</v>
      </c>
      <c r="F923" s="22">
        <v>1</v>
      </c>
      <c r="G923" s="23" t="s">
        <v>20</v>
      </c>
      <c r="H923" s="22">
        <v>24</v>
      </c>
      <c r="I923" s="23" t="s">
        <v>98</v>
      </c>
      <c r="J923" s="24">
        <v>106000</v>
      </c>
      <c r="K923" s="21" t="s">
        <v>98</v>
      </c>
      <c r="L923" s="25"/>
      <c r="M923" s="25"/>
      <c r="N923" s="22"/>
      <c r="O923" s="23" t="s">
        <v>98</v>
      </c>
      <c r="P923" s="20">
        <f>(C923+(E923*F923*H923))-N923</f>
        <v>72</v>
      </c>
      <c r="Q923" s="23" t="s">
        <v>98</v>
      </c>
      <c r="R923" s="24">
        <f>P923*(J923-(J923*L923)-((J923-(J923*L923))*M923))</f>
        <v>7632000</v>
      </c>
      <c r="S923" s="24">
        <f t="shared" ref="S923" si="378">R923/1.11</f>
        <v>6875675.6756756753</v>
      </c>
    </row>
    <row r="924" spans="1:19" s="19" customFormat="1" x14ac:dyDescent="0.2">
      <c r="A924" s="18" t="s">
        <v>878</v>
      </c>
      <c r="B924" s="19" t="s">
        <v>260</v>
      </c>
      <c r="C924" s="20"/>
      <c r="D924" s="21" t="s">
        <v>98</v>
      </c>
      <c r="E924" s="26">
        <v>2</v>
      </c>
      <c r="F924" s="22">
        <v>1</v>
      </c>
      <c r="G924" s="23" t="s">
        <v>20</v>
      </c>
      <c r="H924" s="22">
        <v>32</v>
      </c>
      <c r="I924" s="23" t="s">
        <v>98</v>
      </c>
      <c r="J924" s="24">
        <v>49500</v>
      </c>
      <c r="K924" s="21" t="s">
        <v>98</v>
      </c>
      <c r="L924" s="25"/>
      <c r="M924" s="25"/>
      <c r="N924" s="22"/>
      <c r="O924" s="23" t="s">
        <v>98</v>
      </c>
      <c r="P924" s="20">
        <f>(C924+(E924*F924*H924))-N924</f>
        <v>64</v>
      </c>
      <c r="Q924" s="23" t="s">
        <v>98</v>
      </c>
      <c r="R924" s="24">
        <f>P924*(J924-(J924*L924)-((J924-(J924*L924))*M924))</f>
        <v>3168000</v>
      </c>
      <c r="S924" s="24">
        <f t="shared" ref="S924" si="379">R924/1.11</f>
        <v>2854054.054054054</v>
      </c>
    </row>
    <row r="925" spans="1:19" s="19" customFormat="1" x14ac:dyDescent="0.2">
      <c r="A925" s="18"/>
      <c r="C925" s="20"/>
      <c r="D925" s="21"/>
      <c r="E925" s="26"/>
      <c r="F925" s="22"/>
      <c r="G925" s="23"/>
      <c r="H925" s="22"/>
      <c r="I925" s="23"/>
      <c r="J925" s="24"/>
      <c r="K925" s="21"/>
      <c r="L925" s="25"/>
      <c r="M925" s="25"/>
      <c r="N925" s="22"/>
      <c r="O925" s="23"/>
      <c r="P925" s="20"/>
      <c r="Q925" s="23"/>
      <c r="R925" s="24"/>
      <c r="S925" s="8"/>
    </row>
    <row r="926" spans="1:19" x14ac:dyDescent="0.2">
      <c r="A926" s="17" t="s">
        <v>530</v>
      </c>
      <c r="B926" s="2" t="s">
        <v>171</v>
      </c>
      <c r="C926" s="3">
        <v>375</v>
      </c>
      <c r="D926" s="4" t="s">
        <v>40</v>
      </c>
      <c r="F926" s="6">
        <v>1</v>
      </c>
      <c r="G926" s="7" t="s">
        <v>20</v>
      </c>
      <c r="H926" s="6">
        <v>108</v>
      </c>
      <c r="I926" s="7" t="s">
        <v>40</v>
      </c>
      <c r="J926" s="8">
        <v>18000</v>
      </c>
      <c r="K926" s="4" t="s">
        <v>40</v>
      </c>
      <c r="L926" s="9">
        <v>0.05</v>
      </c>
      <c r="O926" s="7" t="s">
        <v>40</v>
      </c>
      <c r="P926" s="3">
        <f>(C926+(E926*F926*H926))-N926</f>
        <v>375</v>
      </c>
      <c r="Q926" s="7" t="s">
        <v>40</v>
      </c>
      <c r="R926" s="8">
        <f>P926*(J926-(J926*L926)-((J926-(J926*L926))*M926))</f>
        <v>6412500</v>
      </c>
      <c r="S926" s="8">
        <f t="shared" si="377"/>
        <v>5777027.0270270268</v>
      </c>
    </row>
    <row r="927" spans="1:19" s="19" customFormat="1" x14ac:dyDescent="0.2">
      <c r="A927" s="18" t="s">
        <v>833</v>
      </c>
      <c r="B927" s="19" t="s">
        <v>171</v>
      </c>
      <c r="C927" s="20"/>
      <c r="D927" s="21" t="s">
        <v>40</v>
      </c>
      <c r="E927" s="26">
        <v>15</v>
      </c>
      <c r="F927" s="22">
        <v>1</v>
      </c>
      <c r="G927" s="23" t="s">
        <v>20</v>
      </c>
      <c r="H927" s="22">
        <v>100</v>
      </c>
      <c r="I927" s="23" t="s">
        <v>40</v>
      </c>
      <c r="J927" s="24">
        <v>19000</v>
      </c>
      <c r="K927" s="21" t="s">
        <v>40</v>
      </c>
      <c r="L927" s="25">
        <v>0.05</v>
      </c>
      <c r="M927" s="25"/>
      <c r="N927" s="22"/>
      <c r="O927" s="23" t="s">
        <v>40</v>
      </c>
      <c r="P927" s="20">
        <f>(C927+(E927*F927*H927))-N927</f>
        <v>1500</v>
      </c>
      <c r="Q927" s="23" t="s">
        <v>40</v>
      </c>
      <c r="R927" s="24">
        <f>P927*(J927-(J927*L927)-((J927-(J927*L927))*M927))</f>
        <v>27075000</v>
      </c>
      <c r="S927" s="24">
        <f t="shared" ref="S927" si="380">R927/1.11</f>
        <v>24391891.891891889</v>
      </c>
    </row>
    <row r="929" spans="1:19" s="19" customFormat="1" x14ac:dyDescent="0.2">
      <c r="A929" s="134" t="s">
        <v>663</v>
      </c>
      <c r="B929" s="19" t="s">
        <v>597</v>
      </c>
      <c r="C929" s="20"/>
      <c r="D929" s="21" t="s">
        <v>19</v>
      </c>
      <c r="E929" s="26">
        <v>3</v>
      </c>
      <c r="F929" s="22">
        <v>1</v>
      </c>
      <c r="G929" s="23" t="s">
        <v>20</v>
      </c>
      <c r="H929" s="22">
        <v>600</v>
      </c>
      <c r="I929" s="23" t="s">
        <v>19</v>
      </c>
      <c r="J929" s="24">
        <v>2700</v>
      </c>
      <c r="K929" s="21" t="s">
        <v>19</v>
      </c>
      <c r="L929" s="133">
        <v>0.3</v>
      </c>
      <c r="M929" s="25"/>
      <c r="N929" s="22"/>
      <c r="O929" s="23" t="s">
        <v>19</v>
      </c>
      <c r="P929" s="20">
        <f>(C929+(E929*F929*H929))-N929</f>
        <v>1800</v>
      </c>
      <c r="Q929" s="23" t="s">
        <v>19</v>
      </c>
      <c r="R929" s="24">
        <f>P929*(J929-(J929*L929)-((J929-(J929*L929))*M929))</f>
        <v>3402000</v>
      </c>
      <c r="S929" s="24">
        <f t="shared" ref="S929" si="381">R929/1.11</f>
        <v>3064864.8648648644</v>
      </c>
    </row>
    <row r="930" spans="1:19" s="19" customFormat="1" x14ac:dyDescent="0.2">
      <c r="A930" s="134" t="s">
        <v>663</v>
      </c>
      <c r="B930" s="19" t="s">
        <v>597</v>
      </c>
      <c r="C930" s="20">
        <v>3376</v>
      </c>
      <c r="D930" s="21" t="s">
        <v>19</v>
      </c>
      <c r="E930" s="26"/>
      <c r="F930" s="22">
        <v>1</v>
      </c>
      <c r="G930" s="23" t="s">
        <v>20</v>
      </c>
      <c r="H930" s="22">
        <v>600</v>
      </c>
      <c r="I930" s="23" t="s">
        <v>19</v>
      </c>
      <c r="J930" s="24">
        <v>2700</v>
      </c>
      <c r="K930" s="21" t="s">
        <v>19</v>
      </c>
      <c r="L930" s="133">
        <v>0.35</v>
      </c>
      <c r="M930" s="25"/>
      <c r="N930" s="22"/>
      <c r="O930" s="23" t="s">
        <v>19</v>
      </c>
      <c r="P930" s="20">
        <f>(C930+(E930*F930*H930))-N930</f>
        <v>3376</v>
      </c>
      <c r="Q930" s="23" t="s">
        <v>19</v>
      </c>
      <c r="R930" s="24">
        <f>P930*(J930-(J930*L930)-((J930-(J930*L930))*M930))</f>
        <v>5924880</v>
      </c>
      <c r="S930" s="24">
        <f t="shared" si="377"/>
        <v>5337729.7297297297</v>
      </c>
    </row>
    <row r="932" spans="1:19" ht="15.75" x14ac:dyDescent="0.25">
      <c r="A932" s="14" t="s">
        <v>531</v>
      </c>
    </row>
    <row r="933" spans="1:19" x14ac:dyDescent="0.2">
      <c r="A933" s="15" t="s">
        <v>532</v>
      </c>
    </row>
    <row r="934" spans="1:19" s="81" customFormat="1" x14ac:dyDescent="0.2">
      <c r="A934" s="80" t="s">
        <v>533</v>
      </c>
      <c r="B934" s="81" t="s">
        <v>18</v>
      </c>
      <c r="C934" s="79"/>
      <c r="D934" s="82" t="s">
        <v>19</v>
      </c>
      <c r="E934" s="83"/>
      <c r="F934" s="84">
        <v>40</v>
      </c>
      <c r="G934" s="85" t="s">
        <v>98</v>
      </c>
      <c r="H934" s="84">
        <v>12</v>
      </c>
      <c r="I934" s="85" t="s">
        <v>19</v>
      </c>
      <c r="J934" s="86">
        <v>6700</v>
      </c>
      <c r="K934" s="82" t="s">
        <v>19</v>
      </c>
      <c r="L934" s="87">
        <v>0.125</v>
      </c>
      <c r="M934" s="87">
        <v>0.05</v>
      </c>
      <c r="N934" s="84"/>
      <c r="O934" s="85" t="s">
        <v>19</v>
      </c>
      <c r="P934" s="79">
        <f>(C934+(E934*F934*H934))-N934</f>
        <v>0</v>
      </c>
      <c r="Q934" s="85" t="s">
        <v>19</v>
      </c>
      <c r="R934" s="86">
        <f>P934*(J934-(J934*L934)-((J934-(J934*L934))*M934))</f>
        <v>0</v>
      </c>
      <c r="S934" s="16">
        <f t="shared" si="377"/>
        <v>0</v>
      </c>
    </row>
    <row r="935" spans="1:19" s="98" customFormat="1" x14ac:dyDescent="0.2">
      <c r="A935" s="90" t="s">
        <v>877</v>
      </c>
      <c r="B935" s="98" t="s">
        <v>18</v>
      </c>
      <c r="C935" s="99"/>
      <c r="D935" s="100" t="s">
        <v>19</v>
      </c>
      <c r="E935" s="101">
        <v>1</v>
      </c>
      <c r="F935" s="102">
        <v>40</v>
      </c>
      <c r="G935" s="103" t="s">
        <v>98</v>
      </c>
      <c r="H935" s="102">
        <v>12</v>
      </c>
      <c r="I935" s="103" t="s">
        <v>19</v>
      </c>
      <c r="J935" s="104">
        <v>6600</v>
      </c>
      <c r="K935" s="100" t="s">
        <v>19</v>
      </c>
      <c r="L935" s="105">
        <v>0.125</v>
      </c>
      <c r="M935" s="105">
        <v>0.05</v>
      </c>
      <c r="N935" s="102"/>
      <c r="O935" s="103" t="s">
        <v>19</v>
      </c>
      <c r="P935" s="99">
        <f>(C935+(E935*F935*H935))-N935</f>
        <v>480</v>
      </c>
      <c r="Q935" s="103" t="s">
        <v>19</v>
      </c>
      <c r="R935" s="104">
        <f>P935*(J935-(J935*L935)-((J935-(J935*L935))*M935))</f>
        <v>2633400</v>
      </c>
      <c r="S935" s="104">
        <f t="shared" ref="S935" si="382">R935/1.11</f>
        <v>2372432.4324324322</v>
      </c>
    </row>
    <row r="936" spans="1:19" s="19" customFormat="1" x14ac:dyDescent="0.2">
      <c r="A936" s="18" t="s">
        <v>534</v>
      </c>
      <c r="B936" s="19" t="s">
        <v>18</v>
      </c>
      <c r="C936" s="20"/>
      <c r="D936" s="21" t="s">
        <v>19</v>
      </c>
      <c r="E936" s="26">
        <v>2</v>
      </c>
      <c r="F936" s="22">
        <v>20</v>
      </c>
      <c r="G936" s="23" t="s">
        <v>98</v>
      </c>
      <c r="H936" s="22">
        <v>12</v>
      </c>
      <c r="I936" s="23" t="s">
        <v>19</v>
      </c>
      <c r="J936" s="24">
        <v>8600</v>
      </c>
      <c r="K936" s="21" t="s">
        <v>19</v>
      </c>
      <c r="L936" s="25">
        <v>0.125</v>
      </c>
      <c r="M936" s="25">
        <v>0.05</v>
      </c>
      <c r="N936" s="22"/>
      <c r="O936" s="23" t="s">
        <v>19</v>
      </c>
      <c r="P936" s="20">
        <f>(C936+(E936*F936*H936))-N936</f>
        <v>480</v>
      </c>
      <c r="Q936" s="23" t="s">
        <v>19</v>
      </c>
      <c r="R936" s="24">
        <f>P936*(J936-(J936*L936)-((J936-(J936*L936))*M936))</f>
        <v>3431400</v>
      </c>
      <c r="S936" s="24">
        <f t="shared" ref="S936" si="383">R936/1.11</f>
        <v>3091351.351351351</v>
      </c>
    </row>
    <row r="937" spans="1:19" s="19" customFormat="1" x14ac:dyDescent="0.2">
      <c r="A937" s="18"/>
      <c r="C937" s="20"/>
      <c r="D937" s="21"/>
      <c r="E937" s="26"/>
      <c r="F937" s="22"/>
      <c r="G937" s="23"/>
      <c r="H937" s="22"/>
      <c r="I937" s="23"/>
      <c r="J937" s="24"/>
      <c r="K937" s="21"/>
      <c r="L937" s="25"/>
      <c r="M937" s="25"/>
      <c r="N937" s="22"/>
      <c r="O937" s="23"/>
      <c r="P937" s="20"/>
      <c r="Q937" s="23"/>
      <c r="R937" s="24"/>
      <c r="S937" s="8"/>
    </row>
    <row r="938" spans="1:19" s="88" customFormat="1" x14ac:dyDescent="0.2">
      <c r="A938" s="128" t="s">
        <v>535</v>
      </c>
      <c r="B938" s="88" t="s">
        <v>25</v>
      </c>
      <c r="C938" s="91"/>
      <c r="D938" s="92" t="s">
        <v>40</v>
      </c>
      <c r="E938" s="93">
        <v>1</v>
      </c>
      <c r="F938" s="94">
        <v>1</v>
      </c>
      <c r="G938" s="95" t="s">
        <v>20</v>
      </c>
      <c r="H938" s="94">
        <v>40</v>
      </c>
      <c r="I938" s="95" t="s">
        <v>40</v>
      </c>
      <c r="J938" s="96">
        <f>3096000/40</f>
        <v>77400</v>
      </c>
      <c r="K938" s="92" t="s">
        <v>40</v>
      </c>
      <c r="L938" s="97"/>
      <c r="M938" s="97">
        <v>0.17</v>
      </c>
      <c r="N938" s="94"/>
      <c r="O938" s="95" t="s">
        <v>40</v>
      </c>
      <c r="P938" s="91">
        <f t="shared" ref="P938:P943" si="384">(C938+(E938*F938*H938))-N938</f>
        <v>40</v>
      </c>
      <c r="Q938" s="95" t="s">
        <v>40</v>
      </c>
      <c r="R938" s="96">
        <f t="shared" ref="R938:R943" si="385">P938*(J938-(J938*L938)-((J938-(J938*L938))*M938))</f>
        <v>2569680</v>
      </c>
      <c r="S938" s="96">
        <f t="shared" si="377"/>
        <v>2315027.0270270268</v>
      </c>
    </row>
    <row r="939" spans="1:19" x14ac:dyDescent="0.2">
      <c r="A939" s="43" t="s">
        <v>536</v>
      </c>
      <c r="B939" s="2" t="s">
        <v>25</v>
      </c>
      <c r="C939" s="3">
        <v>33</v>
      </c>
      <c r="D939" s="4" t="s">
        <v>40</v>
      </c>
      <c r="E939" s="5">
        <v>2</v>
      </c>
      <c r="F939" s="6">
        <v>1</v>
      </c>
      <c r="G939" s="7" t="s">
        <v>20</v>
      </c>
      <c r="H939" s="6">
        <v>40</v>
      </c>
      <c r="I939" s="7" t="s">
        <v>40</v>
      </c>
      <c r="J939" s="8">
        <f>2976000/40</f>
        <v>74400</v>
      </c>
      <c r="K939" s="4" t="s">
        <v>40</v>
      </c>
      <c r="M939" s="9">
        <v>0.17</v>
      </c>
      <c r="O939" s="7" t="s">
        <v>40</v>
      </c>
      <c r="P939" s="3">
        <f t="shared" si="384"/>
        <v>113</v>
      </c>
      <c r="Q939" s="7" t="s">
        <v>40</v>
      </c>
      <c r="R939" s="8">
        <f t="shared" si="385"/>
        <v>6977976</v>
      </c>
      <c r="S939" s="8">
        <f t="shared" si="377"/>
        <v>6286464.8648648644</v>
      </c>
    </row>
    <row r="940" spans="1:19" s="72" customFormat="1" x14ac:dyDescent="0.2">
      <c r="A940" s="113" t="s">
        <v>537</v>
      </c>
      <c r="B940" s="72" t="s">
        <v>25</v>
      </c>
      <c r="C940" s="73"/>
      <c r="D940" s="74" t="s">
        <v>19</v>
      </c>
      <c r="E940" s="75"/>
      <c r="F940" s="76">
        <v>1</v>
      </c>
      <c r="G940" s="77" t="s">
        <v>20</v>
      </c>
      <c r="H940" s="76">
        <v>20</v>
      </c>
      <c r="I940" s="77" t="s">
        <v>19</v>
      </c>
      <c r="J940" s="16">
        <v>90000</v>
      </c>
      <c r="K940" s="74" t="s">
        <v>19</v>
      </c>
      <c r="L940" s="78"/>
      <c r="M940" s="78">
        <v>0.17</v>
      </c>
      <c r="N940" s="76"/>
      <c r="O940" s="77" t="s">
        <v>19</v>
      </c>
      <c r="P940" s="73">
        <f t="shared" si="384"/>
        <v>0</v>
      </c>
      <c r="Q940" s="77" t="s">
        <v>19</v>
      </c>
      <c r="R940" s="16">
        <f t="shared" si="385"/>
        <v>0</v>
      </c>
      <c r="S940" s="16">
        <f t="shared" si="377"/>
        <v>0</v>
      </c>
    </row>
    <row r="941" spans="1:19" s="72" customFormat="1" x14ac:dyDescent="0.2">
      <c r="A941" s="113" t="s">
        <v>538</v>
      </c>
      <c r="B941" s="72" t="s">
        <v>25</v>
      </c>
      <c r="C941" s="73"/>
      <c r="D941" s="74" t="s">
        <v>19</v>
      </c>
      <c r="E941" s="75"/>
      <c r="F941" s="76">
        <v>1</v>
      </c>
      <c r="G941" s="77" t="s">
        <v>20</v>
      </c>
      <c r="H941" s="76">
        <v>20</v>
      </c>
      <c r="I941" s="77" t="s">
        <v>19</v>
      </c>
      <c r="J941" s="16">
        <v>87500</v>
      </c>
      <c r="K941" s="74" t="s">
        <v>19</v>
      </c>
      <c r="L941" s="78"/>
      <c r="M941" s="78">
        <v>0.17</v>
      </c>
      <c r="N941" s="76"/>
      <c r="O941" s="77" t="s">
        <v>19</v>
      </c>
      <c r="P941" s="73">
        <f t="shared" si="384"/>
        <v>0</v>
      </c>
      <c r="Q941" s="77" t="s">
        <v>19</v>
      </c>
      <c r="R941" s="16">
        <f t="shared" si="385"/>
        <v>0</v>
      </c>
      <c r="S941" s="16">
        <f t="shared" si="377"/>
        <v>0</v>
      </c>
    </row>
    <row r="942" spans="1:19" x14ac:dyDescent="0.2">
      <c r="A942" s="43" t="s">
        <v>539</v>
      </c>
      <c r="B942" s="2" t="s">
        <v>25</v>
      </c>
      <c r="C942" s="3">
        <v>11</v>
      </c>
      <c r="D942" s="4" t="s">
        <v>40</v>
      </c>
      <c r="F942" s="6">
        <v>1</v>
      </c>
      <c r="G942" s="7" t="s">
        <v>20</v>
      </c>
      <c r="H942" s="6">
        <v>40</v>
      </c>
      <c r="I942" s="7" t="s">
        <v>40</v>
      </c>
      <c r="J942" s="8">
        <f>3360000/40</f>
        <v>84000</v>
      </c>
      <c r="K942" s="4" t="s">
        <v>40</v>
      </c>
      <c r="M942" s="9">
        <v>0.17</v>
      </c>
      <c r="O942" s="7" t="s">
        <v>40</v>
      </c>
      <c r="P942" s="3">
        <f t="shared" si="384"/>
        <v>11</v>
      </c>
      <c r="Q942" s="7" t="s">
        <v>40</v>
      </c>
      <c r="R942" s="8">
        <f t="shared" si="385"/>
        <v>766920</v>
      </c>
      <c r="S942" s="8">
        <f t="shared" si="377"/>
        <v>690918.91891891882</v>
      </c>
    </row>
    <row r="943" spans="1:19" s="88" customFormat="1" x14ac:dyDescent="0.2">
      <c r="A943" s="128" t="s">
        <v>540</v>
      </c>
      <c r="B943" s="88" t="s">
        <v>25</v>
      </c>
      <c r="C943" s="91"/>
      <c r="D943" s="92" t="s">
        <v>40</v>
      </c>
      <c r="E943" s="93">
        <v>2</v>
      </c>
      <c r="F943" s="94">
        <v>1</v>
      </c>
      <c r="G943" s="95" t="s">
        <v>20</v>
      </c>
      <c r="H943" s="94">
        <v>20</v>
      </c>
      <c r="I943" s="95" t="s">
        <v>40</v>
      </c>
      <c r="J943" s="96">
        <f>1992000/20</f>
        <v>99600</v>
      </c>
      <c r="K943" s="92" t="s">
        <v>40</v>
      </c>
      <c r="L943" s="97"/>
      <c r="M943" s="97">
        <v>0.17</v>
      </c>
      <c r="N943" s="94"/>
      <c r="O943" s="95" t="s">
        <v>40</v>
      </c>
      <c r="P943" s="91">
        <f t="shared" si="384"/>
        <v>40</v>
      </c>
      <c r="Q943" s="95" t="s">
        <v>40</v>
      </c>
      <c r="R943" s="96">
        <f t="shared" si="385"/>
        <v>3306720</v>
      </c>
      <c r="S943" s="96">
        <f t="shared" si="377"/>
        <v>2979027.0270270268</v>
      </c>
    </row>
    <row r="944" spans="1:19" x14ac:dyDescent="0.2">
      <c r="A944" s="43"/>
    </row>
    <row r="945" spans="1:19" x14ac:dyDescent="0.2">
      <c r="A945" s="15" t="s">
        <v>541</v>
      </c>
    </row>
    <row r="946" spans="1:19" s="98" customFormat="1" x14ac:dyDescent="0.2">
      <c r="A946" s="90" t="s">
        <v>542</v>
      </c>
      <c r="B946" s="98" t="s">
        <v>18</v>
      </c>
      <c r="C946" s="99"/>
      <c r="D946" s="100" t="s">
        <v>40</v>
      </c>
      <c r="E946" s="101">
        <v>3</v>
      </c>
      <c r="F946" s="102">
        <v>18</v>
      </c>
      <c r="G946" s="103" t="s">
        <v>98</v>
      </c>
      <c r="H946" s="102">
        <v>1</v>
      </c>
      <c r="I946" s="103" t="s">
        <v>40</v>
      </c>
      <c r="J946" s="104">
        <f>4900*12</f>
        <v>58800</v>
      </c>
      <c r="K946" s="100" t="s">
        <v>40</v>
      </c>
      <c r="L946" s="105">
        <v>0.125</v>
      </c>
      <c r="M946" s="105">
        <v>0.05</v>
      </c>
      <c r="N946" s="102"/>
      <c r="O946" s="103" t="s">
        <v>40</v>
      </c>
      <c r="P946" s="99">
        <f>(C946+(E946*F946*H946))-N946</f>
        <v>54</v>
      </c>
      <c r="Q946" s="103" t="s">
        <v>40</v>
      </c>
      <c r="R946" s="104">
        <f>P946*(J946-(J946*L946)-((J946-(J946*L946))*M946))</f>
        <v>2639385</v>
      </c>
      <c r="S946" s="96">
        <f t="shared" si="377"/>
        <v>2377824.3243243243</v>
      </c>
    </row>
    <row r="947" spans="1:19" s="81" customFormat="1" x14ac:dyDescent="0.2">
      <c r="A947" s="80" t="s">
        <v>543</v>
      </c>
      <c r="B947" s="81" t="s">
        <v>18</v>
      </c>
      <c r="C947" s="79"/>
      <c r="D947" s="82" t="s">
        <v>40</v>
      </c>
      <c r="E947" s="83"/>
      <c r="F947" s="84">
        <v>24</v>
      </c>
      <c r="G947" s="85" t="s">
        <v>98</v>
      </c>
      <c r="H947" s="84">
        <v>2</v>
      </c>
      <c r="I947" s="85" t="s">
        <v>40</v>
      </c>
      <c r="J947" s="86">
        <f>4900*12</f>
        <v>58800</v>
      </c>
      <c r="K947" s="82" t="s">
        <v>40</v>
      </c>
      <c r="L947" s="87">
        <v>0.125</v>
      </c>
      <c r="M947" s="87">
        <v>0.05</v>
      </c>
      <c r="N947" s="84"/>
      <c r="O947" s="85" t="s">
        <v>40</v>
      </c>
      <c r="P947" s="79">
        <f>(C947+(E947*F947*H947))-N947</f>
        <v>0</v>
      </c>
      <c r="Q947" s="85" t="s">
        <v>40</v>
      </c>
      <c r="R947" s="86">
        <f>P947*(J947-(J947*L947)-((J947-(J947*L947))*M947))</f>
        <v>0</v>
      </c>
      <c r="S947" s="16">
        <f t="shared" si="377"/>
        <v>0</v>
      </c>
    </row>
    <row r="948" spans="1:19" s="19" customFormat="1" x14ac:dyDescent="0.2">
      <c r="A948" s="18" t="s">
        <v>544</v>
      </c>
      <c r="B948" s="19" t="s">
        <v>18</v>
      </c>
      <c r="C948" s="20"/>
      <c r="D948" s="21" t="s">
        <v>40</v>
      </c>
      <c r="E948" s="26">
        <v>5</v>
      </c>
      <c r="F948" s="22">
        <v>18</v>
      </c>
      <c r="G948" s="23" t="s">
        <v>98</v>
      </c>
      <c r="H948" s="22">
        <v>1</v>
      </c>
      <c r="I948" s="23" t="s">
        <v>40</v>
      </c>
      <c r="J948" s="24">
        <v>69600</v>
      </c>
      <c r="K948" s="21" t="s">
        <v>40</v>
      </c>
      <c r="L948" s="25">
        <v>0.125</v>
      </c>
      <c r="M948" s="25">
        <v>0.05</v>
      </c>
      <c r="N948" s="22"/>
      <c r="O948" s="23" t="s">
        <v>40</v>
      </c>
      <c r="P948" s="99">
        <f>(C948+(E948*F948*H948))-N948</f>
        <v>90</v>
      </c>
      <c r="Q948" s="103" t="s">
        <v>40</v>
      </c>
      <c r="R948" s="24">
        <f>P948*(J948-(J948*L948)-((J948-(J948*L948))*M948))</f>
        <v>5206950</v>
      </c>
      <c r="S948" s="24">
        <f t="shared" ref="S948" si="386">R948/1.11</f>
        <v>4690945.9459459456</v>
      </c>
    </row>
    <row r="949" spans="1:19" s="81" customFormat="1" x14ac:dyDescent="0.2">
      <c r="A949" s="80" t="s">
        <v>545</v>
      </c>
      <c r="B949" s="81" t="s">
        <v>18</v>
      </c>
      <c r="C949" s="79"/>
      <c r="D949" s="82" t="s">
        <v>40</v>
      </c>
      <c r="E949" s="83"/>
      <c r="F949" s="84">
        <v>24</v>
      </c>
      <c r="G949" s="85" t="s">
        <v>98</v>
      </c>
      <c r="H949" s="84">
        <v>6</v>
      </c>
      <c r="I949" s="85" t="s">
        <v>19</v>
      </c>
      <c r="J949" s="86">
        <v>12600</v>
      </c>
      <c r="K949" s="82" t="s">
        <v>19</v>
      </c>
      <c r="L949" s="87">
        <v>0.125</v>
      </c>
      <c r="M949" s="87">
        <v>0.05</v>
      </c>
      <c r="N949" s="84"/>
      <c r="O949" s="85" t="s">
        <v>19</v>
      </c>
      <c r="P949" s="79">
        <f>(C949+(E949*F949*H949))-N949</f>
        <v>0</v>
      </c>
      <c r="Q949" s="85" t="s">
        <v>19</v>
      </c>
      <c r="R949" s="86">
        <f>P949*(J949-(J949*L949)-((J949-(J949*L949))*M949))</f>
        <v>0</v>
      </c>
      <c r="S949" s="16">
        <f t="shared" si="377"/>
        <v>0</v>
      </c>
    </row>
    <row r="950" spans="1:19" s="19" customFormat="1" x14ac:dyDescent="0.2">
      <c r="A950" s="18"/>
      <c r="C950" s="20"/>
      <c r="D950" s="21"/>
      <c r="E950" s="26"/>
      <c r="F950" s="22"/>
      <c r="G950" s="23"/>
      <c r="H950" s="22"/>
      <c r="I950" s="23"/>
      <c r="J950" s="24"/>
      <c r="K950" s="21"/>
      <c r="L950" s="25"/>
      <c r="M950" s="25"/>
      <c r="N950" s="22"/>
      <c r="O950" s="23"/>
      <c r="P950" s="20"/>
      <c r="Q950" s="23"/>
      <c r="R950" s="24"/>
      <c r="S950" s="8"/>
    </row>
    <row r="951" spans="1:19" s="19" customFormat="1" x14ac:dyDescent="0.2">
      <c r="A951" s="18" t="s">
        <v>546</v>
      </c>
      <c r="B951" s="19" t="s">
        <v>25</v>
      </c>
      <c r="C951" s="20"/>
      <c r="D951" s="21" t="s">
        <v>40</v>
      </c>
      <c r="E951" s="26">
        <v>6</v>
      </c>
      <c r="F951" s="22">
        <v>1</v>
      </c>
      <c r="G951" s="23" t="s">
        <v>20</v>
      </c>
      <c r="H951" s="22">
        <v>18</v>
      </c>
      <c r="I951" s="23" t="s">
        <v>40</v>
      </c>
      <c r="J951" s="24">
        <f>1069200/18</f>
        <v>59400</v>
      </c>
      <c r="K951" s="21" t="s">
        <v>40</v>
      </c>
      <c r="L951" s="25"/>
      <c r="M951" s="25">
        <v>0.17</v>
      </c>
      <c r="N951" s="22"/>
      <c r="O951" s="23" t="s">
        <v>40</v>
      </c>
      <c r="P951" s="20">
        <f>(C951+(E951*F951*H951))-N951</f>
        <v>108</v>
      </c>
      <c r="Q951" s="23" t="s">
        <v>40</v>
      </c>
      <c r="R951" s="24">
        <f>P951*(J951-(J951*L951)-((J951-(J951*L951))*M951))</f>
        <v>5324616</v>
      </c>
      <c r="S951" s="24">
        <f t="shared" si="377"/>
        <v>4796951.3513513505</v>
      </c>
    </row>
    <row r="952" spans="1:19" s="72" customFormat="1" x14ac:dyDescent="0.2">
      <c r="A952" s="71" t="s">
        <v>547</v>
      </c>
      <c r="B952" s="72" t="s">
        <v>25</v>
      </c>
      <c r="C952" s="73"/>
      <c r="D952" s="74" t="s">
        <v>40</v>
      </c>
      <c r="E952" s="75">
        <v>1</v>
      </c>
      <c r="F952" s="76">
        <v>1</v>
      </c>
      <c r="G952" s="77" t="s">
        <v>20</v>
      </c>
      <c r="H952" s="76">
        <v>18</v>
      </c>
      <c r="I952" s="77" t="s">
        <v>40</v>
      </c>
      <c r="J952" s="16">
        <f>1274400/18</f>
        <v>70800</v>
      </c>
      <c r="K952" s="74" t="s">
        <v>40</v>
      </c>
      <c r="L952" s="78"/>
      <c r="M952" s="78">
        <v>0.17</v>
      </c>
      <c r="N952" s="76"/>
      <c r="O952" s="77" t="s">
        <v>40</v>
      </c>
      <c r="P952" s="73">
        <f>(C952+(E952*F952*H952))-N952</f>
        <v>18</v>
      </c>
      <c r="Q952" s="77" t="s">
        <v>40</v>
      </c>
      <c r="R952" s="16">
        <f>P952*(J952-(J952*L952)-((J952-(J952*L952))*M952))</f>
        <v>1057752</v>
      </c>
      <c r="S952" s="16">
        <f t="shared" si="377"/>
        <v>952929.72972972959</v>
      </c>
    </row>
    <row r="954" spans="1:19" ht="15.75" x14ac:dyDescent="0.25">
      <c r="A954" s="14" t="s">
        <v>548</v>
      </c>
    </row>
    <row r="955" spans="1:19" x14ac:dyDescent="0.2">
      <c r="A955" s="15" t="s">
        <v>549</v>
      </c>
    </row>
    <row r="956" spans="1:19" x14ac:dyDescent="0.2">
      <c r="A956" s="17" t="s">
        <v>703</v>
      </c>
      <c r="B956" s="19" t="s">
        <v>18</v>
      </c>
      <c r="D956" s="4" t="s">
        <v>19</v>
      </c>
      <c r="E956" s="5">
        <v>3</v>
      </c>
      <c r="F956" s="6">
        <v>1</v>
      </c>
      <c r="G956" s="7" t="s">
        <v>20</v>
      </c>
      <c r="H956" s="6">
        <v>72</v>
      </c>
      <c r="I956" s="7" t="s">
        <v>19</v>
      </c>
      <c r="J956" s="8">
        <v>34500</v>
      </c>
      <c r="K956" s="4" t="s">
        <v>19</v>
      </c>
      <c r="L956" s="9">
        <v>0.125</v>
      </c>
      <c r="M956" s="9">
        <v>0.05</v>
      </c>
      <c r="O956" s="7" t="s">
        <v>19</v>
      </c>
      <c r="P956" s="3">
        <f>(C956+(E956*F956*H956))-N956</f>
        <v>216</v>
      </c>
      <c r="Q956" s="7" t="s">
        <v>19</v>
      </c>
      <c r="R956" s="8">
        <f>P956*(J956-(J956*L956)-((J956-(J956*L956))*M956))</f>
        <v>6194475</v>
      </c>
      <c r="S956" s="8">
        <f t="shared" ref="S956" si="387">R956/1.11</f>
        <v>5580608.1081081079</v>
      </c>
    </row>
    <row r="957" spans="1:19" s="88" customFormat="1" x14ac:dyDescent="0.2">
      <c r="A957" s="107" t="s">
        <v>550</v>
      </c>
      <c r="B957" s="98" t="s">
        <v>18</v>
      </c>
      <c r="C957" s="91"/>
      <c r="D957" s="92" t="s">
        <v>19</v>
      </c>
      <c r="E957" s="93">
        <v>1</v>
      </c>
      <c r="F957" s="94">
        <v>1</v>
      </c>
      <c r="G957" s="95" t="s">
        <v>20</v>
      </c>
      <c r="H957" s="94">
        <v>24</v>
      </c>
      <c r="I957" s="95" t="s">
        <v>19</v>
      </c>
      <c r="J957" s="96">
        <v>97000</v>
      </c>
      <c r="K957" s="92" t="s">
        <v>19</v>
      </c>
      <c r="L957" s="97">
        <v>0.125</v>
      </c>
      <c r="M957" s="97">
        <v>0.05</v>
      </c>
      <c r="N957" s="94"/>
      <c r="O957" s="95" t="s">
        <v>19</v>
      </c>
      <c r="P957" s="91">
        <f>(C957+(E957*F957*H957))-N957</f>
        <v>24</v>
      </c>
      <c r="Q957" s="95" t="s">
        <v>19</v>
      </c>
      <c r="R957" s="96">
        <f>P957*(J957-(J957*L957)-((J957-(J957*L957))*M957))</f>
        <v>1935150</v>
      </c>
      <c r="S957" s="96">
        <f t="shared" si="377"/>
        <v>1743378.3783783782</v>
      </c>
    </row>
    <row r="958" spans="1:19" x14ac:dyDescent="0.2">
      <c r="B958" s="19"/>
    </row>
    <row r="959" spans="1:19" s="72" customFormat="1" x14ac:dyDescent="0.2">
      <c r="A959" s="71" t="s">
        <v>551</v>
      </c>
      <c r="B959" s="72" t="s">
        <v>25</v>
      </c>
      <c r="C959" s="73"/>
      <c r="D959" s="74" t="s">
        <v>40</v>
      </c>
      <c r="E959" s="75"/>
      <c r="F959" s="76">
        <v>1</v>
      </c>
      <c r="G959" s="77" t="s">
        <v>20</v>
      </c>
      <c r="H959" s="76">
        <v>48</v>
      </c>
      <c r="I959" s="77" t="s">
        <v>19</v>
      </c>
      <c r="J959" s="16">
        <f>2400000/48</f>
        <v>50000</v>
      </c>
      <c r="K959" s="74" t="s">
        <v>19</v>
      </c>
      <c r="L959" s="78"/>
      <c r="M959" s="78">
        <v>0.17</v>
      </c>
      <c r="N959" s="76"/>
      <c r="O959" s="77" t="s">
        <v>19</v>
      </c>
      <c r="P959" s="73">
        <f>(C959+(E959*F959*H959))-N959</f>
        <v>0</v>
      </c>
      <c r="Q959" s="77" t="s">
        <v>19</v>
      </c>
      <c r="R959" s="16">
        <f>P959*(J959-(J959*L959)-((J959-(J959*L959))*M959))</f>
        <v>0</v>
      </c>
      <c r="S959" s="16">
        <f t="shared" si="377"/>
        <v>0</v>
      </c>
    </row>
    <row r="961" spans="1:19" x14ac:dyDescent="0.2">
      <c r="A961" s="15" t="s">
        <v>552</v>
      </c>
    </row>
    <row r="962" spans="1:19" s="19" customFormat="1" x14ac:dyDescent="0.2">
      <c r="A962" s="18" t="s">
        <v>553</v>
      </c>
      <c r="B962" s="19" t="s">
        <v>18</v>
      </c>
      <c r="C962" s="20"/>
      <c r="D962" s="21" t="s">
        <v>40</v>
      </c>
      <c r="E962" s="26">
        <v>29</v>
      </c>
      <c r="F962" s="22">
        <v>1</v>
      </c>
      <c r="G962" s="23" t="s">
        <v>20</v>
      </c>
      <c r="H962" s="22">
        <v>20</v>
      </c>
      <c r="I962" s="23" t="s">
        <v>40</v>
      </c>
      <c r="J962" s="24">
        <v>85200</v>
      </c>
      <c r="K962" s="21" t="s">
        <v>40</v>
      </c>
      <c r="L962" s="25">
        <v>0.125</v>
      </c>
      <c r="M962" s="25">
        <v>0.05</v>
      </c>
      <c r="N962" s="22"/>
      <c r="O962" s="23" t="s">
        <v>40</v>
      </c>
      <c r="P962" s="20">
        <f t="shared" ref="P962:P976" si="388">(C962+(E962*F962*H962))-N962</f>
        <v>580</v>
      </c>
      <c r="Q962" s="23" t="s">
        <v>40</v>
      </c>
      <c r="R962" s="24">
        <f t="shared" ref="R962:R976" si="389">P962*(J962-(J962*L962)-((J962-(J962*L962))*M962))</f>
        <v>41077050</v>
      </c>
      <c r="S962" s="24">
        <f t="shared" si="377"/>
        <v>37006351.351351351</v>
      </c>
    </row>
    <row r="963" spans="1:19" s="88" customFormat="1" x14ac:dyDescent="0.2">
      <c r="A963" s="107" t="s">
        <v>554</v>
      </c>
      <c r="B963" s="88" t="s">
        <v>18</v>
      </c>
      <c r="C963" s="91"/>
      <c r="D963" s="92" t="s">
        <v>19</v>
      </c>
      <c r="E963" s="93">
        <v>1</v>
      </c>
      <c r="F963" s="94">
        <v>24</v>
      </c>
      <c r="G963" s="95" t="s">
        <v>33</v>
      </c>
      <c r="H963" s="94">
        <v>10</v>
      </c>
      <c r="I963" s="95" t="s">
        <v>19</v>
      </c>
      <c r="J963" s="96">
        <v>9750</v>
      </c>
      <c r="K963" s="92" t="s">
        <v>19</v>
      </c>
      <c r="L963" s="97">
        <v>0.125</v>
      </c>
      <c r="M963" s="97">
        <v>0.05</v>
      </c>
      <c r="N963" s="94"/>
      <c r="O963" s="95" t="s">
        <v>19</v>
      </c>
      <c r="P963" s="91">
        <f t="shared" si="388"/>
        <v>240</v>
      </c>
      <c r="Q963" s="95" t="s">
        <v>19</v>
      </c>
      <c r="R963" s="96">
        <f t="shared" si="389"/>
        <v>1945125</v>
      </c>
      <c r="S963" s="96">
        <f t="shared" si="377"/>
        <v>1752364.8648648646</v>
      </c>
    </row>
    <row r="964" spans="1:19" x14ac:dyDescent="0.2">
      <c r="A964" s="17" t="s">
        <v>555</v>
      </c>
      <c r="B964" s="2" t="s">
        <v>18</v>
      </c>
      <c r="D964" s="4" t="s">
        <v>40</v>
      </c>
      <c r="E964" s="5">
        <v>4</v>
      </c>
      <c r="F964" s="6">
        <v>1</v>
      </c>
      <c r="G964" s="7" t="s">
        <v>20</v>
      </c>
      <c r="H964" s="6">
        <v>25</v>
      </c>
      <c r="I964" s="7" t="s">
        <v>40</v>
      </c>
      <c r="J964" s="8">
        <v>70800</v>
      </c>
      <c r="K964" s="4" t="s">
        <v>40</v>
      </c>
      <c r="L964" s="9">
        <v>0.125</v>
      </c>
      <c r="M964" s="9">
        <v>0.05</v>
      </c>
      <c r="O964" s="7" t="s">
        <v>40</v>
      </c>
      <c r="P964" s="3">
        <f t="shared" si="388"/>
        <v>100</v>
      </c>
      <c r="Q964" s="7" t="s">
        <v>40</v>
      </c>
      <c r="R964" s="8">
        <f t="shared" si="389"/>
        <v>5885250</v>
      </c>
      <c r="S964" s="8">
        <f t="shared" si="377"/>
        <v>5302027.0270270268</v>
      </c>
    </row>
    <row r="965" spans="1:19" x14ac:dyDescent="0.2">
      <c r="A965" s="18" t="s">
        <v>839</v>
      </c>
      <c r="B965" s="2" t="s">
        <v>18</v>
      </c>
      <c r="D965" s="4" t="s">
        <v>40</v>
      </c>
      <c r="E965" s="5">
        <v>3</v>
      </c>
      <c r="F965" s="6">
        <v>1</v>
      </c>
      <c r="G965" s="7" t="s">
        <v>20</v>
      </c>
      <c r="H965" s="6">
        <v>25</v>
      </c>
      <c r="I965" s="7" t="s">
        <v>40</v>
      </c>
      <c r="J965" s="8">
        <v>66600</v>
      </c>
      <c r="K965" s="4" t="s">
        <v>40</v>
      </c>
      <c r="L965" s="9">
        <v>0.125</v>
      </c>
      <c r="M965" s="9">
        <v>0.05</v>
      </c>
      <c r="O965" s="7" t="s">
        <v>40</v>
      </c>
      <c r="P965" s="3">
        <f t="shared" ref="P965:P966" si="390">(C965+(E965*F965*H965))-N965</f>
        <v>75</v>
      </c>
      <c r="Q965" s="7" t="s">
        <v>40</v>
      </c>
      <c r="R965" s="8">
        <f t="shared" ref="R965:R966" si="391">P965*(J965-(J965*L965)-((J965-(J965*L965))*M965))</f>
        <v>4152093.75</v>
      </c>
      <c r="S965" s="8">
        <f t="shared" ref="S965:S966" si="392">R965/1.11</f>
        <v>3740624.9999999995</v>
      </c>
    </row>
    <row r="966" spans="1:19" s="19" customFormat="1" x14ac:dyDescent="0.2">
      <c r="A966" s="134" t="s">
        <v>556</v>
      </c>
      <c r="B966" s="19" t="s">
        <v>18</v>
      </c>
      <c r="C966" s="20"/>
      <c r="D966" s="21" t="s">
        <v>40</v>
      </c>
      <c r="E966" s="26">
        <v>7</v>
      </c>
      <c r="F966" s="22">
        <v>20</v>
      </c>
      <c r="G966" s="23" t="s">
        <v>33</v>
      </c>
      <c r="H966" s="22">
        <v>1</v>
      </c>
      <c r="I966" s="23" t="s">
        <v>40</v>
      </c>
      <c r="J966" s="138">
        <v>84000</v>
      </c>
      <c r="K966" s="21" t="s">
        <v>40</v>
      </c>
      <c r="L966" s="25">
        <v>0.125</v>
      </c>
      <c r="M966" s="25">
        <v>0.05</v>
      </c>
      <c r="N966" s="22"/>
      <c r="O966" s="23" t="s">
        <v>40</v>
      </c>
      <c r="P966" s="20">
        <f t="shared" si="390"/>
        <v>140</v>
      </c>
      <c r="Q966" s="23" t="s">
        <v>40</v>
      </c>
      <c r="R966" s="24">
        <f t="shared" si="391"/>
        <v>9775500</v>
      </c>
      <c r="S966" s="24">
        <f t="shared" si="392"/>
        <v>8806756.7567567565</v>
      </c>
    </row>
    <row r="967" spans="1:19" s="19" customFormat="1" x14ac:dyDescent="0.2">
      <c r="A967" s="134" t="s">
        <v>556</v>
      </c>
      <c r="B967" s="19" t="s">
        <v>18</v>
      </c>
      <c r="C967" s="20">
        <v>240</v>
      </c>
      <c r="D967" s="21" t="s">
        <v>40</v>
      </c>
      <c r="E967" s="26"/>
      <c r="F967" s="22">
        <v>20</v>
      </c>
      <c r="G967" s="23" t="s">
        <v>33</v>
      </c>
      <c r="H967" s="22">
        <v>1</v>
      </c>
      <c r="I967" s="23" t="s">
        <v>40</v>
      </c>
      <c r="J967" s="138">
        <f>6800*12</f>
        <v>81600</v>
      </c>
      <c r="K967" s="21" t="s">
        <v>40</v>
      </c>
      <c r="L967" s="25">
        <v>0.125</v>
      </c>
      <c r="M967" s="25">
        <v>0.05</v>
      </c>
      <c r="N967" s="22"/>
      <c r="O967" s="23" t="s">
        <v>40</v>
      </c>
      <c r="P967" s="20">
        <f t="shared" si="388"/>
        <v>240</v>
      </c>
      <c r="Q967" s="23" t="s">
        <v>40</v>
      </c>
      <c r="R967" s="24">
        <f t="shared" si="389"/>
        <v>16279200</v>
      </c>
      <c r="S967" s="24">
        <f t="shared" si="377"/>
        <v>14665945.945945945</v>
      </c>
    </row>
    <row r="968" spans="1:19" s="19" customFormat="1" x14ac:dyDescent="0.2">
      <c r="A968" s="18" t="s">
        <v>557</v>
      </c>
      <c r="B968" s="19" t="s">
        <v>18</v>
      </c>
      <c r="C968" s="20">
        <v>450</v>
      </c>
      <c r="D968" s="21" t="s">
        <v>19</v>
      </c>
      <c r="E968" s="26">
        <v>3</v>
      </c>
      <c r="F968" s="22">
        <v>20</v>
      </c>
      <c r="G968" s="23" t="s">
        <v>33</v>
      </c>
      <c r="H968" s="22">
        <v>6</v>
      </c>
      <c r="I968" s="23" t="s">
        <v>19</v>
      </c>
      <c r="J968" s="24">
        <v>18700</v>
      </c>
      <c r="K968" s="21" t="s">
        <v>19</v>
      </c>
      <c r="L968" s="25">
        <v>0.125</v>
      </c>
      <c r="M968" s="25">
        <v>0.05</v>
      </c>
      <c r="N968" s="22"/>
      <c r="O968" s="23" t="s">
        <v>19</v>
      </c>
      <c r="P968" s="20">
        <f t="shared" si="388"/>
        <v>810</v>
      </c>
      <c r="Q968" s="23" t="s">
        <v>19</v>
      </c>
      <c r="R968" s="24">
        <f t="shared" si="389"/>
        <v>12590943.75</v>
      </c>
      <c r="S968" s="24">
        <f t="shared" si="377"/>
        <v>11343192.567567566</v>
      </c>
    </row>
    <row r="969" spans="1:19" s="19" customFormat="1" x14ac:dyDescent="0.2">
      <c r="A969" s="18" t="s">
        <v>558</v>
      </c>
      <c r="B969" s="19" t="s">
        <v>18</v>
      </c>
      <c r="C969" s="20">
        <v>1284</v>
      </c>
      <c r="D969" s="21" t="s">
        <v>19</v>
      </c>
      <c r="E969" s="26">
        <v>2</v>
      </c>
      <c r="F969" s="22">
        <v>20</v>
      </c>
      <c r="G969" s="23" t="s">
        <v>33</v>
      </c>
      <c r="H969" s="22">
        <v>6</v>
      </c>
      <c r="I969" s="23" t="s">
        <v>19</v>
      </c>
      <c r="J969" s="24">
        <v>18000</v>
      </c>
      <c r="K969" s="21" t="s">
        <v>19</v>
      </c>
      <c r="L969" s="25">
        <v>0.125</v>
      </c>
      <c r="M969" s="25">
        <v>0.05</v>
      </c>
      <c r="N969" s="22"/>
      <c r="O969" s="23" t="s">
        <v>19</v>
      </c>
      <c r="P969" s="20">
        <f t="shared" si="388"/>
        <v>1524</v>
      </c>
      <c r="Q969" s="23" t="s">
        <v>19</v>
      </c>
      <c r="R969" s="24">
        <f t="shared" si="389"/>
        <v>22802850</v>
      </c>
      <c r="S969" s="24">
        <f t="shared" si="377"/>
        <v>20543108.108108107</v>
      </c>
    </row>
    <row r="970" spans="1:19" s="72" customFormat="1" x14ac:dyDescent="0.2">
      <c r="A970" s="71" t="s">
        <v>559</v>
      </c>
      <c r="B970" s="72" t="s">
        <v>18</v>
      </c>
      <c r="C970" s="73"/>
      <c r="D970" s="74" t="s">
        <v>19</v>
      </c>
      <c r="E970" s="75"/>
      <c r="F970" s="76">
        <v>1</v>
      </c>
      <c r="G970" s="77" t="s">
        <v>20</v>
      </c>
      <c r="H970" s="76">
        <v>12</v>
      </c>
      <c r="I970" s="77" t="s">
        <v>19</v>
      </c>
      <c r="J970" s="16">
        <v>162000</v>
      </c>
      <c r="K970" s="74" t="s">
        <v>19</v>
      </c>
      <c r="L970" s="78">
        <v>0.125</v>
      </c>
      <c r="M970" s="78">
        <v>0.05</v>
      </c>
      <c r="N970" s="76"/>
      <c r="O970" s="77" t="s">
        <v>19</v>
      </c>
      <c r="P970" s="73">
        <f t="shared" si="388"/>
        <v>0</v>
      </c>
      <c r="Q970" s="77" t="s">
        <v>19</v>
      </c>
      <c r="R970" s="16">
        <f t="shared" si="389"/>
        <v>0</v>
      </c>
      <c r="S970" s="16">
        <f t="shared" si="377"/>
        <v>0</v>
      </c>
    </row>
    <row r="971" spans="1:19" s="72" customFormat="1" x14ac:dyDescent="0.2">
      <c r="A971" s="71" t="s">
        <v>755</v>
      </c>
      <c r="B971" s="72" t="s">
        <v>18</v>
      </c>
      <c r="C971" s="73"/>
      <c r="D971" s="74" t="s">
        <v>19</v>
      </c>
      <c r="E971" s="75"/>
      <c r="F971" s="76">
        <v>1</v>
      </c>
      <c r="G971" s="77" t="s">
        <v>20</v>
      </c>
      <c r="H971" s="76">
        <v>12</v>
      </c>
      <c r="I971" s="77" t="s">
        <v>19</v>
      </c>
      <c r="J971" s="16">
        <v>200000</v>
      </c>
      <c r="K971" s="74" t="s">
        <v>19</v>
      </c>
      <c r="L971" s="78">
        <v>0.125</v>
      </c>
      <c r="M971" s="78">
        <v>0.05</v>
      </c>
      <c r="N971" s="76"/>
      <c r="O971" s="77" t="s">
        <v>19</v>
      </c>
      <c r="P971" s="73">
        <f t="shared" si="388"/>
        <v>0</v>
      </c>
      <c r="Q971" s="77" t="s">
        <v>19</v>
      </c>
      <c r="R971" s="16">
        <f t="shared" si="389"/>
        <v>0</v>
      </c>
      <c r="S971" s="16">
        <f t="shared" si="377"/>
        <v>0</v>
      </c>
    </row>
    <row r="972" spans="1:19" x14ac:dyDescent="0.2">
      <c r="A972" s="17" t="s">
        <v>560</v>
      </c>
      <c r="B972" s="2" t="s">
        <v>18</v>
      </c>
      <c r="D972" s="4" t="s">
        <v>19</v>
      </c>
      <c r="E972" s="5">
        <v>2</v>
      </c>
      <c r="F972" s="6">
        <v>1</v>
      </c>
      <c r="G972" s="7" t="s">
        <v>20</v>
      </c>
      <c r="H972" s="6">
        <v>36</v>
      </c>
      <c r="I972" s="7" t="s">
        <v>19</v>
      </c>
      <c r="J972" s="8">
        <v>58000</v>
      </c>
      <c r="K972" s="4" t="s">
        <v>19</v>
      </c>
      <c r="L972" s="9">
        <v>0.125</v>
      </c>
      <c r="M972" s="9">
        <v>0.05</v>
      </c>
      <c r="O972" s="7" t="s">
        <v>19</v>
      </c>
      <c r="P972" s="3">
        <f t="shared" si="388"/>
        <v>72</v>
      </c>
      <c r="Q972" s="7" t="s">
        <v>19</v>
      </c>
      <c r="R972" s="8">
        <f t="shared" si="389"/>
        <v>3471300</v>
      </c>
      <c r="S972" s="8">
        <f t="shared" si="377"/>
        <v>3127297.297297297</v>
      </c>
    </row>
    <row r="973" spans="1:19" x14ac:dyDescent="0.2">
      <c r="A973" s="17" t="s">
        <v>561</v>
      </c>
      <c r="B973" s="2" t="s">
        <v>18</v>
      </c>
      <c r="C973" s="3">
        <v>36</v>
      </c>
      <c r="D973" s="4" t="s">
        <v>19</v>
      </c>
      <c r="F973" s="6">
        <v>1</v>
      </c>
      <c r="G973" s="7" t="s">
        <v>20</v>
      </c>
      <c r="H973" s="6">
        <v>12</v>
      </c>
      <c r="I973" s="7" t="s">
        <v>19</v>
      </c>
      <c r="J973" s="8">
        <v>97000</v>
      </c>
      <c r="K973" s="4" t="s">
        <v>19</v>
      </c>
      <c r="L973" s="9">
        <v>0.125</v>
      </c>
      <c r="M973" s="9">
        <v>0.05</v>
      </c>
      <c r="O973" s="7" t="s">
        <v>19</v>
      </c>
      <c r="P973" s="3">
        <f t="shared" si="388"/>
        <v>36</v>
      </c>
      <c r="Q973" s="7" t="s">
        <v>19</v>
      </c>
      <c r="R973" s="8">
        <f t="shared" si="389"/>
        <v>2902725</v>
      </c>
      <c r="S973" s="8">
        <f t="shared" si="377"/>
        <v>2615067.5675675673</v>
      </c>
    </row>
    <row r="974" spans="1:19" s="19" customFormat="1" x14ac:dyDescent="0.2">
      <c r="A974" s="18" t="s">
        <v>562</v>
      </c>
      <c r="B974" s="19" t="s">
        <v>18</v>
      </c>
      <c r="C974" s="20">
        <v>12</v>
      </c>
      <c r="D974" s="21" t="s">
        <v>19</v>
      </c>
      <c r="E974" s="26">
        <v>2</v>
      </c>
      <c r="F974" s="22">
        <v>1</v>
      </c>
      <c r="G974" s="23" t="s">
        <v>20</v>
      </c>
      <c r="H974" s="22">
        <v>12</v>
      </c>
      <c r="I974" s="23" t="s">
        <v>19</v>
      </c>
      <c r="J974" s="24">
        <v>97000</v>
      </c>
      <c r="K974" s="21" t="s">
        <v>19</v>
      </c>
      <c r="L974" s="25">
        <v>0.125</v>
      </c>
      <c r="M974" s="25">
        <v>0.05</v>
      </c>
      <c r="N974" s="22"/>
      <c r="O974" s="23" t="s">
        <v>19</v>
      </c>
      <c r="P974" s="20">
        <f t="shared" si="388"/>
        <v>36</v>
      </c>
      <c r="Q974" s="23" t="s">
        <v>19</v>
      </c>
      <c r="R974" s="24">
        <f t="shared" si="389"/>
        <v>2902725</v>
      </c>
      <c r="S974" s="24">
        <f t="shared" si="377"/>
        <v>2615067.5675675673</v>
      </c>
    </row>
    <row r="975" spans="1:19" x14ac:dyDescent="0.2">
      <c r="A975" s="17" t="s">
        <v>563</v>
      </c>
      <c r="B975" s="2" t="s">
        <v>18</v>
      </c>
      <c r="C975" s="3">
        <v>2</v>
      </c>
      <c r="D975" s="4" t="s">
        <v>19</v>
      </c>
      <c r="E975" s="5">
        <v>2</v>
      </c>
      <c r="F975" s="6">
        <v>1</v>
      </c>
      <c r="G975" s="7" t="s">
        <v>20</v>
      </c>
      <c r="H975" s="6">
        <v>6</v>
      </c>
      <c r="I975" s="7" t="s">
        <v>19</v>
      </c>
      <c r="J975" s="8">
        <v>187000</v>
      </c>
      <c r="K975" s="4" t="s">
        <v>19</v>
      </c>
      <c r="L975" s="9">
        <v>0.125</v>
      </c>
      <c r="M975" s="9">
        <v>0.05</v>
      </c>
      <c r="O975" s="7" t="s">
        <v>19</v>
      </c>
      <c r="P975" s="3">
        <f t="shared" si="388"/>
        <v>14</v>
      </c>
      <c r="Q975" s="7" t="s">
        <v>19</v>
      </c>
      <c r="R975" s="8">
        <f t="shared" si="389"/>
        <v>2176212.5</v>
      </c>
      <c r="S975" s="8">
        <f t="shared" si="377"/>
        <v>1960551.8018018017</v>
      </c>
    </row>
    <row r="976" spans="1:19" x14ac:dyDescent="0.2">
      <c r="A976" s="17" t="s">
        <v>564</v>
      </c>
      <c r="B976" s="2" t="s">
        <v>18</v>
      </c>
      <c r="C976" s="3">
        <v>6</v>
      </c>
      <c r="D976" s="4" t="s">
        <v>19</v>
      </c>
      <c r="F976" s="6">
        <v>1</v>
      </c>
      <c r="G976" s="7" t="s">
        <v>20</v>
      </c>
      <c r="H976" s="6">
        <v>6</v>
      </c>
      <c r="I976" s="7" t="s">
        <v>19</v>
      </c>
      <c r="J976" s="8">
        <v>420000</v>
      </c>
      <c r="K976" s="4" t="s">
        <v>19</v>
      </c>
      <c r="L976" s="9">
        <v>0.125</v>
      </c>
      <c r="M976" s="9">
        <v>0.05</v>
      </c>
      <c r="O976" s="7" t="s">
        <v>19</v>
      </c>
      <c r="P976" s="3">
        <f t="shared" si="388"/>
        <v>6</v>
      </c>
      <c r="Q976" s="7" t="s">
        <v>19</v>
      </c>
      <c r="R976" s="8">
        <f t="shared" si="389"/>
        <v>2094750</v>
      </c>
      <c r="S976" s="8">
        <f t="shared" si="377"/>
        <v>1887162.1621621619</v>
      </c>
    </row>
    <row r="978" spans="1:19" s="19" customFormat="1" x14ac:dyDescent="0.2">
      <c r="A978" s="134" t="s">
        <v>565</v>
      </c>
      <c r="B978" s="19" t="s">
        <v>25</v>
      </c>
      <c r="C978" s="20"/>
      <c r="D978" s="21" t="s">
        <v>40</v>
      </c>
      <c r="E978" s="26">
        <v>100</v>
      </c>
      <c r="F978" s="22">
        <v>1</v>
      </c>
      <c r="G978" s="23" t="s">
        <v>20</v>
      </c>
      <c r="H978" s="22">
        <v>20</v>
      </c>
      <c r="I978" s="23" t="s">
        <v>40</v>
      </c>
      <c r="J978" s="24">
        <f>1860000/20</f>
        <v>93000</v>
      </c>
      <c r="K978" s="21" t="s">
        <v>40</v>
      </c>
      <c r="L978" s="133">
        <v>0.03</v>
      </c>
      <c r="M978" s="133">
        <v>0.17</v>
      </c>
      <c r="N978" s="22"/>
      <c r="O978" s="23" t="s">
        <v>40</v>
      </c>
      <c r="P978" s="20">
        <f t="shared" ref="P978" si="393">(C978+(E978*F978*H978))-N978</f>
        <v>2000</v>
      </c>
      <c r="Q978" s="23" t="s">
        <v>40</v>
      </c>
      <c r="R978" s="24">
        <f t="shared" ref="R978" si="394">P978*(J978-(J978*L978)-((J978-(J978*L978))*M978))</f>
        <v>149748600</v>
      </c>
      <c r="S978" s="24">
        <f t="shared" ref="S978" si="395">R978/1.11</f>
        <v>134908648.64864865</v>
      </c>
    </row>
    <row r="979" spans="1:19" s="19" customFormat="1" x14ac:dyDescent="0.2">
      <c r="A979" s="134" t="s">
        <v>565</v>
      </c>
      <c r="B979" s="19" t="s">
        <v>25</v>
      </c>
      <c r="C979" s="20">
        <v>214</v>
      </c>
      <c r="D979" s="21" t="s">
        <v>40</v>
      </c>
      <c r="E979" s="26">
        <v>23</v>
      </c>
      <c r="F979" s="22">
        <v>1</v>
      </c>
      <c r="G979" s="23" t="s">
        <v>20</v>
      </c>
      <c r="H979" s="22">
        <v>20</v>
      </c>
      <c r="I979" s="23" t="s">
        <v>40</v>
      </c>
      <c r="J979" s="24">
        <f>1860000/20</f>
        <v>93000</v>
      </c>
      <c r="K979" s="21" t="s">
        <v>40</v>
      </c>
      <c r="L979" s="133"/>
      <c r="M979" s="133">
        <v>0.17</v>
      </c>
      <c r="N979" s="22"/>
      <c r="O979" s="23" t="s">
        <v>40</v>
      </c>
      <c r="P979" s="20">
        <f t="shared" ref="P979:P998" si="396">(C979+(E979*F979*H979))-N979</f>
        <v>674</v>
      </c>
      <c r="Q979" s="23" t="s">
        <v>40</v>
      </c>
      <c r="R979" s="24">
        <f t="shared" ref="R979:R998" si="397">P979*(J979-(J979*L979)-((J979-(J979*L979))*M979))</f>
        <v>52026060</v>
      </c>
      <c r="S979" s="24">
        <f t="shared" si="377"/>
        <v>46870324.324324317</v>
      </c>
    </row>
    <row r="980" spans="1:19" s="19" customFormat="1" x14ac:dyDescent="0.2">
      <c r="A980" s="18" t="s">
        <v>566</v>
      </c>
      <c r="B980" s="19" t="s">
        <v>25</v>
      </c>
      <c r="C980" s="20">
        <v>40</v>
      </c>
      <c r="D980" s="21" t="s">
        <v>40</v>
      </c>
      <c r="E980" s="26">
        <v>4</v>
      </c>
      <c r="F980" s="22">
        <v>1</v>
      </c>
      <c r="G980" s="23" t="s">
        <v>20</v>
      </c>
      <c r="H980" s="22">
        <v>20</v>
      </c>
      <c r="I980" s="23" t="s">
        <v>40</v>
      </c>
      <c r="J980" s="24">
        <f>1740000/20</f>
        <v>87000</v>
      </c>
      <c r="K980" s="21" t="s">
        <v>40</v>
      </c>
      <c r="L980" s="25"/>
      <c r="M980" s="25">
        <v>0.17</v>
      </c>
      <c r="N980" s="22"/>
      <c r="O980" s="23" t="s">
        <v>40</v>
      </c>
      <c r="P980" s="20">
        <f t="shared" si="396"/>
        <v>120</v>
      </c>
      <c r="Q980" s="23" t="s">
        <v>40</v>
      </c>
      <c r="R980" s="24">
        <f t="shared" si="397"/>
        <v>8665200</v>
      </c>
      <c r="S980" s="24">
        <f t="shared" si="377"/>
        <v>7806486.4864864862</v>
      </c>
    </row>
    <row r="981" spans="1:19" s="19" customFormat="1" x14ac:dyDescent="0.2">
      <c r="A981" s="18" t="s">
        <v>567</v>
      </c>
      <c r="B981" s="19" t="s">
        <v>25</v>
      </c>
      <c r="C981" s="20">
        <v>100</v>
      </c>
      <c r="D981" s="21" t="s">
        <v>40</v>
      </c>
      <c r="E981" s="26"/>
      <c r="F981" s="22">
        <v>1</v>
      </c>
      <c r="G981" s="23" t="s">
        <v>20</v>
      </c>
      <c r="H981" s="22">
        <v>20</v>
      </c>
      <c r="I981" s="23" t="s">
        <v>40</v>
      </c>
      <c r="J981" s="24">
        <f>1740000/20</f>
        <v>87000</v>
      </c>
      <c r="K981" s="21" t="s">
        <v>40</v>
      </c>
      <c r="L981" s="25"/>
      <c r="M981" s="25">
        <v>0.17</v>
      </c>
      <c r="N981" s="22"/>
      <c r="O981" s="23" t="s">
        <v>40</v>
      </c>
      <c r="P981" s="20">
        <f t="shared" si="396"/>
        <v>100</v>
      </c>
      <c r="Q981" s="23" t="s">
        <v>40</v>
      </c>
      <c r="R981" s="24">
        <f t="shared" si="397"/>
        <v>7221000</v>
      </c>
      <c r="S981" s="24">
        <f t="shared" si="377"/>
        <v>6505405.405405405</v>
      </c>
    </row>
    <row r="982" spans="1:19" s="19" customFormat="1" x14ac:dyDescent="0.2">
      <c r="A982" s="18" t="s">
        <v>568</v>
      </c>
      <c r="B982" s="19" t="s">
        <v>25</v>
      </c>
      <c r="C982" s="20">
        <v>5</v>
      </c>
      <c r="D982" s="21" t="s">
        <v>40</v>
      </c>
      <c r="E982" s="26">
        <v>11</v>
      </c>
      <c r="F982" s="22">
        <v>1</v>
      </c>
      <c r="G982" s="23" t="s">
        <v>20</v>
      </c>
      <c r="H982" s="22">
        <v>20</v>
      </c>
      <c r="I982" s="23" t="s">
        <v>40</v>
      </c>
      <c r="J982" s="24">
        <f>2352000/20</f>
        <v>117600</v>
      </c>
      <c r="K982" s="21" t="s">
        <v>40</v>
      </c>
      <c r="L982" s="25"/>
      <c r="M982" s="25">
        <v>0.17</v>
      </c>
      <c r="N982" s="22"/>
      <c r="O982" s="41" t="s">
        <v>40</v>
      </c>
      <c r="P982" s="20">
        <f t="shared" si="396"/>
        <v>225</v>
      </c>
      <c r="Q982" s="23" t="s">
        <v>40</v>
      </c>
      <c r="R982" s="24">
        <f t="shared" si="397"/>
        <v>21961800</v>
      </c>
      <c r="S982" s="24">
        <f t="shared" si="377"/>
        <v>19785405.405405402</v>
      </c>
    </row>
    <row r="983" spans="1:19" s="19" customFormat="1" x14ac:dyDescent="0.2">
      <c r="A983" s="18" t="s">
        <v>652</v>
      </c>
      <c r="B983" s="19" t="s">
        <v>25</v>
      </c>
      <c r="C983" s="20">
        <v>40</v>
      </c>
      <c r="D983" s="21" t="s">
        <v>40</v>
      </c>
      <c r="E983" s="26">
        <v>10</v>
      </c>
      <c r="F983" s="22">
        <v>1</v>
      </c>
      <c r="G983" s="23" t="s">
        <v>20</v>
      </c>
      <c r="H983" s="22">
        <v>20</v>
      </c>
      <c r="I983" s="23" t="s">
        <v>40</v>
      </c>
      <c r="J983" s="24">
        <f>2352000/20</f>
        <v>117600</v>
      </c>
      <c r="K983" s="21" t="s">
        <v>40</v>
      </c>
      <c r="L983" s="25"/>
      <c r="M983" s="25">
        <v>0.17</v>
      </c>
      <c r="N983" s="22"/>
      <c r="O983" s="68" t="s">
        <v>40</v>
      </c>
      <c r="P983" s="20">
        <f t="shared" si="396"/>
        <v>240</v>
      </c>
      <c r="Q983" s="23" t="s">
        <v>40</v>
      </c>
      <c r="R983" s="24">
        <f t="shared" si="397"/>
        <v>23425920</v>
      </c>
      <c r="S983" s="24">
        <f t="shared" si="377"/>
        <v>21104432.432432432</v>
      </c>
    </row>
    <row r="984" spans="1:19" s="19" customFormat="1" x14ac:dyDescent="0.2">
      <c r="A984" s="18" t="s">
        <v>569</v>
      </c>
      <c r="B984" s="19" t="s">
        <v>25</v>
      </c>
      <c r="C984" s="20">
        <v>100</v>
      </c>
      <c r="D984" s="21" t="s">
        <v>40</v>
      </c>
      <c r="E984" s="26"/>
      <c r="F984" s="22">
        <v>1</v>
      </c>
      <c r="G984" s="23" t="s">
        <v>20</v>
      </c>
      <c r="H984" s="22">
        <v>20</v>
      </c>
      <c r="I984" s="23" t="s">
        <v>40</v>
      </c>
      <c r="J984" s="24">
        <f>2352000/20</f>
        <v>117600</v>
      </c>
      <c r="K984" s="21" t="s">
        <v>40</v>
      </c>
      <c r="L984" s="25"/>
      <c r="M984" s="25">
        <v>0.17</v>
      </c>
      <c r="N984" s="22"/>
      <c r="O984" s="23" t="s">
        <v>40</v>
      </c>
      <c r="P984" s="20">
        <f t="shared" si="396"/>
        <v>100</v>
      </c>
      <c r="Q984" s="23" t="s">
        <v>40</v>
      </c>
      <c r="R984" s="24">
        <f t="shared" si="397"/>
        <v>9760800</v>
      </c>
      <c r="S984" s="24">
        <f t="shared" si="377"/>
        <v>8793513.5135135129</v>
      </c>
    </row>
    <row r="985" spans="1:19" s="81" customFormat="1" x14ac:dyDescent="0.2">
      <c r="A985" s="80" t="s">
        <v>779</v>
      </c>
      <c r="B985" s="81" t="s">
        <v>25</v>
      </c>
      <c r="C985" s="79"/>
      <c r="D985" s="82" t="s">
        <v>40</v>
      </c>
      <c r="E985" s="83"/>
      <c r="F985" s="84">
        <v>1</v>
      </c>
      <c r="G985" s="85" t="s">
        <v>20</v>
      </c>
      <c r="H985" s="84">
        <v>10</v>
      </c>
      <c r="I985" s="85" t="s">
        <v>40</v>
      </c>
      <c r="J985" s="86">
        <f>2400000/10</f>
        <v>240000</v>
      </c>
      <c r="K985" s="82" t="s">
        <v>40</v>
      </c>
      <c r="L985" s="87"/>
      <c r="M985" s="87">
        <v>0.17</v>
      </c>
      <c r="N985" s="84"/>
      <c r="O985" s="89" t="s">
        <v>40</v>
      </c>
      <c r="P985" s="79">
        <f t="shared" si="396"/>
        <v>0</v>
      </c>
      <c r="Q985" s="85" t="s">
        <v>40</v>
      </c>
      <c r="R985" s="86">
        <f t="shared" si="397"/>
        <v>0</v>
      </c>
      <c r="S985" s="86">
        <f t="shared" si="377"/>
        <v>0</v>
      </c>
    </row>
    <row r="986" spans="1:19" x14ac:dyDescent="0.2">
      <c r="A986" s="17" t="s">
        <v>570</v>
      </c>
      <c r="B986" s="2" t="s">
        <v>25</v>
      </c>
      <c r="C986" s="3">
        <v>25</v>
      </c>
      <c r="D986" s="4" t="s">
        <v>40</v>
      </c>
      <c r="F986" s="6">
        <v>1</v>
      </c>
      <c r="G986" s="7" t="s">
        <v>20</v>
      </c>
      <c r="H986" s="6">
        <v>40</v>
      </c>
      <c r="I986" s="7" t="s">
        <v>40</v>
      </c>
      <c r="J986" s="8">
        <f>2688000/40</f>
        <v>67200</v>
      </c>
      <c r="K986" s="4" t="s">
        <v>40</v>
      </c>
      <c r="M986" s="9">
        <v>0.17</v>
      </c>
      <c r="O986" s="7" t="s">
        <v>40</v>
      </c>
      <c r="P986" s="3">
        <f t="shared" si="396"/>
        <v>25</v>
      </c>
      <c r="Q986" s="7" t="s">
        <v>40</v>
      </c>
      <c r="R986" s="8">
        <f t="shared" si="397"/>
        <v>1394400</v>
      </c>
      <c r="S986" s="8">
        <f t="shared" si="377"/>
        <v>1256216.2162162161</v>
      </c>
    </row>
    <row r="987" spans="1:19" s="72" customFormat="1" x14ac:dyDescent="0.2">
      <c r="A987" s="71" t="s">
        <v>571</v>
      </c>
      <c r="B987" s="72" t="s">
        <v>25</v>
      </c>
      <c r="C987" s="73"/>
      <c r="D987" s="74" t="s">
        <v>40</v>
      </c>
      <c r="E987" s="75"/>
      <c r="F987" s="76">
        <v>1</v>
      </c>
      <c r="G987" s="77" t="s">
        <v>20</v>
      </c>
      <c r="H987" s="76">
        <v>20</v>
      </c>
      <c r="I987" s="77" t="s">
        <v>40</v>
      </c>
      <c r="J987" s="16">
        <v>120000</v>
      </c>
      <c r="K987" s="74" t="s">
        <v>40</v>
      </c>
      <c r="L987" s="78"/>
      <c r="M987" s="78">
        <v>0.17</v>
      </c>
      <c r="N987" s="76"/>
      <c r="O987" s="77" t="s">
        <v>40</v>
      </c>
      <c r="P987" s="73">
        <f t="shared" si="396"/>
        <v>0</v>
      </c>
      <c r="Q987" s="77" t="s">
        <v>40</v>
      </c>
      <c r="R987" s="16">
        <f t="shared" si="397"/>
        <v>0</v>
      </c>
      <c r="S987" s="16">
        <f t="shared" si="377"/>
        <v>0</v>
      </c>
    </row>
    <row r="988" spans="1:19" s="19" customFormat="1" x14ac:dyDescent="0.2">
      <c r="A988" s="18" t="s">
        <v>572</v>
      </c>
      <c r="B988" s="19" t="s">
        <v>25</v>
      </c>
      <c r="C988" s="20">
        <v>23</v>
      </c>
      <c r="D988" s="21" t="s">
        <v>40</v>
      </c>
      <c r="E988" s="26"/>
      <c r="F988" s="22">
        <v>1</v>
      </c>
      <c r="G988" s="23" t="s">
        <v>20</v>
      </c>
      <c r="H988" s="22">
        <v>25</v>
      </c>
      <c r="I988" s="23" t="s">
        <v>40</v>
      </c>
      <c r="J988" s="24">
        <f>1740000/25</f>
        <v>69600</v>
      </c>
      <c r="K988" s="21" t="s">
        <v>40</v>
      </c>
      <c r="L988" s="25"/>
      <c r="M988" s="25">
        <v>0.17</v>
      </c>
      <c r="N988" s="22"/>
      <c r="O988" s="23" t="s">
        <v>40</v>
      </c>
      <c r="P988" s="20">
        <f t="shared" si="396"/>
        <v>23</v>
      </c>
      <c r="Q988" s="23" t="s">
        <v>40</v>
      </c>
      <c r="R988" s="24">
        <f t="shared" si="397"/>
        <v>1328664</v>
      </c>
      <c r="S988" s="24">
        <f t="shared" si="377"/>
        <v>1196994.5945945946</v>
      </c>
    </row>
    <row r="989" spans="1:19" s="81" customFormat="1" x14ac:dyDescent="0.2">
      <c r="A989" s="80" t="s">
        <v>573</v>
      </c>
      <c r="B989" s="81" t="s">
        <v>25</v>
      </c>
      <c r="C989" s="79"/>
      <c r="D989" s="82" t="s">
        <v>40</v>
      </c>
      <c r="E989" s="83"/>
      <c r="F989" s="84">
        <v>1</v>
      </c>
      <c r="G989" s="85" t="s">
        <v>20</v>
      </c>
      <c r="H989" s="84">
        <v>10</v>
      </c>
      <c r="I989" s="85" t="s">
        <v>40</v>
      </c>
      <c r="J989" s="86">
        <f>2280000/10</f>
        <v>228000</v>
      </c>
      <c r="K989" s="82" t="s">
        <v>40</v>
      </c>
      <c r="L989" s="87"/>
      <c r="M989" s="87">
        <v>0.17</v>
      </c>
      <c r="N989" s="84"/>
      <c r="O989" s="85" t="s">
        <v>40</v>
      </c>
      <c r="P989" s="79">
        <f t="shared" si="396"/>
        <v>0</v>
      </c>
      <c r="Q989" s="85" t="s">
        <v>40</v>
      </c>
      <c r="R989" s="86">
        <f t="shared" si="397"/>
        <v>0</v>
      </c>
      <c r="S989" s="16">
        <f t="shared" si="377"/>
        <v>0</v>
      </c>
    </row>
    <row r="990" spans="1:19" s="19" customFormat="1" x14ac:dyDescent="0.2">
      <c r="A990" s="18" t="s">
        <v>574</v>
      </c>
      <c r="B990" s="19" t="s">
        <v>25</v>
      </c>
      <c r="C990" s="20">
        <v>57</v>
      </c>
      <c r="D990" s="21" t="s">
        <v>40</v>
      </c>
      <c r="E990" s="26">
        <v>13</v>
      </c>
      <c r="F990" s="22">
        <v>1</v>
      </c>
      <c r="G990" s="23" t="s">
        <v>20</v>
      </c>
      <c r="H990" s="22">
        <v>10</v>
      </c>
      <c r="I990" s="23" t="s">
        <v>40</v>
      </c>
      <c r="J990" s="24">
        <f>2280000/10</f>
        <v>228000</v>
      </c>
      <c r="K990" s="21" t="s">
        <v>40</v>
      </c>
      <c r="L990" s="25"/>
      <c r="M990" s="25">
        <v>0.17</v>
      </c>
      <c r="N990" s="22"/>
      <c r="O990" s="69" t="s">
        <v>40</v>
      </c>
      <c r="P990" s="20">
        <f t="shared" si="396"/>
        <v>187</v>
      </c>
      <c r="Q990" s="23" t="s">
        <v>40</v>
      </c>
      <c r="R990" s="24">
        <f t="shared" si="397"/>
        <v>35387880</v>
      </c>
      <c r="S990" s="24">
        <f t="shared" si="377"/>
        <v>31880972.97297297</v>
      </c>
    </row>
    <row r="991" spans="1:19" s="19" customFormat="1" x14ac:dyDescent="0.2">
      <c r="A991" s="18" t="s">
        <v>575</v>
      </c>
      <c r="B991" s="19" t="s">
        <v>25</v>
      </c>
      <c r="C991" s="20">
        <v>50</v>
      </c>
      <c r="D991" s="21" t="s">
        <v>40</v>
      </c>
      <c r="E991" s="26"/>
      <c r="F991" s="22">
        <v>1</v>
      </c>
      <c r="G991" s="23" t="s">
        <v>20</v>
      </c>
      <c r="H991" s="22">
        <v>10</v>
      </c>
      <c r="I991" s="23" t="s">
        <v>40</v>
      </c>
      <c r="J991" s="24">
        <f>2040000/10</f>
        <v>204000</v>
      </c>
      <c r="K991" s="21" t="s">
        <v>40</v>
      </c>
      <c r="L991" s="25"/>
      <c r="M991" s="25">
        <v>0.17</v>
      </c>
      <c r="N991" s="22"/>
      <c r="O991" s="23" t="s">
        <v>40</v>
      </c>
      <c r="P991" s="20">
        <f t="shared" si="396"/>
        <v>50</v>
      </c>
      <c r="Q991" s="23" t="s">
        <v>40</v>
      </c>
      <c r="R991" s="24">
        <f t="shared" si="397"/>
        <v>8466000</v>
      </c>
      <c r="S991" s="24">
        <f t="shared" si="377"/>
        <v>7627027.0270270268</v>
      </c>
    </row>
    <row r="992" spans="1:19" s="19" customFormat="1" x14ac:dyDescent="0.2">
      <c r="A992" s="134" t="s">
        <v>576</v>
      </c>
      <c r="B992" s="19" t="s">
        <v>25</v>
      </c>
      <c r="C992" s="20"/>
      <c r="D992" s="21" t="s">
        <v>40</v>
      </c>
      <c r="E992" s="26">
        <v>5</v>
      </c>
      <c r="F992" s="22">
        <v>1</v>
      </c>
      <c r="G992" s="23" t="s">
        <v>20</v>
      </c>
      <c r="H992" s="22">
        <v>10</v>
      </c>
      <c r="I992" s="23" t="s">
        <v>40</v>
      </c>
      <c r="J992" s="138">
        <v>228000</v>
      </c>
      <c r="K992" s="21" t="s">
        <v>40</v>
      </c>
      <c r="L992" s="25"/>
      <c r="M992" s="25">
        <v>0.17</v>
      </c>
      <c r="N992" s="22"/>
      <c r="O992" s="23" t="s">
        <v>40</v>
      </c>
      <c r="P992" s="20">
        <f t="shared" ref="P992" si="398">(C992+(E992*F992*H992))-N992</f>
        <v>50</v>
      </c>
      <c r="Q992" s="23" t="s">
        <v>40</v>
      </c>
      <c r="R992" s="24">
        <f t="shared" ref="R992" si="399">P992*(J992-(J992*L992)-((J992-(J992*L992))*M992))</f>
        <v>9462000</v>
      </c>
      <c r="S992" s="24">
        <f t="shared" ref="S992" si="400">R992/1.11</f>
        <v>8524324.3243243229</v>
      </c>
    </row>
    <row r="993" spans="1:19" s="19" customFormat="1" x14ac:dyDescent="0.2">
      <c r="A993" s="134" t="s">
        <v>576</v>
      </c>
      <c r="B993" s="19" t="s">
        <v>25</v>
      </c>
      <c r="C993" s="20">
        <v>40</v>
      </c>
      <c r="D993" s="21" t="s">
        <v>40</v>
      </c>
      <c r="E993" s="26"/>
      <c r="F993" s="22">
        <v>1</v>
      </c>
      <c r="G993" s="23" t="s">
        <v>20</v>
      </c>
      <c r="H993" s="22">
        <v>10</v>
      </c>
      <c r="I993" s="23" t="s">
        <v>40</v>
      </c>
      <c r="J993" s="138">
        <f>2040000/10</f>
        <v>204000</v>
      </c>
      <c r="K993" s="21" t="s">
        <v>40</v>
      </c>
      <c r="L993" s="25"/>
      <c r="M993" s="25">
        <v>0.17</v>
      </c>
      <c r="N993" s="22"/>
      <c r="O993" s="23" t="s">
        <v>40</v>
      </c>
      <c r="P993" s="20">
        <f t="shared" si="396"/>
        <v>40</v>
      </c>
      <c r="Q993" s="23" t="s">
        <v>40</v>
      </c>
      <c r="R993" s="24">
        <f t="shared" si="397"/>
        <v>6772800</v>
      </c>
      <c r="S993" s="24">
        <f t="shared" si="377"/>
        <v>6101621.6216216208</v>
      </c>
    </row>
    <row r="994" spans="1:19" s="72" customFormat="1" x14ac:dyDescent="0.2">
      <c r="A994" s="71" t="s">
        <v>577</v>
      </c>
      <c r="B994" s="72" t="s">
        <v>25</v>
      </c>
      <c r="C994" s="73"/>
      <c r="D994" s="74" t="s">
        <v>19</v>
      </c>
      <c r="E994" s="75"/>
      <c r="F994" s="76">
        <v>20</v>
      </c>
      <c r="G994" s="77" t="s">
        <v>33</v>
      </c>
      <c r="H994" s="76">
        <v>6</v>
      </c>
      <c r="I994" s="77" t="s">
        <v>19</v>
      </c>
      <c r="J994" s="16">
        <v>14500</v>
      </c>
      <c r="K994" s="74" t="s">
        <v>19</v>
      </c>
      <c r="L994" s="78"/>
      <c r="M994" s="78">
        <v>0.17</v>
      </c>
      <c r="N994" s="76"/>
      <c r="O994" s="77" t="s">
        <v>19</v>
      </c>
      <c r="P994" s="73">
        <f t="shared" si="396"/>
        <v>0</v>
      </c>
      <c r="Q994" s="77" t="s">
        <v>19</v>
      </c>
      <c r="R994" s="16">
        <f t="shared" si="397"/>
        <v>0</v>
      </c>
      <c r="S994" s="16">
        <f t="shared" si="377"/>
        <v>0</v>
      </c>
    </row>
    <row r="995" spans="1:19" s="19" customFormat="1" x14ac:dyDescent="0.2">
      <c r="A995" s="18" t="s">
        <v>578</v>
      </c>
      <c r="B995" s="19" t="s">
        <v>25</v>
      </c>
      <c r="C995" s="20">
        <f>23+3</f>
        <v>26</v>
      </c>
      <c r="D995" s="21" t="s">
        <v>19</v>
      </c>
      <c r="E995" s="26">
        <v>2</v>
      </c>
      <c r="F995" s="22">
        <v>1</v>
      </c>
      <c r="G995" s="23" t="s">
        <v>20</v>
      </c>
      <c r="H995" s="22">
        <v>6</v>
      </c>
      <c r="I995" s="23" t="s">
        <v>19</v>
      </c>
      <c r="J995" s="24">
        <f>2160000/6</f>
        <v>360000</v>
      </c>
      <c r="K995" s="21" t="s">
        <v>19</v>
      </c>
      <c r="L995" s="25"/>
      <c r="M995" s="25">
        <v>0.17</v>
      </c>
      <c r="N995" s="22"/>
      <c r="O995" s="23" t="s">
        <v>19</v>
      </c>
      <c r="P995" s="20">
        <f t="shared" si="396"/>
        <v>38</v>
      </c>
      <c r="Q995" s="23" t="s">
        <v>19</v>
      </c>
      <c r="R995" s="24">
        <f t="shared" si="397"/>
        <v>11354400</v>
      </c>
      <c r="S995" s="24">
        <f t="shared" si="377"/>
        <v>10229189.189189188</v>
      </c>
    </row>
    <row r="996" spans="1:19" s="19" customFormat="1" x14ac:dyDescent="0.2">
      <c r="A996" s="18" t="s">
        <v>579</v>
      </c>
      <c r="B996" s="19" t="s">
        <v>25</v>
      </c>
      <c r="C996" s="20">
        <v>6</v>
      </c>
      <c r="D996" s="21" t="s">
        <v>19</v>
      </c>
      <c r="E996" s="26">
        <v>3</v>
      </c>
      <c r="F996" s="22">
        <v>1</v>
      </c>
      <c r="G996" s="23" t="s">
        <v>20</v>
      </c>
      <c r="H996" s="22">
        <v>6</v>
      </c>
      <c r="I996" s="23" t="s">
        <v>19</v>
      </c>
      <c r="J996" s="24">
        <f>930000/6</f>
        <v>155000</v>
      </c>
      <c r="K996" s="21" t="s">
        <v>19</v>
      </c>
      <c r="L996" s="25"/>
      <c r="M996" s="25">
        <v>0.17</v>
      </c>
      <c r="N996" s="22"/>
      <c r="O996" s="23" t="s">
        <v>19</v>
      </c>
      <c r="P996" s="20">
        <f t="shared" si="396"/>
        <v>24</v>
      </c>
      <c r="Q996" s="23" t="s">
        <v>19</v>
      </c>
      <c r="R996" s="24">
        <f t="shared" si="397"/>
        <v>3087600</v>
      </c>
      <c r="S996" s="24">
        <f t="shared" si="377"/>
        <v>2781621.6216216213</v>
      </c>
    </row>
    <row r="997" spans="1:19" s="19" customFormat="1" x14ac:dyDescent="0.2">
      <c r="A997" s="18" t="s">
        <v>580</v>
      </c>
      <c r="B997" s="19" t="s">
        <v>25</v>
      </c>
      <c r="C997" s="20">
        <v>30</v>
      </c>
      <c r="D997" s="21" t="s">
        <v>19</v>
      </c>
      <c r="E997" s="26">
        <v>6</v>
      </c>
      <c r="F997" s="22">
        <v>1</v>
      </c>
      <c r="G997" s="23" t="s">
        <v>20</v>
      </c>
      <c r="H997" s="22">
        <v>6</v>
      </c>
      <c r="I997" s="23" t="s">
        <v>19</v>
      </c>
      <c r="J997" s="24">
        <f>504000/6</f>
        <v>84000</v>
      </c>
      <c r="K997" s="21" t="s">
        <v>19</v>
      </c>
      <c r="L997" s="25"/>
      <c r="M997" s="25">
        <v>0.17</v>
      </c>
      <c r="N997" s="22"/>
      <c r="O997" s="23" t="s">
        <v>19</v>
      </c>
      <c r="P997" s="20">
        <f t="shared" si="396"/>
        <v>66</v>
      </c>
      <c r="Q997" s="23" t="s">
        <v>19</v>
      </c>
      <c r="R997" s="24">
        <f t="shared" si="397"/>
        <v>4601520</v>
      </c>
      <c r="S997" s="24">
        <f t="shared" ref="S997:S1006" si="401">R997/1.11</f>
        <v>4145513.5135135134</v>
      </c>
    </row>
    <row r="998" spans="1:19" s="72" customFormat="1" x14ac:dyDescent="0.2">
      <c r="A998" s="71" t="s">
        <v>581</v>
      </c>
      <c r="B998" s="72" t="s">
        <v>25</v>
      </c>
      <c r="C998" s="73"/>
      <c r="D998" s="74" t="s">
        <v>19</v>
      </c>
      <c r="E998" s="75"/>
      <c r="F998" s="76">
        <v>1</v>
      </c>
      <c r="G998" s="77" t="s">
        <v>20</v>
      </c>
      <c r="H998" s="76">
        <v>6</v>
      </c>
      <c r="I998" s="77" t="s">
        <v>19</v>
      </c>
      <c r="J998" s="16">
        <f>990000/6</f>
        <v>165000</v>
      </c>
      <c r="K998" s="74" t="s">
        <v>19</v>
      </c>
      <c r="L998" s="78"/>
      <c r="M998" s="78">
        <v>0.17</v>
      </c>
      <c r="N998" s="76"/>
      <c r="O998" s="77" t="s">
        <v>19</v>
      </c>
      <c r="P998" s="73">
        <f t="shared" si="396"/>
        <v>0</v>
      </c>
      <c r="Q998" s="77" t="s">
        <v>19</v>
      </c>
      <c r="R998" s="16">
        <f t="shared" si="397"/>
        <v>0</v>
      </c>
      <c r="S998" s="16">
        <f t="shared" si="401"/>
        <v>0</v>
      </c>
    </row>
    <row r="1000" spans="1:19" x14ac:dyDescent="0.2">
      <c r="A1000" s="53" t="s">
        <v>582</v>
      </c>
      <c r="B1000" s="2" t="s">
        <v>583</v>
      </c>
      <c r="C1000" s="3">
        <v>167</v>
      </c>
      <c r="D1000" s="4" t="s">
        <v>40</v>
      </c>
      <c r="F1000" s="6">
        <v>1</v>
      </c>
      <c r="G1000" s="7" t="s">
        <v>20</v>
      </c>
      <c r="H1000" s="6">
        <v>30</v>
      </c>
      <c r="I1000" s="7" t="s">
        <v>40</v>
      </c>
      <c r="J1000" s="8">
        <v>130000</v>
      </c>
      <c r="K1000" s="4" t="s">
        <v>40</v>
      </c>
      <c r="L1000" s="9">
        <v>0.17499999999999999</v>
      </c>
      <c r="M1000" s="9">
        <v>0.03</v>
      </c>
      <c r="O1000" s="7" t="s">
        <v>40</v>
      </c>
      <c r="P1000" s="3">
        <f>(C1000+(E1000*F1000*H1000))-N1000</f>
        <v>167</v>
      </c>
      <c r="Q1000" s="7" t="s">
        <v>40</v>
      </c>
      <c r="R1000" s="8">
        <f>P1000*(J1000-(J1000*L1000)-((J1000-(J1000*L1000))*M1000))</f>
        <v>17373427.5</v>
      </c>
      <c r="S1000" s="8">
        <f t="shared" si="401"/>
        <v>15651736.486486485</v>
      </c>
    </row>
    <row r="1001" spans="1:19" x14ac:dyDescent="0.2">
      <c r="A1001" s="53" t="s">
        <v>584</v>
      </c>
      <c r="B1001" s="2" t="s">
        <v>583</v>
      </c>
      <c r="C1001" s="3">
        <v>90</v>
      </c>
      <c r="D1001" s="4" t="s">
        <v>40</v>
      </c>
      <c r="F1001" s="6">
        <v>1</v>
      </c>
      <c r="G1001" s="7" t="s">
        <v>20</v>
      </c>
      <c r="H1001" s="6">
        <v>30</v>
      </c>
      <c r="I1001" s="7" t="s">
        <v>40</v>
      </c>
      <c r="J1001" s="8">
        <v>216000</v>
      </c>
      <c r="K1001" s="4" t="s">
        <v>40</v>
      </c>
      <c r="M1001" s="9">
        <v>0.15</v>
      </c>
      <c r="O1001" s="7" t="s">
        <v>40</v>
      </c>
      <c r="P1001" s="3">
        <f>(C1001+(E1001*F1001*H1001))-N1001</f>
        <v>90</v>
      </c>
      <c r="Q1001" s="7" t="s">
        <v>40</v>
      </c>
      <c r="R1001" s="8">
        <f>P1001*(J1001-(J1001*L1001)-((J1001-(J1001*L1001))*M1001))</f>
        <v>16524000</v>
      </c>
      <c r="S1001" s="8">
        <f t="shared" si="401"/>
        <v>14886486.486486485</v>
      </c>
    </row>
    <row r="1002" spans="1:19" s="72" customFormat="1" x14ac:dyDescent="0.2">
      <c r="A1002" s="119" t="s">
        <v>585</v>
      </c>
      <c r="B1002" s="72" t="s">
        <v>583</v>
      </c>
      <c r="C1002" s="73"/>
      <c r="D1002" s="74" t="s">
        <v>40</v>
      </c>
      <c r="E1002" s="75"/>
      <c r="F1002" s="76">
        <v>1</v>
      </c>
      <c r="G1002" s="77" t="s">
        <v>20</v>
      </c>
      <c r="H1002" s="76">
        <v>30</v>
      </c>
      <c r="I1002" s="77" t="s">
        <v>40</v>
      </c>
      <c r="J1002" s="16">
        <v>216000</v>
      </c>
      <c r="K1002" s="74" t="s">
        <v>40</v>
      </c>
      <c r="L1002" s="78"/>
      <c r="M1002" s="78">
        <v>0.15</v>
      </c>
      <c r="N1002" s="76"/>
      <c r="O1002" s="77" t="s">
        <v>40</v>
      </c>
      <c r="P1002" s="73">
        <f>(C1002+(E1002*F1002*H1002))-N1002</f>
        <v>0</v>
      </c>
      <c r="Q1002" s="77" t="s">
        <v>40</v>
      </c>
      <c r="R1002" s="16">
        <f>P1002*(J1002-(J1002*L1002)-((J1002-(J1002*L1002))*M1002))</f>
        <v>0</v>
      </c>
      <c r="S1002" s="16">
        <f t="shared" si="401"/>
        <v>0</v>
      </c>
    </row>
    <row r="1003" spans="1:19" s="72" customFormat="1" x14ac:dyDescent="0.2">
      <c r="A1003" s="119" t="s">
        <v>586</v>
      </c>
      <c r="B1003" s="72" t="s">
        <v>583</v>
      </c>
      <c r="C1003" s="73"/>
      <c r="D1003" s="74" t="s">
        <v>40</v>
      </c>
      <c r="E1003" s="75"/>
      <c r="F1003" s="76">
        <v>1</v>
      </c>
      <c r="G1003" s="77" t="s">
        <v>20</v>
      </c>
      <c r="H1003" s="76">
        <v>30</v>
      </c>
      <c r="I1003" s="77" t="s">
        <v>40</v>
      </c>
      <c r="J1003" s="16">
        <v>220000</v>
      </c>
      <c r="K1003" s="74" t="s">
        <v>40</v>
      </c>
      <c r="L1003" s="78"/>
      <c r="M1003" s="78">
        <v>0.15</v>
      </c>
      <c r="N1003" s="76"/>
      <c r="O1003" s="77" t="s">
        <v>40</v>
      </c>
      <c r="P1003" s="73">
        <f>(C1003+(E1003*F1003*H1003))-N1003</f>
        <v>0</v>
      </c>
      <c r="Q1003" s="77" t="s">
        <v>40</v>
      </c>
      <c r="R1003" s="16">
        <f>P1003*(J1003-(J1003*L1003)-((J1003-(J1003*L1003))*M1003))</f>
        <v>0</v>
      </c>
      <c r="S1003" s="16">
        <f t="shared" si="401"/>
        <v>0</v>
      </c>
    </row>
    <row r="1004" spans="1:19" x14ac:dyDescent="0.2">
      <c r="A1004" s="53" t="s">
        <v>587</v>
      </c>
      <c r="B1004" s="2" t="s">
        <v>583</v>
      </c>
      <c r="C1004" s="3">
        <v>40</v>
      </c>
      <c r="D1004" s="4" t="s">
        <v>40</v>
      </c>
      <c r="F1004" s="6">
        <v>1</v>
      </c>
      <c r="G1004" s="7" t="s">
        <v>20</v>
      </c>
      <c r="H1004" s="6">
        <v>20</v>
      </c>
      <c r="I1004" s="7" t="s">
        <v>40</v>
      </c>
      <c r="J1004" s="8">
        <v>285600</v>
      </c>
      <c r="K1004" s="4" t="s">
        <v>40</v>
      </c>
      <c r="L1004" s="9">
        <v>0.17499999999999999</v>
      </c>
      <c r="M1004" s="9">
        <v>0.03</v>
      </c>
      <c r="O1004" s="7" t="s">
        <v>40</v>
      </c>
      <c r="P1004" s="3">
        <f>(C1004+(E1004*F1004*H1004))-N1004</f>
        <v>40</v>
      </c>
      <c r="Q1004" s="7" t="s">
        <v>40</v>
      </c>
      <c r="R1004" s="8">
        <f>P1004*(J1004-(J1004*L1004)-((J1004-(J1004*L1004))*M1004))</f>
        <v>9142056</v>
      </c>
      <c r="S1004" s="8">
        <f t="shared" si="401"/>
        <v>8236086.4864864862</v>
      </c>
    </row>
    <row r="1005" spans="1:19" x14ac:dyDescent="0.2">
      <c r="A1005" s="53"/>
    </row>
    <row r="1006" spans="1:19" x14ac:dyDescent="0.2">
      <c r="A1006" s="53" t="s">
        <v>588</v>
      </c>
      <c r="B1006" s="19" t="s">
        <v>181</v>
      </c>
      <c r="C1006" s="3">
        <v>72</v>
      </c>
      <c r="D1006" s="4" t="s">
        <v>40</v>
      </c>
      <c r="F1006" s="6">
        <v>1</v>
      </c>
      <c r="G1006" s="7" t="s">
        <v>20</v>
      </c>
      <c r="H1006" s="6">
        <v>5</v>
      </c>
      <c r="I1006" s="7" t="s">
        <v>40</v>
      </c>
      <c r="J1006" s="8">
        <v>250000</v>
      </c>
      <c r="K1006" s="4" t="s">
        <v>40</v>
      </c>
      <c r="O1006" s="61" t="s">
        <v>40</v>
      </c>
      <c r="P1006" s="3">
        <f>(C1006+(E1006*F1006*H1006))-N1006</f>
        <v>72</v>
      </c>
      <c r="Q1006" s="7" t="s">
        <v>40</v>
      </c>
      <c r="R1006" s="8">
        <f>P1006*(J1006-(J1006*L1006)-((J1006-(J1006*L1006))*M1006))</f>
        <v>18000000</v>
      </c>
      <c r="S1006" s="8">
        <f t="shared" si="401"/>
        <v>16216216.216216214</v>
      </c>
    </row>
    <row r="1007" spans="1:19" x14ac:dyDescent="0.2">
      <c r="A1007" s="53"/>
      <c r="B1007" s="19"/>
      <c r="O1007" s="61"/>
    </row>
    <row r="1008" spans="1:19" x14ac:dyDescent="0.2">
      <c r="A1008" s="15" t="s">
        <v>589</v>
      </c>
    </row>
    <row r="1009" spans="1:19" s="19" customFormat="1" x14ac:dyDescent="0.2">
      <c r="A1009" s="18" t="s">
        <v>591</v>
      </c>
      <c r="B1009" s="19" t="s">
        <v>583</v>
      </c>
      <c r="C1009" s="20">
        <v>3324</v>
      </c>
      <c r="D1009" s="21" t="s">
        <v>98</v>
      </c>
      <c r="E1009" s="26">
        <v>100</v>
      </c>
      <c r="F1009" s="22">
        <v>1</v>
      </c>
      <c r="G1009" s="23" t="s">
        <v>20</v>
      </c>
      <c r="H1009" s="22">
        <v>100</v>
      </c>
      <c r="I1009" s="23" t="s">
        <v>98</v>
      </c>
      <c r="J1009" s="24">
        <v>14000</v>
      </c>
      <c r="K1009" s="21" t="s">
        <v>98</v>
      </c>
      <c r="L1009" s="25">
        <v>0.1</v>
      </c>
      <c r="M1009" s="25"/>
      <c r="N1009" s="22"/>
      <c r="O1009" s="23" t="s">
        <v>98</v>
      </c>
      <c r="P1009" s="20">
        <f>(C1009+(E1009*F1009*H1009))-N1009</f>
        <v>13324</v>
      </c>
      <c r="Q1009" s="23" t="s">
        <v>98</v>
      </c>
      <c r="R1009" s="24">
        <f>P1009*(J1009-(J1009*L1009)-((J1009-(J1009*L1009))*M1009))</f>
        <v>167882400</v>
      </c>
      <c r="S1009" s="24">
        <f t="shared" ref="S1009:S1111" si="402">R1009/1.11</f>
        <v>151245405.4054054</v>
      </c>
    </row>
    <row r="1010" spans="1:19" s="19" customFormat="1" x14ac:dyDescent="0.2">
      <c r="A1010" s="18" t="s">
        <v>592</v>
      </c>
      <c r="B1010" s="19" t="s">
        <v>583</v>
      </c>
      <c r="C1010" s="20">
        <v>834</v>
      </c>
      <c r="D1010" s="21" t="s">
        <v>98</v>
      </c>
      <c r="E1010" s="26">
        <v>15</v>
      </c>
      <c r="F1010" s="22">
        <v>1</v>
      </c>
      <c r="G1010" s="23" t="s">
        <v>20</v>
      </c>
      <c r="H1010" s="22">
        <v>50</v>
      </c>
      <c r="I1010" s="23" t="s">
        <v>98</v>
      </c>
      <c r="J1010" s="24">
        <v>24000</v>
      </c>
      <c r="K1010" s="21" t="s">
        <v>98</v>
      </c>
      <c r="L1010" s="25"/>
      <c r="M1010" s="25"/>
      <c r="N1010" s="22"/>
      <c r="O1010" s="23" t="s">
        <v>98</v>
      </c>
      <c r="P1010" s="20">
        <f>(C1010+(E1010*F1010*H1010))-N1010</f>
        <v>1584</v>
      </c>
      <c r="Q1010" s="23" t="s">
        <v>98</v>
      </c>
      <c r="R1010" s="24">
        <f>P1010*(J1010-(J1010*L1010)-((J1010-(J1010*L1010))*M1010))</f>
        <v>38016000</v>
      </c>
      <c r="S1010" s="24">
        <f t="shared" si="402"/>
        <v>34248648.648648642</v>
      </c>
    </row>
    <row r="1011" spans="1:19" s="19" customFormat="1" x14ac:dyDescent="0.2">
      <c r="A1011" s="18"/>
      <c r="C1011" s="20"/>
      <c r="D1011" s="21"/>
      <c r="E1011" s="26"/>
      <c r="F1011" s="22"/>
      <c r="G1011" s="23"/>
      <c r="H1011" s="22"/>
      <c r="I1011" s="23"/>
      <c r="J1011" s="24"/>
      <c r="K1011" s="21"/>
      <c r="L1011" s="25"/>
      <c r="M1011" s="25"/>
      <c r="N1011" s="22"/>
      <c r="O1011" s="23"/>
      <c r="P1011" s="20"/>
      <c r="Q1011" s="23"/>
      <c r="R1011" s="24"/>
      <c r="S1011" s="24"/>
    </row>
    <row r="1012" spans="1:19" x14ac:dyDescent="0.2">
      <c r="A1012" s="17" t="s">
        <v>590</v>
      </c>
      <c r="B1012" s="2" t="s">
        <v>18</v>
      </c>
      <c r="C1012" s="3">
        <v>32</v>
      </c>
      <c r="D1012" s="4" t="s">
        <v>33</v>
      </c>
      <c r="F1012" s="6">
        <v>1</v>
      </c>
      <c r="G1012" s="7" t="s">
        <v>20</v>
      </c>
      <c r="H1012" s="6">
        <v>50</v>
      </c>
      <c r="I1012" s="7" t="s">
        <v>33</v>
      </c>
      <c r="J1012" s="8">
        <v>28000</v>
      </c>
      <c r="K1012" s="4" t="s">
        <v>33</v>
      </c>
      <c r="L1012" s="9">
        <v>0.125</v>
      </c>
      <c r="M1012" s="9">
        <v>0.05</v>
      </c>
      <c r="O1012" s="7" t="s">
        <v>33</v>
      </c>
      <c r="P1012" s="3">
        <f>(C1012+(E1012*F1012*H1012))-N1012</f>
        <v>32</v>
      </c>
      <c r="Q1012" s="7" t="s">
        <v>33</v>
      </c>
      <c r="R1012" s="8">
        <f>P1012*(J1012-(J1012*L1012)-((J1012-(J1012*L1012))*M1012))</f>
        <v>744800</v>
      </c>
      <c r="S1012" s="8">
        <f>R1012/1.11</f>
        <v>670990.99099099089</v>
      </c>
    </row>
    <row r="1014" spans="1:19" s="88" customFormat="1" x14ac:dyDescent="0.2">
      <c r="A1014" s="129" t="s">
        <v>593</v>
      </c>
      <c r="B1014" s="88" t="s">
        <v>25</v>
      </c>
      <c r="C1014" s="91"/>
      <c r="D1014" s="92" t="s">
        <v>33</v>
      </c>
      <c r="E1014" s="93">
        <v>10</v>
      </c>
      <c r="F1014" s="94">
        <v>40</v>
      </c>
      <c r="G1014" s="95" t="s">
        <v>98</v>
      </c>
      <c r="H1014" s="94">
        <v>20</v>
      </c>
      <c r="I1014" s="95" t="s">
        <v>33</v>
      </c>
      <c r="J1014" s="96">
        <f>840000/40/20</f>
        <v>1050</v>
      </c>
      <c r="K1014" s="92" t="s">
        <v>33</v>
      </c>
      <c r="L1014" s="97"/>
      <c r="M1014" s="97">
        <v>0.17</v>
      </c>
      <c r="N1014" s="94"/>
      <c r="O1014" s="95" t="s">
        <v>33</v>
      </c>
      <c r="P1014" s="91">
        <f>(C1014+(E1014*F1014*H1014))-N1014</f>
        <v>8000</v>
      </c>
      <c r="Q1014" s="95" t="s">
        <v>33</v>
      </c>
      <c r="R1014" s="96">
        <f>P1014*(J1014-(J1014*L1014)-((J1014-(J1014*L1014))*M1014))</f>
        <v>6972000</v>
      </c>
      <c r="S1014" s="96">
        <f t="shared" si="402"/>
        <v>6281081.0810810803</v>
      </c>
    </row>
    <row r="1015" spans="1:19" s="19" customFormat="1" x14ac:dyDescent="0.2">
      <c r="A1015" s="50" t="s">
        <v>594</v>
      </c>
      <c r="B1015" s="19" t="s">
        <v>25</v>
      </c>
      <c r="C1015" s="20">
        <v>10</v>
      </c>
      <c r="D1015" s="21" t="s">
        <v>98</v>
      </c>
      <c r="E1015" s="26">
        <v>19</v>
      </c>
      <c r="F1015" s="22">
        <v>1</v>
      </c>
      <c r="G1015" s="23" t="s">
        <v>20</v>
      </c>
      <c r="H1015" s="22">
        <v>20</v>
      </c>
      <c r="I1015" s="23" t="s">
        <v>98</v>
      </c>
      <c r="J1015" s="24">
        <f>840000/20</f>
        <v>42000</v>
      </c>
      <c r="K1015" s="21" t="s">
        <v>98</v>
      </c>
      <c r="L1015" s="25"/>
      <c r="M1015" s="25">
        <v>0.17</v>
      </c>
      <c r="N1015" s="22"/>
      <c r="O1015" s="23" t="s">
        <v>98</v>
      </c>
      <c r="P1015" s="20">
        <f>(C1015+(E1015*F1015*H1015))-N1015</f>
        <v>390</v>
      </c>
      <c r="Q1015" s="23" t="s">
        <v>98</v>
      </c>
      <c r="R1015" s="24">
        <f>P1015*(J1015-(J1015*L1015)-((J1015-(J1015*L1015))*M1015))</f>
        <v>13595400</v>
      </c>
      <c r="S1015" s="24">
        <f t="shared" si="402"/>
        <v>12248108.108108107</v>
      </c>
    </row>
    <row r="1016" spans="1:19" s="17" customFormat="1" x14ac:dyDescent="0.2">
      <c r="A1016" s="18" t="s">
        <v>595</v>
      </c>
      <c r="B1016" s="17" t="s">
        <v>25</v>
      </c>
      <c r="C1016" s="54">
        <v>75</v>
      </c>
      <c r="D1016" s="55" t="s">
        <v>98</v>
      </c>
      <c r="E1016" s="35"/>
      <c r="F1016" s="56">
        <v>1</v>
      </c>
      <c r="G1016" s="57" t="s">
        <v>20</v>
      </c>
      <c r="H1016" s="56">
        <v>15</v>
      </c>
      <c r="I1016" s="57" t="s">
        <v>98</v>
      </c>
      <c r="J1016" s="58">
        <f>525000/15</f>
        <v>35000</v>
      </c>
      <c r="K1016" s="55" t="s">
        <v>98</v>
      </c>
      <c r="L1016" s="59"/>
      <c r="M1016" s="59">
        <v>0.17</v>
      </c>
      <c r="N1016" s="56"/>
      <c r="O1016" s="57" t="s">
        <v>98</v>
      </c>
      <c r="P1016" s="54">
        <f>(C1016+(E1016*F1016*H1016))-N1016</f>
        <v>75</v>
      </c>
      <c r="Q1016" s="57" t="s">
        <v>98</v>
      </c>
      <c r="R1016" s="58">
        <f>P1016*(J1016-(J1016*L1016)-((J1016-(J1016*L1016))*M1016))</f>
        <v>2178750</v>
      </c>
      <c r="S1016" s="58">
        <f t="shared" si="402"/>
        <v>1962837.8378378376</v>
      </c>
    </row>
    <row r="1017" spans="1:19" s="17" customFormat="1" x14ac:dyDescent="0.2">
      <c r="A1017" s="18"/>
      <c r="C1017" s="54"/>
      <c r="D1017" s="55"/>
      <c r="E1017" s="35"/>
      <c r="F1017" s="56"/>
      <c r="G1017" s="57"/>
      <c r="H1017" s="56"/>
      <c r="I1017" s="57"/>
      <c r="J1017" s="58"/>
      <c r="K1017" s="55"/>
      <c r="L1017" s="59"/>
      <c r="M1017" s="59"/>
      <c r="N1017" s="56"/>
      <c r="O1017" s="57"/>
      <c r="P1017" s="54"/>
      <c r="Q1017" s="57"/>
      <c r="R1017" s="58"/>
      <c r="S1017" s="58"/>
    </row>
    <row r="1018" spans="1:19" s="19" customFormat="1" x14ac:dyDescent="0.2">
      <c r="A1018" s="50" t="s">
        <v>802</v>
      </c>
      <c r="B1018" s="19" t="s">
        <v>597</v>
      </c>
      <c r="C1018" s="20">
        <v>900</v>
      </c>
      <c r="D1018" s="21" t="s">
        <v>33</v>
      </c>
      <c r="E1018" s="26">
        <v>3</v>
      </c>
      <c r="F1018" s="22">
        <v>1</v>
      </c>
      <c r="G1018" s="23" t="s">
        <v>20</v>
      </c>
      <c r="H1018" s="22">
        <v>500</v>
      </c>
      <c r="I1018" s="23" t="s">
        <v>33</v>
      </c>
      <c r="J1018" s="24">
        <v>3000</v>
      </c>
      <c r="K1018" s="21" t="s">
        <v>33</v>
      </c>
      <c r="L1018" s="25">
        <v>0.17499999999999999</v>
      </c>
      <c r="M1018" s="25"/>
      <c r="N1018" s="22"/>
      <c r="O1018" s="23" t="s">
        <v>33</v>
      </c>
      <c r="P1018" s="20">
        <f>(C1018+(E1018*F1018*H1018))-N1018</f>
        <v>2400</v>
      </c>
      <c r="Q1018" s="23" t="s">
        <v>33</v>
      </c>
      <c r="R1018" s="24">
        <f>P1018*(J1018-(J1018*L1018)-((J1018-(J1018*L1018))*M1018))</f>
        <v>5940000</v>
      </c>
      <c r="S1018" s="8">
        <f t="shared" ref="S1018" si="403">R1018/1.11</f>
        <v>5351351.3513513505</v>
      </c>
    </row>
    <row r="1019" spans="1:19" s="19" customFormat="1" x14ac:dyDescent="0.2">
      <c r="A1019" s="50" t="s">
        <v>596</v>
      </c>
      <c r="B1019" s="19" t="s">
        <v>597</v>
      </c>
      <c r="C1019" s="20">
        <v>991</v>
      </c>
      <c r="D1019" s="21" t="s">
        <v>33</v>
      </c>
      <c r="E1019" s="26"/>
      <c r="F1019" s="22">
        <v>1</v>
      </c>
      <c r="G1019" s="23" t="s">
        <v>20</v>
      </c>
      <c r="H1019" s="22">
        <v>200</v>
      </c>
      <c r="I1019" s="23" t="s">
        <v>33</v>
      </c>
      <c r="J1019" s="24">
        <v>11500</v>
      </c>
      <c r="K1019" s="21" t="s">
        <v>33</v>
      </c>
      <c r="L1019" s="25">
        <v>0.17499999999999999</v>
      </c>
      <c r="M1019" s="25"/>
      <c r="N1019" s="22"/>
      <c r="O1019" s="23" t="s">
        <v>33</v>
      </c>
      <c r="P1019" s="20">
        <f>(C1019+(E1019*F1019*H1019))-N1019</f>
        <v>991</v>
      </c>
      <c r="Q1019" s="23" t="s">
        <v>33</v>
      </c>
      <c r="R1019" s="24">
        <f>P1019*(J1019-(J1019*L1019)-((J1019-(J1019*L1019))*M1019))</f>
        <v>9402112.5</v>
      </c>
      <c r="S1019" s="8">
        <f t="shared" si="402"/>
        <v>8470371.6216216218</v>
      </c>
    </row>
    <row r="1020" spans="1:19" s="19" customFormat="1" x14ac:dyDescent="0.2">
      <c r="A1020" s="50" t="s">
        <v>661</v>
      </c>
      <c r="B1020" s="19" t="s">
        <v>597</v>
      </c>
      <c r="C1020" s="20">
        <v>340</v>
      </c>
      <c r="D1020" s="21" t="s">
        <v>33</v>
      </c>
      <c r="E1020" s="26"/>
      <c r="F1020" s="22">
        <v>1</v>
      </c>
      <c r="G1020" s="23" t="s">
        <v>20</v>
      </c>
      <c r="H1020" s="22">
        <v>200</v>
      </c>
      <c r="I1020" s="23" t="s">
        <v>33</v>
      </c>
      <c r="J1020" s="24">
        <v>13800</v>
      </c>
      <c r="K1020" s="21" t="s">
        <v>33</v>
      </c>
      <c r="L1020" s="25">
        <v>0.17499999999999999</v>
      </c>
      <c r="M1020" s="25">
        <v>0.03</v>
      </c>
      <c r="N1020" s="22"/>
      <c r="O1020" s="23" t="s">
        <v>33</v>
      </c>
      <c r="P1020" s="20">
        <f>(C1020+(E1020*F1020*H1020))-N1020</f>
        <v>340</v>
      </c>
      <c r="Q1020" s="23" t="s">
        <v>33</v>
      </c>
      <c r="R1020" s="24">
        <f>P1020*(J1020-(J1020*L1020)-((J1020-(J1020*L1020))*M1020))</f>
        <v>3754773.0000000005</v>
      </c>
      <c r="S1020" s="8">
        <f t="shared" si="402"/>
        <v>3382678.3783783787</v>
      </c>
    </row>
    <row r="1021" spans="1:19" x14ac:dyDescent="0.2">
      <c r="A1021" s="53"/>
      <c r="B1021" s="19"/>
      <c r="O1021" s="61"/>
    </row>
    <row r="1022" spans="1:19" x14ac:dyDescent="0.2">
      <c r="A1022" s="15" t="s">
        <v>737</v>
      </c>
    </row>
    <row r="1023" spans="1:19" s="81" customFormat="1" x14ac:dyDescent="0.2">
      <c r="A1023" s="80" t="s">
        <v>738</v>
      </c>
      <c r="B1023" s="81" t="s">
        <v>583</v>
      </c>
      <c r="C1023" s="79"/>
      <c r="D1023" s="82" t="s">
        <v>40</v>
      </c>
      <c r="E1023" s="83"/>
      <c r="F1023" s="84">
        <v>1</v>
      </c>
      <c r="G1023" s="85" t="s">
        <v>20</v>
      </c>
      <c r="H1023" s="84">
        <v>30</v>
      </c>
      <c r="I1023" s="85" t="s">
        <v>40</v>
      </c>
      <c r="J1023" s="86">
        <v>102000</v>
      </c>
      <c r="K1023" s="82" t="s">
        <v>40</v>
      </c>
      <c r="L1023" s="87">
        <v>0.17499999999999999</v>
      </c>
      <c r="M1023" s="87">
        <v>0.03</v>
      </c>
      <c r="N1023" s="84"/>
      <c r="O1023" s="85" t="s">
        <v>40</v>
      </c>
      <c r="P1023" s="79">
        <f>(C1023+(E1023*F1023*H1023))-N1023</f>
        <v>0</v>
      </c>
      <c r="Q1023" s="85" t="s">
        <v>40</v>
      </c>
      <c r="R1023" s="86">
        <f>P1023*(J1023-(J1023*L1023)-((J1023-(J1023*L1023))*M1023))</f>
        <v>0</v>
      </c>
      <c r="S1023" s="86">
        <f t="shared" ref="S1023" si="404">R1023/1.11</f>
        <v>0</v>
      </c>
    </row>
    <row r="1025" spans="1:19" ht="15.75" x14ac:dyDescent="0.25">
      <c r="A1025" s="14" t="s">
        <v>598</v>
      </c>
    </row>
    <row r="1026" spans="1:19" x14ac:dyDescent="0.2">
      <c r="A1026" s="43" t="s">
        <v>599</v>
      </c>
      <c r="B1026" s="2" t="s">
        <v>171</v>
      </c>
      <c r="C1026" s="3">
        <v>383</v>
      </c>
      <c r="D1026" s="4" t="s">
        <v>98</v>
      </c>
      <c r="F1026" s="6">
        <v>1</v>
      </c>
      <c r="G1026" s="7" t="s">
        <v>20</v>
      </c>
      <c r="H1026" s="6">
        <v>60</v>
      </c>
      <c r="I1026" s="7" t="s">
        <v>98</v>
      </c>
      <c r="J1026" s="8">
        <v>8600</v>
      </c>
      <c r="K1026" s="4" t="s">
        <v>98</v>
      </c>
      <c r="L1026" s="9">
        <v>0.05</v>
      </c>
      <c r="O1026" s="7" t="s">
        <v>98</v>
      </c>
      <c r="P1026" s="3">
        <f>(C1026+(E1026*F1026*H1026))-N1026</f>
        <v>383</v>
      </c>
      <c r="Q1026" s="7" t="s">
        <v>98</v>
      </c>
      <c r="R1026" s="8">
        <f>P1026*(J1026-(J1026*L1026)-((J1026-(J1026*L1026))*M1026))</f>
        <v>3129110</v>
      </c>
      <c r="S1026" s="8">
        <f t="shared" si="402"/>
        <v>2819018.018018018</v>
      </c>
    </row>
    <row r="1027" spans="1:19" x14ac:dyDescent="0.2">
      <c r="A1027" s="43"/>
    </row>
    <row r="1028" spans="1:19" s="98" customFormat="1" x14ac:dyDescent="0.2">
      <c r="A1028" s="128" t="s">
        <v>904</v>
      </c>
      <c r="B1028" s="98" t="s">
        <v>18</v>
      </c>
      <c r="C1028" s="99"/>
      <c r="D1028" s="100" t="s">
        <v>33</v>
      </c>
      <c r="E1028" s="101">
        <v>1</v>
      </c>
      <c r="F1028" s="102">
        <v>1</v>
      </c>
      <c r="G1028" s="103" t="s">
        <v>20</v>
      </c>
      <c r="H1028" s="102">
        <v>50</v>
      </c>
      <c r="I1028" s="103" t="s">
        <v>33</v>
      </c>
      <c r="J1028" s="104">
        <v>44800</v>
      </c>
      <c r="K1028" s="100" t="s">
        <v>33</v>
      </c>
      <c r="L1028" s="105">
        <v>0.125</v>
      </c>
      <c r="M1028" s="105">
        <v>0.05</v>
      </c>
      <c r="N1028" s="102"/>
      <c r="O1028" s="103" t="s">
        <v>33</v>
      </c>
      <c r="P1028" s="99">
        <f t="shared" ref="P1028" si="405">(C1028+(E1028*F1028*H1028))-N1028</f>
        <v>50</v>
      </c>
      <c r="Q1028" s="103" t="s">
        <v>33</v>
      </c>
      <c r="R1028" s="104">
        <f t="shared" ref="R1028" si="406">P1028*(J1028-(J1028*L1028)-((J1028-(J1028*L1028))*M1028))</f>
        <v>1862000</v>
      </c>
      <c r="S1028" s="104">
        <f>R1028/1.11</f>
        <v>1677477.4774774774</v>
      </c>
    </row>
    <row r="1029" spans="1:19" s="88" customFormat="1" x14ac:dyDescent="0.2">
      <c r="A1029" s="128" t="s">
        <v>604</v>
      </c>
      <c r="B1029" s="88" t="s">
        <v>18</v>
      </c>
      <c r="C1029" s="91"/>
      <c r="D1029" s="92" t="s">
        <v>33</v>
      </c>
      <c r="E1029" s="93">
        <v>2</v>
      </c>
      <c r="F1029" s="94">
        <v>1</v>
      </c>
      <c r="G1029" s="95" t="s">
        <v>20</v>
      </c>
      <c r="H1029" s="94">
        <v>50</v>
      </c>
      <c r="I1029" s="95" t="s">
        <v>33</v>
      </c>
      <c r="J1029" s="96">
        <v>32300</v>
      </c>
      <c r="K1029" s="92" t="s">
        <v>33</v>
      </c>
      <c r="L1029" s="97">
        <v>0.125</v>
      </c>
      <c r="M1029" s="97">
        <v>0.05</v>
      </c>
      <c r="N1029" s="94"/>
      <c r="O1029" s="95" t="s">
        <v>33</v>
      </c>
      <c r="P1029" s="91">
        <f t="shared" ref="P1029:P1040" si="407">(C1029+(E1029*F1029*H1029))-N1029</f>
        <v>100</v>
      </c>
      <c r="Q1029" s="95" t="s">
        <v>33</v>
      </c>
      <c r="R1029" s="96">
        <f t="shared" ref="R1029:R1040" si="408">P1029*(J1029-(J1029*L1029)-((J1029-(J1029*L1029))*M1029))</f>
        <v>2684937.5</v>
      </c>
      <c r="S1029" s="96">
        <f>R1029/1.11</f>
        <v>2418862.6126126125</v>
      </c>
    </row>
    <row r="1030" spans="1:19" s="72" customFormat="1" x14ac:dyDescent="0.2">
      <c r="A1030" s="113" t="s">
        <v>605</v>
      </c>
      <c r="B1030" s="72" t="s">
        <v>18</v>
      </c>
      <c r="C1030" s="73"/>
      <c r="D1030" s="74" t="s">
        <v>33</v>
      </c>
      <c r="E1030" s="75"/>
      <c r="F1030" s="76">
        <v>1</v>
      </c>
      <c r="G1030" s="77" t="s">
        <v>20</v>
      </c>
      <c r="H1030" s="76">
        <v>50</v>
      </c>
      <c r="I1030" s="77" t="s">
        <v>33</v>
      </c>
      <c r="J1030" s="16">
        <v>12000</v>
      </c>
      <c r="K1030" s="74" t="s">
        <v>33</v>
      </c>
      <c r="L1030" s="78">
        <v>0.125</v>
      </c>
      <c r="M1030" s="78">
        <v>0.05</v>
      </c>
      <c r="N1030" s="76"/>
      <c r="O1030" s="77" t="s">
        <v>33</v>
      </c>
      <c r="P1030" s="73">
        <f t="shared" si="407"/>
        <v>0</v>
      </c>
      <c r="Q1030" s="77" t="s">
        <v>33</v>
      </c>
      <c r="R1030" s="16">
        <f t="shared" si="408"/>
        <v>0</v>
      </c>
      <c r="S1030" s="16">
        <f>R1030/1.11</f>
        <v>0</v>
      </c>
    </row>
    <row r="1031" spans="1:19" x14ac:dyDescent="0.2">
      <c r="A1031" s="43" t="s">
        <v>723</v>
      </c>
      <c r="B1031" s="2" t="s">
        <v>18</v>
      </c>
      <c r="C1031" s="3">
        <v>100</v>
      </c>
      <c r="D1031" s="4" t="s">
        <v>33</v>
      </c>
      <c r="F1031" s="6">
        <v>1</v>
      </c>
      <c r="G1031" s="7" t="s">
        <v>20</v>
      </c>
      <c r="H1031" s="6">
        <v>50</v>
      </c>
      <c r="I1031" s="7" t="s">
        <v>33</v>
      </c>
      <c r="J1031" s="8">
        <v>29100</v>
      </c>
      <c r="K1031" s="4" t="s">
        <v>33</v>
      </c>
      <c r="L1031" s="9">
        <v>0.125</v>
      </c>
      <c r="M1031" s="9">
        <v>0.05</v>
      </c>
      <c r="O1031" s="7" t="s">
        <v>33</v>
      </c>
      <c r="P1031" s="3">
        <f t="shared" si="407"/>
        <v>100</v>
      </c>
      <c r="Q1031" s="7" t="s">
        <v>33</v>
      </c>
      <c r="R1031" s="8">
        <f t="shared" si="408"/>
        <v>2418937.5</v>
      </c>
      <c r="S1031" s="8">
        <f>R1031/1.11</f>
        <v>2179222.9729729728</v>
      </c>
    </row>
    <row r="1032" spans="1:19" s="72" customFormat="1" x14ac:dyDescent="0.2">
      <c r="A1032" s="113" t="s">
        <v>606</v>
      </c>
      <c r="B1032" s="72" t="s">
        <v>18</v>
      </c>
      <c r="C1032" s="73"/>
      <c r="D1032" s="74" t="s">
        <v>33</v>
      </c>
      <c r="E1032" s="75"/>
      <c r="F1032" s="76">
        <v>1</v>
      </c>
      <c r="G1032" s="77" t="s">
        <v>20</v>
      </c>
      <c r="H1032" s="76">
        <v>50</v>
      </c>
      <c r="I1032" s="77" t="s">
        <v>33</v>
      </c>
      <c r="J1032" s="16">
        <v>36200</v>
      </c>
      <c r="K1032" s="74" t="s">
        <v>33</v>
      </c>
      <c r="L1032" s="78">
        <v>0.125</v>
      </c>
      <c r="M1032" s="78">
        <v>0.05</v>
      </c>
      <c r="N1032" s="76"/>
      <c r="O1032" s="77" t="s">
        <v>33</v>
      </c>
      <c r="P1032" s="73">
        <f t="shared" si="407"/>
        <v>0</v>
      </c>
      <c r="Q1032" s="77" t="s">
        <v>33</v>
      </c>
      <c r="R1032" s="16">
        <f t="shared" si="408"/>
        <v>0</v>
      </c>
      <c r="S1032" s="16">
        <f>R1032/1.11</f>
        <v>0</v>
      </c>
    </row>
    <row r="1033" spans="1:19" s="19" customFormat="1" x14ac:dyDescent="0.2">
      <c r="A1033" s="43" t="s">
        <v>600</v>
      </c>
      <c r="B1033" s="19" t="s">
        <v>18</v>
      </c>
      <c r="C1033" s="20">
        <v>93</v>
      </c>
      <c r="D1033" s="21" t="s">
        <v>33</v>
      </c>
      <c r="E1033" s="26">
        <v>78</v>
      </c>
      <c r="F1033" s="22">
        <v>1</v>
      </c>
      <c r="G1033" s="23" t="s">
        <v>20</v>
      </c>
      <c r="H1033" s="22">
        <v>50</v>
      </c>
      <c r="I1033" s="23" t="s">
        <v>33</v>
      </c>
      <c r="J1033" s="24">
        <v>34100</v>
      </c>
      <c r="K1033" s="21" t="s">
        <v>33</v>
      </c>
      <c r="L1033" s="25">
        <v>0.125</v>
      </c>
      <c r="M1033" s="25">
        <v>0.05</v>
      </c>
      <c r="N1033" s="22"/>
      <c r="O1033" s="23" t="s">
        <v>33</v>
      </c>
      <c r="P1033" s="20">
        <f t="shared" si="407"/>
        <v>3993</v>
      </c>
      <c r="Q1033" s="23" t="s">
        <v>33</v>
      </c>
      <c r="R1033" s="24">
        <f t="shared" si="408"/>
        <v>113184080.625</v>
      </c>
      <c r="S1033" s="8">
        <f t="shared" si="402"/>
        <v>101967640.2027027</v>
      </c>
    </row>
    <row r="1034" spans="1:19" s="19" customFormat="1" x14ac:dyDescent="0.2">
      <c r="A1034" s="18" t="s">
        <v>601</v>
      </c>
      <c r="B1034" s="19" t="s">
        <v>18</v>
      </c>
      <c r="C1034" s="20">
        <v>100</v>
      </c>
      <c r="D1034" s="21" t="s">
        <v>33</v>
      </c>
      <c r="E1034" s="26">
        <v>21</v>
      </c>
      <c r="F1034" s="22">
        <v>1</v>
      </c>
      <c r="G1034" s="23" t="s">
        <v>20</v>
      </c>
      <c r="H1034" s="22">
        <v>50</v>
      </c>
      <c r="I1034" s="23" t="s">
        <v>33</v>
      </c>
      <c r="J1034" s="24">
        <v>34100</v>
      </c>
      <c r="K1034" s="21" t="s">
        <v>33</v>
      </c>
      <c r="L1034" s="25">
        <v>0.125</v>
      </c>
      <c r="M1034" s="25">
        <v>0.05</v>
      </c>
      <c r="N1034" s="22"/>
      <c r="O1034" s="23" t="s">
        <v>33</v>
      </c>
      <c r="P1034" s="20">
        <f t="shared" si="407"/>
        <v>1150</v>
      </c>
      <c r="Q1034" s="23" t="s">
        <v>33</v>
      </c>
      <c r="R1034" s="24">
        <f t="shared" si="408"/>
        <v>32597468.75</v>
      </c>
      <c r="S1034" s="24">
        <f t="shared" si="402"/>
        <v>29367088.963963963</v>
      </c>
    </row>
    <row r="1035" spans="1:19" s="19" customFormat="1" x14ac:dyDescent="0.2">
      <c r="A1035" s="18" t="s">
        <v>602</v>
      </c>
      <c r="B1035" s="19" t="s">
        <v>18</v>
      </c>
      <c r="C1035" s="20">
        <v>13</v>
      </c>
      <c r="D1035" s="21" t="s">
        <v>33</v>
      </c>
      <c r="E1035" s="26">
        <v>15</v>
      </c>
      <c r="F1035" s="22">
        <v>1</v>
      </c>
      <c r="G1035" s="23" t="s">
        <v>20</v>
      </c>
      <c r="H1035" s="22">
        <v>50</v>
      </c>
      <c r="I1035" s="23" t="s">
        <v>33</v>
      </c>
      <c r="J1035" s="24">
        <v>32000</v>
      </c>
      <c r="K1035" s="21" t="s">
        <v>33</v>
      </c>
      <c r="L1035" s="25">
        <v>0.125</v>
      </c>
      <c r="M1035" s="25">
        <v>0.05</v>
      </c>
      <c r="N1035" s="22"/>
      <c r="O1035" s="23" t="s">
        <v>33</v>
      </c>
      <c r="P1035" s="20">
        <f t="shared" si="407"/>
        <v>763</v>
      </c>
      <c r="Q1035" s="23" t="s">
        <v>33</v>
      </c>
      <c r="R1035" s="24">
        <f t="shared" si="408"/>
        <v>20295800</v>
      </c>
      <c r="S1035" s="24">
        <f t="shared" si="402"/>
        <v>18284504.504504502</v>
      </c>
    </row>
    <row r="1036" spans="1:19" s="98" customFormat="1" x14ac:dyDescent="0.2">
      <c r="A1036" s="128" t="s">
        <v>603</v>
      </c>
      <c r="B1036" s="98" t="s">
        <v>18</v>
      </c>
      <c r="C1036" s="99"/>
      <c r="D1036" s="100" t="s">
        <v>33</v>
      </c>
      <c r="E1036" s="101">
        <v>33</v>
      </c>
      <c r="F1036" s="102">
        <v>1</v>
      </c>
      <c r="G1036" s="103" t="s">
        <v>20</v>
      </c>
      <c r="H1036" s="102">
        <v>50</v>
      </c>
      <c r="I1036" s="103" t="s">
        <v>33</v>
      </c>
      <c r="J1036" s="104">
        <v>32000</v>
      </c>
      <c r="K1036" s="100" t="s">
        <v>33</v>
      </c>
      <c r="L1036" s="105">
        <v>0.125</v>
      </c>
      <c r="M1036" s="105">
        <v>0.05</v>
      </c>
      <c r="N1036" s="102"/>
      <c r="O1036" s="103" t="s">
        <v>33</v>
      </c>
      <c r="P1036" s="99">
        <f t="shared" si="407"/>
        <v>1650</v>
      </c>
      <c r="Q1036" s="103" t="s">
        <v>33</v>
      </c>
      <c r="R1036" s="104">
        <f t="shared" si="408"/>
        <v>43890000</v>
      </c>
      <c r="S1036" s="96">
        <f t="shared" si="402"/>
        <v>39540540.540540539</v>
      </c>
    </row>
    <row r="1037" spans="1:19" s="19" customFormat="1" x14ac:dyDescent="0.2">
      <c r="A1037" s="43" t="s">
        <v>607</v>
      </c>
      <c r="B1037" s="19" t="s">
        <v>18</v>
      </c>
      <c r="C1037" s="20">
        <v>617</v>
      </c>
      <c r="D1037" s="21" t="s">
        <v>33</v>
      </c>
      <c r="E1037" s="26">
        <v>85</v>
      </c>
      <c r="F1037" s="22">
        <v>1</v>
      </c>
      <c r="G1037" s="23" t="s">
        <v>20</v>
      </c>
      <c r="H1037" s="22">
        <v>50</v>
      </c>
      <c r="I1037" s="23" t="s">
        <v>33</v>
      </c>
      <c r="J1037" s="24">
        <v>28300</v>
      </c>
      <c r="K1037" s="21" t="s">
        <v>33</v>
      </c>
      <c r="L1037" s="25">
        <v>0.125</v>
      </c>
      <c r="M1037" s="25">
        <v>0.05</v>
      </c>
      <c r="N1037" s="22"/>
      <c r="O1037" s="23" t="s">
        <v>33</v>
      </c>
      <c r="P1037" s="20">
        <f t="shared" si="407"/>
        <v>4867</v>
      </c>
      <c r="Q1037" s="23" t="s">
        <v>33</v>
      </c>
      <c r="R1037" s="24">
        <f t="shared" si="408"/>
        <v>114493133.125</v>
      </c>
      <c r="S1037" s="24">
        <f t="shared" si="402"/>
        <v>103146966.77927928</v>
      </c>
    </row>
    <row r="1038" spans="1:19" s="19" customFormat="1" x14ac:dyDescent="0.2">
      <c r="A1038" s="43" t="s">
        <v>608</v>
      </c>
      <c r="B1038" s="19" t="s">
        <v>18</v>
      </c>
      <c r="C1038" s="20">
        <v>50</v>
      </c>
      <c r="D1038" s="21" t="s">
        <v>33</v>
      </c>
      <c r="E1038" s="26">
        <v>28</v>
      </c>
      <c r="F1038" s="22">
        <v>1</v>
      </c>
      <c r="G1038" s="23" t="s">
        <v>20</v>
      </c>
      <c r="H1038" s="22">
        <v>50</v>
      </c>
      <c r="I1038" s="23" t="s">
        <v>33</v>
      </c>
      <c r="J1038" s="24">
        <v>28300</v>
      </c>
      <c r="K1038" s="21" t="s">
        <v>33</v>
      </c>
      <c r="L1038" s="25">
        <v>0.125</v>
      </c>
      <c r="M1038" s="25">
        <v>0.05</v>
      </c>
      <c r="N1038" s="22"/>
      <c r="O1038" s="23" t="s">
        <v>33</v>
      </c>
      <c r="P1038" s="20">
        <f t="shared" si="407"/>
        <v>1450</v>
      </c>
      <c r="Q1038" s="23" t="s">
        <v>33</v>
      </c>
      <c r="R1038" s="24">
        <f t="shared" si="408"/>
        <v>34110343.75</v>
      </c>
      <c r="S1038" s="24">
        <f t="shared" si="402"/>
        <v>30730039.414414413</v>
      </c>
    </row>
    <row r="1039" spans="1:19" s="88" customFormat="1" x14ac:dyDescent="0.2">
      <c r="A1039" s="128" t="s">
        <v>609</v>
      </c>
      <c r="B1039" s="88" t="s">
        <v>18</v>
      </c>
      <c r="C1039" s="91"/>
      <c r="D1039" s="92" t="s">
        <v>33</v>
      </c>
      <c r="E1039" s="93">
        <v>5</v>
      </c>
      <c r="F1039" s="94">
        <v>1</v>
      </c>
      <c r="G1039" s="95" t="s">
        <v>20</v>
      </c>
      <c r="H1039" s="94">
        <v>50</v>
      </c>
      <c r="I1039" s="95" t="s">
        <v>33</v>
      </c>
      <c r="J1039" s="96">
        <v>28600</v>
      </c>
      <c r="K1039" s="92" t="s">
        <v>33</v>
      </c>
      <c r="L1039" s="97">
        <v>0.125</v>
      </c>
      <c r="M1039" s="97">
        <v>0.05</v>
      </c>
      <c r="N1039" s="94"/>
      <c r="O1039" s="95" t="s">
        <v>33</v>
      </c>
      <c r="P1039" s="91">
        <f t="shared" ref="P1039" si="409">(C1039+(E1039*F1039*H1039))-N1039</f>
        <v>250</v>
      </c>
      <c r="Q1039" s="95" t="s">
        <v>33</v>
      </c>
      <c r="R1039" s="96">
        <f t="shared" ref="R1039" si="410">P1039*(J1039-(J1039*L1039)-((J1039-(J1039*L1039))*M1039))</f>
        <v>5943437.5</v>
      </c>
      <c r="S1039" s="96">
        <f t="shared" ref="S1039" si="411">R1039/1.11</f>
        <v>5354448.1981981974</v>
      </c>
    </row>
    <row r="1040" spans="1:19" s="72" customFormat="1" x14ac:dyDescent="0.2">
      <c r="A1040" s="113" t="s">
        <v>609</v>
      </c>
      <c r="B1040" s="72" t="s">
        <v>18</v>
      </c>
      <c r="C1040" s="73"/>
      <c r="D1040" s="74" t="s">
        <v>33</v>
      </c>
      <c r="E1040" s="75"/>
      <c r="F1040" s="76">
        <v>1</v>
      </c>
      <c r="G1040" s="77" t="s">
        <v>20</v>
      </c>
      <c r="H1040" s="76">
        <v>50</v>
      </c>
      <c r="I1040" s="77" t="s">
        <v>33</v>
      </c>
      <c r="J1040" s="16">
        <v>26500</v>
      </c>
      <c r="K1040" s="74" t="s">
        <v>33</v>
      </c>
      <c r="L1040" s="78">
        <v>0.125</v>
      </c>
      <c r="M1040" s="78">
        <v>0.05</v>
      </c>
      <c r="N1040" s="76"/>
      <c r="O1040" s="77" t="s">
        <v>33</v>
      </c>
      <c r="P1040" s="73">
        <f t="shared" si="407"/>
        <v>0</v>
      </c>
      <c r="Q1040" s="77" t="s">
        <v>33</v>
      </c>
      <c r="R1040" s="16">
        <f t="shared" si="408"/>
        <v>0</v>
      </c>
      <c r="S1040" s="16">
        <f t="shared" si="402"/>
        <v>0</v>
      </c>
    </row>
    <row r="1041" spans="1:19" x14ac:dyDescent="0.2">
      <c r="A1041" s="43"/>
    </row>
    <row r="1042" spans="1:19" s="19" customFormat="1" x14ac:dyDescent="0.2">
      <c r="A1042" s="49" t="s">
        <v>610</v>
      </c>
      <c r="B1042" s="19" t="s">
        <v>25</v>
      </c>
      <c r="C1042" s="20">
        <v>101</v>
      </c>
      <c r="D1042" s="21" t="s">
        <v>33</v>
      </c>
      <c r="E1042" s="26">
        <v>10</v>
      </c>
      <c r="F1042" s="22">
        <v>1</v>
      </c>
      <c r="G1042" s="23" t="s">
        <v>20</v>
      </c>
      <c r="H1042" s="22">
        <v>50</v>
      </c>
      <c r="I1042" s="23" t="s">
        <v>33</v>
      </c>
      <c r="J1042" s="24">
        <f>1500000/50</f>
        <v>30000</v>
      </c>
      <c r="K1042" s="21" t="s">
        <v>33</v>
      </c>
      <c r="L1042" s="25"/>
      <c r="M1042" s="25">
        <v>0.17</v>
      </c>
      <c r="N1042" s="22"/>
      <c r="O1042" s="23" t="s">
        <v>33</v>
      </c>
      <c r="P1042" s="20">
        <f t="shared" ref="P1042:P1047" si="412">(C1042+(E1042*F1042*H1042))-N1042</f>
        <v>601</v>
      </c>
      <c r="Q1042" s="23" t="s">
        <v>33</v>
      </c>
      <c r="R1042" s="24">
        <f t="shared" ref="R1042:R1047" si="413">P1042*(J1042-(J1042*L1042)-((J1042-(J1042*L1042))*M1042))</f>
        <v>14964900</v>
      </c>
      <c r="S1042" s="24">
        <f t="shared" si="402"/>
        <v>13481891.891891891</v>
      </c>
    </row>
    <row r="1043" spans="1:19" s="19" customFormat="1" x14ac:dyDescent="0.2">
      <c r="A1043" s="49" t="s">
        <v>611</v>
      </c>
      <c r="B1043" s="19" t="s">
        <v>25</v>
      </c>
      <c r="C1043" s="20">
        <v>110</v>
      </c>
      <c r="D1043" s="21" t="s">
        <v>33</v>
      </c>
      <c r="E1043" s="26">
        <v>5</v>
      </c>
      <c r="F1043" s="22">
        <v>1</v>
      </c>
      <c r="G1043" s="23" t="s">
        <v>20</v>
      </c>
      <c r="H1043" s="22">
        <v>50</v>
      </c>
      <c r="I1043" s="23" t="s">
        <v>33</v>
      </c>
      <c r="J1043" s="24">
        <f>1500000/50</f>
        <v>30000</v>
      </c>
      <c r="K1043" s="21" t="s">
        <v>33</v>
      </c>
      <c r="L1043" s="25"/>
      <c r="M1043" s="25">
        <v>0.17</v>
      </c>
      <c r="N1043" s="22"/>
      <c r="O1043" s="23" t="s">
        <v>33</v>
      </c>
      <c r="P1043" s="20">
        <f t="shared" si="412"/>
        <v>360</v>
      </c>
      <c r="Q1043" s="23" t="s">
        <v>33</v>
      </c>
      <c r="R1043" s="24">
        <f t="shared" si="413"/>
        <v>8964000</v>
      </c>
      <c r="S1043" s="24">
        <f t="shared" si="402"/>
        <v>8075675.6756756753</v>
      </c>
    </row>
    <row r="1044" spans="1:19" s="72" customFormat="1" x14ac:dyDescent="0.2">
      <c r="A1044" s="113" t="s">
        <v>726</v>
      </c>
      <c r="B1044" s="72" t="s">
        <v>25</v>
      </c>
      <c r="C1044" s="79"/>
      <c r="D1044" s="74" t="s">
        <v>33</v>
      </c>
      <c r="E1044" s="75"/>
      <c r="F1044" s="76">
        <v>1</v>
      </c>
      <c r="G1044" s="77" t="s">
        <v>20</v>
      </c>
      <c r="H1044" s="76">
        <v>50</v>
      </c>
      <c r="I1044" s="77" t="s">
        <v>33</v>
      </c>
      <c r="J1044" s="16">
        <v>32400</v>
      </c>
      <c r="K1044" s="74" t="s">
        <v>33</v>
      </c>
      <c r="L1044" s="78"/>
      <c r="M1044" s="78">
        <v>0.17</v>
      </c>
      <c r="N1044" s="76"/>
      <c r="O1044" s="77" t="s">
        <v>33</v>
      </c>
      <c r="P1044" s="73">
        <f t="shared" si="412"/>
        <v>0</v>
      </c>
      <c r="Q1044" s="77" t="s">
        <v>33</v>
      </c>
      <c r="R1044" s="16">
        <f t="shared" si="413"/>
        <v>0</v>
      </c>
      <c r="S1044" s="16">
        <f t="shared" si="402"/>
        <v>0</v>
      </c>
    </row>
    <row r="1045" spans="1:19" s="72" customFormat="1" x14ac:dyDescent="0.2">
      <c r="A1045" s="113" t="s">
        <v>612</v>
      </c>
      <c r="B1045" s="72" t="s">
        <v>25</v>
      </c>
      <c r="C1045" s="79"/>
      <c r="D1045" s="74" t="s">
        <v>33</v>
      </c>
      <c r="E1045" s="75"/>
      <c r="F1045" s="76">
        <v>1</v>
      </c>
      <c r="G1045" s="77" t="s">
        <v>20</v>
      </c>
      <c r="H1045" s="76">
        <v>50</v>
      </c>
      <c r="I1045" s="77" t="s">
        <v>33</v>
      </c>
      <c r="J1045" s="16">
        <v>28500</v>
      </c>
      <c r="K1045" s="74" t="s">
        <v>33</v>
      </c>
      <c r="L1045" s="78"/>
      <c r="M1045" s="78">
        <v>0.17</v>
      </c>
      <c r="N1045" s="76"/>
      <c r="O1045" s="77" t="s">
        <v>33</v>
      </c>
      <c r="P1045" s="73">
        <f t="shared" si="412"/>
        <v>0</v>
      </c>
      <c r="Q1045" s="77" t="s">
        <v>33</v>
      </c>
      <c r="R1045" s="16">
        <f t="shared" si="413"/>
        <v>0</v>
      </c>
      <c r="S1045" s="16">
        <f t="shared" si="402"/>
        <v>0</v>
      </c>
    </row>
    <row r="1046" spans="1:19" s="19" customFormat="1" x14ac:dyDescent="0.2">
      <c r="A1046" s="49" t="s">
        <v>613</v>
      </c>
      <c r="B1046" s="19" t="s">
        <v>25</v>
      </c>
      <c r="C1046" s="20">
        <v>346</v>
      </c>
      <c r="D1046" s="21" t="s">
        <v>33</v>
      </c>
      <c r="E1046" s="26">
        <v>13</v>
      </c>
      <c r="F1046" s="22">
        <v>1</v>
      </c>
      <c r="G1046" s="23" t="s">
        <v>20</v>
      </c>
      <c r="H1046" s="22">
        <v>50</v>
      </c>
      <c r="I1046" s="23" t="s">
        <v>33</v>
      </c>
      <c r="J1046" s="24">
        <f>1375000/50</f>
        <v>27500</v>
      </c>
      <c r="K1046" s="21" t="s">
        <v>33</v>
      </c>
      <c r="L1046" s="25"/>
      <c r="M1046" s="25">
        <v>0.17</v>
      </c>
      <c r="N1046" s="22"/>
      <c r="O1046" s="23" t="s">
        <v>33</v>
      </c>
      <c r="P1046" s="20">
        <f t="shared" si="412"/>
        <v>996</v>
      </c>
      <c r="Q1046" s="23" t="s">
        <v>33</v>
      </c>
      <c r="R1046" s="24">
        <f t="shared" si="413"/>
        <v>22733700</v>
      </c>
      <c r="S1046" s="24">
        <f t="shared" si="402"/>
        <v>20480810.810810808</v>
      </c>
    </row>
    <row r="1047" spans="1:19" s="19" customFormat="1" x14ac:dyDescent="0.2">
      <c r="A1047" s="49" t="s">
        <v>614</v>
      </c>
      <c r="B1047" s="19" t="s">
        <v>25</v>
      </c>
      <c r="C1047" s="20">
        <v>165</v>
      </c>
      <c r="D1047" s="21" t="s">
        <v>33</v>
      </c>
      <c r="E1047" s="26">
        <v>5</v>
      </c>
      <c r="F1047" s="22">
        <v>1</v>
      </c>
      <c r="G1047" s="23" t="s">
        <v>20</v>
      </c>
      <c r="H1047" s="22">
        <v>50</v>
      </c>
      <c r="I1047" s="23" t="s">
        <v>33</v>
      </c>
      <c r="J1047" s="24">
        <f>1375000/50</f>
        <v>27500</v>
      </c>
      <c r="K1047" s="21" t="s">
        <v>33</v>
      </c>
      <c r="L1047" s="25"/>
      <c r="M1047" s="25">
        <v>0.17</v>
      </c>
      <c r="N1047" s="22"/>
      <c r="O1047" s="23" t="s">
        <v>33</v>
      </c>
      <c r="P1047" s="20">
        <f t="shared" si="412"/>
        <v>415</v>
      </c>
      <c r="Q1047" s="23" t="s">
        <v>33</v>
      </c>
      <c r="R1047" s="24">
        <f t="shared" si="413"/>
        <v>9472375</v>
      </c>
      <c r="S1047" s="24">
        <f t="shared" si="402"/>
        <v>8533671.1711711697</v>
      </c>
    </row>
    <row r="1049" spans="1:19" ht="15.75" x14ac:dyDescent="0.25">
      <c r="A1049" s="14" t="s">
        <v>756</v>
      </c>
    </row>
    <row r="1050" spans="1:19" s="72" customFormat="1" x14ac:dyDescent="0.2">
      <c r="A1050" s="71" t="s">
        <v>758</v>
      </c>
      <c r="B1050" s="72" t="s">
        <v>171</v>
      </c>
      <c r="C1050" s="73"/>
      <c r="D1050" s="74" t="s">
        <v>19</v>
      </c>
      <c r="E1050" s="75"/>
      <c r="F1050" s="76">
        <v>50</v>
      </c>
      <c r="G1050" s="77" t="s">
        <v>98</v>
      </c>
      <c r="H1050" s="76">
        <v>100</v>
      </c>
      <c r="I1050" s="77" t="s">
        <v>19</v>
      </c>
      <c r="J1050" s="16">
        <f>39500/100</f>
        <v>395</v>
      </c>
      <c r="K1050" s="74" t="s">
        <v>19</v>
      </c>
      <c r="L1050" s="78">
        <v>0.05</v>
      </c>
      <c r="M1050" s="78"/>
      <c r="N1050" s="76"/>
      <c r="O1050" s="77" t="s">
        <v>19</v>
      </c>
      <c r="P1050" s="73">
        <f>(C1050+(E1050*F1050*H1050))-N1050</f>
        <v>0</v>
      </c>
      <c r="Q1050" s="77" t="s">
        <v>19</v>
      </c>
      <c r="R1050" s="16">
        <f>P1050*(J1050-(J1050*L1050)-((J1050-(J1050*L1050))*M1050))</f>
        <v>0</v>
      </c>
      <c r="S1050" s="16">
        <f t="shared" ref="S1050" si="414">R1050/1.11</f>
        <v>0</v>
      </c>
    </row>
    <row r="1052" spans="1:19" ht="15.75" x14ac:dyDescent="0.25">
      <c r="A1052" s="14" t="s">
        <v>615</v>
      </c>
    </row>
    <row r="1053" spans="1:19" x14ac:dyDescent="0.2">
      <c r="A1053" s="15" t="s">
        <v>616</v>
      </c>
    </row>
    <row r="1054" spans="1:19" s="81" customFormat="1" x14ac:dyDescent="0.2">
      <c r="A1054" s="116" t="s">
        <v>617</v>
      </c>
      <c r="B1054" s="81" t="s">
        <v>181</v>
      </c>
      <c r="C1054" s="79"/>
      <c r="D1054" s="82" t="s">
        <v>277</v>
      </c>
      <c r="E1054" s="83"/>
      <c r="F1054" s="84">
        <v>1</v>
      </c>
      <c r="G1054" s="85" t="s">
        <v>20</v>
      </c>
      <c r="H1054" s="84">
        <v>720</v>
      </c>
      <c r="I1054" s="85" t="s">
        <v>277</v>
      </c>
      <c r="J1054" s="86">
        <v>3100</v>
      </c>
      <c r="K1054" s="82" t="s">
        <v>277</v>
      </c>
      <c r="L1054" s="87"/>
      <c r="M1054" s="87">
        <v>0.15</v>
      </c>
      <c r="N1054" s="84"/>
      <c r="O1054" s="85" t="s">
        <v>277</v>
      </c>
      <c r="P1054" s="79">
        <f>(C1054+(E1054*F1054*H1054))-N1054</f>
        <v>0</v>
      </c>
      <c r="Q1054" s="85" t="s">
        <v>277</v>
      </c>
      <c r="R1054" s="86">
        <f>P1054*(J1054-(J1054*L1054)-((J1054-(J1054*L1054))*M1054))</f>
        <v>0</v>
      </c>
      <c r="S1054" s="16">
        <f t="shared" si="402"/>
        <v>0</v>
      </c>
    </row>
    <row r="1055" spans="1:19" s="81" customFormat="1" x14ac:dyDescent="0.2">
      <c r="A1055" s="116" t="s">
        <v>618</v>
      </c>
      <c r="B1055" s="81" t="s">
        <v>181</v>
      </c>
      <c r="C1055" s="79"/>
      <c r="D1055" s="82" t="s">
        <v>277</v>
      </c>
      <c r="E1055" s="83"/>
      <c r="F1055" s="84">
        <v>1</v>
      </c>
      <c r="G1055" s="85" t="s">
        <v>20</v>
      </c>
      <c r="H1055" s="84">
        <v>480</v>
      </c>
      <c r="I1055" s="85" t="s">
        <v>277</v>
      </c>
      <c r="J1055" s="86">
        <v>4750</v>
      </c>
      <c r="K1055" s="82" t="s">
        <v>277</v>
      </c>
      <c r="L1055" s="87"/>
      <c r="M1055" s="87">
        <v>0.15</v>
      </c>
      <c r="N1055" s="84"/>
      <c r="O1055" s="85" t="s">
        <v>277</v>
      </c>
      <c r="P1055" s="79">
        <f>(C1055+(E1055*F1055*H1055))-N1055</f>
        <v>0</v>
      </c>
      <c r="Q1055" s="85" t="s">
        <v>277</v>
      </c>
      <c r="R1055" s="86">
        <f>P1055*(J1055-(J1055*L1055)-((J1055-(J1055*L1055))*M1055))</f>
        <v>0</v>
      </c>
      <c r="S1055" s="16">
        <f t="shared" si="402"/>
        <v>0</v>
      </c>
    </row>
    <row r="1056" spans="1:19" s="72" customFormat="1" x14ac:dyDescent="0.2">
      <c r="A1056" s="116" t="s">
        <v>619</v>
      </c>
      <c r="B1056" s="81" t="s">
        <v>181</v>
      </c>
      <c r="C1056" s="79"/>
      <c r="D1056" s="74" t="s">
        <v>277</v>
      </c>
      <c r="E1056" s="75"/>
      <c r="F1056" s="76">
        <v>1</v>
      </c>
      <c r="G1056" s="77" t="s">
        <v>20</v>
      </c>
      <c r="H1056" s="76">
        <v>360</v>
      </c>
      <c r="I1056" s="77" t="s">
        <v>277</v>
      </c>
      <c r="J1056" s="16">
        <v>6000</v>
      </c>
      <c r="K1056" s="74" t="s">
        <v>277</v>
      </c>
      <c r="L1056" s="78"/>
      <c r="M1056" s="78">
        <v>0.15</v>
      </c>
      <c r="N1056" s="84"/>
      <c r="O1056" s="77" t="s">
        <v>277</v>
      </c>
      <c r="P1056" s="73">
        <f>(C1056+(E1056*F1056*H1056))-N1056</f>
        <v>0</v>
      </c>
      <c r="Q1056" s="77" t="s">
        <v>277</v>
      </c>
      <c r="R1056" s="16">
        <f>P1056*(J1056-(J1056*L1056)-((J1056-(J1056*L1056))*M1056))</f>
        <v>0</v>
      </c>
      <c r="S1056" s="16">
        <f t="shared" si="402"/>
        <v>0</v>
      </c>
    </row>
    <row r="1057" spans="1:19" x14ac:dyDescent="0.2">
      <c r="A1057" s="43"/>
      <c r="B1057" s="19"/>
      <c r="C1057" s="20"/>
      <c r="N1057" s="22"/>
    </row>
    <row r="1058" spans="1:19" s="72" customFormat="1" x14ac:dyDescent="0.2">
      <c r="A1058" s="113" t="s">
        <v>620</v>
      </c>
      <c r="B1058" s="72" t="s">
        <v>18</v>
      </c>
      <c r="C1058" s="79"/>
      <c r="D1058" s="74" t="s">
        <v>277</v>
      </c>
      <c r="E1058" s="75"/>
      <c r="F1058" s="76">
        <v>10</v>
      </c>
      <c r="G1058" s="77" t="s">
        <v>98</v>
      </c>
      <c r="H1058" s="76">
        <v>24</v>
      </c>
      <c r="I1058" s="77" t="s">
        <v>277</v>
      </c>
      <c r="J1058" s="16">
        <v>2300</v>
      </c>
      <c r="K1058" s="74" t="s">
        <v>277</v>
      </c>
      <c r="L1058" s="78">
        <v>0.125</v>
      </c>
      <c r="M1058" s="78">
        <v>0.05</v>
      </c>
      <c r="N1058" s="76"/>
      <c r="O1058" s="77" t="s">
        <v>277</v>
      </c>
      <c r="P1058" s="73">
        <f>(C1058+(E1058*F1058*H1058))-N1058</f>
        <v>0</v>
      </c>
      <c r="Q1058" s="77" t="s">
        <v>277</v>
      </c>
      <c r="R1058" s="16">
        <f>P1058*(J1058-(J1058*L1058)-((J1058-(J1058*L1058))*M1058))</f>
        <v>0</v>
      </c>
      <c r="S1058" s="16">
        <f t="shared" si="402"/>
        <v>0</v>
      </c>
    </row>
    <row r="1059" spans="1:19" s="72" customFormat="1" x14ac:dyDescent="0.2">
      <c r="A1059" s="113" t="s">
        <v>621</v>
      </c>
      <c r="B1059" s="72" t="s">
        <v>18</v>
      </c>
      <c r="C1059" s="79"/>
      <c r="D1059" s="74" t="s">
        <v>277</v>
      </c>
      <c r="E1059" s="75"/>
      <c r="F1059" s="76">
        <v>10</v>
      </c>
      <c r="G1059" s="77" t="s">
        <v>98</v>
      </c>
      <c r="H1059" s="76">
        <v>12</v>
      </c>
      <c r="I1059" s="77" t="s">
        <v>277</v>
      </c>
      <c r="J1059" s="16">
        <v>4600</v>
      </c>
      <c r="K1059" s="74" t="s">
        <v>277</v>
      </c>
      <c r="L1059" s="78">
        <v>0.125</v>
      </c>
      <c r="M1059" s="78">
        <v>0.05</v>
      </c>
      <c r="N1059" s="76"/>
      <c r="O1059" s="77" t="s">
        <v>277</v>
      </c>
      <c r="P1059" s="73">
        <f>(C1059+(E1059*F1059*H1059))-N1059</f>
        <v>0</v>
      </c>
      <c r="Q1059" s="77" t="s">
        <v>277</v>
      </c>
      <c r="R1059" s="16">
        <f>P1059*(J1059-(J1059*L1059)-((J1059-(J1059*L1059))*M1059))</f>
        <v>0</v>
      </c>
      <c r="S1059" s="16">
        <f t="shared" si="402"/>
        <v>0</v>
      </c>
    </row>
    <row r="1060" spans="1:19" x14ac:dyDescent="0.2">
      <c r="A1060" s="43"/>
      <c r="C1060" s="20"/>
    </row>
    <row r="1061" spans="1:19" s="72" customFormat="1" x14ac:dyDescent="0.2">
      <c r="A1061" s="115" t="s">
        <v>622</v>
      </c>
      <c r="B1061" s="72" t="s">
        <v>25</v>
      </c>
      <c r="C1061" s="79"/>
      <c r="D1061" s="74" t="s">
        <v>277</v>
      </c>
      <c r="E1061" s="75">
        <v>1</v>
      </c>
      <c r="F1061" s="76">
        <v>1</v>
      </c>
      <c r="G1061" s="77" t="s">
        <v>20</v>
      </c>
      <c r="H1061" s="76">
        <v>480</v>
      </c>
      <c r="I1061" s="77" t="s">
        <v>277</v>
      </c>
      <c r="J1061" s="16">
        <f>588000/480</f>
        <v>1225</v>
      </c>
      <c r="K1061" s="74" t="s">
        <v>277</v>
      </c>
      <c r="L1061" s="78"/>
      <c r="M1061" s="78">
        <v>0.17</v>
      </c>
      <c r="N1061" s="76"/>
      <c r="O1061" s="77" t="s">
        <v>277</v>
      </c>
      <c r="P1061" s="73">
        <f>(C1061+(E1061*F1061*H1061))-N1061</f>
        <v>480</v>
      </c>
      <c r="Q1061" s="77" t="s">
        <v>277</v>
      </c>
      <c r="R1061" s="16">
        <f>P1061*(J1061-(J1061*L1061)-((J1061-(J1061*L1061))*M1061))</f>
        <v>488040</v>
      </c>
      <c r="S1061" s="16">
        <f t="shared" si="402"/>
        <v>439675.67567567562</v>
      </c>
    </row>
    <row r="1062" spans="1:19" s="72" customFormat="1" x14ac:dyDescent="0.2">
      <c r="A1062" s="115" t="s">
        <v>623</v>
      </c>
      <c r="B1062" s="72" t="s">
        <v>25</v>
      </c>
      <c r="C1062" s="79"/>
      <c r="D1062" s="74" t="s">
        <v>277</v>
      </c>
      <c r="E1062" s="75"/>
      <c r="F1062" s="76">
        <v>1</v>
      </c>
      <c r="G1062" s="77" t="s">
        <v>20</v>
      </c>
      <c r="H1062" s="76">
        <v>240</v>
      </c>
      <c r="I1062" s="77" t="s">
        <v>277</v>
      </c>
      <c r="J1062" s="16">
        <f>588000/240</f>
        <v>2450</v>
      </c>
      <c r="K1062" s="74" t="s">
        <v>277</v>
      </c>
      <c r="L1062" s="78"/>
      <c r="M1062" s="78">
        <v>0.17</v>
      </c>
      <c r="N1062" s="76"/>
      <c r="O1062" s="77" t="s">
        <v>277</v>
      </c>
      <c r="P1062" s="73">
        <f>(C1062+(E1062*F1062*H1062))-N1062</f>
        <v>0</v>
      </c>
      <c r="Q1062" s="77" t="s">
        <v>277</v>
      </c>
      <c r="R1062" s="16">
        <f>P1062*(J1062-(J1062*L1062)-((J1062-(J1062*L1062))*M1062))</f>
        <v>0</v>
      </c>
      <c r="S1062" s="16">
        <f t="shared" si="402"/>
        <v>0</v>
      </c>
    </row>
    <row r="1063" spans="1:19" s="72" customFormat="1" x14ac:dyDescent="0.2">
      <c r="A1063" s="115" t="s">
        <v>624</v>
      </c>
      <c r="B1063" s="72" t="s">
        <v>25</v>
      </c>
      <c r="C1063" s="79"/>
      <c r="D1063" s="74" t="s">
        <v>277</v>
      </c>
      <c r="E1063" s="75"/>
      <c r="F1063" s="76">
        <v>1</v>
      </c>
      <c r="G1063" s="77" t="s">
        <v>20</v>
      </c>
      <c r="H1063" s="76">
        <v>120</v>
      </c>
      <c r="I1063" s="77" t="s">
        <v>277</v>
      </c>
      <c r="J1063" s="16">
        <v>4800</v>
      </c>
      <c r="K1063" s="74" t="s">
        <v>277</v>
      </c>
      <c r="L1063" s="78"/>
      <c r="M1063" s="78">
        <v>0.17</v>
      </c>
      <c r="N1063" s="76"/>
      <c r="O1063" s="77" t="s">
        <v>277</v>
      </c>
      <c r="P1063" s="73">
        <f>(C1063+(E1063*F1063*H1063))-N1063</f>
        <v>0</v>
      </c>
      <c r="Q1063" s="77" t="s">
        <v>277</v>
      </c>
      <c r="R1063" s="16">
        <f>P1063*(J1063-(J1063*L1063)-((J1063-(J1063*L1063))*M1063))</f>
        <v>0</v>
      </c>
      <c r="S1063" s="16">
        <f t="shared" si="402"/>
        <v>0</v>
      </c>
    </row>
    <row r="1064" spans="1:19" s="88" customFormat="1" x14ac:dyDescent="0.2">
      <c r="A1064" s="129" t="s">
        <v>625</v>
      </c>
      <c r="B1064" s="88" t="s">
        <v>25</v>
      </c>
      <c r="C1064" s="99"/>
      <c r="D1064" s="92" t="s">
        <v>277</v>
      </c>
      <c r="E1064" s="93">
        <v>1</v>
      </c>
      <c r="F1064" s="94">
        <v>1</v>
      </c>
      <c r="G1064" s="95" t="s">
        <v>20</v>
      </c>
      <c r="H1064" s="94">
        <v>60</v>
      </c>
      <c r="I1064" s="95" t="s">
        <v>277</v>
      </c>
      <c r="J1064" s="96">
        <v>9500</v>
      </c>
      <c r="K1064" s="92" t="s">
        <v>277</v>
      </c>
      <c r="L1064" s="97"/>
      <c r="M1064" s="97">
        <v>0.17</v>
      </c>
      <c r="N1064" s="94"/>
      <c r="O1064" s="95" t="s">
        <v>277</v>
      </c>
      <c r="P1064" s="91">
        <f>(C1064+(E1064*F1064*H1064))-N1064</f>
        <v>60</v>
      </c>
      <c r="Q1064" s="95" t="s">
        <v>277</v>
      </c>
      <c r="R1064" s="96">
        <f>P1064*(J1064-(J1064*L1064)-((J1064-(J1064*L1064))*M1064))</f>
        <v>473100</v>
      </c>
      <c r="S1064" s="96">
        <f t="shared" si="402"/>
        <v>426216.21621621615</v>
      </c>
    </row>
    <row r="1066" spans="1:19" x14ac:dyDescent="0.2">
      <c r="A1066" s="15" t="s">
        <v>787</v>
      </c>
      <c r="S1066" s="8">
        <f t="shared" ref="S1066:S1067" si="415">R1066/1.11</f>
        <v>0</v>
      </c>
    </row>
    <row r="1067" spans="1:19" s="81" customFormat="1" x14ac:dyDescent="0.2">
      <c r="A1067" s="71" t="s">
        <v>788</v>
      </c>
      <c r="B1067" s="81" t="s">
        <v>18</v>
      </c>
      <c r="C1067" s="79"/>
      <c r="D1067" s="82" t="s">
        <v>277</v>
      </c>
      <c r="E1067" s="83"/>
      <c r="F1067" s="84">
        <v>1</v>
      </c>
      <c r="G1067" s="85" t="s">
        <v>20</v>
      </c>
      <c r="H1067" s="84">
        <v>120</v>
      </c>
      <c r="I1067" s="85" t="s">
        <v>277</v>
      </c>
      <c r="J1067" s="86">
        <v>5500</v>
      </c>
      <c r="K1067" s="82" t="s">
        <v>277</v>
      </c>
      <c r="L1067" s="87">
        <v>0.125</v>
      </c>
      <c r="M1067" s="87">
        <v>0.05</v>
      </c>
      <c r="N1067" s="84"/>
      <c r="O1067" s="85" t="s">
        <v>277</v>
      </c>
      <c r="P1067" s="79">
        <f t="shared" ref="P1067" si="416">(C1067+(E1067*F1067*H1067))-N1067</f>
        <v>0</v>
      </c>
      <c r="Q1067" s="85" t="s">
        <v>277</v>
      </c>
      <c r="R1067" s="86">
        <f t="shared" ref="R1067" si="417">P1067*(J1067-(J1067*L1067)-((J1067-(J1067*L1067))*M1067))</f>
        <v>0</v>
      </c>
      <c r="S1067" s="86">
        <f t="shared" si="415"/>
        <v>0</v>
      </c>
    </row>
    <row r="1068" spans="1:19" x14ac:dyDescent="0.2">
      <c r="A1068" s="42"/>
    </row>
    <row r="1069" spans="1:19" x14ac:dyDescent="0.2">
      <c r="A1069" s="15" t="s">
        <v>626</v>
      </c>
    </row>
    <row r="1070" spans="1:19" s="19" customFormat="1" x14ac:dyDescent="0.2">
      <c r="A1070" s="134" t="s">
        <v>705</v>
      </c>
      <c r="B1070" s="19" t="s">
        <v>25</v>
      </c>
      <c r="C1070" s="20"/>
      <c r="D1070" s="21" t="s">
        <v>277</v>
      </c>
      <c r="E1070" s="26">
        <v>60</v>
      </c>
      <c r="F1070" s="22">
        <v>1</v>
      </c>
      <c r="G1070" s="23" t="s">
        <v>20</v>
      </c>
      <c r="H1070" s="22">
        <v>72</v>
      </c>
      <c r="I1070" s="23" t="s">
        <v>277</v>
      </c>
      <c r="J1070" s="138">
        <v>10000</v>
      </c>
      <c r="K1070" s="141" t="s">
        <v>277</v>
      </c>
      <c r="L1070" s="133">
        <v>0.12</v>
      </c>
      <c r="M1070" s="133">
        <v>0.17</v>
      </c>
      <c r="N1070" s="22"/>
      <c r="O1070" s="23" t="s">
        <v>277</v>
      </c>
      <c r="P1070" s="20">
        <f t="shared" ref="P1070:P1075" si="418">(C1070+(E1070*F1070*H1070))-N1070</f>
        <v>4320</v>
      </c>
      <c r="Q1070" s="23" t="s">
        <v>277</v>
      </c>
      <c r="R1070" s="24">
        <f t="shared" ref="R1070:R1075" si="419">P1070*(J1070-(J1070*L1070)-((J1070-(J1070*L1070))*M1070))</f>
        <v>31553280</v>
      </c>
      <c r="S1070" s="24">
        <f t="shared" ref="S1070" si="420">R1070/1.11</f>
        <v>28426378.378378376</v>
      </c>
    </row>
    <row r="1071" spans="1:19" s="19" customFormat="1" x14ac:dyDescent="0.2">
      <c r="A1071" s="134" t="s">
        <v>705</v>
      </c>
      <c r="B1071" s="19" t="s">
        <v>25</v>
      </c>
      <c r="C1071" s="20">
        <v>144</v>
      </c>
      <c r="D1071" s="21" t="s">
        <v>277</v>
      </c>
      <c r="E1071" s="26"/>
      <c r="F1071" s="22">
        <v>1</v>
      </c>
      <c r="G1071" s="23" t="s">
        <v>20</v>
      </c>
      <c r="H1071" s="22">
        <v>72</v>
      </c>
      <c r="I1071" s="23" t="s">
        <v>277</v>
      </c>
      <c r="J1071" s="138">
        <f>900000/72</f>
        <v>12500</v>
      </c>
      <c r="K1071" s="141" t="s">
        <v>277</v>
      </c>
      <c r="L1071" s="133"/>
      <c r="M1071" s="133">
        <v>0.17</v>
      </c>
      <c r="N1071" s="22"/>
      <c r="O1071" s="23" t="s">
        <v>277</v>
      </c>
      <c r="P1071" s="20">
        <f t="shared" si="418"/>
        <v>144</v>
      </c>
      <c r="Q1071" s="23" t="s">
        <v>277</v>
      </c>
      <c r="R1071" s="24">
        <f t="shared" si="419"/>
        <v>1494000</v>
      </c>
      <c r="S1071" s="24">
        <f t="shared" si="402"/>
        <v>1345945.9459459458</v>
      </c>
    </row>
    <row r="1072" spans="1:19" s="98" customFormat="1" x14ac:dyDescent="0.2">
      <c r="A1072" s="108" t="s">
        <v>627</v>
      </c>
      <c r="B1072" s="98" t="s">
        <v>25</v>
      </c>
      <c r="C1072" s="99"/>
      <c r="D1072" s="100" t="s">
        <v>277</v>
      </c>
      <c r="E1072" s="101">
        <v>40</v>
      </c>
      <c r="F1072" s="102">
        <v>1</v>
      </c>
      <c r="G1072" s="103" t="s">
        <v>20</v>
      </c>
      <c r="H1072" s="102">
        <v>72</v>
      </c>
      <c r="I1072" s="103" t="s">
        <v>277</v>
      </c>
      <c r="J1072" s="104">
        <v>10000</v>
      </c>
      <c r="K1072" s="100" t="s">
        <v>277</v>
      </c>
      <c r="L1072" s="110">
        <v>0.12</v>
      </c>
      <c r="M1072" s="110">
        <v>0.17</v>
      </c>
      <c r="N1072" s="102"/>
      <c r="O1072" s="103" t="s">
        <v>277</v>
      </c>
      <c r="P1072" s="99">
        <f t="shared" si="418"/>
        <v>2880</v>
      </c>
      <c r="Q1072" s="103" t="s">
        <v>277</v>
      </c>
      <c r="R1072" s="104">
        <f t="shared" si="419"/>
        <v>21035520</v>
      </c>
      <c r="S1072" s="104">
        <f t="shared" si="402"/>
        <v>18950918.918918919</v>
      </c>
    </row>
    <row r="1073" spans="1:19" s="98" customFormat="1" x14ac:dyDescent="0.2">
      <c r="A1073" s="108" t="s">
        <v>627</v>
      </c>
      <c r="B1073" s="98" t="s">
        <v>25</v>
      </c>
      <c r="C1073" s="99"/>
      <c r="D1073" s="100" t="s">
        <v>277</v>
      </c>
      <c r="E1073" s="101">
        <v>6</v>
      </c>
      <c r="F1073" s="102">
        <v>1</v>
      </c>
      <c r="G1073" s="103" t="s">
        <v>20</v>
      </c>
      <c r="H1073" s="102">
        <v>72</v>
      </c>
      <c r="I1073" s="103" t="s">
        <v>277</v>
      </c>
      <c r="J1073" s="104">
        <v>10000</v>
      </c>
      <c r="K1073" s="100" t="s">
        <v>277</v>
      </c>
      <c r="L1073" s="110">
        <v>0.05</v>
      </c>
      <c r="M1073" s="110">
        <v>0.17</v>
      </c>
      <c r="N1073" s="102"/>
      <c r="O1073" s="103" t="s">
        <v>277</v>
      </c>
      <c r="P1073" s="99">
        <f t="shared" si="418"/>
        <v>432</v>
      </c>
      <c r="Q1073" s="103" t="s">
        <v>277</v>
      </c>
      <c r="R1073" s="104">
        <f t="shared" si="419"/>
        <v>3406320</v>
      </c>
      <c r="S1073" s="104">
        <f t="shared" ref="S1073" si="421">R1073/1.11</f>
        <v>3068756.7567567565</v>
      </c>
    </row>
    <row r="1074" spans="1:19" x14ac:dyDescent="0.2">
      <c r="A1074" s="17" t="s">
        <v>806</v>
      </c>
      <c r="B1074" s="2" t="s">
        <v>25</v>
      </c>
      <c r="C1074" s="3">
        <v>210</v>
      </c>
      <c r="D1074" s="4" t="s">
        <v>277</v>
      </c>
      <c r="F1074" s="6">
        <v>1</v>
      </c>
      <c r="G1074" s="7" t="s">
        <v>20</v>
      </c>
      <c r="H1074" s="6">
        <v>72</v>
      </c>
      <c r="I1074" s="7" t="s">
        <v>277</v>
      </c>
      <c r="J1074" s="8">
        <f>705600/72</f>
        <v>9800</v>
      </c>
      <c r="K1074" s="4" t="s">
        <v>277</v>
      </c>
      <c r="M1074" s="9">
        <v>0.17</v>
      </c>
      <c r="O1074" s="7" t="s">
        <v>277</v>
      </c>
      <c r="P1074" s="3">
        <f t="shared" si="418"/>
        <v>210</v>
      </c>
      <c r="Q1074" s="7" t="s">
        <v>277</v>
      </c>
      <c r="R1074" s="8">
        <f t="shared" si="419"/>
        <v>1708140</v>
      </c>
      <c r="S1074" s="8">
        <f t="shared" si="402"/>
        <v>1538864.8648648646</v>
      </c>
    </row>
    <row r="1075" spans="1:19" x14ac:dyDescent="0.2">
      <c r="A1075" s="17" t="s">
        <v>807</v>
      </c>
      <c r="B1075" s="2" t="s">
        <v>25</v>
      </c>
      <c r="C1075" s="3">
        <v>36</v>
      </c>
      <c r="D1075" s="4" t="s">
        <v>277</v>
      </c>
      <c r="F1075" s="6">
        <v>1</v>
      </c>
      <c r="G1075" s="7" t="s">
        <v>20</v>
      </c>
      <c r="H1075" s="6">
        <v>72</v>
      </c>
      <c r="I1075" s="7" t="s">
        <v>277</v>
      </c>
      <c r="J1075" s="8">
        <f>705600/72</f>
        <v>9800</v>
      </c>
      <c r="K1075" s="4" t="s">
        <v>277</v>
      </c>
      <c r="M1075" s="9">
        <v>0.17</v>
      </c>
      <c r="O1075" s="7" t="s">
        <v>277</v>
      </c>
      <c r="P1075" s="3">
        <f t="shared" si="418"/>
        <v>36</v>
      </c>
      <c r="Q1075" s="7" t="s">
        <v>277</v>
      </c>
      <c r="R1075" s="8">
        <f t="shared" si="419"/>
        <v>292824</v>
      </c>
      <c r="S1075" s="8">
        <f t="shared" si="402"/>
        <v>263805.40540540538</v>
      </c>
    </row>
    <row r="1077" spans="1:19" x14ac:dyDescent="0.2">
      <c r="A1077" s="15" t="s">
        <v>628</v>
      </c>
      <c r="S1077" s="8">
        <f t="shared" si="402"/>
        <v>0</v>
      </c>
    </row>
    <row r="1078" spans="1:19" s="19" customFormat="1" x14ac:dyDescent="0.2">
      <c r="A1078" s="17" t="s">
        <v>785</v>
      </c>
      <c r="B1078" s="19" t="s">
        <v>18</v>
      </c>
      <c r="C1078" s="20">
        <v>120</v>
      </c>
      <c r="D1078" s="21" t="s">
        <v>277</v>
      </c>
      <c r="E1078" s="26"/>
      <c r="F1078" s="22">
        <v>1</v>
      </c>
      <c r="G1078" s="23" t="s">
        <v>20</v>
      </c>
      <c r="H1078" s="22">
        <v>120</v>
      </c>
      <c r="I1078" s="23" t="s">
        <v>277</v>
      </c>
      <c r="J1078" s="24">
        <v>13800</v>
      </c>
      <c r="K1078" s="21" t="s">
        <v>277</v>
      </c>
      <c r="L1078" s="25">
        <v>0.125</v>
      </c>
      <c r="M1078" s="25">
        <v>0.05</v>
      </c>
      <c r="N1078" s="22"/>
      <c r="O1078" s="23" t="s">
        <v>277</v>
      </c>
      <c r="P1078" s="20">
        <f t="shared" ref="P1078" si="422">(C1078+(E1078*F1078*H1078))-N1078</f>
        <v>120</v>
      </c>
      <c r="Q1078" s="23" t="s">
        <v>277</v>
      </c>
      <c r="R1078" s="24">
        <f t="shared" ref="R1078" si="423">P1078*(J1078-(J1078*L1078)-((J1078-(J1078*L1078))*M1078))</f>
        <v>1376550</v>
      </c>
      <c r="S1078" s="24">
        <f t="shared" si="402"/>
        <v>1240135.1351351349</v>
      </c>
    </row>
    <row r="1079" spans="1:19" s="19" customFormat="1" x14ac:dyDescent="0.2">
      <c r="A1079" s="18"/>
      <c r="C1079" s="20"/>
      <c r="D1079" s="21"/>
      <c r="E1079" s="26"/>
      <c r="F1079" s="22"/>
      <c r="G1079" s="23"/>
      <c r="H1079" s="22"/>
      <c r="I1079" s="23"/>
      <c r="J1079" s="24"/>
      <c r="K1079" s="21"/>
      <c r="L1079" s="25"/>
      <c r="M1079" s="25"/>
      <c r="N1079" s="22"/>
      <c r="O1079" s="23"/>
      <c r="P1079" s="20"/>
      <c r="Q1079" s="23"/>
      <c r="R1079" s="24"/>
      <c r="S1079" s="24"/>
    </row>
    <row r="1080" spans="1:19" x14ac:dyDescent="0.2">
      <c r="A1080" s="17" t="s">
        <v>808</v>
      </c>
      <c r="B1080" s="2" t="s">
        <v>25</v>
      </c>
      <c r="D1080" s="4" t="s">
        <v>277</v>
      </c>
      <c r="E1080" s="5">
        <v>1</v>
      </c>
      <c r="F1080" s="6">
        <v>1</v>
      </c>
      <c r="G1080" s="7" t="s">
        <v>20</v>
      </c>
      <c r="H1080" s="6">
        <v>120</v>
      </c>
      <c r="I1080" s="7" t="s">
        <v>277</v>
      </c>
      <c r="J1080" s="8">
        <f>762000/120</f>
        <v>6350</v>
      </c>
      <c r="K1080" s="4" t="s">
        <v>277</v>
      </c>
      <c r="M1080" s="9">
        <v>0.17</v>
      </c>
      <c r="O1080" s="7" t="s">
        <v>277</v>
      </c>
      <c r="P1080" s="3">
        <f>(C1080+(E1080*F1080*H1080))-N1080</f>
        <v>120</v>
      </c>
      <c r="Q1080" s="7" t="s">
        <v>277</v>
      </c>
      <c r="R1080" s="8">
        <f>P1080*(J1080-(J1080*L1080)-((J1080-(J1080*L1080))*M1080))</f>
        <v>632460</v>
      </c>
      <c r="S1080" s="8">
        <f t="shared" si="402"/>
        <v>569783.78378378379</v>
      </c>
    </row>
    <row r="1081" spans="1:19" x14ac:dyDescent="0.2">
      <c r="A1081" s="17" t="s">
        <v>629</v>
      </c>
      <c r="B1081" s="2" t="s">
        <v>25</v>
      </c>
      <c r="D1081" s="4" t="s">
        <v>277</v>
      </c>
      <c r="E1081" s="5">
        <v>3</v>
      </c>
      <c r="F1081" s="6">
        <v>1</v>
      </c>
      <c r="G1081" s="7" t="s">
        <v>20</v>
      </c>
      <c r="H1081" s="6">
        <v>80</v>
      </c>
      <c r="I1081" s="7" t="s">
        <v>277</v>
      </c>
      <c r="J1081" s="8">
        <f>732000/80</f>
        <v>9150</v>
      </c>
      <c r="K1081" s="4" t="s">
        <v>277</v>
      </c>
      <c r="M1081" s="9">
        <v>0.17</v>
      </c>
      <c r="O1081" s="7" t="s">
        <v>277</v>
      </c>
      <c r="P1081" s="3">
        <f>(C1081+(E1081*F1081*H1081))-N1081</f>
        <v>240</v>
      </c>
      <c r="Q1081" s="7" t="s">
        <v>277</v>
      </c>
      <c r="R1081" s="8">
        <f>P1081*(J1081-(J1081*L1081)-((J1081-(J1081*L1081))*M1081))</f>
        <v>1822680</v>
      </c>
      <c r="S1081" s="8">
        <f t="shared" si="402"/>
        <v>1642054.054054054</v>
      </c>
    </row>
    <row r="1082" spans="1:19" x14ac:dyDescent="0.2">
      <c r="A1082" s="17" t="s">
        <v>809</v>
      </c>
      <c r="B1082" s="2" t="s">
        <v>25</v>
      </c>
      <c r="D1082" s="4" t="s">
        <v>277</v>
      </c>
      <c r="E1082" s="5">
        <v>10</v>
      </c>
      <c r="F1082" s="6">
        <v>1</v>
      </c>
      <c r="G1082" s="7" t="s">
        <v>20</v>
      </c>
      <c r="H1082" s="6">
        <v>60</v>
      </c>
      <c r="I1082" s="7" t="s">
        <v>277</v>
      </c>
      <c r="J1082" s="8">
        <f>732000/60</f>
        <v>12200</v>
      </c>
      <c r="K1082" s="4" t="s">
        <v>277</v>
      </c>
      <c r="M1082" s="9">
        <v>0.17</v>
      </c>
      <c r="O1082" s="7" t="s">
        <v>277</v>
      </c>
      <c r="P1082" s="3">
        <f>(C1082+(E1082*F1082*H1082))-N1082</f>
        <v>600</v>
      </c>
      <c r="Q1082" s="7" t="s">
        <v>277</v>
      </c>
      <c r="R1082" s="8">
        <f>P1082*(J1082-(J1082*L1082)-((J1082-(J1082*L1082))*M1082))</f>
        <v>6075600</v>
      </c>
      <c r="S1082" s="8">
        <f t="shared" si="402"/>
        <v>5473513.5135135129</v>
      </c>
    </row>
    <row r="1083" spans="1:19" s="72" customFormat="1" x14ac:dyDescent="0.2">
      <c r="A1083" s="71" t="s">
        <v>653</v>
      </c>
      <c r="B1083" s="72" t="s">
        <v>25</v>
      </c>
      <c r="C1083" s="73"/>
      <c r="D1083" s="74" t="s">
        <v>277</v>
      </c>
      <c r="E1083" s="75"/>
      <c r="F1083" s="76">
        <v>1</v>
      </c>
      <c r="G1083" s="77" t="s">
        <v>20</v>
      </c>
      <c r="H1083" s="76">
        <v>80</v>
      </c>
      <c r="I1083" s="77" t="s">
        <v>277</v>
      </c>
      <c r="J1083" s="16">
        <f>848000/80</f>
        <v>10600</v>
      </c>
      <c r="K1083" s="74" t="s">
        <v>277</v>
      </c>
      <c r="L1083" s="78"/>
      <c r="M1083" s="78">
        <v>0.17</v>
      </c>
      <c r="N1083" s="76"/>
      <c r="O1083" s="77" t="s">
        <v>277</v>
      </c>
      <c r="P1083" s="73">
        <f>(C1083+(E1083*F1083*H1083))-N1083</f>
        <v>0</v>
      </c>
      <c r="Q1083" s="77" t="s">
        <v>277</v>
      </c>
      <c r="R1083" s="16">
        <f>P1083*(J1083-(J1083*L1083)-((J1083-(J1083*L1083))*M1083))</f>
        <v>0</v>
      </c>
      <c r="S1083" s="16">
        <f t="shared" si="402"/>
        <v>0</v>
      </c>
    </row>
    <row r="1084" spans="1:19" s="72" customFormat="1" x14ac:dyDescent="0.2">
      <c r="A1084" s="71" t="s">
        <v>630</v>
      </c>
      <c r="B1084" s="72" t="s">
        <v>25</v>
      </c>
      <c r="C1084" s="73"/>
      <c r="D1084" s="74" t="s">
        <v>277</v>
      </c>
      <c r="E1084" s="75"/>
      <c r="F1084" s="76">
        <v>1</v>
      </c>
      <c r="G1084" s="77" t="s">
        <v>20</v>
      </c>
      <c r="H1084" s="76">
        <v>60</v>
      </c>
      <c r="I1084" s="77" t="s">
        <v>277</v>
      </c>
      <c r="J1084" s="16">
        <f>852000/60</f>
        <v>14200</v>
      </c>
      <c r="K1084" s="74" t="s">
        <v>277</v>
      </c>
      <c r="L1084" s="78"/>
      <c r="M1084" s="78">
        <v>0.17</v>
      </c>
      <c r="N1084" s="76"/>
      <c r="O1084" s="77" t="s">
        <v>277</v>
      </c>
      <c r="P1084" s="73">
        <f>(C1084+(E1084*F1084*H1084))-N1084</f>
        <v>0</v>
      </c>
      <c r="Q1084" s="77" t="s">
        <v>277</v>
      </c>
      <c r="R1084" s="16">
        <f>P1084*(J1084-(J1084*L1084)-((J1084-(J1084*L1084))*M1084))</f>
        <v>0</v>
      </c>
      <c r="S1084" s="16">
        <f t="shared" si="402"/>
        <v>0</v>
      </c>
    </row>
    <row r="1086" spans="1:19" ht="15.75" x14ac:dyDescent="0.25">
      <c r="A1086" s="14" t="s">
        <v>631</v>
      </c>
    </row>
    <row r="1087" spans="1:19" s="72" customFormat="1" x14ac:dyDescent="0.2">
      <c r="A1087" s="71" t="s">
        <v>633</v>
      </c>
      <c r="B1087" s="72" t="s">
        <v>18</v>
      </c>
      <c r="C1087" s="73"/>
      <c r="D1087" s="74" t="s">
        <v>19</v>
      </c>
      <c r="E1087" s="75"/>
      <c r="F1087" s="76">
        <v>1</v>
      </c>
      <c r="G1087" s="77" t="s">
        <v>20</v>
      </c>
      <c r="H1087" s="76">
        <v>24</v>
      </c>
      <c r="I1087" s="77" t="s">
        <v>19</v>
      </c>
      <c r="J1087" s="16">
        <v>21500</v>
      </c>
      <c r="K1087" s="74" t="s">
        <v>19</v>
      </c>
      <c r="L1087" s="78">
        <v>0.125</v>
      </c>
      <c r="M1087" s="78">
        <v>0.05</v>
      </c>
      <c r="N1087" s="76"/>
      <c r="O1087" s="77" t="s">
        <v>19</v>
      </c>
      <c r="P1087" s="73">
        <f t="shared" ref="P1087:P1101" si="424">(C1087+(E1087*F1087*H1087))-N1087</f>
        <v>0</v>
      </c>
      <c r="Q1087" s="77" t="s">
        <v>19</v>
      </c>
      <c r="R1087" s="16">
        <f t="shared" ref="R1087:R1101" si="425">P1087*(J1087-(J1087*L1087)-((J1087-(J1087*L1087))*M1087))</f>
        <v>0</v>
      </c>
      <c r="S1087" s="16">
        <f t="shared" si="402"/>
        <v>0</v>
      </c>
    </row>
    <row r="1088" spans="1:19" s="19" customFormat="1" x14ac:dyDescent="0.2">
      <c r="A1088" s="18" t="s">
        <v>634</v>
      </c>
      <c r="B1088" s="19" t="s">
        <v>18</v>
      </c>
      <c r="C1088" s="20"/>
      <c r="D1088" s="21" t="s">
        <v>19</v>
      </c>
      <c r="E1088" s="26">
        <v>2</v>
      </c>
      <c r="F1088" s="22">
        <v>1</v>
      </c>
      <c r="G1088" s="23" t="s">
        <v>20</v>
      </c>
      <c r="H1088" s="22">
        <v>24</v>
      </c>
      <c r="I1088" s="23" t="s">
        <v>19</v>
      </c>
      <c r="J1088" s="24">
        <v>24300</v>
      </c>
      <c r="K1088" s="21" t="s">
        <v>19</v>
      </c>
      <c r="L1088" s="25">
        <v>0.125</v>
      </c>
      <c r="M1088" s="25">
        <v>0.05</v>
      </c>
      <c r="N1088" s="22"/>
      <c r="O1088" s="23" t="s">
        <v>19</v>
      </c>
      <c r="P1088" s="20">
        <f t="shared" ref="P1088:P1089" si="426">(C1088+(E1088*F1088*H1088))-N1088</f>
        <v>48</v>
      </c>
      <c r="Q1088" s="23" t="s">
        <v>19</v>
      </c>
      <c r="R1088" s="24">
        <f t="shared" ref="R1088:R1089" si="427">P1088*(J1088-(J1088*L1088)-((J1088-(J1088*L1088))*M1088))</f>
        <v>969570</v>
      </c>
      <c r="S1088" s="24">
        <f t="shared" ref="S1088:S1089" si="428">R1088/1.11</f>
        <v>873486.48648648639</v>
      </c>
    </row>
    <row r="1089" spans="1:19" s="19" customFormat="1" x14ac:dyDescent="0.2">
      <c r="A1089" s="18" t="s">
        <v>635</v>
      </c>
      <c r="B1089" s="19" t="s">
        <v>18</v>
      </c>
      <c r="C1089" s="20"/>
      <c r="D1089" s="21" t="s">
        <v>19</v>
      </c>
      <c r="E1089" s="26">
        <v>23</v>
      </c>
      <c r="F1089" s="22">
        <v>1</v>
      </c>
      <c r="G1089" s="23" t="s">
        <v>20</v>
      </c>
      <c r="H1089" s="22">
        <v>24</v>
      </c>
      <c r="I1089" s="23" t="s">
        <v>19</v>
      </c>
      <c r="J1089" s="24">
        <v>11100</v>
      </c>
      <c r="K1089" s="21" t="s">
        <v>19</v>
      </c>
      <c r="L1089" s="25">
        <v>0.125</v>
      </c>
      <c r="M1089" s="25">
        <v>0.05</v>
      </c>
      <c r="N1089" s="22"/>
      <c r="O1089" s="23" t="s">
        <v>19</v>
      </c>
      <c r="P1089" s="20">
        <f t="shared" si="426"/>
        <v>552</v>
      </c>
      <c r="Q1089" s="23" t="s">
        <v>19</v>
      </c>
      <c r="R1089" s="24">
        <f t="shared" si="427"/>
        <v>5093235</v>
      </c>
      <c r="S1089" s="24">
        <f t="shared" si="428"/>
        <v>4588500</v>
      </c>
    </row>
    <row r="1090" spans="1:19" s="19" customFormat="1" x14ac:dyDescent="0.2">
      <c r="A1090" s="18" t="s">
        <v>636</v>
      </c>
      <c r="B1090" s="19" t="s">
        <v>18</v>
      </c>
      <c r="C1090" s="20"/>
      <c r="D1090" s="21" t="s">
        <v>19</v>
      </c>
      <c r="E1090" s="26">
        <v>22</v>
      </c>
      <c r="F1090" s="22">
        <v>1</v>
      </c>
      <c r="G1090" s="23" t="s">
        <v>20</v>
      </c>
      <c r="H1090" s="22">
        <v>24</v>
      </c>
      <c r="I1090" s="23" t="s">
        <v>19</v>
      </c>
      <c r="J1090" s="24">
        <v>19000</v>
      </c>
      <c r="K1090" s="21" t="s">
        <v>19</v>
      </c>
      <c r="L1090" s="25">
        <v>0.125</v>
      </c>
      <c r="M1090" s="25">
        <v>0.05</v>
      </c>
      <c r="N1090" s="22"/>
      <c r="O1090" s="23" t="s">
        <v>19</v>
      </c>
      <c r="P1090" s="20">
        <f t="shared" si="424"/>
        <v>528</v>
      </c>
      <c r="Q1090" s="23" t="s">
        <v>19</v>
      </c>
      <c r="R1090" s="24">
        <f t="shared" si="425"/>
        <v>8339100</v>
      </c>
      <c r="S1090" s="24">
        <f t="shared" si="402"/>
        <v>7512702.702702702</v>
      </c>
    </row>
    <row r="1091" spans="1:19" s="19" customFormat="1" x14ac:dyDescent="0.2">
      <c r="A1091" s="18" t="s">
        <v>728</v>
      </c>
      <c r="B1091" s="19" t="s">
        <v>18</v>
      </c>
      <c r="C1091" s="20"/>
      <c r="D1091" s="21" t="s">
        <v>19</v>
      </c>
      <c r="E1091" s="26">
        <v>2</v>
      </c>
      <c r="F1091" s="22">
        <v>1</v>
      </c>
      <c r="G1091" s="23" t="s">
        <v>20</v>
      </c>
      <c r="H1091" s="22">
        <v>12</v>
      </c>
      <c r="I1091" s="23" t="s">
        <v>19</v>
      </c>
      <c r="J1091" s="24">
        <v>31000</v>
      </c>
      <c r="K1091" s="21" t="s">
        <v>19</v>
      </c>
      <c r="L1091" s="25">
        <v>0.125</v>
      </c>
      <c r="M1091" s="25">
        <v>0.05</v>
      </c>
      <c r="N1091" s="22"/>
      <c r="O1091" s="23" t="s">
        <v>19</v>
      </c>
      <c r="P1091" s="20">
        <f t="shared" si="424"/>
        <v>24</v>
      </c>
      <c r="Q1091" s="23" t="s">
        <v>19</v>
      </c>
      <c r="R1091" s="24">
        <f t="shared" si="425"/>
        <v>618450</v>
      </c>
      <c r="S1091" s="24">
        <f t="shared" si="402"/>
        <v>557162.16216216213</v>
      </c>
    </row>
    <row r="1092" spans="1:19" s="98" customFormat="1" x14ac:dyDescent="0.2">
      <c r="A1092" s="144" t="s">
        <v>932</v>
      </c>
      <c r="B1092" s="98" t="s">
        <v>18</v>
      </c>
      <c r="C1092" s="99"/>
      <c r="D1092" s="100" t="s">
        <v>19</v>
      </c>
      <c r="E1092" s="101">
        <v>1</v>
      </c>
      <c r="F1092" s="102">
        <v>1</v>
      </c>
      <c r="G1092" s="103" t="s">
        <v>20</v>
      </c>
      <c r="H1092" s="102">
        <v>24</v>
      </c>
      <c r="I1092" s="103" t="s">
        <v>19</v>
      </c>
      <c r="J1092" s="104">
        <v>20400</v>
      </c>
      <c r="K1092" s="100" t="s">
        <v>19</v>
      </c>
      <c r="L1092" s="105">
        <v>0.125</v>
      </c>
      <c r="M1092" s="105">
        <v>0.05</v>
      </c>
      <c r="N1092" s="102"/>
      <c r="O1092" s="103" t="s">
        <v>19</v>
      </c>
      <c r="P1092" s="99">
        <f t="shared" ref="P1092" si="429">(C1092+(E1092*F1092*H1092))-N1092</f>
        <v>24</v>
      </c>
      <c r="Q1092" s="103" t="s">
        <v>19</v>
      </c>
      <c r="R1092" s="104">
        <f t="shared" ref="R1092" si="430">P1092*(J1092-(J1092*L1092)-((J1092-(J1092*L1092))*M1092))</f>
        <v>406980</v>
      </c>
      <c r="S1092" s="96">
        <f t="shared" ref="S1092" si="431">R1092/1.11</f>
        <v>366648.64864864864</v>
      </c>
    </row>
    <row r="1093" spans="1:19" s="98" customFormat="1" x14ac:dyDescent="0.2">
      <c r="A1093" s="90" t="s">
        <v>727</v>
      </c>
      <c r="B1093" s="98" t="s">
        <v>18</v>
      </c>
      <c r="C1093" s="99"/>
      <c r="D1093" s="100" t="s">
        <v>19</v>
      </c>
      <c r="E1093" s="101">
        <v>3</v>
      </c>
      <c r="F1093" s="102">
        <v>1</v>
      </c>
      <c r="G1093" s="103" t="s">
        <v>20</v>
      </c>
      <c r="H1093" s="102">
        <v>24</v>
      </c>
      <c r="I1093" s="103" t="s">
        <v>19</v>
      </c>
      <c r="J1093" s="104">
        <v>12300</v>
      </c>
      <c r="K1093" s="100" t="s">
        <v>19</v>
      </c>
      <c r="L1093" s="105">
        <v>0.125</v>
      </c>
      <c r="M1093" s="105">
        <v>0.05</v>
      </c>
      <c r="N1093" s="102"/>
      <c r="O1093" s="103" t="s">
        <v>19</v>
      </c>
      <c r="P1093" s="99">
        <f t="shared" si="424"/>
        <v>72</v>
      </c>
      <c r="Q1093" s="103" t="s">
        <v>19</v>
      </c>
      <c r="R1093" s="104">
        <f t="shared" si="425"/>
        <v>736155</v>
      </c>
      <c r="S1093" s="96">
        <f t="shared" si="402"/>
        <v>663202.70270270261</v>
      </c>
    </row>
    <row r="1094" spans="1:19" s="19" customFormat="1" x14ac:dyDescent="0.2">
      <c r="A1094" s="18" t="s">
        <v>826</v>
      </c>
      <c r="B1094" s="19" t="s">
        <v>18</v>
      </c>
      <c r="C1094" s="20"/>
      <c r="D1094" s="21" t="s">
        <v>19</v>
      </c>
      <c r="E1094" s="26">
        <v>2</v>
      </c>
      <c r="F1094" s="22">
        <v>1</v>
      </c>
      <c r="G1094" s="23" t="s">
        <v>20</v>
      </c>
      <c r="H1094" s="22">
        <v>24</v>
      </c>
      <c r="I1094" s="23" t="s">
        <v>19</v>
      </c>
      <c r="J1094" s="24">
        <v>16500</v>
      </c>
      <c r="K1094" s="21" t="s">
        <v>19</v>
      </c>
      <c r="L1094" s="25">
        <v>0.125</v>
      </c>
      <c r="M1094" s="25">
        <v>0.05</v>
      </c>
      <c r="N1094" s="22"/>
      <c r="O1094" s="23" t="s">
        <v>19</v>
      </c>
      <c r="P1094" s="20">
        <f t="shared" si="424"/>
        <v>48</v>
      </c>
      <c r="Q1094" s="23" t="s">
        <v>19</v>
      </c>
      <c r="R1094" s="24">
        <f t="shared" si="425"/>
        <v>658350</v>
      </c>
      <c r="S1094" s="8">
        <f t="shared" si="402"/>
        <v>593108.10810810805</v>
      </c>
    </row>
    <row r="1095" spans="1:19" s="88" customFormat="1" x14ac:dyDescent="0.2">
      <c r="A1095" s="107" t="s">
        <v>632</v>
      </c>
      <c r="B1095" s="88" t="s">
        <v>18</v>
      </c>
      <c r="C1095" s="91"/>
      <c r="D1095" s="92" t="s">
        <v>19</v>
      </c>
      <c r="E1095" s="93">
        <v>1</v>
      </c>
      <c r="F1095" s="94">
        <v>1</v>
      </c>
      <c r="G1095" s="95" t="s">
        <v>20</v>
      </c>
      <c r="H1095" s="94">
        <v>24</v>
      </c>
      <c r="I1095" s="95" t="s">
        <v>19</v>
      </c>
      <c r="J1095" s="96">
        <v>17200</v>
      </c>
      <c r="K1095" s="92" t="s">
        <v>19</v>
      </c>
      <c r="L1095" s="97">
        <v>0.125</v>
      </c>
      <c r="M1095" s="97">
        <v>0.05</v>
      </c>
      <c r="N1095" s="94"/>
      <c r="O1095" s="95" t="s">
        <v>19</v>
      </c>
      <c r="P1095" s="91">
        <f t="shared" si="424"/>
        <v>24</v>
      </c>
      <c r="Q1095" s="95" t="s">
        <v>19</v>
      </c>
      <c r="R1095" s="96">
        <f t="shared" si="425"/>
        <v>343140</v>
      </c>
      <c r="S1095" s="96">
        <f>R1095/1.11</f>
        <v>309135.13513513509</v>
      </c>
    </row>
    <row r="1096" spans="1:19" s="88" customFormat="1" x14ac:dyDescent="0.2">
      <c r="A1096" s="107" t="s">
        <v>880</v>
      </c>
      <c r="B1096" s="88" t="s">
        <v>18</v>
      </c>
      <c r="C1096" s="91"/>
      <c r="D1096" s="92" t="s">
        <v>19</v>
      </c>
      <c r="E1096" s="93">
        <v>1</v>
      </c>
      <c r="F1096" s="94">
        <v>1</v>
      </c>
      <c r="G1096" s="95" t="s">
        <v>20</v>
      </c>
      <c r="H1096" s="94">
        <v>12</v>
      </c>
      <c r="I1096" s="95" t="s">
        <v>19</v>
      </c>
      <c r="J1096" s="96">
        <v>30500</v>
      </c>
      <c r="K1096" s="92" t="s">
        <v>19</v>
      </c>
      <c r="L1096" s="97">
        <v>0.125</v>
      </c>
      <c r="M1096" s="97">
        <v>0.05</v>
      </c>
      <c r="N1096" s="94"/>
      <c r="O1096" s="95" t="s">
        <v>19</v>
      </c>
      <c r="P1096" s="91">
        <f>(C1096+(E1096*F1096*H1096))-N1096</f>
        <v>12</v>
      </c>
      <c r="Q1096" s="95" t="s">
        <v>19</v>
      </c>
      <c r="R1096" s="96">
        <f t="shared" ref="R1096" si="432">P1096*(J1096-(J1096*L1096)-((J1096-(J1096*L1096))*M1096))</f>
        <v>304237.5</v>
      </c>
      <c r="S1096" s="96">
        <f>R1096/1.11</f>
        <v>274087.83783783781</v>
      </c>
    </row>
    <row r="1097" spans="1:19" s="81" customFormat="1" x14ac:dyDescent="0.2">
      <c r="A1097" s="80" t="s">
        <v>647</v>
      </c>
      <c r="B1097" s="81" t="s">
        <v>18</v>
      </c>
      <c r="C1097" s="79"/>
      <c r="D1097" s="82" t="s">
        <v>19</v>
      </c>
      <c r="E1097" s="83"/>
      <c r="F1097" s="84">
        <v>12</v>
      </c>
      <c r="G1097" s="85" t="s">
        <v>33</v>
      </c>
      <c r="H1097" s="84">
        <v>20</v>
      </c>
      <c r="I1097" s="85" t="s">
        <v>19</v>
      </c>
      <c r="J1097" s="86">
        <v>5150</v>
      </c>
      <c r="K1097" s="82" t="s">
        <v>19</v>
      </c>
      <c r="L1097" s="87">
        <v>0.125</v>
      </c>
      <c r="M1097" s="87">
        <v>0.05</v>
      </c>
      <c r="N1097" s="84"/>
      <c r="O1097" s="85" t="s">
        <v>19</v>
      </c>
      <c r="P1097" s="79">
        <f t="shared" si="424"/>
        <v>0</v>
      </c>
      <c r="Q1097" s="85" t="s">
        <v>19</v>
      </c>
      <c r="R1097" s="86">
        <f t="shared" si="425"/>
        <v>0</v>
      </c>
      <c r="S1097" s="86">
        <f t="shared" ref="S1097:S1098" si="433">R1097/1.11</f>
        <v>0</v>
      </c>
    </row>
    <row r="1098" spans="1:19" s="19" customFormat="1" x14ac:dyDescent="0.2">
      <c r="A1098" s="145" t="s">
        <v>633</v>
      </c>
      <c r="B1098" s="19" t="s">
        <v>18</v>
      </c>
      <c r="C1098" s="20"/>
      <c r="D1098" s="21" t="s">
        <v>19</v>
      </c>
      <c r="E1098" s="26">
        <v>3</v>
      </c>
      <c r="F1098" s="22">
        <v>1</v>
      </c>
      <c r="G1098" s="23" t="s">
        <v>20</v>
      </c>
      <c r="H1098" s="22">
        <v>24</v>
      </c>
      <c r="I1098" s="23" t="s">
        <v>19</v>
      </c>
      <c r="J1098" s="24">
        <v>22500</v>
      </c>
      <c r="K1098" s="21" t="s">
        <v>19</v>
      </c>
      <c r="L1098" s="25">
        <v>0.125</v>
      </c>
      <c r="M1098" s="25">
        <v>0.05</v>
      </c>
      <c r="N1098" s="22"/>
      <c r="O1098" s="23" t="s">
        <v>19</v>
      </c>
      <c r="P1098" s="20">
        <f t="shared" ref="P1098" si="434">(C1098+(E1098*F1098*H1098))-N1098</f>
        <v>72</v>
      </c>
      <c r="Q1098" s="23" t="s">
        <v>19</v>
      </c>
      <c r="R1098" s="24">
        <f t="shared" ref="R1098" si="435">P1098*(J1098-(J1098*L1098)-((J1098-(J1098*L1098))*M1098))</f>
        <v>1346625</v>
      </c>
      <c r="S1098" s="24">
        <f t="shared" si="433"/>
        <v>1213175.6756756755</v>
      </c>
    </row>
    <row r="1099" spans="1:19" s="19" customFormat="1" x14ac:dyDescent="0.2">
      <c r="A1099" s="18" t="s">
        <v>637</v>
      </c>
      <c r="B1099" s="19" t="s">
        <v>18</v>
      </c>
      <c r="C1099" s="20">
        <v>73</v>
      </c>
      <c r="D1099" s="21" t="s">
        <v>19</v>
      </c>
      <c r="E1099" s="26">
        <v>3</v>
      </c>
      <c r="F1099" s="22">
        <v>1</v>
      </c>
      <c r="G1099" s="23" t="s">
        <v>20</v>
      </c>
      <c r="H1099" s="22">
        <v>96</v>
      </c>
      <c r="I1099" s="23" t="s">
        <v>19</v>
      </c>
      <c r="J1099" s="24">
        <v>14200</v>
      </c>
      <c r="K1099" s="21" t="s">
        <v>19</v>
      </c>
      <c r="L1099" s="25">
        <v>0.125</v>
      </c>
      <c r="M1099" s="25">
        <v>0.05</v>
      </c>
      <c r="N1099" s="22"/>
      <c r="O1099" s="23" t="s">
        <v>19</v>
      </c>
      <c r="P1099" s="20">
        <f t="shared" si="424"/>
        <v>361</v>
      </c>
      <c r="Q1099" s="23" t="s">
        <v>19</v>
      </c>
      <c r="R1099" s="24">
        <f t="shared" si="425"/>
        <v>4261153.75</v>
      </c>
      <c r="S1099" s="24">
        <f t="shared" si="402"/>
        <v>3838877.2522522518</v>
      </c>
    </row>
    <row r="1100" spans="1:19" s="72" customFormat="1" x14ac:dyDescent="0.2">
      <c r="A1100" s="71" t="s">
        <v>638</v>
      </c>
      <c r="B1100" s="72" t="s">
        <v>18</v>
      </c>
      <c r="C1100" s="73"/>
      <c r="D1100" s="74" t="s">
        <v>19</v>
      </c>
      <c r="E1100" s="75">
        <v>1</v>
      </c>
      <c r="F1100" s="76">
        <v>1</v>
      </c>
      <c r="G1100" s="77" t="s">
        <v>20</v>
      </c>
      <c r="H1100" s="76">
        <v>24</v>
      </c>
      <c r="I1100" s="77" t="s">
        <v>19</v>
      </c>
      <c r="J1100" s="16">
        <v>41000</v>
      </c>
      <c r="K1100" s="74" t="s">
        <v>19</v>
      </c>
      <c r="L1100" s="78">
        <v>0.125</v>
      </c>
      <c r="M1100" s="78">
        <v>0.05</v>
      </c>
      <c r="N1100" s="76"/>
      <c r="O1100" s="77" t="s">
        <v>19</v>
      </c>
      <c r="P1100" s="73">
        <f t="shared" si="424"/>
        <v>24</v>
      </c>
      <c r="Q1100" s="77" t="s">
        <v>19</v>
      </c>
      <c r="R1100" s="16">
        <f t="shared" si="425"/>
        <v>817950</v>
      </c>
      <c r="S1100" s="16">
        <f t="shared" si="402"/>
        <v>736891.89189189184</v>
      </c>
    </row>
    <row r="1101" spans="1:19" x14ac:dyDescent="0.2">
      <c r="A1101" s="17" t="s">
        <v>639</v>
      </c>
      <c r="B1101" s="2" t="s">
        <v>18</v>
      </c>
      <c r="C1101" s="3">
        <v>146</v>
      </c>
      <c r="D1101" s="4" t="s">
        <v>19</v>
      </c>
      <c r="F1101" s="6">
        <v>1</v>
      </c>
      <c r="G1101" s="7" t="s">
        <v>20</v>
      </c>
      <c r="H1101" s="6">
        <v>100</v>
      </c>
      <c r="I1101" s="7" t="s">
        <v>19</v>
      </c>
      <c r="J1101" s="8">
        <v>15500</v>
      </c>
      <c r="K1101" s="4" t="s">
        <v>19</v>
      </c>
      <c r="L1101" s="9">
        <v>0.125</v>
      </c>
      <c r="M1101" s="9">
        <v>0.05</v>
      </c>
      <c r="O1101" s="7" t="s">
        <v>19</v>
      </c>
      <c r="P1101" s="3">
        <f t="shared" si="424"/>
        <v>146</v>
      </c>
      <c r="Q1101" s="7" t="s">
        <v>19</v>
      </c>
      <c r="R1101" s="8">
        <f t="shared" si="425"/>
        <v>1881118.75</v>
      </c>
      <c r="S1101" s="8">
        <f t="shared" si="402"/>
        <v>1694701.5765765763</v>
      </c>
    </row>
    <row r="1103" spans="1:19" s="98" customFormat="1" x14ac:dyDescent="0.2">
      <c r="A1103" s="131" t="s">
        <v>676</v>
      </c>
      <c r="B1103" s="98" t="s">
        <v>25</v>
      </c>
      <c r="C1103" s="99"/>
      <c r="D1103" s="100" t="s">
        <v>19</v>
      </c>
      <c r="E1103" s="101">
        <v>2</v>
      </c>
      <c r="F1103" s="102">
        <v>1</v>
      </c>
      <c r="G1103" s="103" t="s">
        <v>20</v>
      </c>
      <c r="H1103" s="102">
        <v>24</v>
      </c>
      <c r="I1103" s="103" t="s">
        <v>19</v>
      </c>
      <c r="J1103" s="104">
        <f>372000/24</f>
        <v>15500</v>
      </c>
      <c r="K1103" s="100" t="s">
        <v>19</v>
      </c>
      <c r="L1103" s="105"/>
      <c r="M1103" s="105">
        <v>0.17</v>
      </c>
      <c r="N1103" s="102"/>
      <c r="O1103" s="103" t="s">
        <v>19</v>
      </c>
      <c r="P1103" s="99">
        <f t="shared" ref="P1103:P1111" si="436">(C1103+(E1103*F1103*H1103))-N1103</f>
        <v>48</v>
      </c>
      <c r="Q1103" s="103" t="s">
        <v>19</v>
      </c>
      <c r="R1103" s="104">
        <f t="shared" ref="R1103:R1111" si="437">P1103*(J1103-(J1103*L1103)-((J1103-(J1103*L1103))*M1103))</f>
        <v>617520</v>
      </c>
      <c r="S1103" s="104">
        <f t="shared" si="402"/>
        <v>556324.32432432426</v>
      </c>
    </row>
    <row r="1104" spans="1:19" s="88" customFormat="1" x14ac:dyDescent="0.2">
      <c r="A1104" s="131" t="s">
        <v>640</v>
      </c>
      <c r="B1104" s="88" t="s">
        <v>25</v>
      </c>
      <c r="C1104" s="91"/>
      <c r="D1104" s="92" t="s">
        <v>19</v>
      </c>
      <c r="E1104" s="93">
        <v>2</v>
      </c>
      <c r="F1104" s="94">
        <v>1</v>
      </c>
      <c r="G1104" s="95" t="s">
        <v>20</v>
      </c>
      <c r="H1104" s="94">
        <v>24</v>
      </c>
      <c r="I1104" s="95" t="s">
        <v>19</v>
      </c>
      <c r="J1104" s="96">
        <f>444000/24</f>
        <v>18500</v>
      </c>
      <c r="K1104" s="92" t="s">
        <v>19</v>
      </c>
      <c r="L1104" s="97"/>
      <c r="M1104" s="97">
        <v>0.17</v>
      </c>
      <c r="N1104" s="94"/>
      <c r="O1104" s="95" t="s">
        <v>19</v>
      </c>
      <c r="P1104" s="91">
        <f t="shared" si="436"/>
        <v>48</v>
      </c>
      <c r="Q1104" s="95" t="s">
        <v>19</v>
      </c>
      <c r="R1104" s="96">
        <f t="shared" si="437"/>
        <v>737040</v>
      </c>
      <c r="S1104" s="96">
        <f t="shared" si="402"/>
        <v>663999.99999999988</v>
      </c>
    </row>
    <row r="1105" spans="1:19" s="19" customFormat="1" x14ac:dyDescent="0.2">
      <c r="A1105" s="49" t="s">
        <v>641</v>
      </c>
      <c r="B1105" s="19" t="s">
        <v>25</v>
      </c>
      <c r="C1105" s="20">
        <v>19</v>
      </c>
      <c r="D1105" s="21" t="s">
        <v>19</v>
      </c>
      <c r="E1105" s="26">
        <v>53</v>
      </c>
      <c r="F1105" s="22">
        <v>1</v>
      </c>
      <c r="G1105" s="23" t="s">
        <v>20</v>
      </c>
      <c r="H1105" s="22">
        <v>24</v>
      </c>
      <c r="I1105" s="23" t="s">
        <v>19</v>
      </c>
      <c r="J1105" s="24">
        <f>462000/24</f>
        <v>19250</v>
      </c>
      <c r="K1105" s="21" t="s">
        <v>19</v>
      </c>
      <c r="L1105" s="25"/>
      <c r="M1105" s="25">
        <v>0.17</v>
      </c>
      <c r="N1105" s="22"/>
      <c r="O1105" s="23" t="s">
        <v>19</v>
      </c>
      <c r="P1105" s="20">
        <f t="shared" si="436"/>
        <v>1291</v>
      </c>
      <c r="Q1105" s="23" t="s">
        <v>19</v>
      </c>
      <c r="R1105" s="24">
        <f t="shared" si="437"/>
        <v>20626952.5</v>
      </c>
      <c r="S1105" s="8">
        <f t="shared" si="402"/>
        <v>18582840.090090089</v>
      </c>
    </row>
    <row r="1106" spans="1:19" s="19" customFormat="1" x14ac:dyDescent="0.2">
      <c r="A1106" s="49" t="s">
        <v>708</v>
      </c>
      <c r="B1106" s="19" t="s">
        <v>25</v>
      </c>
      <c r="C1106" s="20">
        <v>30</v>
      </c>
      <c r="D1106" s="21" t="s">
        <v>19</v>
      </c>
      <c r="E1106" s="26"/>
      <c r="F1106" s="22">
        <v>1</v>
      </c>
      <c r="G1106" s="23" t="s">
        <v>20</v>
      </c>
      <c r="H1106" s="22">
        <v>24</v>
      </c>
      <c r="I1106" s="23" t="s">
        <v>19</v>
      </c>
      <c r="J1106" s="24">
        <f>462000/24</f>
        <v>19250</v>
      </c>
      <c r="K1106" s="21" t="s">
        <v>19</v>
      </c>
      <c r="L1106" s="25"/>
      <c r="M1106" s="25">
        <v>0.17</v>
      </c>
      <c r="N1106" s="22"/>
      <c r="O1106" s="23" t="s">
        <v>19</v>
      </c>
      <c r="P1106" s="20">
        <f t="shared" si="436"/>
        <v>30</v>
      </c>
      <c r="Q1106" s="23" t="s">
        <v>19</v>
      </c>
      <c r="R1106" s="24">
        <f t="shared" si="437"/>
        <v>479325</v>
      </c>
      <c r="S1106" s="8">
        <f t="shared" si="402"/>
        <v>431824.32432432426</v>
      </c>
    </row>
    <row r="1107" spans="1:19" s="72" customFormat="1" x14ac:dyDescent="0.2">
      <c r="A1107" s="116" t="s">
        <v>642</v>
      </c>
      <c r="B1107" s="72" t="s">
        <v>25</v>
      </c>
      <c r="C1107" s="73"/>
      <c r="D1107" s="74" t="s">
        <v>19</v>
      </c>
      <c r="E1107" s="75"/>
      <c r="F1107" s="76">
        <v>1</v>
      </c>
      <c r="G1107" s="77" t="s">
        <v>20</v>
      </c>
      <c r="H1107" s="76">
        <v>24</v>
      </c>
      <c r="I1107" s="77" t="s">
        <v>19</v>
      </c>
      <c r="J1107" s="16">
        <v>17250</v>
      </c>
      <c r="K1107" s="74" t="s">
        <v>19</v>
      </c>
      <c r="L1107" s="78"/>
      <c r="M1107" s="78">
        <v>0.17</v>
      </c>
      <c r="N1107" s="76"/>
      <c r="O1107" s="77" t="s">
        <v>19</v>
      </c>
      <c r="P1107" s="73">
        <f t="shared" si="436"/>
        <v>0</v>
      </c>
      <c r="Q1107" s="77" t="s">
        <v>19</v>
      </c>
      <c r="R1107" s="16">
        <f t="shared" si="437"/>
        <v>0</v>
      </c>
      <c r="S1107" s="16">
        <f t="shared" si="402"/>
        <v>0</v>
      </c>
    </row>
    <row r="1108" spans="1:19" s="72" customFormat="1" x14ac:dyDescent="0.2">
      <c r="A1108" s="116" t="s">
        <v>711</v>
      </c>
      <c r="B1108" s="72" t="s">
        <v>25</v>
      </c>
      <c r="C1108" s="73"/>
      <c r="D1108" s="74" t="s">
        <v>19</v>
      </c>
      <c r="E1108" s="75">
        <v>1</v>
      </c>
      <c r="F1108" s="76">
        <v>1</v>
      </c>
      <c r="G1108" s="77" t="s">
        <v>20</v>
      </c>
      <c r="H1108" s="76">
        <v>24</v>
      </c>
      <c r="I1108" s="77" t="s">
        <v>19</v>
      </c>
      <c r="J1108" s="16">
        <f>420000/24</f>
        <v>17500</v>
      </c>
      <c r="K1108" s="74" t="s">
        <v>19</v>
      </c>
      <c r="L1108" s="78"/>
      <c r="M1108" s="78">
        <v>0.17</v>
      </c>
      <c r="N1108" s="76"/>
      <c r="O1108" s="77" t="s">
        <v>19</v>
      </c>
      <c r="P1108" s="73">
        <f t="shared" si="436"/>
        <v>24</v>
      </c>
      <c r="Q1108" s="77" t="s">
        <v>19</v>
      </c>
      <c r="R1108" s="16">
        <f t="shared" si="437"/>
        <v>348600</v>
      </c>
      <c r="S1108" s="16">
        <f t="shared" si="402"/>
        <v>314054.05405405402</v>
      </c>
    </row>
    <row r="1109" spans="1:19" x14ac:dyDescent="0.2">
      <c r="A1109" s="49" t="s">
        <v>643</v>
      </c>
      <c r="B1109" s="2" t="s">
        <v>25</v>
      </c>
      <c r="C1109" s="3">
        <v>12</v>
      </c>
      <c r="D1109" s="4" t="s">
        <v>19</v>
      </c>
      <c r="F1109" s="6">
        <v>1</v>
      </c>
      <c r="G1109" s="7" t="s">
        <v>20</v>
      </c>
      <c r="H1109" s="6">
        <v>12</v>
      </c>
      <c r="I1109" s="7" t="s">
        <v>19</v>
      </c>
      <c r="J1109" s="8">
        <f>342000/12</f>
        <v>28500</v>
      </c>
      <c r="K1109" s="4" t="s">
        <v>19</v>
      </c>
      <c r="M1109" s="9">
        <v>0.17</v>
      </c>
      <c r="O1109" s="7" t="s">
        <v>19</v>
      </c>
      <c r="P1109" s="3">
        <f t="shared" si="436"/>
        <v>12</v>
      </c>
      <c r="Q1109" s="7" t="s">
        <v>19</v>
      </c>
      <c r="R1109" s="8">
        <f t="shared" si="437"/>
        <v>283860</v>
      </c>
      <c r="S1109" s="8">
        <f t="shared" si="402"/>
        <v>255729.7297297297</v>
      </c>
    </row>
    <row r="1110" spans="1:19" s="88" customFormat="1" x14ac:dyDescent="0.2">
      <c r="A1110" s="131" t="s">
        <v>644</v>
      </c>
      <c r="B1110" s="88" t="s">
        <v>25</v>
      </c>
      <c r="C1110" s="99"/>
      <c r="D1110" s="92" t="s">
        <v>19</v>
      </c>
      <c r="E1110" s="93">
        <v>1</v>
      </c>
      <c r="F1110" s="94">
        <v>1</v>
      </c>
      <c r="G1110" s="95" t="s">
        <v>20</v>
      </c>
      <c r="H1110" s="94">
        <v>12</v>
      </c>
      <c r="I1110" s="95" t="s">
        <v>19</v>
      </c>
      <c r="J1110" s="96">
        <f>348000/12</f>
        <v>29000</v>
      </c>
      <c r="K1110" s="92" t="s">
        <v>19</v>
      </c>
      <c r="L1110" s="97"/>
      <c r="M1110" s="97">
        <v>0.17</v>
      </c>
      <c r="N1110" s="94"/>
      <c r="O1110" s="95" t="s">
        <v>19</v>
      </c>
      <c r="P1110" s="91">
        <f t="shared" si="436"/>
        <v>12</v>
      </c>
      <c r="Q1110" s="95" t="s">
        <v>19</v>
      </c>
      <c r="R1110" s="96">
        <f t="shared" si="437"/>
        <v>288840</v>
      </c>
      <c r="S1110" s="96">
        <f t="shared" si="402"/>
        <v>260216.21621621618</v>
      </c>
    </row>
    <row r="1111" spans="1:19" s="72" customFormat="1" x14ac:dyDescent="0.2">
      <c r="A1111" s="116" t="s">
        <v>656</v>
      </c>
      <c r="B1111" s="72" t="s">
        <v>25</v>
      </c>
      <c r="C1111" s="79"/>
      <c r="D1111" s="74" t="s">
        <v>19</v>
      </c>
      <c r="E1111" s="75"/>
      <c r="F1111" s="76">
        <v>8</v>
      </c>
      <c r="G1111" s="77" t="s">
        <v>40</v>
      </c>
      <c r="H1111" s="76">
        <v>12</v>
      </c>
      <c r="I1111" s="77" t="s">
        <v>19</v>
      </c>
      <c r="J1111" s="16">
        <f>2112000/8/12</f>
        <v>22000</v>
      </c>
      <c r="K1111" s="74" t="s">
        <v>19</v>
      </c>
      <c r="L1111" s="78"/>
      <c r="M1111" s="78">
        <v>0.17</v>
      </c>
      <c r="N1111" s="76"/>
      <c r="O1111" s="77" t="s">
        <v>19</v>
      </c>
      <c r="P1111" s="73">
        <f t="shared" si="436"/>
        <v>0</v>
      </c>
      <c r="Q1111" s="77" t="s">
        <v>19</v>
      </c>
      <c r="R1111" s="16">
        <f t="shared" si="437"/>
        <v>0</v>
      </c>
      <c r="S1111" s="16">
        <f t="shared" si="402"/>
        <v>0</v>
      </c>
    </row>
    <row r="1112" spans="1:19" x14ac:dyDescent="0.2">
      <c r="A1112" s="49"/>
      <c r="C1112" s="20"/>
    </row>
    <row r="1113" spans="1:19" s="19" customFormat="1" x14ac:dyDescent="0.2">
      <c r="A1113" s="49" t="s">
        <v>645</v>
      </c>
      <c r="B1113" s="19" t="s">
        <v>181</v>
      </c>
      <c r="C1113" s="20"/>
      <c r="D1113" s="21" t="s">
        <v>40</v>
      </c>
      <c r="E1113" s="26">
        <v>10</v>
      </c>
      <c r="F1113" s="22">
        <v>48</v>
      </c>
      <c r="G1113" s="23" t="s">
        <v>33</v>
      </c>
      <c r="H1113" s="22">
        <v>1</v>
      </c>
      <c r="I1113" s="23" t="s">
        <v>40</v>
      </c>
      <c r="J1113" s="24">
        <v>92000</v>
      </c>
      <c r="K1113" s="21" t="s">
        <v>40</v>
      </c>
      <c r="L1113" s="70">
        <v>0.27927000000000002</v>
      </c>
      <c r="M1113" s="25"/>
      <c r="N1113" s="22"/>
      <c r="O1113" s="23" t="s">
        <v>40</v>
      </c>
      <c r="P1113" s="20">
        <f>(C1113+(E1113*F1113*H1113))-N1113</f>
        <v>480</v>
      </c>
      <c r="Q1113" s="23" t="s">
        <v>40</v>
      </c>
      <c r="R1113" s="24">
        <f>P1113*(J1113-(J1113*L1113)-((J1113-(J1113*L1113))*M1113))</f>
        <v>31827436.800000001</v>
      </c>
      <c r="S1113" s="24">
        <f t="shared" ref="S1113" si="438">R1113/1.11</f>
        <v>28673366.486486483</v>
      </c>
    </row>
    <row r="1114" spans="1:19" s="19" customFormat="1" x14ac:dyDescent="0.2">
      <c r="A1114" s="49"/>
      <c r="C1114" s="20"/>
      <c r="D1114" s="21"/>
      <c r="E1114" s="26"/>
      <c r="F1114" s="22"/>
      <c r="G1114" s="23"/>
      <c r="H1114" s="22"/>
      <c r="I1114" s="23"/>
      <c r="J1114" s="24"/>
      <c r="K1114" s="21"/>
      <c r="L1114" s="25"/>
      <c r="M1114" s="25"/>
      <c r="N1114" s="22"/>
      <c r="O1114" s="23"/>
      <c r="P1114" s="20"/>
      <c r="Q1114" s="23"/>
      <c r="R1114" s="24"/>
      <c r="S1114" s="8"/>
    </row>
    <row r="1115" spans="1:19" s="72" customFormat="1" x14ac:dyDescent="0.2">
      <c r="A1115" s="116" t="s">
        <v>646</v>
      </c>
      <c r="B1115" s="72" t="s">
        <v>597</v>
      </c>
      <c r="C1115" s="79"/>
      <c r="D1115" s="74" t="s">
        <v>19</v>
      </c>
      <c r="E1115" s="75"/>
      <c r="F1115" s="76">
        <v>1</v>
      </c>
      <c r="G1115" s="77" t="s">
        <v>20</v>
      </c>
      <c r="H1115" s="76">
        <v>24</v>
      </c>
      <c r="I1115" s="77" t="s">
        <v>19</v>
      </c>
      <c r="J1115" s="16">
        <v>18200</v>
      </c>
      <c r="K1115" s="74" t="s">
        <v>19</v>
      </c>
      <c r="L1115" s="78">
        <v>0.15</v>
      </c>
      <c r="M1115" s="78">
        <v>0.03</v>
      </c>
      <c r="N1115" s="76"/>
      <c r="O1115" s="77" t="s">
        <v>19</v>
      </c>
      <c r="P1115" s="73">
        <f>(C1115+(E1115*F1115*H1115))-N1115</f>
        <v>0</v>
      </c>
      <c r="Q1115" s="77" t="s">
        <v>19</v>
      </c>
      <c r="R1115" s="16">
        <f>P1115*(J1115-(J1115*L1115)-((J1115-(J1115*L1115))*M1115))</f>
        <v>0</v>
      </c>
      <c r="S1115" s="16">
        <f t="shared" ref="S1115" si="439">R1115/1.11</f>
        <v>0</v>
      </c>
    </row>
    <row r="1116" spans="1:19" x14ac:dyDescent="0.2">
      <c r="C1116" s="20"/>
    </row>
    <row r="1117" spans="1:19" ht="15.75" x14ac:dyDescent="0.25">
      <c r="A1117" s="14" t="s">
        <v>650</v>
      </c>
      <c r="C1117" s="20"/>
    </row>
    <row r="1118" spans="1:19" s="81" customFormat="1" x14ac:dyDescent="0.2">
      <c r="A1118" s="80" t="s">
        <v>651</v>
      </c>
      <c r="B1118" s="81" t="s">
        <v>18</v>
      </c>
      <c r="C1118" s="79"/>
      <c r="D1118" s="82" t="s">
        <v>19</v>
      </c>
      <c r="E1118" s="83"/>
      <c r="F1118" s="84">
        <v>1</v>
      </c>
      <c r="G1118" s="85" t="s">
        <v>20</v>
      </c>
      <c r="H1118" s="84">
        <v>100</v>
      </c>
      <c r="I1118" s="85" t="s">
        <v>19</v>
      </c>
      <c r="J1118" s="86">
        <v>8400</v>
      </c>
      <c r="K1118" s="82" t="s">
        <v>19</v>
      </c>
      <c r="L1118" s="87">
        <v>0.125</v>
      </c>
      <c r="M1118" s="87">
        <v>0.05</v>
      </c>
      <c r="N1118" s="84"/>
      <c r="O1118" s="85" t="s">
        <v>19</v>
      </c>
      <c r="P1118" s="79">
        <f>(C1118+(E1118*F1118*H1118))-N1118</f>
        <v>0</v>
      </c>
      <c r="Q1118" s="85" t="s">
        <v>19</v>
      </c>
      <c r="R1118" s="86">
        <f>P1118*(J1118-(J1118*L1118)-((J1118-(J1118*L1118))*M1118))</f>
        <v>0</v>
      </c>
      <c r="S1118" s="86">
        <f t="shared" ref="S1118" si="440">R1118/1.11</f>
        <v>0</v>
      </c>
    </row>
    <row r="1119" spans="1:19" x14ac:dyDescent="0.2">
      <c r="C1119" s="20"/>
    </row>
    <row r="1120" spans="1:19" ht="15.75" x14ac:dyDescent="0.25">
      <c r="A1120" s="14" t="s">
        <v>801</v>
      </c>
      <c r="C1120" s="20"/>
    </row>
    <row r="1121" spans="1:21" s="19" customFormat="1" x14ac:dyDescent="0.2">
      <c r="A1121" s="18" t="s">
        <v>872</v>
      </c>
      <c r="B1121" s="19" t="s">
        <v>45</v>
      </c>
      <c r="C1121" s="20">
        <v>14</v>
      </c>
      <c r="D1121" s="21" t="s">
        <v>19</v>
      </c>
      <c r="E1121" s="26"/>
      <c r="F1121" s="22">
        <v>4</v>
      </c>
      <c r="G1121" s="23" t="s">
        <v>33</v>
      </c>
      <c r="H1121" s="22">
        <v>12</v>
      </c>
      <c r="I1121" s="23" t="s">
        <v>19</v>
      </c>
      <c r="J1121" s="24"/>
      <c r="K1121" s="21" t="s">
        <v>19</v>
      </c>
      <c r="L1121" s="25">
        <v>0.1</v>
      </c>
      <c r="M1121" s="25">
        <v>0.05</v>
      </c>
      <c r="N1121" s="22"/>
      <c r="O1121" s="23" t="s">
        <v>19</v>
      </c>
      <c r="P1121" s="20">
        <f>(C1121+(E1121*F1121*H1121))-N1121</f>
        <v>14</v>
      </c>
      <c r="Q1121" s="23" t="s">
        <v>19</v>
      </c>
      <c r="R1121" s="24">
        <f>P1121*(J1121-(J1121*L1121)-((J1121-(J1121*L1121))*M1121))</f>
        <v>0</v>
      </c>
      <c r="S1121" s="24">
        <f t="shared" ref="S1121" si="441">R1121/1.11</f>
        <v>0</v>
      </c>
    </row>
    <row r="1122" spans="1:21" x14ac:dyDescent="0.2">
      <c r="A1122" s="2"/>
      <c r="R1122" s="16"/>
      <c r="S1122" s="16"/>
    </row>
    <row r="1123" spans="1:21" ht="15.75" x14ac:dyDescent="0.25">
      <c r="A1123" s="14" t="s">
        <v>944</v>
      </c>
      <c r="R1123" s="16"/>
      <c r="S1123" s="16"/>
    </row>
    <row r="1124" spans="1:21" x14ac:dyDescent="0.2">
      <c r="A1124" s="17" t="s">
        <v>945</v>
      </c>
      <c r="B1124" s="19" t="s">
        <v>181</v>
      </c>
      <c r="D1124" s="4" t="s">
        <v>40</v>
      </c>
      <c r="E1124" s="5">
        <v>10</v>
      </c>
      <c r="F1124" s="6">
        <v>1</v>
      </c>
      <c r="G1124" s="7" t="s">
        <v>20</v>
      </c>
      <c r="H1124" s="6">
        <v>12</v>
      </c>
      <c r="I1124" s="7" t="s">
        <v>40</v>
      </c>
      <c r="J1124" s="24">
        <v>52552.583333333336</v>
      </c>
      <c r="K1124" s="21" t="s">
        <v>40</v>
      </c>
      <c r="L1124" s="25"/>
      <c r="M1124" s="25"/>
      <c r="N1124" s="22"/>
      <c r="O1124" s="23" t="s">
        <v>40</v>
      </c>
      <c r="P1124" s="20">
        <f>(C1124+(E1124*F1124*H1124))-N1124</f>
        <v>120</v>
      </c>
      <c r="Q1124" s="23" t="s">
        <v>40</v>
      </c>
      <c r="R1124" s="24">
        <f>P1124*(J1124-(J1124*L1124)-((J1124-(J1124*L1124))*M1124))</f>
        <v>6306310</v>
      </c>
      <c r="S1124" s="24">
        <f t="shared" ref="S1124" si="442">R1124/1.11</f>
        <v>5681360.3603603598</v>
      </c>
    </row>
    <row r="1125" spans="1:21" x14ac:dyDescent="0.2">
      <c r="J1125" s="24"/>
      <c r="K1125" s="21"/>
      <c r="L1125" s="25"/>
      <c r="M1125" s="25"/>
      <c r="N1125" s="22"/>
      <c r="O1125" s="23"/>
      <c r="P1125" s="20"/>
      <c r="Q1125" s="23"/>
      <c r="R1125" s="24"/>
      <c r="S1125" s="24"/>
    </row>
    <row r="1126" spans="1:21" ht="15.75" x14ac:dyDescent="0.25">
      <c r="A1126" s="14" t="s">
        <v>942</v>
      </c>
      <c r="R1126" s="16"/>
      <c r="S1126" s="16"/>
    </row>
    <row r="1127" spans="1:21" x14ac:dyDescent="0.2">
      <c r="A1127" s="17" t="s">
        <v>943</v>
      </c>
      <c r="B1127" s="2" t="s">
        <v>18</v>
      </c>
      <c r="C1127" s="3">
        <v>80</v>
      </c>
      <c r="D1127" s="4" t="s">
        <v>19</v>
      </c>
      <c r="F1127" s="6">
        <v>1</v>
      </c>
      <c r="G1127" s="7" t="s">
        <v>20</v>
      </c>
      <c r="H1127" s="6">
        <v>50</v>
      </c>
      <c r="I1127" s="7" t="s">
        <v>835</v>
      </c>
      <c r="J1127" s="24">
        <v>40000</v>
      </c>
      <c r="K1127" s="21" t="s">
        <v>19</v>
      </c>
      <c r="L1127" s="25"/>
      <c r="M1127" s="25"/>
      <c r="N1127" s="22"/>
      <c r="O1127" s="23" t="s">
        <v>19</v>
      </c>
      <c r="P1127" s="20">
        <f>(C1127+(E1127*F1127*H1127))-N1127</f>
        <v>80</v>
      </c>
      <c r="Q1127" s="23" t="s">
        <v>19</v>
      </c>
      <c r="R1127" s="24">
        <f>P1127*(J1127-(J1127*L1127)-((J1127-(J1127*L1127))*M1127))</f>
        <v>3200000</v>
      </c>
      <c r="S1127" s="24">
        <f t="shared" ref="S1127" si="443">R1127/1.11</f>
        <v>2882882.8828828828</v>
      </c>
    </row>
    <row r="1128" spans="1:21" x14ac:dyDescent="0.2">
      <c r="J1128" s="24"/>
      <c r="K1128" s="21"/>
      <c r="L1128" s="25"/>
      <c r="M1128" s="25"/>
      <c r="N1128" s="22"/>
      <c r="O1128" s="23"/>
      <c r="P1128" s="20"/>
      <c r="Q1128" s="23"/>
      <c r="R1128" s="24"/>
      <c r="S1128" s="24"/>
    </row>
    <row r="1129" spans="1:21" x14ac:dyDescent="0.2">
      <c r="J1129" s="24"/>
      <c r="K1129" s="21"/>
      <c r="L1129" s="25"/>
      <c r="M1129" s="25"/>
      <c r="N1129" s="22"/>
      <c r="O1129" s="23"/>
      <c r="P1129" s="20"/>
      <c r="Q1129" s="23"/>
      <c r="R1129" s="24"/>
      <c r="S1129" s="24"/>
    </row>
    <row r="1130" spans="1:21" x14ac:dyDescent="0.2">
      <c r="J1130" s="24"/>
      <c r="K1130" s="21"/>
      <c r="L1130" s="25"/>
      <c r="M1130" s="25"/>
      <c r="N1130" s="22"/>
      <c r="O1130" s="23"/>
      <c r="P1130" s="20"/>
      <c r="Q1130" s="23"/>
      <c r="R1130" s="24"/>
      <c r="S1130" s="24"/>
    </row>
    <row r="1131" spans="1:21" x14ac:dyDescent="0.2">
      <c r="J1131" s="24"/>
      <c r="K1131" s="21"/>
      <c r="L1131" s="25"/>
      <c r="M1131" s="25"/>
      <c r="N1131" s="22"/>
      <c r="O1131" s="23"/>
      <c r="P1131" s="20"/>
      <c r="Q1131" s="23"/>
      <c r="R1131" s="24"/>
      <c r="S1131" s="24"/>
    </row>
    <row r="1132" spans="1:21" x14ac:dyDescent="0.2">
      <c r="J1132" s="24"/>
      <c r="K1132" s="21"/>
      <c r="L1132" s="25"/>
      <c r="M1132" s="25"/>
      <c r="N1132" s="22"/>
      <c r="O1132" s="23"/>
      <c r="P1132" s="20"/>
      <c r="Q1132" s="23"/>
      <c r="R1132" s="24"/>
      <c r="S1132" s="24"/>
    </row>
    <row r="1133" spans="1:21" x14ac:dyDescent="0.2">
      <c r="J1133" s="24"/>
      <c r="K1133" s="21"/>
      <c r="L1133" s="25"/>
      <c r="M1133" s="25"/>
      <c r="N1133" s="22"/>
      <c r="O1133" s="23"/>
      <c r="P1133" s="20"/>
      <c r="Q1133" s="23"/>
      <c r="R1133" s="24"/>
      <c r="S1133" s="24"/>
    </row>
    <row r="1134" spans="1:21" ht="16.5" x14ac:dyDescent="0.3">
      <c r="R1134" s="27">
        <f>SUM(R6:R1122)</f>
        <v>11025906421.65</v>
      </c>
      <c r="S1134" s="27">
        <f>SUM(S6:S1122)</f>
        <v>9933249028.5135136</v>
      </c>
      <c r="U1134" s="8"/>
    </row>
    <row r="1135" spans="1:21" x14ac:dyDescent="0.2">
      <c r="R1135" s="30"/>
      <c r="S1135" s="28"/>
      <c r="U1135" s="37"/>
    </row>
    <row r="1136" spans="1:21" x14ac:dyDescent="0.2">
      <c r="R1136" s="63"/>
      <c r="S1136" s="62"/>
      <c r="U1136" s="37"/>
    </row>
    <row r="1137" spans="18:19" ht="15.75" x14ac:dyDescent="0.25">
      <c r="R1137" s="64"/>
      <c r="S1137" s="64"/>
    </row>
    <row r="1138" spans="18:19" x14ac:dyDescent="0.2">
      <c r="R1138" s="29"/>
      <c r="S1138" s="29"/>
    </row>
    <row r="1139" spans="18:19" x14ac:dyDescent="0.2">
      <c r="S1139" s="39"/>
    </row>
    <row r="1140" spans="18:19" x14ac:dyDescent="0.2">
      <c r="R1140" s="40"/>
    </row>
  </sheetData>
  <sortState ref="A57:U103">
    <sortCondition ref="A57"/>
  </sortState>
  <mergeCells count="12">
    <mergeCell ref="A2:A3"/>
    <mergeCell ref="B2:B3"/>
    <mergeCell ref="C2:D3"/>
    <mergeCell ref="E2:E3"/>
    <mergeCell ref="F2:I2"/>
    <mergeCell ref="N2:O3"/>
    <mergeCell ref="P2:Q3"/>
    <mergeCell ref="R2:R3"/>
    <mergeCell ref="S2:S3"/>
    <mergeCell ref="F3:G3"/>
    <mergeCell ref="H3:I3"/>
    <mergeCell ref="J2:M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2022-10-22T03:21:21Z</cp:lastPrinted>
  <dcterms:created xsi:type="dcterms:W3CDTF">2022-05-18T09:19:05Z</dcterms:created>
  <dcterms:modified xsi:type="dcterms:W3CDTF">2023-06-03T09:17:39Z</dcterms:modified>
</cp:coreProperties>
</file>