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J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45" i="1" l="1"/>
  <c r="R445" i="1" s="1"/>
  <c r="J919" i="1"/>
  <c r="J918" i="1"/>
  <c r="P918" i="1"/>
  <c r="R918" i="1" s="1"/>
  <c r="S918" i="1" s="1"/>
  <c r="P964" i="1"/>
  <c r="R964" i="1" s="1"/>
  <c r="S964" i="1" s="1"/>
  <c r="P961" i="1"/>
  <c r="R961" i="1" s="1"/>
  <c r="S961" i="1" s="1"/>
  <c r="P958" i="1"/>
  <c r="R958" i="1" s="1"/>
  <c r="S958" i="1" s="1"/>
  <c r="P956" i="1"/>
  <c r="R956" i="1" s="1"/>
  <c r="S956" i="1" s="1"/>
  <c r="P954" i="1"/>
  <c r="J954" i="1"/>
  <c r="P953" i="1"/>
  <c r="J953" i="1"/>
  <c r="P952" i="1"/>
  <c r="J952" i="1"/>
  <c r="P951" i="1"/>
  <c r="J951" i="1"/>
  <c r="P950" i="1"/>
  <c r="R950" i="1" s="1"/>
  <c r="S950" i="1" s="1"/>
  <c r="P949" i="1"/>
  <c r="J949" i="1"/>
  <c r="P948" i="1"/>
  <c r="J948" i="1"/>
  <c r="P947" i="1"/>
  <c r="J947" i="1"/>
  <c r="P946" i="1"/>
  <c r="J946" i="1"/>
  <c r="P944" i="1"/>
  <c r="R944" i="1" s="1"/>
  <c r="S944" i="1" s="1"/>
  <c r="P943" i="1"/>
  <c r="R943" i="1" s="1"/>
  <c r="S943" i="1" s="1"/>
  <c r="P942" i="1"/>
  <c r="R942" i="1" s="1"/>
  <c r="S942" i="1" s="1"/>
  <c r="P941" i="1"/>
  <c r="R941" i="1" s="1"/>
  <c r="S941" i="1" s="1"/>
  <c r="P940" i="1"/>
  <c r="R940" i="1" s="1"/>
  <c r="S940" i="1" s="1"/>
  <c r="P939" i="1"/>
  <c r="R939" i="1" s="1"/>
  <c r="S939" i="1" s="1"/>
  <c r="P938" i="1"/>
  <c r="R938" i="1" s="1"/>
  <c r="S938" i="1" s="1"/>
  <c r="P937" i="1"/>
  <c r="R937" i="1" s="1"/>
  <c r="S937" i="1" s="1"/>
  <c r="P936" i="1"/>
  <c r="R936" i="1" s="1"/>
  <c r="S936" i="1" s="1"/>
  <c r="P935" i="1"/>
  <c r="R935" i="1" s="1"/>
  <c r="S935" i="1" s="1"/>
  <c r="P934" i="1"/>
  <c r="R934" i="1" s="1"/>
  <c r="S934" i="1" s="1"/>
  <c r="P933" i="1"/>
  <c r="R933" i="1" s="1"/>
  <c r="S933" i="1" s="1"/>
  <c r="P930" i="1"/>
  <c r="J930" i="1"/>
  <c r="P929" i="1"/>
  <c r="J929" i="1"/>
  <c r="P928" i="1"/>
  <c r="J928" i="1"/>
  <c r="P927" i="1"/>
  <c r="J927" i="1"/>
  <c r="P926" i="1"/>
  <c r="J926" i="1"/>
  <c r="P924" i="1"/>
  <c r="R924" i="1" s="1"/>
  <c r="S924" i="1" s="1"/>
  <c r="S923" i="1"/>
  <c r="P921" i="1"/>
  <c r="J921" i="1"/>
  <c r="P920" i="1"/>
  <c r="J920" i="1"/>
  <c r="P919" i="1"/>
  <c r="P915" i="1"/>
  <c r="R915" i="1" s="1"/>
  <c r="S915" i="1" s="1"/>
  <c r="S914" i="1"/>
  <c r="P912" i="1"/>
  <c r="R912" i="1" s="1"/>
  <c r="S912" i="1" s="1"/>
  <c r="P911" i="1"/>
  <c r="R911" i="1" s="1"/>
  <c r="S911" i="1" s="1"/>
  <c r="P910" i="1"/>
  <c r="J910" i="1"/>
  <c r="P909" i="1"/>
  <c r="J909" i="1"/>
  <c r="P907" i="1"/>
  <c r="R907" i="1" s="1"/>
  <c r="S907" i="1" s="1"/>
  <c r="P906" i="1"/>
  <c r="R906" i="1" s="1"/>
  <c r="S906" i="1" s="1"/>
  <c r="P904" i="1"/>
  <c r="R904" i="1" s="1"/>
  <c r="S904" i="1" s="1"/>
  <c r="P903" i="1"/>
  <c r="R903" i="1" s="1"/>
  <c r="S903" i="1" s="1"/>
  <c r="P902" i="1"/>
  <c r="R902" i="1" s="1"/>
  <c r="S902" i="1" s="1"/>
  <c r="P898" i="1"/>
  <c r="J898" i="1"/>
  <c r="P895" i="1"/>
  <c r="J895" i="1"/>
  <c r="P894" i="1"/>
  <c r="J894" i="1"/>
  <c r="P893" i="1"/>
  <c r="R893" i="1" s="1"/>
  <c r="S893" i="1" s="1"/>
  <c r="P892" i="1"/>
  <c r="R892" i="1" s="1"/>
  <c r="S892" i="1" s="1"/>
  <c r="J891" i="1"/>
  <c r="P891" i="1"/>
  <c r="J890" i="1"/>
  <c r="P890" i="1"/>
  <c r="P888" i="1"/>
  <c r="R888" i="1" s="1"/>
  <c r="S888" i="1" s="1"/>
  <c r="P887" i="1"/>
  <c r="R887" i="1" s="1"/>
  <c r="S887" i="1" s="1"/>
  <c r="P886" i="1"/>
  <c r="R886" i="1" s="1"/>
  <c r="S886" i="1" s="1"/>
  <c r="P885" i="1"/>
  <c r="R885" i="1" s="1"/>
  <c r="S885" i="1" s="1"/>
  <c r="P884" i="1"/>
  <c r="R884" i="1" s="1"/>
  <c r="S884" i="1" s="1"/>
  <c r="P882" i="1"/>
  <c r="R882" i="1" s="1"/>
  <c r="S882" i="1" s="1"/>
  <c r="P881" i="1"/>
  <c r="R881" i="1" s="1"/>
  <c r="S881" i="1" s="1"/>
  <c r="P880" i="1"/>
  <c r="R880" i="1" s="1"/>
  <c r="S880" i="1" s="1"/>
  <c r="P879" i="1"/>
  <c r="R879" i="1" s="1"/>
  <c r="S879" i="1" s="1"/>
  <c r="P878" i="1"/>
  <c r="R878" i="1" s="1"/>
  <c r="S878" i="1" s="1"/>
  <c r="P876" i="1"/>
  <c r="R876" i="1" s="1"/>
  <c r="S876" i="1" s="1"/>
  <c r="P873" i="1"/>
  <c r="R873" i="1" s="1"/>
  <c r="S873" i="1" s="1"/>
  <c r="P870" i="1"/>
  <c r="R870" i="1" s="1"/>
  <c r="S870" i="1" s="1"/>
  <c r="P869" i="1"/>
  <c r="R869" i="1" s="1"/>
  <c r="S869" i="1" s="1"/>
  <c r="P868" i="1"/>
  <c r="R868" i="1" s="1"/>
  <c r="S868" i="1" s="1"/>
  <c r="P866" i="1"/>
  <c r="J866" i="1"/>
  <c r="P865" i="1"/>
  <c r="J865" i="1"/>
  <c r="P864" i="1"/>
  <c r="J864" i="1"/>
  <c r="P862" i="1"/>
  <c r="R862" i="1" s="1"/>
  <c r="S862" i="1" s="1"/>
  <c r="P860" i="1"/>
  <c r="R860" i="1" s="1"/>
  <c r="S860" i="1" s="1"/>
  <c r="P859" i="1"/>
  <c r="R859" i="1" s="1"/>
  <c r="S859" i="1" s="1"/>
  <c r="P856" i="1"/>
  <c r="R856" i="1" s="1"/>
  <c r="S856" i="1" s="1"/>
  <c r="P854" i="1"/>
  <c r="R854" i="1" s="1"/>
  <c r="S854" i="1" s="1"/>
  <c r="P853" i="1"/>
  <c r="R853" i="1" s="1"/>
  <c r="S853" i="1" s="1"/>
  <c r="P852" i="1"/>
  <c r="R852" i="1" s="1"/>
  <c r="S852" i="1" s="1"/>
  <c r="P851" i="1"/>
  <c r="R851" i="1" s="1"/>
  <c r="S851" i="1" s="1"/>
  <c r="P850" i="1"/>
  <c r="R850" i="1" s="1"/>
  <c r="S850" i="1" s="1"/>
  <c r="P848" i="1"/>
  <c r="J848" i="1"/>
  <c r="P847" i="1"/>
  <c r="J847" i="1"/>
  <c r="J846" i="1"/>
  <c r="P846" i="1"/>
  <c r="P845" i="1"/>
  <c r="J845" i="1"/>
  <c r="P844" i="1"/>
  <c r="R844" i="1" s="1"/>
  <c r="S844" i="1" s="1"/>
  <c r="P843" i="1"/>
  <c r="J843" i="1"/>
  <c r="P842" i="1"/>
  <c r="J842" i="1"/>
  <c r="J841" i="1"/>
  <c r="P841" i="1"/>
  <c r="P840" i="1"/>
  <c r="J840" i="1"/>
  <c r="P839" i="1"/>
  <c r="J839" i="1"/>
  <c r="P838" i="1"/>
  <c r="R838" i="1" s="1"/>
  <c r="S838" i="1" s="1"/>
  <c r="P837" i="1"/>
  <c r="J837" i="1"/>
  <c r="P836" i="1"/>
  <c r="J836" i="1"/>
  <c r="P835" i="1"/>
  <c r="J835" i="1"/>
  <c r="P834" i="1"/>
  <c r="J834" i="1"/>
  <c r="P833" i="1"/>
  <c r="J833" i="1"/>
  <c r="P832" i="1"/>
  <c r="J832" i="1"/>
  <c r="P831" i="1"/>
  <c r="J831" i="1"/>
  <c r="P830" i="1"/>
  <c r="J830" i="1"/>
  <c r="P828" i="1"/>
  <c r="R828" i="1" s="1"/>
  <c r="S828" i="1" s="1"/>
  <c r="P827" i="1"/>
  <c r="R827" i="1" s="1"/>
  <c r="S827" i="1" s="1"/>
  <c r="P826" i="1"/>
  <c r="R826" i="1" s="1"/>
  <c r="S826" i="1" s="1"/>
  <c r="P825" i="1"/>
  <c r="R825" i="1" s="1"/>
  <c r="S825" i="1" s="1"/>
  <c r="P824" i="1"/>
  <c r="R824" i="1" s="1"/>
  <c r="S824" i="1" s="1"/>
  <c r="P823" i="1"/>
  <c r="R823" i="1" s="1"/>
  <c r="S823" i="1" s="1"/>
  <c r="P822" i="1"/>
  <c r="R822" i="1" s="1"/>
  <c r="S822" i="1" s="1"/>
  <c r="P821" i="1"/>
  <c r="R821" i="1" s="1"/>
  <c r="S821" i="1" s="1"/>
  <c r="P820" i="1"/>
  <c r="R820" i="1" s="1"/>
  <c r="S820" i="1" s="1"/>
  <c r="P819" i="1"/>
  <c r="J819" i="1"/>
  <c r="P818" i="1"/>
  <c r="R818" i="1" s="1"/>
  <c r="S818" i="1" s="1"/>
  <c r="P817" i="1"/>
  <c r="R817" i="1" s="1"/>
  <c r="S817" i="1" s="1"/>
  <c r="P816" i="1"/>
  <c r="R816" i="1" s="1"/>
  <c r="S816" i="1" s="1"/>
  <c r="P813" i="1"/>
  <c r="J813" i="1"/>
  <c r="P811" i="1"/>
  <c r="R811" i="1" s="1"/>
  <c r="S811" i="1" s="1"/>
  <c r="P810" i="1"/>
  <c r="R810" i="1" s="1"/>
  <c r="S810" i="1" s="1"/>
  <c r="P806" i="1"/>
  <c r="J806" i="1"/>
  <c r="P805" i="1"/>
  <c r="J805" i="1"/>
  <c r="P803" i="1"/>
  <c r="R803" i="1" s="1"/>
  <c r="S803" i="1" s="1"/>
  <c r="P802" i="1"/>
  <c r="J802" i="1"/>
  <c r="P801" i="1"/>
  <c r="J801" i="1"/>
  <c r="P800" i="1"/>
  <c r="J800" i="1"/>
  <c r="P797" i="1"/>
  <c r="J797" i="1"/>
  <c r="P796" i="1"/>
  <c r="J796" i="1"/>
  <c r="P795" i="1"/>
  <c r="R795" i="1" s="1"/>
  <c r="S795" i="1" s="1"/>
  <c r="P794" i="1"/>
  <c r="R794" i="1" s="1"/>
  <c r="S794" i="1" s="1"/>
  <c r="P793" i="1"/>
  <c r="J793" i="1"/>
  <c r="P792" i="1"/>
  <c r="J792" i="1"/>
  <c r="P790" i="1"/>
  <c r="R790" i="1" s="1"/>
  <c r="S790" i="1" s="1"/>
  <c r="P789" i="1"/>
  <c r="R789" i="1" s="1"/>
  <c r="S789" i="1" s="1"/>
  <c r="P785" i="1"/>
  <c r="R785" i="1" s="1"/>
  <c r="S785" i="1" s="1"/>
  <c r="P783" i="1"/>
  <c r="R783" i="1" s="1"/>
  <c r="S783" i="1" s="1"/>
  <c r="P781" i="1"/>
  <c r="R781" i="1" s="1"/>
  <c r="S781" i="1" s="1"/>
  <c r="P779" i="1"/>
  <c r="R779" i="1" s="1"/>
  <c r="S779" i="1" s="1"/>
  <c r="P778" i="1"/>
  <c r="J778" i="1"/>
  <c r="P777" i="1"/>
  <c r="J777" i="1"/>
  <c r="P775" i="1"/>
  <c r="R775" i="1" s="1"/>
  <c r="S775" i="1" s="1"/>
  <c r="P774" i="1"/>
  <c r="R774" i="1" s="1"/>
  <c r="S774" i="1" s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J763" i="1"/>
  <c r="P763" i="1"/>
  <c r="P762" i="1"/>
  <c r="J762" i="1"/>
  <c r="P760" i="1"/>
  <c r="R760" i="1" s="1"/>
  <c r="S760" i="1" s="1"/>
  <c r="P759" i="1"/>
  <c r="R759" i="1" s="1"/>
  <c r="S759" i="1" s="1"/>
  <c r="P758" i="1"/>
  <c r="R758" i="1" s="1"/>
  <c r="S758" i="1" s="1"/>
  <c r="P757" i="1"/>
  <c r="R757" i="1" s="1"/>
  <c r="S757" i="1" s="1"/>
  <c r="P756" i="1"/>
  <c r="R756" i="1" s="1"/>
  <c r="S756" i="1" s="1"/>
  <c r="P755" i="1"/>
  <c r="R755" i="1" s="1"/>
  <c r="S755" i="1" s="1"/>
  <c r="P752" i="1"/>
  <c r="J752" i="1"/>
  <c r="P750" i="1"/>
  <c r="R750" i="1" s="1"/>
  <c r="S750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R743" i="1" s="1"/>
  <c r="S743" i="1" s="1"/>
  <c r="P742" i="1"/>
  <c r="R742" i="1" s="1"/>
  <c r="S742" i="1" s="1"/>
  <c r="P740" i="1"/>
  <c r="R740" i="1" s="1"/>
  <c r="S740" i="1" s="1"/>
  <c r="P739" i="1"/>
  <c r="R739" i="1" s="1"/>
  <c r="S739" i="1" s="1"/>
  <c r="P738" i="1"/>
  <c r="R738" i="1" s="1"/>
  <c r="S738" i="1" s="1"/>
  <c r="P737" i="1"/>
  <c r="R737" i="1" s="1"/>
  <c r="S737" i="1" s="1"/>
  <c r="P736" i="1"/>
  <c r="R736" i="1" s="1"/>
  <c r="S736" i="1" s="1"/>
  <c r="P735" i="1"/>
  <c r="R735" i="1" s="1"/>
  <c r="S735" i="1" s="1"/>
  <c r="P733" i="1"/>
  <c r="J733" i="1"/>
  <c r="P731" i="1"/>
  <c r="R731" i="1" s="1"/>
  <c r="S731" i="1" s="1"/>
  <c r="P730" i="1"/>
  <c r="R730" i="1" s="1"/>
  <c r="S730" i="1" s="1"/>
  <c r="P729" i="1"/>
  <c r="R729" i="1" s="1"/>
  <c r="S729" i="1" s="1"/>
  <c r="P726" i="1"/>
  <c r="R726" i="1" s="1"/>
  <c r="S726" i="1" s="1"/>
  <c r="P725" i="1"/>
  <c r="J725" i="1"/>
  <c r="P724" i="1"/>
  <c r="J724" i="1"/>
  <c r="P723" i="1"/>
  <c r="J723" i="1"/>
  <c r="P722" i="1"/>
  <c r="J722" i="1"/>
  <c r="P721" i="1"/>
  <c r="J721" i="1"/>
  <c r="P720" i="1"/>
  <c r="J720" i="1"/>
  <c r="P719" i="1"/>
  <c r="J719" i="1"/>
  <c r="P718" i="1"/>
  <c r="J718" i="1"/>
  <c r="J717" i="1"/>
  <c r="P717" i="1"/>
  <c r="J716" i="1"/>
  <c r="P716" i="1"/>
  <c r="P715" i="1"/>
  <c r="J715" i="1"/>
  <c r="P713" i="1"/>
  <c r="R713" i="1" s="1"/>
  <c r="S713" i="1" s="1"/>
  <c r="P712" i="1"/>
  <c r="R712" i="1" s="1"/>
  <c r="S712" i="1" s="1"/>
  <c r="P711" i="1"/>
  <c r="R711" i="1" s="1"/>
  <c r="S711" i="1" s="1"/>
  <c r="P710" i="1"/>
  <c r="R710" i="1" s="1"/>
  <c r="S710" i="1" s="1"/>
  <c r="P709" i="1"/>
  <c r="R709" i="1" s="1"/>
  <c r="S709" i="1" s="1"/>
  <c r="P708" i="1"/>
  <c r="R708" i="1" s="1"/>
  <c r="S708" i="1" s="1"/>
  <c r="P707" i="1"/>
  <c r="R707" i="1" s="1"/>
  <c r="S707" i="1" s="1"/>
  <c r="P706" i="1"/>
  <c r="R706" i="1" s="1"/>
  <c r="S706" i="1" s="1"/>
  <c r="P705" i="1"/>
  <c r="R705" i="1" s="1"/>
  <c r="S705" i="1" s="1"/>
  <c r="P704" i="1"/>
  <c r="R704" i="1" s="1"/>
  <c r="S704" i="1" s="1"/>
  <c r="P703" i="1"/>
  <c r="R703" i="1" s="1"/>
  <c r="S703" i="1" s="1"/>
  <c r="P702" i="1"/>
  <c r="R702" i="1" s="1"/>
  <c r="S702" i="1" s="1"/>
  <c r="P701" i="1"/>
  <c r="R701" i="1" s="1"/>
  <c r="S701" i="1" s="1"/>
  <c r="P700" i="1"/>
  <c r="R700" i="1" s="1"/>
  <c r="S700" i="1" s="1"/>
  <c r="H697" i="1"/>
  <c r="P697" i="1" s="1"/>
  <c r="R697" i="1" s="1"/>
  <c r="S697" i="1" s="1"/>
  <c r="P695" i="1"/>
  <c r="J695" i="1"/>
  <c r="P694" i="1"/>
  <c r="R694" i="1" s="1"/>
  <c r="S694" i="1" s="1"/>
  <c r="P693" i="1"/>
  <c r="J693" i="1"/>
  <c r="P691" i="1"/>
  <c r="R691" i="1" s="1"/>
  <c r="S691" i="1" s="1"/>
  <c r="P690" i="1"/>
  <c r="R690" i="1" s="1"/>
  <c r="S690" i="1" s="1"/>
  <c r="P689" i="1"/>
  <c r="R689" i="1" s="1"/>
  <c r="S689" i="1" s="1"/>
  <c r="P688" i="1"/>
  <c r="R688" i="1" s="1"/>
  <c r="S688" i="1" s="1"/>
  <c r="P687" i="1"/>
  <c r="R687" i="1" s="1"/>
  <c r="S687" i="1" s="1"/>
  <c r="P686" i="1"/>
  <c r="R686" i="1" s="1"/>
  <c r="S686" i="1" s="1"/>
  <c r="P683" i="1"/>
  <c r="R683" i="1" s="1"/>
  <c r="S683" i="1" s="1"/>
  <c r="P682" i="1"/>
  <c r="R682" i="1" s="1"/>
  <c r="S682" i="1" s="1"/>
  <c r="P681" i="1"/>
  <c r="R681" i="1" s="1"/>
  <c r="S681" i="1" s="1"/>
  <c r="P679" i="1"/>
  <c r="J679" i="1"/>
  <c r="P678" i="1"/>
  <c r="J678" i="1"/>
  <c r="P677" i="1"/>
  <c r="R677" i="1" s="1"/>
  <c r="S677" i="1" s="1"/>
  <c r="P676" i="1"/>
  <c r="J676" i="1"/>
  <c r="P675" i="1"/>
  <c r="J675" i="1"/>
  <c r="P673" i="1"/>
  <c r="R673" i="1" s="1"/>
  <c r="S673" i="1" s="1"/>
  <c r="P672" i="1"/>
  <c r="R672" i="1" s="1"/>
  <c r="S672" i="1" s="1"/>
  <c r="P671" i="1"/>
  <c r="R671" i="1" s="1"/>
  <c r="S671" i="1" s="1"/>
  <c r="P670" i="1"/>
  <c r="R670" i="1" s="1"/>
  <c r="S670" i="1" s="1"/>
  <c r="P669" i="1"/>
  <c r="R669" i="1" s="1"/>
  <c r="S669" i="1" s="1"/>
  <c r="P668" i="1"/>
  <c r="R668" i="1" s="1"/>
  <c r="S668" i="1" s="1"/>
  <c r="P667" i="1"/>
  <c r="R667" i="1" s="1"/>
  <c r="S667" i="1" s="1"/>
  <c r="P664" i="1"/>
  <c r="R664" i="1" s="1"/>
  <c r="S664" i="1" s="1"/>
  <c r="P663" i="1"/>
  <c r="R663" i="1" s="1"/>
  <c r="S663" i="1" s="1"/>
  <c r="P660" i="1"/>
  <c r="R660" i="1" s="1"/>
  <c r="S660" i="1" s="1"/>
  <c r="P659" i="1"/>
  <c r="R659" i="1" s="1"/>
  <c r="S659" i="1" s="1"/>
  <c r="P658" i="1"/>
  <c r="R658" i="1" s="1"/>
  <c r="S658" i="1" s="1"/>
  <c r="P657" i="1"/>
  <c r="R657" i="1" s="1"/>
  <c r="S657" i="1" s="1"/>
  <c r="P656" i="1"/>
  <c r="R656" i="1" s="1"/>
  <c r="S656" i="1" s="1"/>
  <c r="P653" i="1"/>
  <c r="R653" i="1" s="1"/>
  <c r="S653" i="1" s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J643" i="1"/>
  <c r="P643" i="1"/>
  <c r="P642" i="1"/>
  <c r="J642" i="1"/>
  <c r="P641" i="1"/>
  <c r="R641" i="1" s="1"/>
  <c r="S641" i="1" s="1"/>
  <c r="P640" i="1"/>
  <c r="J640" i="1"/>
  <c r="P639" i="1"/>
  <c r="J639" i="1"/>
  <c r="J638" i="1"/>
  <c r="P638" i="1"/>
  <c r="J637" i="1"/>
  <c r="P637" i="1"/>
  <c r="P636" i="1"/>
  <c r="J636" i="1"/>
  <c r="P635" i="1"/>
  <c r="J635" i="1"/>
  <c r="P634" i="1"/>
  <c r="J634" i="1"/>
  <c r="P633" i="1"/>
  <c r="J633" i="1"/>
  <c r="P631" i="1"/>
  <c r="R631" i="1" s="1"/>
  <c r="S631" i="1" s="1"/>
  <c r="P630" i="1"/>
  <c r="R630" i="1" s="1"/>
  <c r="S630" i="1" s="1"/>
  <c r="P629" i="1"/>
  <c r="R629" i="1" s="1"/>
  <c r="S629" i="1" s="1"/>
  <c r="P628" i="1"/>
  <c r="R628" i="1" s="1"/>
  <c r="S628" i="1" s="1"/>
  <c r="P627" i="1"/>
  <c r="R627" i="1" s="1"/>
  <c r="S627" i="1" s="1"/>
  <c r="P626" i="1"/>
  <c r="R626" i="1" s="1"/>
  <c r="S626" i="1" s="1"/>
  <c r="P622" i="1"/>
  <c r="R622" i="1" s="1"/>
  <c r="S622" i="1" s="1"/>
  <c r="P621" i="1"/>
  <c r="R621" i="1" s="1"/>
  <c r="S621" i="1" s="1"/>
  <c r="P620" i="1"/>
  <c r="R620" i="1" s="1"/>
  <c r="S620" i="1" s="1"/>
  <c r="P619" i="1"/>
  <c r="R619" i="1" s="1"/>
  <c r="S619" i="1" s="1"/>
  <c r="P618" i="1"/>
  <c r="R618" i="1" s="1"/>
  <c r="S618" i="1" s="1"/>
  <c r="P615" i="1"/>
  <c r="R615" i="1" s="1"/>
  <c r="S615" i="1" s="1"/>
  <c r="P614" i="1"/>
  <c r="R614" i="1" s="1"/>
  <c r="S614" i="1" s="1"/>
  <c r="P612" i="1"/>
  <c r="J612" i="1"/>
  <c r="P609" i="1"/>
  <c r="J609" i="1"/>
  <c r="P608" i="1"/>
  <c r="J608" i="1"/>
  <c r="P606" i="1"/>
  <c r="R606" i="1" s="1"/>
  <c r="S606" i="1" s="1"/>
  <c r="P603" i="1"/>
  <c r="R603" i="1" s="1"/>
  <c r="S603" i="1" s="1"/>
  <c r="P601" i="1"/>
  <c r="J601" i="1"/>
  <c r="P600" i="1"/>
  <c r="J600" i="1"/>
  <c r="P598" i="1"/>
  <c r="R598" i="1" s="1"/>
  <c r="S598" i="1" s="1"/>
  <c r="P596" i="1"/>
  <c r="R596" i="1" s="1"/>
  <c r="S596" i="1" s="1"/>
  <c r="P595" i="1"/>
  <c r="J595" i="1"/>
  <c r="P592" i="1"/>
  <c r="J592" i="1"/>
  <c r="P591" i="1"/>
  <c r="J591" i="1"/>
  <c r="P590" i="1"/>
  <c r="J590" i="1"/>
  <c r="P588" i="1"/>
  <c r="R588" i="1" s="1"/>
  <c r="S588" i="1" s="1"/>
  <c r="P585" i="1"/>
  <c r="J585" i="1"/>
  <c r="P584" i="1"/>
  <c r="J584" i="1"/>
  <c r="P582" i="1"/>
  <c r="R582" i="1" s="1"/>
  <c r="S582" i="1" s="1"/>
  <c r="P581" i="1"/>
  <c r="R581" i="1" s="1"/>
  <c r="S581" i="1" s="1"/>
  <c r="P580" i="1"/>
  <c r="R580" i="1" s="1"/>
  <c r="S580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3" i="1"/>
  <c r="R573" i="1" s="1"/>
  <c r="S573" i="1" s="1"/>
  <c r="P572" i="1"/>
  <c r="R572" i="1" s="1"/>
  <c r="S572" i="1" s="1"/>
  <c r="P570" i="1"/>
  <c r="R570" i="1" s="1"/>
  <c r="S570" i="1" s="1"/>
  <c r="P568" i="1"/>
  <c r="R568" i="1" s="1"/>
  <c r="S568" i="1" s="1"/>
  <c r="P567" i="1"/>
  <c r="R567" i="1" s="1"/>
  <c r="S567" i="1" s="1"/>
  <c r="P566" i="1"/>
  <c r="R566" i="1" s="1"/>
  <c r="S566" i="1" s="1"/>
  <c r="P565" i="1"/>
  <c r="R565" i="1" s="1"/>
  <c r="S565" i="1" s="1"/>
  <c r="P564" i="1"/>
  <c r="R564" i="1" s="1"/>
  <c r="S564" i="1" s="1"/>
  <c r="P563" i="1"/>
  <c r="R563" i="1" s="1"/>
  <c r="S563" i="1" s="1"/>
  <c r="P562" i="1"/>
  <c r="R562" i="1" s="1"/>
  <c r="S562" i="1" s="1"/>
  <c r="P561" i="1"/>
  <c r="R561" i="1" s="1"/>
  <c r="S561" i="1" s="1"/>
  <c r="P560" i="1"/>
  <c r="R560" i="1" s="1"/>
  <c r="S560" i="1" s="1"/>
  <c r="P559" i="1"/>
  <c r="R559" i="1" s="1"/>
  <c r="S559" i="1" s="1"/>
  <c r="P558" i="1"/>
  <c r="R558" i="1" s="1"/>
  <c r="S558" i="1" s="1"/>
  <c r="P557" i="1"/>
  <c r="R557" i="1" s="1"/>
  <c r="S557" i="1" s="1"/>
  <c r="P556" i="1"/>
  <c r="R556" i="1" s="1"/>
  <c r="S556" i="1" s="1"/>
  <c r="P555" i="1"/>
  <c r="R555" i="1" s="1"/>
  <c r="S555" i="1" s="1"/>
  <c r="P554" i="1"/>
  <c r="R554" i="1" s="1"/>
  <c r="S554" i="1" s="1"/>
  <c r="P553" i="1"/>
  <c r="R553" i="1" s="1"/>
  <c r="S553" i="1" s="1"/>
  <c r="P552" i="1"/>
  <c r="R552" i="1" s="1"/>
  <c r="S552" i="1" s="1"/>
  <c r="P551" i="1"/>
  <c r="R551" i="1" s="1"/>
  <c r="S551" i="1" s="1"/>
  <c r="P550" i="1"/>
  <c r="R550" i="1" s="1"/>
  <c r="S550" i="1" s="1"/>
  <c r="P549" i="1"/>
  <c r="R549" i="1" s="1"/>
  <c r="S549" i="1" s="1"/>
  <c r="P548" i="1"/>
  <c r="R548" i="1" s="1"/>
  <c r="S548" i="1" s="1"/>
  <c r="P547" i="1"/>
  <c r="R547" i="1" s="1"/>
  <c r="S547" i="1" s="1"/>
  <c r="P546" i="1"/>
  <c r="R546" i="1" s="1"/>
  <c r="S546" i="1" s="1"/>
  <c r="P545" i="1"/>
  <c r="R545" i="1" s="1"/>
  <c r="S545" i="1" s="1"/>
  <c r="P544" i="1"/>
  <c r="J544" i="1"/>
  <c r="P543" i="1"/>
  <c r="R543" i="1" s="1"/>
  <c r="S543" i="1" s="1"/>
  <c r="P542" i="1"/>
  <c r="R542" i="1" s="1"/>
  <c r="S542" i="1" s="1"/>
  <c r="P541" i="1"/>
  <c r="R541" i="1" s="1"/>
  <c r="S541" i="1" s="1"/>
  <c r="P539" i="1"/>
  <c r="J539" i="1"/>
  <c r="P538" i="1"/>
  <c r="J538" i="1"/>
  <c r="P537" i="1"/>
  <c r="J537" i="1"/>
  <c r="P536" i="1"/>
  <c r="J536" i="1"/>
  <c r="J535" i="1"/>
  <c r="P535" i="1"/>
  <c r="P534" i="1"/>
  <c r="J534" i="1"/>
  <c r="P533" i="1"/>
  <c r="J533" i="1"/>
  <c r="P532" i="1"/>
  <c r="J532" i="1"/>
  <c r="P531" i="1"/>
  <c r="R531" i="1" s="1"/>
  <c r="S531" i="1" s="1"/>
  <c r="P530" i="1"/>
  <c r="J530" i="1"/>
  <c r="J529" i="1"/>
  <c r="P529" i="1"/>
  <c r="P528" i="1"/>
  <c r="J528" i="1"/>
  <c r="P527" i="1"/>
  <c r="J527" i="1"/>
  <c r="P526" i="1"/>
  <c r="J526" i="1"/>
  <c r="P525" i="1"/>
  <c r="J525" i="1"/>
  <c r="P524" i="1"/>
  <c r="J524" i="1"/>
  <c r="P523" i="1"/>
  <c r="J523" i="1"/>
  <c r="P522" i="1"/>
  <c r="J522" i="1"/>
  <c r="P521" i="1"/>
  <c r="J521" i="1"/>
  <c r="P520" i="1"/>
  <c r="J520" i="1"/>
  <c r="P519" i="1"/>
  <c r="J519" i="1"/>
  <c r="P518" i="1"/>
  <c r="R518" i="1" s="1"/>
  <c r="S518" i="1" s="1"/>
  <c r="P517" i="1"/>
  <c r="J517" i="1"/>
  <c r="P516" i="1"/>
  <c r="J516" i="1"/>
  <c r="P515" i="1"/>
  <c r="R515" i="1" s="1"/>
  <c r="S515" i="1" s="1"/>
  <c r="P513" i="1"/>
  <c r="R513" i="1" s="1"/>
  <c r="S513" i="1" s="1"/>
  <c r="P512" i="1"/>
  <c r="R512" i="1" s="1"/>
  <c r="S512" i="1" s="1"/>
  <c r="P511" i="1"/>
  <c r="R511" i="1" s="1"/>
  <c r="S511" i="1" s="1"/>
  <c r="P510" i="1"/>
  <c r="R510" i="1" s="1"/>
  <c r="S510" i="1" s="1"/>
  <c r="P509" i="1"/>
  <c r="R509" i="1" s="1"/>
  <c r="S509" i="1" s="1"/>
  <c r="P508" i="1"/>
  <c r="R508" i="1" s="1"/>
  <c r="S508" i="1" s="1"/>
  <c r="P507" i="1"/>
  <c r="R507" i="1" s="1"/>
  <c r="S507" i="1" s="1"/>
  <c r="P506" i="1"/>
  <c r="R506" i="1" s="1"/>
  <c r="S506" i="1" s="1"/>
  <c r="P505" i="1"/>
  <c r="R505" i="1" s="1"/>
  <c r="S505" i="1" s="1"/>
  <c r="P504" i="1"/>
  <c r="R504" i="1" s="1"/>
  <c r="S504" i="1" s="1"/>
  <c r="P503" i="1"/>
  <c r="R503" i="1" s="1"/>
  <c r="S503" i="1" s="1"/>
  <c r="P502" i="1"/>
  <c r="R502" i="1" s="1"/>
  <c r="S502" i="1" s="1"/>
  <c r="P501" i="1"/>
  <c r="R501" i="1" s="1"/>
  <c r="S501" i="1" s="1"/>
  <c r="P500" i="1"/>
  <c r="R500" i="1" s="1"/>
  <c r="S500" i="1" s="1"/>
  <c r="P499" i="1"/>
  <c r="R499" i="1" s="1"/>
  <c r="S499" i="1" s="1"/>
  <c r="P498" i="1"/>
  <c r="R498" i="1" s="1"/>
  <c r="S498" i="1" s="1"/>
  <c r="P496" i="1"/>
  <c r="R496" i="1" s="1"/>
  <c r="S496" i="1" s="1"/>
  <c r="P495" i="1"/>
  <c r="R495" i="1" s="1"/>
  <c r="S495" i="1" s="1"/>
  <c r="P493" i="1"/>
  <c r="R493" i="1" s="1"/>
  <c r="S493" i="1" s="1"/>
  <c r="P492" i="1"/>
  <c r="R492" i="1" s="1"/>
  <c r="S492" i="1" s="1"/>
  <c r="P491" i="1"/>
  <c r="R491" i="1" s="1"/>
  <c r="S491" i="1" s="1"/>
  <c r="P490" i="1"/>
  <c r="R490" i="1" s="1"/>
  <c r="S490" i="1" s="1"/>
  <c r="P487" i="1"/>
  <c r="J487" i="1"/>
  <c r="P486" i="1"/>
  <c r="J486" i="1"/>
  <c r="P485" i="1"/>
  <c r="R485" i="1" s="1"/>
  <c r="S485" i="1" s="1"/>
  <c r="P484" i="1"/>
  <c r="R484" i="1" s="1"/>
  <c r="S484" i="1" s="1"/>
  <c r="P483" i="1"/>
  <c r="R483" i="1" s="1"/>
  <c r="S483" i="1" s="1"/>
  <c r="P482" i="1"/>
  <c r="J482" i="1"/>
  <c r="P481" i="1"/>
  <c r="R481" i="1" s="1"/>
  <c r="S481" i="1" s="1"/>
  <c r="P479" i="1"/>
  <c r="R479" i="1" s="1"/>
  <c r="S479" i="1" s="1"/>
  <c r="P478" i="1"/>
  <c r="R478" i="1" s="1"/>
  <c r="S478" i="1" s="1"/>
  <c r="P477" i="1"/>
  <c r="R477" i="1" s="1"/>
  <c r="S477" i="1" s="1"/>
  <c r="P476" i="1"/>
  <c r="R476" i="1" s="1"/>
  <c r="S476" i="1" s="1"/>
  <c r="P475" i="1"/>
  <c r="R475" i="1" s="1"/>
  <c r="S475" i="1" s="1"/>
  <c r="P474" i="1"/>
  <c r="R474" i="1" s="1"/>
  <c r="S474" i="1" s="1"/>
  <c r="P473" i="1"/>
  <c r="R473" i="1" s="1"/>
  <c r="S473" i="1" s="1"/>
  <c r="P472" i="1"/>
  <c r="R472" i="1" s="1"/>
  <c r="S472" i="1" s="1"/>
  <c r="P471" i="1"/>
  <c r="R471" i="1" s="1"/>
  <c r="S471" i="1" s="1"/>
  <c r="P470" i="1"/>
  <c r="R470" i="1" s="1"/>
  <c r="S470" i="1" s="1"/>
  <c r="P466" i="1"/>
  <c r="J466" i="1"/>
  <c r="P465" i="1"/>
  <c r="J465" i="1"/>
  <c r="P463" i="1"/>
  <c r="R463" i="1" s="1"/>
  <c r="S463" i="1" s="1"/>
  <c r="P462" i="1"/>
  <c r="R462" i="1" s="1"/>
  <c r="S462" i="1" s="1"/>
  <c r="P459" i="1"/>
  <c r="R459" i="1" s="1"/>
  <c r="S459" i="1" s="1"/>
  <c r="P458" i="1"/>
  <c r="R458" i="1" s="1"/>
  <c r="S458" i="1" s="1"/>
  <c r="J455" i="1"/>
  <c r="P455" i="1"/>
  <c r="J454" i="1"/>
  <c r="P454" i="1"/>
  <c r="P453" i="1"/>
  <c r="J453" i="1"/>
  <c r="P451" i="1"/>
  <c r="R451" i="1" s="1"/>
  <c r="S451" i="1" s="1"/>
  <c r="P450" i="1"/>
  <c r="R450" i="1" s="1"/>
  <c r="S450" i="1" s="1"/>
  <c r="P447" i="1"/>
  <c r="R447" i="1" s="1"/>
  <c r="S447" i="1" s="1"/>
  <c r="J446" i="1"/>
  <c r="P446" i="1"/>
  <c r="J445" i="1"/>
  <c r="J444" i="1"/>
  <c r="P444" i="1"/>
  <c r="P442" i="1"/>
  <c r="R442" i="1" s="1"/>
  <c r="S442" i="1" s="1"/>
  <c r="P441" i="1"/>
  <c r="R441" i="1" s="1"/>
  <c r="S441" i="1" s="1"/>
  <c r="P440" i="1"/>
  <c r="R440" i="1" s="1"/>
  <c r="S440" i="1" s="1"/>
  <c r="P439" i="1"/>
  <c r="R439" i="1" s="1"/>
  <c r="S439" i="1" s="1"/>
  <c r="P438" i="1"/>
  <c r="R438" i="1" s="1"/>
  <c r="S438" i="1" s="1"/>
  <c r="P434" i="1"/>
  <c r="R434" i="1" s="1"/>
  <c r="S434" i="1" s="1"/>
  <c r="J431" i="1"/>
  <c r="P431" i="1"/>
  <c r="P430" i="1"/>
  <c r="J430" i="1"/>
  <c r="P429" i="1"/>
  <c r="J429" i="1"/>
  <c r="P428" i="1"/>
  <c r="J428" i="1"/>
  <c r="P426" i="1"/>
  <c r="R426" i="1" s="1"/>
  <c r="S426" i="1" s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P421" i="1"/>
  <c r="R421" i="1" s="1"/>
  <c r="S421" i="1" s="1"/>
  <c r="P418" i="1"/>
  <c r="R418" i="1" s="1"/>
  <c r="S418" i="1" s="1"/>
  <c r="P415" i="1"/>
  <c r="R415" i="1" s="1"/>
  <c r="S415" i="1" s="1"/>
  <c r="P413" i="1"/>
  <c r="R413" i="1" s="1"/>
  <c r="S413" i="1" s="1"/>
  <c r="J410" i="1"/>
  <c r="P410" i="1"/>
  <c r="J409" i="1"/>
  <c r="P409" i="1"/>
  <c r="P408" i="1"/>
  <c r="J408" i="1"/>
  <c r="P406" i="1"/>
  <c r="J406" i="1"/>
  <c r="J405" i="1"/>
  <c r="P405" i="1"/>
  <c r="P404" i="1"/>
  <c r="J404" i="1"/>
  <c r="P403" i="1"/>
  <c r="J403" i="1"/>
  <c r="P402" i="1"/>
  <c r="J402" i="1"/>
  <c r="P401" i="1"/>
  <c r="J401" i="1"/>
  <c r="J400" i="1"/>
  <c r="P400" i="1"/>
  <c r="P399" i="1"/>
  <c r="J399" i="1"/>
  <c r="S398" i="1"/>
  <c r="P396" i="1"/>
  <c r="J396" i="1"/>
  <c r="P395" i="1"/>
  <c r="J395" i="1"/>
  <c r="J394" i="1"/>
  <c r="P394" i="1"/>
  <c r="P392" i="1"/>
  <c r="J392" i="1"/>
  <c r="P391" i="1"/>
  <c r="J391" i="1"/>
  <c r="P390" i="1"/>
  <c r="J390" i="1"/>
  <c r="P389" i="1"/>
  <c r="J389" i="1"/>
  <c r="P388" i="1"/>
  <c r="J388" i="1"/>
  <c r="P384" i="1"/>
  <c r="J384" i="1"/>
  <c r="P382" i="1"/>
  <c r="R382" i="1" s="1"/>
  <c r="S382" i="1" s="1"/>
  <c r="P381" i="1"/>
  <c r="R381" i="1" s="1"/>
  <c r="S381" i="1" s="1"/>
  <c r="P378" i="1"/>
  <c r="J378" i="1"/>
  <c r="P377" i="1"/>
  <c r="J377" i="1"/>
  <c r="P376" i="1"/>
  <c r="J376" i="1"/>
  <c r="P371" i="1"/>
  <c r="J371" i="1"/>
  <c r="P370" i="1"/>
  <c r="J370" i="1"/>
  <c r="P368" i="1"/>
  <c r="R368" i="1" s="1"/>
  <c r="S368" i="1" s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3" i="1"/>
  <c r="R363" i="1" s="1"/>
  <c r="S363" i="1" s="1"/>
  <c r="P362" i="1"/>
  <c r="R362" i="1" s="1"/>
  <c r="S362" i="1" s="1"/>
  <c r="P361" i="1"/>
  <c r="R361" i="1" s="1"/>
  <c r="S361" i="1" s="1"/>
  <c r="P360" i="1"/>
  <c r="R360" i="1" s="1"/>
  <c r="S360" i="1" s="1"/>
  <c r="P356" i="1"/>
  <c r="R356" i="1" s="1"/>
  <c r="S356" i="1" s="1"/>
  <c r="P355" i="1"/>
  <c r="R355" i="1" s="1"/>
  <c r="S355" i="1" s="1"/>
  <c r="P354" i="1"/>
  <c r="R354" i="1" s="1"/>
  <c r="S354" i="1" s="1"/>
  <c r="P353" i="1"/>
  <c r="R353" i="1" s="1"/>
  <c r="S353" i="1" s="1"/>
  <c r="P352" i="1"/>
  <c r="R352" i="1" s="1"/>
  <c r="S352" i="1" s="1"/>
  <c r="P351" i="1"/>
  <c r="R351" i="1" s="1"/>
  <c r="S351" i="1" s="1"/>
  <c r="P350" i="1"/>
  <c r="R350" i="1" s="1"/>
  <c r="S350" i="1" s="1"/>
  <c r="P347" i="1"/>
  <c r="R347" i="1" s="1"/>
  <c r="S347" i="1" s="1"/>
  <c r="P346" i="1"/>
  <c r="R346" i="1" s="1"/>
  <c r="S346" i="1" s="1"/>
  <c r="P344" i="1"/>
  <c r="R344" i="1" s="1"/>
  <c r="S344" i="1" s="1"/>
  <c r="P343" i="1"/>
  <c r="R343" i="1" s="1"/>
  <c r="S343" i="1" s="1"/>
  <c r="P342" i="1"/>
  <c r="R342" i="1" s="1"/>
  <c r="S342" i="1" s="1"/>
  <c r="P339" i="1"/>
  <c r="R339" i="1" s="1"/>
  <c r="S339" i="1" s="1"/>
  <c r="P337" i="1"/>
  <c r="J337" i="1"/>
  <c r="P333" i="1"/>
  <c r="J333" i="1"/>
  <c r="P332" i="1"/>
  <c r="J332" i="1"/>
  <c r="P329" i="1"/>
  <c r="J329" i="1"/>
  <c r="P328" i="1"/>
  <c r="J328" i="1"/>
  <c r="P327" i="1"/>
  <c r="J327" i="1"/>
  <c r="P326" i="1"/>
  <c r="J326" i="1"/>
  <c r="P324" i="1"/>
  <c r="R324" i="1" s="1"/>
  <c r="S324" i="1" s="1"/>
  <c r="P323" i="1"/>
  <c r="R323" i="1" s="1"/>
  <c r="S323" i="1" s="1"/>
  <c r="P322" i="1"/>
  <c r="R322" i="1" s="1"/>
  <c r="S322" i="1" s="1"/>
  <c r="P321" i="1"/>
  <c r="R321" i="1" s="1"/>
  <c r="S321" i="1" s="1"/>
  <c r="P320" i="1"/>
  <c r="R320" i="1" s="1"/>
  <c r="S320" i="1" s="1"/>
  <c r="P319" i="1"/>
  <c r="R319" i="1" s="1"/>
  <c r="S319" i="1" s="1"/>
  <c r="P318" i="1"/>
  <c r="R318" i="1" s="1"/>
  <c r="S318" i="1" s="1"/>
  <c r="P317" i="1"/>
  <c r="R317" i="1" s="1"/>
  <c r="S317" i="1" s="1"/>
  <c r="P316" i="1"/>
  <c r="R316" i="1" s="1"/>
  <c r="S316" i="1" s="1"/>
  <c r="P315" i="1"/>
  <c r="R315" i="1" s="1"/>
  <c r="S315" i="1" s="1"/>
  <c r="P312" i="1"/>
  <c r="J312" i="1"/>
  <c r="P311" i="1"/>
  <c r="J311" i="1"/>
  <c r="P308" i="1"/>
  <c r="J308" i="1"/>
  <c r="P307" i="1"/>
  <c r="J307" i="1"/>
  <c r="J306" i="1"/>
  <c r="P306" i="1"/>
  <c r="P305" i="1"/>
  <c r="J305" i="1"/>
  <c r="J304" i="1"/>
  <c r="P304" i="1"/>
  <c r="P302" i="1"/>
  <c r="R302" i="1" s="1"/>
  <c r="S302" i="1" s="1"/>
  <c r="P301" i="1"/>
  <c r="R301" i="1" s="1"/>
  <c r="S301" i="1" s="1"/>
  <c r="P300" i="1"/>
  <c r="R300" i="1" s="1"/>
  <c r="S300" i="1" s="1"/>
  <c r="P299" i="1"/>
  <c r="R299" i="1" s="1"/>
  <c r="S299" i="1" s="1"/>
  <c r="P298" i="1"/>
  <c r="R298" i="1" s="1"/>
  <c r="S298" i="1" s="1"/>
  <c r="P297" i="1"/>
  <c r="R297" i="1" s="1"/>
  <c r="S297" i="1" s="1"/>
  <c r="P296" i="1"/>
  <c r="R296" i="1" s="1"/>
  <c r="S296" i="1" s="1"/>
  <c r="P295" i="1"/>
  <c r="R295" i="1" s="1"/>
  <c r="S295" i="1" s="1"/>
  <c r="P294" i="1"/>
  <c r="R294" i="1" s="1"/>
  <c r="S294" i="1" s="1"/>
  <c r="P293" i="1"/>
  <c r="R293" i="1" s="1"/>
  <c r="S293" i="1" s="1"/>
  <c r="P292" i="1"/>
  <c r="R292" i="1" s="1"/>
  <c r="S292" i="1" s="1"/>
  <c r="P291" i="1"/>
  <c r="J291" i="1"/>
  <c r="P288" i="1"/>
  <c r="J288" i="1"/>
  <c r="P285" i="1"/>
  <c r="J285" i="1"/>
  <c r="P284" i="1"/>
  <c r="J284" i="1"/>
  <c r="P283" i="1"/>
  <c r="J283" i="1"/>
  <c r="P282" i="1"/>
  <c r="J282" i="1"/>
  <c r="P281" i="1"/>
  <c r="J281" i="1"/>
  <c r="P280" i="1"/>
  <c r="J280" i="1"/>
  <c r="P279" i="1"/>
  <c r="J279" i="1"/>
  <c r="P275" i="1"/>
  <c r="R275" i="1" s="1"/>
  <c r="S275" i="1" s="1"/>
  <c r="P272" i="1"/>
  <c r="R272" i="1" s="1"/>
  <c r="S272" i="1" s="1"/>
  <c r="P269" i="1"/>
  <c r="R269" i="1" s="1"/>
  <c r="S269" i="1" s="1"/>
  <c r="P265" i="1"/>
  <c r="J265" i="1"/>
  <c r="P264" i="1"/>
  <c r="J264" i="1"/>
  <c r="P262" i="1"/>
  <c r="R262" i="1" s="1"/>
  <c r="S262" i="1" s="1"/>
  <c r="P261" i="1"/>
  <c r="R261" i="1" s="1"/>
  <c r="S261" i="1" s="1"/>
  <c r="P260" i="1"/>
  <c r="R260" i="1" s="1"/>
  <c r="S260" i="1" s="1"/>
  <c r="P257" i="1"/>
  <c r="R257" i="1" s="1"/>
  <c r="S257" i="1" s="1"/>
  <c r="P254" i="1"/>
  <c r="J254" i="1"/>
  <c r="P253" i="1"/>
  <c r="J253" i="1"/>
  <c r="P252" i="1"/>
  <c r="J252" i="1"/>
  <c r="P250" i="1"/>
  <c r="R250" i="1" s="1"/>
  <c r="S250" i="1" s="1"/>
  <c r="P249" i="1"/>
  <c r="R249" i="1" s="1"/>
  <c r="S249" i="1" s="1"/>
  <c r="P248" i="1"/>
  <c r="R248" i="1" s="1"/>
  <c r="S248" i="1" s="1"/>
  <c r="P247" i="1"/>
  <c r="R247" i="1" s="1"/>
  <c r="S247" i="1" s="1"/>
  <c r="P244" i="1"/>
  <c r="J244" i="1"/>
  <c r="P243" i="1"/>
  <c r="J243" i="1"/>
  <c r="P241" i="1"/>
  <c r="R241" i="1" s="1"/>
  <c r="S241" i="1" s="1"/>
  <c r="P240" i="1"/>
  <c r="R240" i="1" s="1"/>
  <c r="S240" i="1" s="1"/>
  <c r="P237" i="1"/>
  <c r="J237" i="1"/>
  <c r="P236" i="1"/>
  <c r="R236" i="1" s="1"/>
  <c r="S236" i="1" s="1"/>
  <c r="P234" i="1"/>
  <c r="R234" i="1" s="1"/>
  <c r="S234" i="1" s="1"/>
  <c r="J232" i="1"/>
  <c r="P232" i="1"/>
  <c r="J231" i="1"/>
  <c r="J230" i="1"/>
  <c r="P230" i="1"/>
  <c r="P228" i="1"/>
  <c r="R228" i="1" s="1"/>
  <c r="S228" i="1" s="1"/>
  <c r="J227" i="1"/>
  <c r="H227" i="1"/>
  <c r="P227" i="1" s="1"/>
  <c r="P226" i="1"/>
  <c r="R226" i="1" s="1"/>
  <c r="S226" i="1" s="1"/>
  <c r="P225" i="1"/>
  <c r="R225" i="1" s="1"/>
  <c r="S225" i="1" s="1"/>
  <c r="P224" i="1"/>
  <c r="R224" i="1" s="1"/>
  <c r="S224" i="1" s="1"/>
  <c r="P223" i="1"/>
  <c r="R223" i="1" s="1"/>
  <c r="S223" i="1" s="1"/>
  <c r="P219" i="1"/>
  <c r="R219" i="1" s="1"/>
  <c r="S219" i="1" s="1"/>
  <c r="P218" i="1"/>
  <c r="R218" i="1" s="1"/>
  <c r="S218" i="1" s="1"/>
  <c r="P216" i="1"/>
  <c r="R216" i="1" s="1"/>
  <c r="S216" i="1" s="1"/>
  <c r="P213" i="1"/>
  <c r="R213" i="1" s="1"/>
  <c r="S213" i="1" s="1"/>
  <c r="P212" i="1"/>
  <c r="J212" i="1"/>
  <c r="P211" i="1"/>
  <c r="R211" i="1" s="1"/>
  <c r="S211" i="1" s="1"/>
  <c r="P210" i="1"/>
  <c r="J210" i="1"/>
  <c r="P208" i="1"/>
  <c r="R208" i="1" s="1"/>
  <c r="S208" i="1" s="1"/>
  <c r="P207" i="1"/>
  <c r="R207" i="1" s="1"/>
  <c r="S207" i="1" s="1"/>
  <c r="P206" i="1"/>
  <c r="R206" i="1" s="1"/>
  <c r="S206" i="1" s="1"/>
  <c r="P204" i="1"/>
  <c r="R204" i="1" s="1"/>
  <c r="S204" i="1" s="1"/>
  <c r="P201" i="1"/>
  <c r="J201" i="1"/>
  <c r="P200" i="1"/>
  <c r="J200" i="1"/>
  <c r="J199" i="1"/>
  <c r="P199" i="1"/>
  <c r="J198" i="1"/>
  <c r="P198" i="1"/>
  <c r="P197" i="1"/>
  <c r="J197" i="1"/>
  <c r="P196" i="1"/>
  <c r="J196" i="1"/>
  <c r="P195" i="1"/>
  <c r="R195" i="1" s="1"/>
  <c r="S195" i="1" s="1"/>
  <c r="P194" i="1"/>
  <c r="R194" i="1" s="1"/>
  <c r="S194" i="1" s="1"/>
  <c r="P192" i="1"/>
  <c r="J192" i="1"/>
  <c r="P191" i="1"/>
  <c r="J191" i="1"/>
  <c r="P189" i="1"/>
  <c r="R189" i="1" s="1"/>
  <c r="S189" i="1" s="1"/>
  <c r="P188" i="1"/>
  <c r="R188" i="1" s="1"/>
  <c r="S188" i="1" s="1"/>
  <c r="P187" i="1"/>
  <c r="R187" i="1" s="1"/>
  <c r="S187" i="1" s="1"/>
  <c r="P186" i="1"/>
  <c r="R186" i="1" s="1"/>
  <c r="S186" i="1" s="1"/>
  <c r="P185" i="1"/>
  <c r="R185" i="1" s="1"/>
  <c r="S185" i="1" s="1"/>
  <c r="P184" i="1"/>
  <c r="R184" i="1" s="1"/>
  <c r="S184" i="1" s="1"/>
  <c r="P183" i="1"/>
  <c r="R183" i="1" s="1"/>
  <c r="S183" i="1" s="1"/>
  <c r="P182" i="1"/>
  <c r="R182" i="1" s="1"/>
  <c r="S182" i="1" s="1"/>
  <c r="P181" i="1"/>
  <c r="R181" i="1" s="1"/>
  <c r="S181" i="1" s="1"/>
  <c r="P180" i="1"/>
  <c r="R180" i="1" s="1"/>
  <c r="S180" i="1" s="1"/>
  <c r="J177" i="1"/>
  <c r="P177" i="1"/>
  <c r="P176" i="1"/>
  <c r="J176" i="1"/>
  <c r="P175" i="1"/>
  <c r="J175" i="1"/>
  <c r="P174" i="1"/>
  <c r="J174" i="1"/>
  <c r="P173" i="1"/>
  <c r="J173" i="1"/>
  <c r="P172" i="1"/>
  <c r="J172" i="1"/>
  <c r="P171" i="1"/>
  <c r="J171" i="1"/>
  <c r="J170" i="1"/>
  <c r="P170" i="1"/>
  <c r="P169" i="1"/>
  <c r="J169" i="1"/>
  <c r="P168" i="1"/>
  <c r="J168" i="1"/>
  <c r="P167" i="1"/>
  <c r="J167" i="1"/>
  <c r="P166" i="1"/>
  <c r="J166" i="1"/>
  <c r="P165" i="1"/>
  <c r="J165" i="1"/>
  <c r="P164" i="1"/>
  <c r="J164" i="1"/>
  <c r="P163" i="1"/>
  <c r="J163" i="1"/>
  <c r="P162" i="1"/>
  <c r="J162" i="1"/>
  <c r="P161" i="1"/>
  <c r="J161" i="1"/>
  <c r="P160" i="1"/>
  <c r="J160" i="1"/>
  <c r="P159" i="1"/>
  <c r="J159" i="1"/>
  <c r="P158" i="1"/>
  <c r="J158" i="1"/>
  <c r="J156" i="1"/>
  <c r="H156" i="1"/>
  <c r="P156" i="1" s="1"/>
  <c r="J155" i="1"/>
  <c r="H155" i="1"/>
  <c r="P155" i="1" s="1"/>
  <c r="P154" i="1"/>
  <c r="J154" i="1"/>
  <c r="P153" i="1"/>
  <c r="J153" i="1"/>
  <c r="P152" i="1"/>
  <c r="J152" i="1"/>
  <c r="P151" i="1"/>
  <c r="J151" i="1"/>
  <c r="J150" i="1"/>
  <c r="P150" i="1"/>
  <c r="P149" i="1"/>
  <c r="J149" i="1"/>
  <c r="P148" i="1"/>
  <c r="J148" i="1"/>
  <c r="P147" i="1"/>
  <c r="J147" i="1"/>
  <c r="J146" i="1"/>
  <c r="P146" i="1"/>
  <c r="P145" i="1"/>
  <c r="J145" i="1"/>
  <c r="P142" i="1"/>
  <c r="J142" i="1"/>
  <c r="J141" i="1"/>
  <c r="P141" i="1"/>
  <c r="P140" i="1"/>
  <c r="J140" i="1"/>
  <c r="P139" i="1"/>
  <c r="J139" i="1"/>
  <c r="J138" i="1"/>
  <c r="P138" i="1"/>
  <c r="J137" i="1"/>
  <c r="P136" i="1"/>
  <c r="J136" i="1"/>
  <c r="P135" i="1"/>
  <c r="J135" i="1"/>
  <c r="P133" i="1"/>
  <c r="R133" i="1" s="1"/>
  <c r="S133" i="1" s="1"/>
  <c r="P132" i="1"/>
  <c r="R132" i="1" s="1"/>
  <c r="S132" i="1" s="1"/>
  <c r="P131" i="1"/>
  <c r="J131" i="1"/>
  <c r="P130" i="1"/>
  <c r="R130" i="1" s="1"/>
  <c r="S130" i="1" s="1"/>
  <c r="P129" i="1"/>
  <c r="J129" i="1"/>
  <c r="P128" i="1"/>
  <c r="J128" i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3" i="1"/>
  <c r="R123" i="1" s="1"/>
  <c r="S123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5" i="1"/>
  <c r="J115" i="1"/>
  <c r="J114" i="1"/>
  <c r="P114" i="1"/>
  <c r="P113" i="1"/>
  <c r="J113" i="1"/>
  <c r="P112" i="1"/>
  <c r="J112" i="1"/>
  <c r="P110" i="1"/>
  <c r="R110" i="1" s="1"/>
  <c r="S110" i="1" s="1"/>
  <c r="P109" i="1"/>
  <c r="R109" i="1" s="1"/>
  <c r="S109" i="1" s="1"/>
  <c r="P108" i="1"/>
  <c r="R108" i="1" s="1"/>
  <c r="S108" i="1" s="1"/>
  <c r="P107" i="1"/>
  <c r="R107" i="1" s="1"/>
  <c r="S107" i="1" s="1"/>
  <c r="P104" i="1"/>
  <c r="J104" i="1"/>
  <c r="J103" i="1"/>
  <c r="P102" i="1"/>
  <c r="J102" i="1"/>
  <c r="J101" i="1"/>
  <c r="P101" i="1"/>
  <c r="J100" i="1"/>
  <c r="J99" i="1"/>
  <c r="P99" i="1"/>
  <c r="J98" i="1"/>
  <c r="P96" i="1"/>
  <c r="J96" i="1"/>
  <c r="P95" i="1"/>
  <c r="R95" i="1" s="1"/>
  <c r="S95" i="1" s="1"/>
  <c r="P94" i="1"/>
  <c r="R94" i="1" s="1"/>
  <c r="S94" i="1" s="1"/>
  <c r="P93" i="1"/>
  <c r="R93" i="1" s="1"/>
  <c r="S93" i="1" s="1"/>
  <c r="P92" i="1"/>
  <c r="R92" i="1" s="1"/>
  <c r="S92" i="1" s="1"/>
  <c r="P91" i="1"/>
  <c r="R91" i="1" s="1"/>
  <c r="S91" i="1" s="1"/>
  <c r="P90" i="1"/>
  <c r="R90" i="1" s="1"/>
  <c r="S90" i="1" s="1"/>
  <c r="P89" i="1"/>
  <c r="R89" i="1" s="1"/>
  <c r="S89" i="1" s="1"/>
  <c r="P88" i="1"/>
  <c r="R88" i="1" s="1"/>
  <c r="S88" i="1" s="1"/>
  <c r="P87" i="1"/>
  <c r="R87" i="1" s="1"/>
  <c r="S87" i="1" s="1"/>
  <c r="P86" i="1"/>
  <c r="R86" i="1" s="1"/>
  <c r="S86" i="1" s="1"/>
  <c r="P85" i="1"/>
  <c r="R85" i="1" s="1"/>
  <c r="S85" i="1" s="1"/>
  <c r="P84" i="1"/>
  <c r="R84" i="1" s="1"/>
  <c r="S84" i="1" s="1"/>
  <c r="P83" i="1"/>
  <c r="R83" i="1" s="1"/>
  <c r="S83" i="1" s="1"/>
  <c r="P82" i="1"/>
  <c r="R82" i="1" s="1"/>
  <c r="S82" i="1" s="1"/>
  <c r="P78" i="1"/>
  <c r="R78" i="1" s="1"/>
  <c r="S78" i="1" s="1"/>
  <c r="P77" i="1"/>
  <c r="R77" i="1" s="1"/>
  <c r="S77" i="1" s="1"/>
  <c r="S76" i="1"/>
  <c r="P74" i="1"/>
  <c r="R74" i="1" s="1"/>
  <c r="S74" i="1" s="1"/>
  <c r="P73" i="1"/>
  <c r="R73" i="1" s="1"/>
  <c r="S73" i="1" s="1"/>
  <c r="P72" i="1"/>
  <c r="R72" i="1" s="1"/>
  <c r="S72" i="1" s="1"/>
  <c r="P71" i="1"/>
  <c r="R71" i="1" s="1"/>
  <c r="S71" i="1" s="1"/>
  <c r="P70" i="1"/>
  <c r="R70" i="1" s="1"/>
  <c r="S70" i="1" s="1"/>
  <c r="P69" i="1"/>
  <c r="R69" i="1" s="1"/>
  <c r="S69" i="1" s="1"/>
  <c r="P68" i="1"/>
  <c r="R68" i="1" s="1"/>
  <c r="S68" i="1" s="1"/>
  <c r="P67" i="1"/>
  <c r="R67" i="1" s="1"/>
  <c r="S67" i="1" s="1"/>
  <c r="P66" i="1"/>
  <c r="R66" i="1" s="1"/>
  <c r="S66" i="1" s="1"/>
  <c r="P65" i="1"/>
  <c r="R65" i="1" s="1"/>
  <c r="S65" i="1" s="1"/>
  <c r="P64" i="1"/>
  <c r="R64" i="1" s="1"/>
  <c r="S64" i="1" s="1"/>
  <c r="P63" i="1"/>
  <c r="R63" i="1" s="1"/>
  <c r="S63" i="1" s="1"/>
  <c r="P62" i="1"/>
  <c r="R62" i="1" s="1"/>
  <c r="S62" i="1" s="1"/>
  <c r="P61" i="1"/>
  <c r="R61" i="1" s="1"/>
  <c r="S61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6" i="1"/>
  <c r="R56" i="1" s="1"/>
  <c r="S56" i="1" s="1"/>
  <c r="P55" i="1"/>
  <c r="R55" i="1" s="1"/>
  <c r="S55" i="1" s="1"/>
  <c r="P54" i="1"/>
  <c r="R54" i="1" s="1"/>
  <c r="S54" i="1" s="1"/>
  <c r="P53" i="1"/>
  <c r="R53" i="1" s="1"/>
  <c r="S53" i="1" s="1"/>
  <c r="P52" i="1"/>
  <c r="R52" i="1" s="1"/>
  <c r="S52" i="1" s="1"/>
  <c r="P51" i="1"/>
  <c r="R51" i="1" s="1"/>
  <c r="S51" i="1" s="1"/>
  <c r="P50" i="1"/>
  <c r="R50" i="1" s="1"/>
  <c r="S50" i="1" s="1"/>
  <c r="P49" i="1"/>
  <c r="R49" i="1" s="1"/>
  <c r="S49" i="1" s="1"/>
  <c r="P48" i="1"/>
  <c r="R48" i="1" s="1"/>
  <c r="S48" i="1" s="1"/>
  <c r="P47" i="1"/>
  <c r="R47" i="1" s="1"/>
  <c r="S47" i="1" s="1"/>
  <c r="P44" i="1"/>
  <c r="R44" i="1" s="1"/>
  <c r="S44" i="1" s="1"/>
  <c r="P43" i="1"/>
  <c r="R43" i="1" s="1"/>
  <c r="S43" i="1" s="1"/>
  <c r="P42" i="1"/>
  <c r="R42" i="1" s="1"/>
  <c r="S42" i="1" s="1"/>
  <c r="P39" i="1"/>
  <c r="J39" i="1"/>
  <c r="P38" i="1"/>
  <c r="J38" i="1"/>
  <c r="P37" i="1"/>
  <c r="J37" i="1"/>
  <c r="P36" i="1"/>
  <c r="J36" i="1"/>
  <c r="P34" i="1"/>
  <c r="R34" i="1" s="1"/>
  <c r="S34" i="1" s="1"/>
  <c r="P30" i="1"/>
  <c r="J30" i="1"/>
  <c r="P29" i="1"/>
  <c r="J29" i="1"/>
  <c r="P28" i="1"/>
  <c r="J28" i="1"/>
  <c r="P26" i="1"/>
  <c r="R26" i="1" s="1"/>
  <c r="S26" i="1" s="1"/>
  <c r="P25" i="1"/>
  <c r="R25" i="1" s="1"/>
  <c r="S25" i="1" s="1"/>
  <c r="P24" i="1"/>
  <c r="R24" i="1" s="1"/>
  <c r="S24" i="1" s="1"/>
  <c r="P23" i="1"/>
  <c r="R23" i="1" s="1"/>
  <c r="S23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S445" i="1" l="1"/>
  <c r="R946" i="1"/>
  <c r="S946" i="1" s="1"/>
  <c r="R948" i="1"/>
  <c r="S948" i="1" s="1"/>
  <c r="R920" i="1"/>
  <c r="S920" i="1" s="1"/>
  <c r="R927" i="1"/>
  <c r="S927" i="1" s="1"/>
  <c r="R929" i="1"/>
  <c r="S929" i="1" s="1"/>
  <c r="R952" i="1"/>
  <c r="S952" i="1" s="1"/>
  <c r="R954" i="1"/>
  <c r="S954" i="1" s="1"/>
  <c r="R910" i="1"/>
  <c r="S910" i="1" s="1"/>
  <c r="R848" i="1"/>
  <c r="S848" i="1" s="1"/>
  <c r="R895" i="1"/>
  <c r="S895" i="1" s="1"/>
  <c r="R777" i="1"/>
  <c r="S777" i="1" s="1"/>
  <c r="R796" i="1"/>
  <c r="S796" i="1" s="1"/>
  <c r="R800" i="1"/>
  <c r="S800" i="1" s="1"/>
  <c r="R466" i="1"/>
  <c r="S466" i="1" s="1"/>
  <c r="R486" i="1"/>
  <c r="S486" i="1" s="1"/>
  <c r="R584" i="1"/>
  <c r="S584" i="1" s="1"/>
  <c r="R679" i="1"/>
  <c r="S679" i="1" s="1"/>
  <c r="R716" i="1"/>
  <c r="S716" i="1" s="1"/>
  <c r="R400" i="1"/>
  <c r="S400" i="1" s="1"/>
  <c r="R409" i="1"/>
  <c r="S409" i="1" s="1"/>
  <c r="R446" i="1"/>
  <c r="S446" i="1" s="1"/>
  <c r="R453" i="1"/>
  <c r="S453" i="1" s="1"/>
  <c r="R465" i="1"/>
  <c r="S465" i="1" s="1"/>
  <c r="R487" i="1"/>
  <c r="S487" i="1" s="1"/>
  <c r="R778" i="1"/>
  <c r="S778" i="1" s="1"/>
  <c r="R797" i="1"/>
  <c r="S797" i="1" s="1"/>
  <c r="R516" i="1"/>
  <c r="S516" i="1" s="1"/>
  <c r="R721" i="1"/>
  <c r="S721" i="1" s="1"/>
  <c r="R154" i="1"/>
  <c r="S154" i="1" s="1"/>
  <c r="R232" i="1"/>
  <c r="S232" i="1" s="1"/>
  <c r="R304" i="1"/>
  <c r="S304" i="1" s="1"/>
  <c r="R306" i="1"/>
  <c r="S306" i="1" s="1"/>
  <c r="R527" i="1"/>
  <c r="S527" i="1" s="1"/>
  <c r="R326" i="1"/>
  <c r="S326" i="1" s="1"/>
  <c r="R327" i="1"/>
  <c r="S327" i="1" s="1"/>
  <c r="R329" i="1"/>
  <c r="S329" i="1" s="1"/>
  <c r="R333" i="1"/>
  <c r="S333" i="1" s="1"/>
  <c r="R528" i="1"/>
  <c r="S528" i="1" s="1"/>
  <c r="R227" i="1"/>
  <c r="S227" i="1" s="1"/>
  <c r="R264" i="1"/>
  <c r="S264" i="1" s="1"/>
  <c r="R640" i="1"/>
  <c r="S640" i="1" s="1"/>
  <c r="R101" i="1"/>
  <c r="S101" i="1" s="1"/>
  <c r="R170" i="1"/>
  <c r="S170" i="1" s="1"/>
  <c r="R172" i="1"/>
  <c r="S172" i="1" s="1"/>
  <c r="R174" i="1"/>
  <c r="S174" i="1" s="1"/>
  <c r="R176" i="1"/>
  <c r="S176" i="1" s="1"/>
  <c r="R279" i="1"/>
  <c r="S279" i="1" s="1"/>
  <c r="R389" i="1"/>
  <c r="S389" i="1" s="1"/>
  <c r="R391" i="1"/>
  <c r="S391" i="1" s="1"/>
  <c r="R153" i="1"/>
  <c r="S153" i="1" s="1"/>
  <c r="R328" i="1"/>
  <c r="S328" i="1" s="1"/>
  <c r="R332" i="1"/>
  <c r="S332" i="1" s="1"/>
  <c r="R337" i="1"/>
  <c r="S337" i="1" s="1"/>
  <c r="R595" i="1"/>
  <c r="S595" i="1" s="1"/>
  <c r="R600" i="1"/>
  <c r="S600" i="1" s="1"/>
  <c r="R609" i="1"/>
  <c r="S609" i="1" s="1"/>
  <c r="R637" i="1"/>
  <c r="S637" i="1" s="1"/>
  <c r="R643" i="1"/>
  <c r="S643" i="1" s="1"/>
  <c r="R678" i="1"/>
  <c r="S678" i="1" s="1"/>
  <c r="R112" i="1"/>
  <c r="S112" i="1" s="1"/>
  <c r="R104" i="1"/>
  <c r="S104" i="1" s="1"/>
  <c r="R113" i="1"/>
  <c r="S113" i="1" s="1"/>
  <c r="R152" i="1"/>
  <c r="S152" i="1" s="1"/>
  <c r="R156" i="1"/>
  <c r="S156" i="1" s="1"/>
  <c r="R177" i="1"/>
  <c r="S177" i="1" s="1"/>
  <c r="R281" i="1"/>
  <c r="S281" i="1" s="1"/>
  <c r="R388" i="1"/>
  <c r="S388" i="1" s="1"/>
  <c r="R390" i="1"/>
  <c r="S390" i="1" s="1"/>
  <c r="R392" i="1"/>
  <c r="S392" i="1" s="1"/>
  <c r="R405" i="1"/>
  <c r="S405" i="1" s="1"/>
  <c r="R410" i="1"/>
  <c r="S410" i="1" s="1"/>
  <c r="R638" i="1"/>
  <c r="S638" i="1" s="1"/>
  <c r="R842" i="1"/>
  <c r="S842" i="1" s="1"/>
  <c r="R13" i="1"/>
  <c r="S13" i="1" s="1"/>
  <c r="R140" i="1"/>
  <c r="S140" i="1" s="1"/>
  <c r="R142" i="1"/>
  <c r="S142" i="1" s="1"/>
  <c r="R158" i="1"/>
  <c r="S158" i="1" s="1"/>
  <c r="R160" i="1"/>
  <c r="S160" i="1" s="1"/>
  <c r="R444" i="1"/>
  <c r="S444" i="1" s="1"/>
  <c r="R592" i="1"/>
  <c r="S592" i="1" s="1"/>
  <c r="R608" i="1"/>
  <c r="S608" i="1" s="1"/>
  <c r="R612" i="1"/>
  <c r="S612" i="1" s="1"/>
  <c r="R645" i="1"/>
  <c r="S645" i="1" s="1"/>
  <c r="R649" i="1"/>
  <c r="S649" i="1" s="1"/>
  <c r="R720" i="1"/>
  <c r="S720" i="1" s="1"/>
  <c r="R722" i="1"/>
  <c r="S722" i="1" s="1"/>
  <c r="R724" i="1"/>
  <c r="S724" i="1" s="1"/>
  <c r="R752" i="1"/>
  <c r="S752" i="1" s="1"/>
  <c r="R764" i="1"/>
  <c r="S764" i="1" s="1"/>
  <c r="R767" i="1"/>
  <c r="S767" i="1" s="1"/>
  <c r="R806" i="1"/>
  <c r="S806" i="1" s="1"/>
  <c r="R813" i="1"/>
  <c r="S813" i="1" s="1"/>
  <c r="R909" i="1"/>
  <c r="S909" i="1" s="1"/>
  <c r="R919" i="1"/>
  <c r="S919" i="1" s="1"/>
  <c r="R921" i="1"/>
  <c r="S921" i="1" s="1"/>
  <c r="R926" i="1"/>
  <c r="S926" i="1" s="1"/>
  <c r="R928" i="1"/>
  <c r="S928" i="1" s="1"/>
  <c r="R930" i="1"/>
  <c r="S930" i="1" s="1"/>
  <c r="R517" i="1"/>
  <c r="S517" i="1" s="1"/>
  <c r="R585" i="1"/>
  <c r="S585" i="1" s="1"/>
  <c r="R591" i="1"/>
  <c r="S591" i="1" s="1"/>
  <c r="R717" i="1"/>
  <c r="S717" i="1" s="1"/>
  <c r="R845" i="1"/>
  <c r="S845" i="1" s="1"/>
  <c r="R847" i="1"/>
  <c r="S847" i="1" s="1"/>
  <c r="R894" i="1"/>
  <c r="S894" i="1" s="1"/>
  <c r="R139" i="1"/>
  <c r="S139" i="1" s="1"/>
  <c r="R145" i="1"/>
  <c r="S145" i="1" s="1"/>
  <c r="R155" i="1"/>
  <c r="S155" i="1" s="1"/>
  <c r="R159" i="1"/>
  <c r="S159" i="1" s="1"/>
  <c r="R161" i="1"/>
  <c r="S161" i="1" s="1"/>
  <c r="R199" i="1"/>
  <c r="S199" i="1" s="1"/>
  <c r="R210" i="1"/>
  <c r="S210" i="1" s="1"/>
  <c r="R384" i="1"/>
  <c r="S384" i="1" s="1"/>
  <c r="R535" i="1"/>
  <c r="S535" i="1" s="1"/>
  <c r="R646" i="1"/>
  <c r="S646" i="1" s="1"/>
  <c r="R723" i="1"/>
  <c r="S723" i="1" s="1"/>
  <c r="R725" i="1"/>
  <c r="S725" i="1" s="1"/>
  <c r="R765" i="1"/>
  <c r="S765" i="1" s="1"/>
  <c r="R768" i="1"/>
  <c r="S768" i="1" s="1"/>
  <c r="R805" i="1"/>
  <c r="S805" i="1" s="1"/>
  <c r="R15" i="1"/>
  <c r="S15" i="1" s="1"/>
  <c r="R29" i="1"/>
  <c r="S29" i="1" s="1"/>
  <c r="R37" i="1"/>
  <c r="S37" i="1" s="1"/>
  <c r="R96" i="1"/>
  <c r="S96" i="1" s="1"/>
  <c r="R102" i="1"/>
  <c r="S102" i="1" s="1"/>
  <c r="R114" i="1"/>
  <c r="S114" i="1" s="1"/>
  <c r="R129" i="1"/>
  <c r="S129" i="1" s="1"/>
  <c r="R135" i="1"/>
  <c r="S135" i="1" s="1"/>
  <c r="R138" i="1"/>
  <c r="S138" i="1" s="1"/>
  <c r="R146" i="1"/>
  <c r="S146" i="1" s="1"/>
  <c r="R150" i="1"/>
  <c r="S150" i="1" s="1"/>
  <c r="R151" i="1"/>
  <c r="S151" i="1" s="1"/>
  <c r="R162" i="1"/>
  <c r="S162" i="1" s="1"/>
  <c r="R164" i="1"/>
  <c r="S164" i="1" s="1"/>
  <c r="R166" i="1"/>
  <c r="S166" i="1" s="1"/>
  <c r="R168" i="1"/>
  <c r="S168" i="1" s="1"/>
  <c r="R197" i="1"/>
  <c r="S197" i="1" s="1"/>
  <c r="R201" i="1"/>
  <c r="S201" i="1" s="1"/>
  <c r="R230" i="1"/>
  <c r="S230" i="1" s="1"/>
  <c r="R252" i="1"/>
  <c r="S252" i="1" s="1"/>
  <c r="R254" i="1"/>
  <c r="S254" i="1" s="1"/>
  <c r="R282" i="1"/>
  <c r="S282" i="1" s="1"/>
  <c r="R285" i="1"/>
  <c r="S285" i="1" s="1"/>
  <c r="R291" i="1"/>
  <c r="S291" i="1" s="1"/>
  <c r="R307" i="1"/>
  <c r="S307" i="1" s="1"/>
  <c r="R311" i="1"/>
  <c r="S311" i="1" s="1"/>
  <c r="R394" i="1"/>
  <c r="S394" i="1" s="1"/>
  <c r="R396" i="1"/>
  <c r="S396" i="1" s="1"/>
  <c r="R399" i="1"/>
  <c r="S399" i="1" s="1"/>
  <c r="R408" i="1"/>
  <c r="S408" i="1" s="1"/>
  <c r="R429" i="1"/>
  <c r="S429" i="1" s="1"/>
  <c r="R455" i="1"/>
  <c r="S455" i="1" s="1"/>
  <c r="R521" i="1"/>
  <c r="S521" i="1" s="1"/>
  <c r="R523" i="1"/>
  <c r="S523" i="1" s="1"/>
  <c r="R525" i="1"/>
  <c r="S525" i="1" s="1"/>
  <c r="R529" i="1"/>
  <c r="S529" i="1" s="1"/>
  <c r="R533" i="1"/>
  <c r="S533" i="1" s="1"/>
  <c r="R537" i="1"/>
  <c r="S537" i="1" s="1"/>
  <c r="R539" i="1"/>
  <c r="S539" i="1" s="1"/>
  <c r="R635" i="1"/>
  <c r="S635" i="1" s="1"/>
  <c r="R650" i="1"/>
  <c r="S650" i="1" s="1"/>
  <c r="R675" i="1"/>
  <c r="S675" i="1" s="1"/>
  <c r="R715" i="1"/>
  <c r="S715" i="1" s="1"/>
  <c r="R719" i="1"/>
  <c r="S719" i="1" s="1"/>
  <c r="R763" i="1"/>
  <c r="S763" i="1" s="1"/>
  <c r="R769" i="1"/>
  <c r="S769" i="1" s="1"/>
  <c r="R802" i="1"/>
  <c r="S802" i="1" s="1"/>
  <c r="R819" i="1"/>
  <c r="S819" i="1" s="1"/>
  <c r="R832" i="1"/>
  <c r="S832" i="1" s="1"/>
  <c r="R834" i="1"/>
  <c r="S834" i="1" s="1"/>
  <c r="R836" i="1"/>
  <c r="S836" i="1" s="1"/>
  <c r="R841" i="1"/>
  <c r="S841" i="1" s="1"/>
  <c r="R846" i="1"/>
  <c r="S846" i="1" s="1"/>
  <c r="R864" i="1"/>
  <c r="S864" i="1" s="1"/>
  <c r="R866" i="1"/>
  <c r="S866" i="1" s="1"/>
  <c r="R898" i="1"/>
  <c r="S898" i="1" s="1"/>
  <c r="R951" i="1"/>
  <c r="S951" i="1" s="1"/>
  <c r="R953" i="1"/>
  <c r="S953" i="1" s="1"/>
  <c r="R947" i="1"/>
  <c r="S947" i="1" s="1"/>
  <c r="R949" i="1"/>
  <c r="S949" i="1" s="1"/>
  <c r="R38" i="1"/>
  <c r="S38" i="1" s="1"/>
  <c r="R39" i="1"/>
  <c r="S39" i="1" s="1"/>
  <c r="R99" i="1"/>
  <c r="S99" i="1" s="1"/>
  <c r="R128" i="1"/>
  <c r="S128" i="1" s="1"/>
  <c r="R136" i="1"/>
  <c r="S136" i="1" s="1"/>
  <c r="R141" i="1"/>
  <c r="S141" i="1" s="1"/>
  <c r="R163" i="1"/>
  <c r="S163" i="1" s="1"/>
  <c r="R165" i="1"/>
  <c r="S165" i="1" s="1"/>
  <c r="R167" i="1"/>
  <c r="S167" i="1" s="1"/>
  <c r="R169" i="1"/>
  <c r="S169" i="1" s="1"/>
  <c r="R196" i="1"/>
  <c r="S196" i="1" s="1"/>
  <c r="R200" i="1"/>
  <c r="S200" i="1" s="1"/>
  <c r="R253" i="1"/>
  <c r="S253" i="1" s="1"/>
  <c r="R288" i="1"/>
  <c r="S288" i="1" s="1"/>
  <c r="R308" i="1"/>
  <c r="S308" i="1" s="1"/>
  <c r="R312" i="1"/>
  <c r="S312" i="1" s="1"/>
  <c r="R370" i="1"/>
  <c r="S370" i="1" s="1"/>
  <c r="R371" i="1"/>
  <c r="S371" i="1" s="1"/>
  <c r="R406" i="1"/>
  <c r="S406" i="1" s="1"/>
  <c r="R428" i="1"/>
  <c r="S428" i="1" s="1"/>
  <c r="R430" i="1"/>
  <c r="S430" i="1" s="1"/>
  <c r="R522" i="1"/>
  <c r="S522" i="1" s="1"/>
  <c r="R526" i="1"/>
  <c r="S526" i="1" s="1"/>
  <c r="R532" i="1"/>
  <c r="S532" i="1" s="1"/>
  <c r="R534" i="1"/>
  <c r="S534" i="1" s="1"/>
  <c r="R536" i="1"/>
  <c r="S536" i="1" s="1"/>
  <c r="R590" i="1"/>
  <c r="S590" i="1" s="1"/>
  <c r="R636" i="1"/>
  <c r="S636" i="1" s="1"/>
  <c r="R642" i="1"/>
  <c r="S642" i="1" s="1"/>
  <c r="R644" i="1"/>
  <c r="S644" i="1" s="1"/>
  <c r="R718" i="1"/>
  <c r="S718" i="1" s="1"/>
  <c r="R770" i="1"/>
  <c r="S770" i="1" s="1"/>
  <c r="R830" i="1"/>
  <c r="S830" i="1" s="1"/>
  <c r="R831" i="1"/>
  <c r="S831" i="1" s="1"/>
  <c r="R835" i="1"/>
  <c r="S835" i="1" s="1"/>
  <c r="R837" i="1"/>
  <c r="S837" i="1" s="1"/>
  <c r="R843" i="1"/>
  <c r="S843" i="1" s="1"/>
  <c r="R865" i="1"/>
  <c r="S865" i="1" s="1"/>
  <c r="R891" i="1"/>
  <c r="S891" i="1" s="1"/>
  <c r="R148" i="1"/>
  <c r="S148" i="1" s="1"/>
  <c r="R733" i="1"/>
  <c r="S733" i="1" s="1"/>
  <c r="R115" i="1"/>
  <c r="S115" i="1" s="1"/>
  <c r="R401" i="1"/>
  <c r="S401" i="1" s="1"/>
  <c r="R403" i="1"/>
  <c r="S403" i="1" s="1"/>
  <c r="R530" i="1"/>
  <c r="S530" i="1" s="1"/>
  <c r="R191" i="1"/>
  <c r="S191" i="1" s="1"/>
  <c r="R792" i="1"/>
  <c r="S792" i="1" s="1"/>
  <c r="R840" i="1"/>
  <c r="S840" i="1" s="1"/>
  <c r="R280" i="1"/>
  <c r="S280" i="1" s="1"/>
  <c r="R305" i="1"/>
  <c r="S305" i="1" s="1"/>
  <c r="R395" i="1"/>
  <c r="S395" i="1" s="1"/>
  <c r="R28" i="1"/>
  <c r="S28" i="1" s="1"/>
  <c r="R30" i="1"/>
  <c r="S30" i="1" s="1"/>
  <c r="R131" i="1"/>
  <c r="S131" i="1" s="1"/>
  <c r="R147" i="1"/>
  <c r="S147" i="1" s="1"/>
  <c r="R149" i="1"/>
  <c r="S149" i="1" s="1"/>
  <c r="R283" i="1"/>
  <c r="S283" i="1" s="1"/>
  <c r="R402" i="1"/>
  <c r="S402" i="1" s="1"/>
  <c r="R404" i="1"/>
  <c r="S404" i="1" s="1"/>
  <c r="R171" i="1"/>
  <c r="S171" i="1" s="1"/>
  <c r="R173" i="1"/>
  <c r="S173" i="1" s="1"/>
  <c r="R175" i="1"/>
  <c r="S175" i="1" s="1"/>
  <c r="R192" i="1"/>
  <c r="S192" i="1" s="1"/>
  <c r="R212" i="1"/>
  <c r="S212" i="1" s="1"/>
  <c r="R265" i="1"/>
  <c r="S265" i="1" s="1"/>
  <c r="R376" i="1"/>
  <c r="S376" i="1" s="1"/>
  <c r="R378" i="1"/>
  <c r="S378" i="1" s="1"/>
  <c r="R633" i="1"/>
  <c r="S633" i="1" s="1"/>
  <c r="R647" i="1"/>
  <c r="S647" i="1" s="1"/>
  <c r="R762" i="1"/>
  <c r="S762" i="1" s="1"/>
  <c r="R695" i="1"/>
  <c r="S695" i="1" s="1"/>
  <c r="R793" i="1"/>
  <c r="S793" i="1" s="1"/>
  <c r="R839" i="1"/>
  <c r="S839" i="1" s="1"/>
  <c r="R237" i="1"/>
  <c r="S237" i="1" s="1"/>
  <c r="R377" i="1"/>
  <c r="S377" i="1" s="1"/>
  <c r="R482" i="1"/>
  <c r="S482" i="1" s="1"/>
  <c r="R538" i="1"/>
  <c r="S538" i="1" s="1"/>
  <c r="R634" i="1"/>
  <c r="S634" i="1" s="1"/>
  <c r="R639" i="1"/>
  <c r="S639" i="1" s="1"/>
  <c r="R648" i="1"/>
  <c r="S648" i="1" s="1"/>
  <c r="R651" i="1"/>
  <c r="S651" i="1" s="1"/>
  <c r="R676" i="1"/>
  <c r="S676" i="1" s="1"/>
  <c r="R801" i="1"/>
  <c r="S801" i="1" s="1"/>
  <c r="P137" i="1"/>
  <c r="R137" i="1" s="1"/>
  <c r="S137" i="1" s="1"/>
  <c r="R198" i="1"/>
  <c r="S198" i="1" s="1"/>
  <c r="P98" i="1"/>
  <c r="R98" i="1" s="1"/>
  <c r="S98" i="1" s="1"/>
  <c r="P231" i="1"/>
  <c r="R231" i="1" s="1"/>
  <c r="S231" i="1" s="1"/>
  <c r="R36" i="1"/>
  <c r="S36" i="1" s="1"/>
  <c r="P100" i="1"/>
  <c r="R100" i="1" s="1"/>
  <c r="S100" i="1" s="1"/>
  <c r="P103" i="1"/>
  <c r="R103" i="1" s="1"/>
  <c r="S103" i="1" s="1"/>
  <c r="R243" i="1"/>
  <c r="S243" i="1" s="1"/>
  <c r="R284" i="1"/>
  <c r="S284" i="1" s="1"/>
  <c r="P374" i="1"/>
  <c r="R374" i="1" s="1"/>
  <c r="S374" i="1" s="1"/>
  <c r="R454" i="1"/>
  <c r="S454" i="1" s="1"/>
  <c r="R244" i="1"/>
  <c r="S244" i="1" s="1"/>
  <c r="R431" i="1"/>
  <c r="S431" i="1" s="1"/>
  <c r="R520" i="1"/>
  <c r="S520" i="1" s="1"/>
  <c r="R519" i="1"/>
  <c r="S519" i="1" s="1"/>
  <c r="P625" i="1"/>
  <c r="R625" i="1" s="1"/>
  <c r="S625" i="1" s="1"/>
  <c r="R693" i="1"/>
  <c r="S693" i="1" s="1"/>
  <c r="R766" i="1"/>
  <c r="S766" i="1" s="1"/>
  <c r="R524" i="1"/>
  <c r="S524" i="1" s="1"/>
  <c r="R544" i="1"/>
  <c r="S544" i="1" s="1"/>
  <c r="R601" i="1"/>
  <c r="S601" i="1" s="1"/>
  <c r="R890" i="1"/>
  <c r="S890" i="1" s="1"/>
  <c r="R833" i="1"/>
  <c r="S833" i="1" s="1"/>
  <c r="P883" i="1"/>
  <c r="R883" i="1" s="1"/>
  <c r="S883" i="1" s="1"/>
  <c r="S967" i="1" l="1"/>
  <c r="R967" i="1"/>
</calcChain>
</file>

<file path=xl/sharedStrings.xml><?xml version="1.0" encoding="utf-8"?>
<sst xmlns="http://schemas.openxmlformats.org/spreadsheetml/2006/main" count="5822" uniqueCount="847">
  <si>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</si>
  <si>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</si>
  <si>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</si>
  <si>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</si>
  <si>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</si>
  <si>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</si>
  <si>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</si>
  <si>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</si>
  <si>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</si>
  <si>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</si>
  <si>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</si>
  <si>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</si>
  <si>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</si>
  <si>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</si>
  <si>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</si>
  <si>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</si>
  <si>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</si>
  <si>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</si>
  <si>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</si>
  <si>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</si>
  <si>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</si>
  <si>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</si>
  <si>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</si>
  <si>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</si>
  <si>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</si>
  <si>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</si>
  <si>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</si>
  <si>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</si>
  <si>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</si>
  <si>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</si>
  <si>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</si>
  <si>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</si>
  <si>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</si>
  <si>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</si>
  <si>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B-24 (isi 12 pc)</t>
  </si>
  <si>
    <t>ASAHAN JOYKO B-72 (isi 24 pc)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</si>
  <si>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</si>
  <si>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</si>
  <si>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</si>
  <si>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</si>
  <si>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</si>
  <si>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</si>
  <si>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</si>
  <si>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</si>
  <si>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BT-3224-01/02 (BUNGA)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</si>
  <si>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</si>
  <si>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</si>
  <si>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</si>
  <si>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</si>
  <si>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</si>
  <si>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</si>
  <si>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</si>
  <si>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</si>
  <si>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</si>
  <si>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</si>
  <si>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</si>
  <si>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</si>
  <si>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</si>
  <si>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</si>
  <si>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</si>
  <si>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</si>
  <si>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</si>
  <si>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</si>
  <si>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</si>
  <si>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</si>
  <si>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</si>
  <si>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</si>
  <si>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</si>
  <si>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</si>
  <si>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</si>
  <si>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</si>
  <si>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</si>
  <si>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</si>
  <si>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</si>
  <si>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</si>
  <si>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</si>
  <si>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</si>
  <si>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</si>
  <si>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</si>
  <si>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</si>
  <si>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</si>
  <si>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</si>
  <si>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</si>
  <si>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</si>
  <si>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</si>
  <si>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</si>
  <si>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</si>
  <si>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</si>
  <si>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</si>
  <si>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</si>
  <si>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</si>
  <si>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</si>
  <si>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</si>
  <si>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</si>
  <si>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</si>
  <si>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</si>
  <si>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</si>
  <si>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</si>
  <si>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</si>
  <si>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</si>
  <si>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</si>
  <si>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</si>
  <si>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</si>
  <si>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</si>
  <si>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</si>
  <si>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</si>
  <si>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</si>
  <si>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</si>
  <si>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</si>
  <si>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</si>
  <si>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</si>
  <si>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</si>
  <si>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</si>
  <si>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</si>
  <si>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</si>
  <si>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</si>
  <si>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</si>
  <si>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</si>
  <si>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</si>
  <si>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</si>
  <si>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</si>
  <si>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</si>
  <si>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</si>
  <si>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</si>
  <si>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</si>
  <si>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</si>
  <si>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</si>
  <si>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</si>
  <si>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</si>
  <si>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</si>
  <si>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</si>
  <si>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</si>
  <si>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</si>
  <si>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</si>
  <si>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</si>
  <si>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</si>
  <si>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</si>
  <si>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</si>
  <si>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</si>
  <si>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</si>
  <si>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</si>
  <si>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</si>
  <si>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</si>
  <si>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</si>
  <si>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CT-634 DT (8M x 5MM)</t>
  </si>
  <si>
    <t>CORRECTION TAPE KENKO CT-634N (8M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</si>
  <si>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</si>
  <si>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</si>
  <si>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</si>
  <si>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</si>
  <si>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 (12M x 5MM)</t>
  </si>
  <si>
    <t>CORRECTION TAPE KENKO CT-902P (12M x 5MM) TRANSPARAN</t>
  </si>
  <si>
    <t>CORRECTION TAPE KENKO CT-902 DT (12M x 5MM)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</si>
  <si>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</si>
  <si>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</si>
  <si>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</si>
  <si>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</si>
  <si>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</si>
  <si>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</si>
  <si>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</si>
  <si>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</si>
  <si>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</si>
  <si>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</si>
  <si>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</si>
  <si>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</si>
  <si>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</si>
  <si>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</si>
  <si>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</si>
  <si>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</si>
  <si>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</si>
  <si>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</si>
  <si>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</si>
  <si>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</si>
  <si>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</si>
  <si>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</si>
  <si>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</si>
  <si>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</si>
  <si>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</si>
  <si>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</si>
  <si>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</si>
  <si>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</si>
  <si>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</si>
  <si>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</si>
  <si>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</si>
  <si>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</si>
  <si>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</si>
  <si>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</si>
  <si>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</si>
  <si>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</si>
  <si>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</si>
  <si>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</si>
  <si>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</si>
  <si>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</si>
  <si>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</si>
  <si>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</si>
  <si>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</si>
  <si>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</si>
  <si>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</si>
  <si>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</si>
  <si>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</si>
  <si>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</si>
  <si>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</si>
  <si>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</si>
  <si>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</si>
  <si>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</si>
  <si>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</si>
  <si>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</si>
  <si>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</si>
  <si>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</si>
  <si>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</si>
  <si>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</si>
  <si>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</si>
  <si>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</si>
  <si>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</si>
  <si>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</si>
  <si>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</si>
  <si>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</si>
  <si>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</si>
  <si>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</si>
  <si>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</si>
  <si>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</si>
  <si>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</si>
  <si>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</si>
  <si>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</si>
  <si>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</si>
  <si>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</si>
  <si>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</si>
  <si>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</si>
  <si>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</si>
  <si>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</si>
  <si>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</si>
  <si>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</si>
  <si>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</si>
  <si>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</si>
  <si>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</si>
  <si>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</si>
  <si>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</si>
  <si>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</si>
  <si>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</si>
  <si>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</si>
  <si>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</si>
  <si>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</si>
  <si>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</si>
  <si>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</si>
  <si>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</si>
  <si>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</si>
  <si>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</si>
  <si>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</si>
  <si>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</si>
  <si>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</si>
  <si>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</si>
  <si>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</si>
  <si>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</si>
  <si>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</si>
  <si>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</si>
  <si>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</si>
  <si>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</si>
  <si>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</si>
  <si>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</si>
  <si>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</si>
  <si>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</si>
  <si>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</si>
  <si>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</si>
  <si>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</si>
  <si>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</si>
  <si>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</si>
  <si>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</si>
  <si>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</si>
  <si>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</si>
  <si>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</si>
  <si>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</si>
  <si>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</si>
  <si>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</si>
  <si>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</si>
  <si>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</si>
  <si>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</si>
  <si>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</si>
  <si>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</si>
  <si>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</si>
  <si>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</si>
  <si>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</si>
  <si>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</si>
  <si>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</si>
  <si>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</si>
  <si>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</si>
  <si>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</si>
  <si>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</si>
  <si>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</si>
  <si>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</si>
  <si>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</si>
  <si>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</si>
  <si>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</si>
  <si>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</si>
  <si>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</si>
  <si>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</si>
  <si>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</si>
  <si>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</si>
  <si>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</si>
  <si>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</si>
  <si>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</si>
  <si>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</si>
  <si>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</si>
  <si>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</si>
  <si>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</si>
  <si>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</si>
  <si>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</si>
  <si>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</si>
  <si>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</si>
  <si>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</si>
  <si>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</si>
  <si>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</si>
  <si>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</si>
  <si>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</si>
  <si>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</si>
  <si>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</si>
  <si>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</si>
  <si>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</si>
  <si>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</si>
  <si>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</si>
  <si>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</si>
  <si>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</si>
  <si>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</si>
  <si>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</si>
  <si>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</si>
  <si>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</si>
  <si>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</si>
  <si>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</si>
  <si>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</si>
  <si>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</si>
  <si>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</si>
  <si>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</si>
  <si>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</si>
  <si>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</si>
  <si>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</si>
  <si>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</si>
  <si>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</si>
  <si>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</si>
  <si>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</si>
  <si>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</si>
  <si>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</si>
  <si>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</si>
  <si>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</si>
  <si>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</si>
  <si>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</si>
  <si>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</si>
  <si>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</si>
  <si>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</si>
  <si>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</si>
  <si>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</si>
  <si>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</si>
  <si>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</si>
  <si>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</si>
  <si>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</si>
  <si>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</si>
  <si>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</si>
  <si>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</si>
  <si>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</si>
  <si>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</si>
  <si>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</si>
  <si>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</si>
  <si>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</si>
  <si>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</si>
  <si>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</si>
  <si>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</si>
  <si>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</si>
  <si>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</si>
  <si>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</si>
  <si>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</si>
  <si>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</si>
  <si>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</si>
  <si>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</si>
  <si>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</si>
  <si>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</si>
  <si>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</si>
  <si>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</si>
  <si>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</si>
  <si>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</si>
  <si>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</si>
  <si>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</si>
  <si>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</si>
  <si>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</si>
  <si>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</si>
  <si>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</si>
  <si>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</si>
  <si>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</si>
  <si>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</si>
  <si>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</si>
  <si>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</si>
  <si>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</si>
  <si>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</si>
  <si>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</si>
  <si>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</si>
  <si>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</si>
  <si>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</si>
  <si>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</si>
  <si>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</si>
  <si>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</si>
  <si>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</si>
  <si>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</si>
  <si>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</si>
  <si>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</si>
  <si>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</si>
  <si>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</si>
  <si>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</si>
  <si>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</si>
  <si>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</si>
  <si>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</si>
  <si>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</si>
  <si>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</si>
  <si>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</si>
  <si>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</si>
  <si>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</si>
  <si>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TIZO TG-31763-DL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</si>
  <si>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</si>
  <si>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</si>
  <si>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</si>
  <si>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</si>
  <si>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</si>
  <si>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</si>
  <si>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</si>
  <si>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</si>
  <si>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</si>
  <si>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</si>
  <si>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</si>
  <si>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</si>
  <si>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</si>
  <si>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</si>
  <si>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</si>
  <si>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</si>
  <si>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</si>
  <si>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</si>
  <si>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</si>
  <si>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</si>
  <si>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</si>
  <si>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</si>
  <si>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</si>
  <si>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</si>
  <si>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</si>
  <si>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</si>
  <si>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</si>
  <si>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</si>
  <si>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</si>
  <si>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</si>
  <si>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</si>
  <si>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</si>
  <si>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</si>
  <si>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</si>
  <si>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</si>
  <si>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</si>
  <si>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</si>
  <si>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</si>
  <si>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</si>
  <si>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</si>
  <si>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</si>
  <si>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</si>
  <si>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</si>
  <si>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</si>
  <si>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</si>
  <si>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</si>
  <si>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</si>
  <si>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</si>
  <si>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</si>
  <si>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</si>
  <si>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</si>
  <si>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</si>
  <si>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</si>
  <si>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</si>
  <si>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</si>
  <si>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</si>
  <si>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</si>
  <si>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</si>
  <si>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</si>
  <si>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</si>
  <si>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</si>
  <si>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</si>
  <si>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</si>
  <si>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</si>
  <si>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</si>
  <si>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</si>
  <si>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</si>
  <si>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</si>
  <si>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</si>
  <si>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</si>
  <si>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</si>
  <si>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</si>
  <si>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</si>
  <si>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</si>
  <si>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</si>
  <si>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</si>
  <si>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</si>
  <si>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</si>
  <si>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</si>
  <si>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</si>
  <si>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</si>
  <si>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</si>
  <si>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</si>
  <si>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</si>
  <si>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</si>
  <si>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</si>
  <si>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</si>
  <si>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</si>
  <si>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</si>
  <si>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</si>
  <si>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</si>
  <si>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</si>
  <si>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</si>
  <si>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</si>
  <si>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</si>
  <si>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</si>
  <si>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</si>
  <si>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</si>
  <si>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</si>
  <si>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</si>
  <si>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</si>
  <si>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</si>
  <si>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</si>
  <si>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</si>
  <si>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</si>
  <si>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</si>
  <si>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</si>
  <si>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</si>
  <si>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</si>
  <si>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</si>
  <si>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</si>
  <si>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</si>
  <si>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</si>
  <si>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</si>
  <si>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</si>
  <si>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</si>
  <si>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</si>
  <si>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</si>
  <si>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</si>
  <si>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</si>
  <si>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</si>
  <si>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</si>
  <si>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</si>
  <si>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</si>
  <si>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</si>
  <si>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</si>
  <si>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</si>
  <si>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</si>
  <si>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</si>
  <si>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</si>
  <si>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</si>
  <si>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</si>
  <si>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</si>
  <si>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</si>
  <si>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</si>
  <si>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</si>
  <si>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</si>
  <si>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</si>
  <si>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</si>
  <si>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</si>
  <si>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</si>
  <si>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</si>
  <si>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</si>
  <si>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</si>
  <si>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</si>
  <si>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</si>
  <si>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</si>
  <si>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</si>
  <si>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</si>
  <si>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</si>
  <si>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</si>
  <si>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</si>
  <si>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</si>
  <si>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</si>
  <si>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</si>
  <si>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</si>
  <si>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</si>
  <si>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</si>
  <si>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</si>
  <si>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</si>
  <si>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</si>
  <si>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</si>
  <si>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</si>
  <si>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</si>
  <si>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</si>
  <si>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</si>
  <si>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</si>
  <si>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</si>
  <si>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</si>
  <si>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</si>
  <si>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</si>
  <si>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</si>
  <si>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</si>
  <si>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</si>
  <si>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</si>
  <si>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</si>
  <si>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</si>
  <si>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</si>
  <si>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</si>
  <si>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</si>
  <si>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</si>
  <si>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</si>
  <si>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</si>
  <si>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</si>
  <si>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</si>
  <si>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</si>
  <si>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</si>
  <si>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</si>
  <si>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</si>
  <si>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</si>
  <si>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</si>
  <si>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</si>
  <si>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</si>
  <si>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</si>
  <si>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</si>
  <si>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</si>
  <si>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</si>
  <si>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</si>
  <si>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</si>
  <si>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</si>
  <si>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</si>
  <si>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</si>
  <si>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</si>
  <si>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</si>
  <si>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</si>
  <si>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</si>
  <si>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</si>
  <si>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</si>
  <si>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</si>
  <si>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</si>
  <si>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</si>
  <si>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</si>
  <si>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</si>
  <si>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</si>
  <si>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</si>
  <si>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</si>
  <si>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</si>
  <si>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</si>
  <si>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</si>
  <si>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</si>
  <si>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</si>
  <si>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</si>
  <si>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</si>
  <si>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</si>
  <si>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</si>
  <si>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</si>
  <si>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</si>
  <si>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</si>
  <si>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</si>
  <si>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</si>
  <si>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</si>
  <si>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</si>
  <si>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JOYKO TD-113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</si>
  <si>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</si>
  <si>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</si>
  <si>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</si>
  <si>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</si>
  <si>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</si>
  <si>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</si>
  <si>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</si>
  <si>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</si>
  <si>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</si>
  <si>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</si>
  <si>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</si>
  <si>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</si>
  <si>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</si>
  <si>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</si>
  <si>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</si>
  <si>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</si>
  <si>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</si>
  <si>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</si>
  <si>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</si>
  <si>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</si>
  <si>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</si>
  <si>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</si>
  <si>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</si>
  <si>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</si>
  <si>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</si>
  <si>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</si>
  <si>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</si>
  <si>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</si>
  <si>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</si>
  <si>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</si>
  <si>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</si>
  <si>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</si>
  <si>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</si>
  <si>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</si>
  <si>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</si>
  <si>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</si>
  <si>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</si>
  <si>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</si>
  <si>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</si>
  <si>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</si>
  <si>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</si>
  <si>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</si>
  <si>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</si>
  <si>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</si>
  <si>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</si>
  <si>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</si>
  <si>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</si>
  <si>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</si>
  <si>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</si>
  <si>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</si>
  <si>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</si>
  <si>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</si>
  <si>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</si>
  <si>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</si>
  <si>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</si>
  <si>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</si>
  <si>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</si>
  <si>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</si>
  <si>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</si>
  <si>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</si>
  <si>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</si>
  <si>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</si>
  <si>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</si>
  <si>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</si>
  <si>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</si>
  <si>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</si>
  <si>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</si>
  <si>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</si>
  <si>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</si>
  <si>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</si>
  <si>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</si>
  <si>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</si>
  <si>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</si>
  <si>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</si>
  <si>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</si>
  <si>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</si>
  <si>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</si>
  <si>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</si>
  <si>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</si>
  <si>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GEL PEN TIZO TG-30541</t>
  </si>
  <si>
    <t>GEL PEN TIZO TG-30542</t>
  </si>
  <si>
    <t>GEL PEN TIZO TG-30600</t>
  </si>
  <si>
    <t>GEL PEN TIZO TG-30601</t>
  </si>
  <si>
    <t>GEL PEN TIZO TG-30605</t>
  </si>
  <si>
    <t>GEL PEN TIZO TG-30606</t>
  </si>
  <si>
    <t>GEL PEN TIZO TG-30734</t>
  </si>
  <si>
    <t>GEL PEN TIZO TG-30735</t>
  </si>
  <si>
    <t>GEL PEN TIZO TG-30801</t>
  </si>
  <si>
    <t>GEL PEN TIZO TG-30802</t>
  </si>
  <si>
    <t>GEL PEN TIZO TG-30900</t>
  </si>
  <si>
    <t>GEL PEN TIZO TG-30901</t>
  </si>
  <si>
    <t>GEL PEN TIZO TG-31035</t>
  </si>
  <si>
    <t>GEL PEN TIZO TG-31037</t>
  </si>
  <si>
    <t>GEL PEN TIZO TG-31475</t>
  </si>
  <si>
    <t>GEL PEN TIZO TG-31590</t>
  </si>
  <si>
    <t>GEL PEN TIZO TG-31762</t>
  </si>
  <si>
    <t>GEL PEN TIZO TG-31780</t>
  </si>
  <si>
    <t>GEL PEN TIZO TG-31810</t>
  </si>
  <si>
    <t>GEL PEN TIZO TG-31831</t>
  </si>
  <si>
    <t>GEL PEN TIZO TG-31975</t>
  </si>
  <si>
    <t>GEL PEN TIZO TG-348</t>
  </si>
  <si>
    <t>GEL PEN TIZO TG-3481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</si>
  <si>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</si>
  <si>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</si>
  <si>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</si>
  <si>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</si>
  <si>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</si>
  <si>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</si>
  <si>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</si>
  <si>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</si>
  <si>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</si>
  <si>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</si>
  <si>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</si>
  <si>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</si>
  <si>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</si>
  <si>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</si>
  <si>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</si>
  <si>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</si>
  <si>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</si>
  <si>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</si>
  <si>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</si>
  <si>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</si>
  <si>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</si>
  <si>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</si>
  <si>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</si>
  <si>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</si>
  <si>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</si>
  <si>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</si>
  <si>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</si>
  <si>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</si>
  <si>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</si>
  <si>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</si>
  <si>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</si>
  <si>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</si>
  <si>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</si>
  <si>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</si>
  <si>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</si>
  <si>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</si>
  <si>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</si>
  <si>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</si>
  <si>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</si>
  <si>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</si>
  <si>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</si>
  <si>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</si>
  <si>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</si>
  <si>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</si>
  <si>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</si>
  <si>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</si>
  <si>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</si>
  <si>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</si>
  <si>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</si>
  <si>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</si>
  <si>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</si>
  <si>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</si>
  <si>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</si>
  <si>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</si>
  <si>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</si>
  <si>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</si>
  <si>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</si>
  <si>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</si>
  <si>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</si>
  <si>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</si>
  <si>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</si>
  <si>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GEL PEN SET JOYKO GPC-296 (isi 8 pc) (bonus)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</si>
  <si>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</si>
  <si>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</si>
  <si>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</si>
  <si>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</si>
  <si>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</si>
  <si>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</si>
  <si>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</si>
  <si>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</si>
  <si>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</si>
  <si>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</si>
  <si>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</si>
  <si>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</si>
  <si>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</si>
  <si>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</si>
  <si>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</si>
  <si>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</si>
  <si>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</si>
  <si>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</si>
  <si>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</si>
  <si>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</si>
  <si>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</si>
  <si>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</si>
  <si>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</si>
  <si>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</si>
  <si>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</si>
  <si>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</si>
  <si>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</si>
  <si>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</si>
  <si>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</si>
  <si>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GEL PEN JOYKO GP-265 Q-GEL (bonus)</t>
  </si>
  <si>
    <t>SPIDOL PERMANENT JOYKO PM-34 (bonus)</t>
  </si>
  <si>
    <t>SPIDOL WHITEBOARD SDI S530VP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</si>
  <si>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</si>
  <si>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</si>
  <si>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</si>
  <si>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</si>
  <si>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TIMBANGAN / DIGITAL SCALE JOYKO DSL-A3 (Kitchen Scale) (bonus)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</si>
</sst>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03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0" fontId="3" fillId="3" borderId="0" xfId="0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/>
    <xf numFmtId="0" fontId="3" fillId="3" borderId="0" xfId="0" applyFont="1" applyFill="1" applyAlignment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0" fontId="3" fillId="4" borderId="0" xfId="0" applyFont="1" applyFill="1" applyBorder="1"/>
    <xf numFmtId="0" fontId="3" fillId="4" borderId="0" xfId="0" applyFont="1" applyFill="1"/>
    <xf numFmtId="3" fontId="3" fillId="4" borderId="0" xfId="0" applyNumberFormat="1" applyFont="1" applyFill="1"/>
    <xf numFmtId="0" fontId="3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/>
    <xf numFmtId="0" fontId="3" fillId="4" borderId="0" xfId="0" applyFont="1" applyFill="1" applyAlignment="1"/>
    <xf numFmtId="4" fontId="3" fillId="4" borderId="0" xfId="0" applyNumberFormat="1" applyFont="1" applyFill="1"/>
    <xf numFmtId="10" fontId="3" fillId="4" borderId="0" xfId="0" applyNumberFormat="1" applyFont="1" applyFill="1" applyAlignment="1">
      <alignment horizontal="center"/>
    </xf>
    <xf numFmtId="166" fontId="3" fillId="0" borderId="0" xfId="0" applyNumberFormat="1" applyFont="1" applyFill="1" applyAlignment="1"/>
    <xf numFmtId="0" fontId="3" fillId="0" borderId="0" xfId="2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3" fontId="0" fillId="0" borderId="0" xfId="0" quotePrefix="1" applyNumberFormat="1" applyFont="1" applyFill="1"/>
    <xf numFmtId="0" fontId="3" fillId="0" borderId="9" xfId="2" applyFont="1" applyFill="1" applyBorder="1"/>
    <xf numFmtId="0" fontId="3" fillId="3" borderId="0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1" fontId="3" fillId="3" borderId="0" xfId="0" applyNumberFormat="1" applyFont="1" applyFill="1" applyAlignment="1"/>
    <xf numFmtId="0" fontId="3" fillId="3" borderId="9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66" fontId="3" fillId="4" borderId="0" xfId="0" applyNumberFormat="1" applyFont="1" applyFill="1" applyAlignment="1"/>
    <xf numFmtId="1" fontId="3" fillId="4" borderId="0" xfId="0" applyNumberFormat="1" applyFont="1" applyFill="1" applyAlignment="1"/>
    <xf numFmtId="165" fontId="3" fillId="3" borderId="0" xfId="0" applyNumberFormat="1" applyFont="1" applyFill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3"/>
  <sheetViews>
    <sheetView tabSelected="1" workbookViewId="0">
      <pane ySplit="3" topLeftCell="A154" activePane="bottomLeft" state="frozen"/>
      <selection pane="bottomLeft" activeCell="E99" sqref="E99"/>
    </sheetView>
  </sheetViews>
  <sheetFormatPr defaultRowHeight="12.75"/>
  <cols>
    <col min="1" max="1" width="53.4257812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6.8554687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838</v>
      </c>
    </row>
    <row r="2" spans="1:19" s="10" customFormat="1">
      <c r="A2" s="91" t="s">
        <v>0</v>
      </c>
      <c r="B2" s="92" t="s">
        <v>1</v>
      </c>
      <c r="C2" s="93" t="s">
        <v>2</v>
      </c>
      <c r="D2" s="93"/>
      <c r="E2" s="94" t="s">
        <v>657</v>
      </c>
      <c r="F2" s="95" t="s">
        <v>3</v>
      </c>
      <c r="G2" s="95"/>
      <c r="H2" s="95"/>
      <c r="I2" s="95"/>
      <c r="J2" s="101" t="s">
        <v>4</v>
      </c>
      <c r="K2" s="102"/>
      <c r="L2" s="102"/>
      <c r="M2" s="92"/>
      <c r="N2" s="96" t="s">
        <v>5</v>
      </c>
      <c r="O2" s="97"/>
      <c r="P2" s="93" t="s">
        <v>6</v>
      </c>
      <c r="Q2" s="93"/>
      <c r="R2" s="100" t="s">
        <v>7</v>
      </c>
      <c r="S2" s="100" t="s">
        <v>8</v>
      </c>
    </row>
    <row r="3" spans="1:19" s="10" customFormat="1">
      <c r="A3" s="91"/>
      <c r="B3" s="92"/>
      <c r="C3" s="93"/>
      <c r="D3" s="93"/>
      <c r="E3" s="94"/>
      <c r="F3" s="95" t="s">
        <v>9</v>
      </c>
      <c r="G3" s="95"/>
      <c r="H3" s="95" t="s">
        <v>10</v>
      </c>
      <c r="I3" s="95"/>
      <c r="J3" s="11" t="s">
        <v>11</v>
      </c>
      <c r="K3" s="12" t="s">
        <v>12</v>
      </c>
      <c r="L3" s="13" t="s">
        <v>13</v>
      </c>
      <c r="M3" s="13" t="s">
        <v>14</v>
      </c>
      <c r="N3" s="98"/>
      <c r="O3" s="99"/>
      <c r="P3" s="93"/>
      <c r="Q3" s="93"/>
      <c r="R3" s="100"/>
      <c r="S3" s="100"/>
    </row>
    <row r="4" spans="1:19" ht="15.75">
      <c r="A4" s="14" t="s">
        <v>15</v>
      </c>
    </row>
    <row r="5" spans="1:19">
      <c r="A5" s="15" t="s">
        <v>16</v>
      </c>
    </row>
    <row r="6" spans="1:19">
      <c r="A6" s="17" t="s">
        <v>17</v>
      </c>
      <c r="B6" s="2" t="s">
        <v>18</v>
      </c>
      <c r="D6" s="4" t="s">
        <v>19</v>
      </c>
      <c r="F6" s="6">
        <v>1</v>
      </c>
      <c r="G6" s="7" t="s">
        <v>20</v>
      </c>
      <c r="H6" s="6">
        <v>60</v>
      </c>
      <c r="I6" s="7" t="s">
        <v>19</v>
      </c>
      <c r="J6" s="8">
        <v>45500</v>
      </c>
      <c r="K6" s="4" t="s">
        <v>19</v>
      </c>
      <c r="L6" s="9">
        <v>0.125</v>
      </c>
      <c r="M6" s="9">
        <v>0.05</v>
      </c>
      <c r="O6" s="7" t="s">
        <v>19</v>
      </c>
      <c r="P6" s="3">
        <f>(C6+(E6*F6*H6))-N6</f>
        <v>0</v>
      </c>
      <c r="Q6" s="7" t="s">
        <v>19</v>
      </c>
      <c r="R6" s="8">
        <f>P6*(J6-(J6*L6)-((J6-(J6*L6))*M6))</f>
        <v>0</v>
      </c>
      <c r="S6" s="8">
        <f>R6/1.11</f>
        <v>0</v>
      </c>
    </row>
    <row r="7" spans="1:19">
      <c r="A7" s="17" t="s">
        <v>764</v>
      </c>
      <c r="B7" s="2" t="s">
        <v>18</v>
      </c>
      <c r="D7" s="4" t="s">
        <v>19</v>
      </c>
      <c r="F7" s="6">
        <v>1</v>
      </c>
      <c r="G7" s="7" t="s">
        <v>20</v>
      </c>
      <c r="H7" s="6">
        <v>48</v>
      </c>
      <c r="I7" s="7" t="s">
        <v>19</v>
      </c>
      <c r="J7" s="8">
        <v>26000</v>
      </c>
      <c r="K7" s="4" t="s">
        <v>19</v>
      </c>
      <c r="L7" s="9">
        <v>0.125</v>
      </c>
      <c r="M7" s="9">
        <v>0.05</v>
      </c>
      <c r="O7" s="7" t="s">
        <v>19</v>
      </c>
      <c r="P7" s="3">
        <f>(C7+(E7*F7*H7))-N7</f>
        <v>0</v>
      </c>
      <c r="Q7" s="7" t="s">
        <v>19</v>
      </c>
      <c r="R7" s="8">
        <f>P7*(J7-(J7*L7)-((J7-(J7*L7))*M7))</f>
        <v>0</v>
      </c>
      <c r="S7" s="8">
        <f t="shared" ref="S7:S88" si="0">R7/1.11</f>
        <v>0</v>
      </c>
    </row>
    <row r="8" spans="1:19">
      <c r="A8" s="17" t="s">
        <v>21</v>
      </c>
      <c r="B8" s="2" t="s">
        <v>18</v>
      </c>
      <c r="D8" s="4" t="s">
        <v>19</v>
      </c>
      <c r="F8" s="6">
        <v>1</v>
      </c>
      <c r="G8" s="7" t="s">
        <v>20</v>
      </c>
      <c r="H8" s="6">
        <v>48</v>
      </c>
      <c r="I8" s="7" t="s">
        <v>19</v>
      </c>
      <c r="J8" s="8">
        <v>28000</v>
      </c>
      <c r="K8" s="4" t="s">
        <v>19</v>
      </c>
      <c r="L8" s="9">
        <v>0.125</v>
      </c>
      <c r="M8" s="9">
        <v>0.05</v>
      </c>
      <c r="O8" s="7" t="s">
        <v>19</v>
      </c>
      <c r="P8" s="3">
        <f>(C8+(E8*F8*H8))-N8</f>
        <v>0</v>
      </c>
      <c r="Q8" s="7" t="s">
        <v>19</v>
      </c>
      <c r="R8" s="8">
        <f>P8*(J8-(J8*L8)-((J8-(J8*L8))*M8))</f>
        <v>0</v>
      </c>
      <c r="S8" s="8">
        <f t="shared" si="0"/>
        <v>0</v>
      </c>
    </row>
    <row r="9" spans="1:19">
      <c r="A9" s="17" t="s">
        <v>22</v>
      </c>
      <c r="B9" s="2" t="s">
        <v>18</v>
      </c>
      <c r="D9" s="4" t="s">
        <v>19</v>
      </c>
      <c r="F9" s="6">
        <v>1</v>
      </c>
      <c r="G9" s="7" t="s">
        <v>20</v>
      </c>
      <c r="H9" s="6">
        <v>48</v>
      </c>
      <c r="I9" s="7" t="s">
        <v>19</v>
      </c>
      <c r="J9" s="8">
        <v>31700</v>
      </c>
      <c r="K9" s="4" t="s">
        <v>19</v>
      </c>
      <c r="L9" s="9">
        <v>0.125</v>
      </c>
      <c r="M9" s="9">
        <v>0.05</v>
      </c>
      <c r="O9" s="7" t="s">
        <v>19</v>
      </c>
      <c r="P9" s="3">
        <f>(C9+(E9*F9*H9))-N9</f>
        <v>0</v>
      </c>
      <c r="Q9" s="7" t="s">
        <v>19</v>
      </c>
      <c r="R9" s="8">
        <f>P9*(J9-(J9*L9)-((J9-(J9*L9))*M9))</f>
        <v>0</v>
      </c>
      <c r="S9" s="8">
        <f t="shared" si="0"/>
        <v>0</v>
      </c>
    </row>
    <row r="10" spans="1:19">
      <c r="A10" s="17" t="s">
        <v>23</v>
      </c>
      <c r="B10" s="2" t="s">
        <v>18</v>
      </c>
      <c r="D10" s="4" t="s">
        <v>19</v>
      </c>
      <c r="F10" s="6">
        <v>1</v>
      </c>
      <c r="G10" s="7" t="s">
        <v>20</v>
      </c>
      <c r="H10" s="6">
        <v>48</v>
      </c>
      <c r="I10" s="7" t="s">
        <v>19</v>
      </c>
      <c r="J10" s="8">
        <v>25000</v>
      </c>
      <c r="K10" s="4" t="s">
        <v>19</v>
      </c>
      <c r="L10" s="9">
        <v>0.125</v>
      </c>
      <c r="M10" s="9">
        <v>0.05</v>
      </c>
      <c r="O10" s="7" t="s">
        <v>19</v>
      </c>
      <c r="P10" s="3">
        <f>(C10+(E10*F10*H10))-N10</f>
        <v>0</v>
      </c>
      <c r="Q10" s="7" t="s">
        <v>19</v>
      </c>
      <c r="R10" s="8">
        <f>P10*(J10-(J10*L10)-((J10-(J10*L10))*M10))</f>
        <v>0</v>
      </c>
      <c r="S10" s="8">
        <f t="shared" si="0"/>
        <v>0</v>
      </c>
    </row>
    <row r="12" spans="1:19">
      <c r="A12" s="17" t="s">
        <v>24</v>
      </c>
      <c r="B12" s="2" t="s">
        <v>25</v>
      </c>
      <c r="D12" s="4" t="s">
        <v>19</v>
      </c>
      <c r="F12" s="6">
        <v>1</v>
      </c>
      <c r="G12" s="7" t="s">
        <v>20</v>
      </c>
      <c r="H12" s="6">
        <v>60</v>
      </c>
      <c r="I12" s="7" t="s">
        <v>19</v>
      </c>
      <c r="J12" s="8">
        <v>23800</v>
      </c>
      <c r="K12" s="4" t="s">
        <v>19</v>
      </c>
      <c r="M12" s="9">
        <v>0.17</v>
      </c>
      <c r="O12" s="7" t="s">
        <v>19</v>
      </c>
      <c r="P12" s="3">
        <f t="shared" ref="P12:P18" si="1">(C12+(E12*F12*H12))-N12</f>
        <v>0</v>
      </c>
      <c r="Q12" s="7" t="s">
        <v>19</v>
      </c>
      <c r="R12" s="8">
        <f t="shared" ref="R12:R18" si="2">P12*(J12-(J12*L12)-((J12-(J12*L12))*M12))</f>
        <v>0</v>
      </c>
      <c r="S12" s="8">
        <f t="shared" si="0"/>
        <v>0</v>
      </c>
    </row>
    <row r="13" spans="1:19">
      <c r="A13" s="17" t="s">
        <v>26</v>
      </c>
      <c r="B13" s="2" t="s">
        <v>25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0</v>
      </c>
      <c r="Q13" s="7" t="s">
        <v>19</v>
      </c>
      <c r="R13" s="8">
        <f t="shared" si="2"/>
        <v>0</v>
      </c>
      <c r="S13" s="8">
        <f t="shared" si="0"/>
        <v>0</v>
      </c>
    </row>
    <row r="14" spans="1:19">
      <c r="A14" s="17" t="s">
        <v>27</v>
      </c>
      <c r="B14" s="2" t="s">
        <v>25</v>
      </c>
      <c r="C14" s="20"/>
      <c r="D14" s="4" t="s">
        <v>19</v>
      </c>
      <c r="F14" s="6">
        <v>1</v>
      </c>
      <c r="G14" s="7" t="s">
        <v>20</v>
      </c>
      <c r="H14" s="6">
        <v>60</v>
      </c>
      <c r="I14" s="7" t="s">
        <v>19</v>
      </c>
      <c r="J14" s="8">
        <v>27500</v>
      </c>
      <c r="K14" s="4" t="s">
        <v>19</v>
      </c>
      <c r="M14" s="9">
        <v>0.17</v>
      </c>
      <c r="O14" s="7" t="s">
        <v>19</v>
      </c>
      <c r="P14" s="3">
        <f t="shared" si="1"/>
        <v>0</v>
      </c>
      <c r="Q14" s="7" t="s">
        <v>19</v>
      </c>
      <c r="R14" s="8">
        <f t="shared" si="2"/>
        <v>0</v>
      </c>
      <c r="S14" s="8">
        <f t="shared" si="0"/>
        <v>0</v>
      </c>
    </row>
    <row r="15" spans="1:19">
      <c r="A15" s="17" t="s">
        <v>715</v>
      </c>
      <c r="B15" s="2" t="s">
        <v>25</v>
      </c>
      <c r="C15" s="20"/>
      <c r="D15" s="4" t="s">
        <v>19</v>
      </c>
      <c r="F15" s="6">
        <v>1</v>
      </c>
      <c r="G15" s="7" t="s">
        <v>20</v>
      </c>
      <c r="H15" s="6">
        <v>36</v>
      </c>
      <c r="I15" s="7" t="s">
        <v>19</v>
      </c>
      <c r="J15" s="8">
        <f>2520000/36</f>
        <v>70000</v>
      </c>
      <c r="K15" s="4" t="s">
        <v>19</v>
      </c>
      <c r="M15" s="9">
        <v>0.17</v>
      </c>
      <c r="O15" s="7" t="s">
        <v>19</v>
      </c>
      <c r="P15" s="3">
        <f t="shared" si="1"/>
        <v>0</v>
      </c>
      <c r="Q15" s="7" t="s">
        <v>19</v>
      </c>
      <c r="R15" s="8">
        <f t="shared" si="2"/>
        <v>0</v>
      </c>
      <c r="S15" s="8">
        <f t="shared" si="0"/>
        <v>0</v>
      </c>
    </row>
    <row r="16" spans="1:19">
      <c r="A16" s="17" t="s">
        <v>28</v>
      </c>
      <c r="B16" s="2" t="s">
        <v>25</v>
      </c>
      <c r="C16" s="20"/>
      <c r="D16" s="4" t="s">
        <v>19</v>
      </c>
      <c r="F16" s="6">
        <v>1</v>
      </c>
      <c r="G16" s="7" t="s">
        <v>20</v>
      </c>
      <c r="H16" s="6">
        <v>36</v>
      </c>
      <c r="I16" s="7" t="s">
        <v>19</v>
      </c>
      <c r="J16" s="8">
        <v>50500</v>
      </c>
      <c r="K16" s="4" t="s">
        <v>19</v>
      </c>
      <c r="M16" s="9">
        <v>0.17</v>
      </c>
      <c r="O16" s="7" t="s">
        <v>19</v>
      </c>
      <c r="P16" s="3">
        <f t="shared" si="1"/>
        <v>0</v>
      </c>
      <c r="Q16" s="7" t="s">
        <v>19</v>
      </c>
      <c r="R16" s="8">
        <f t="shared" si="2"/>
        <v>0</v>
      </c>
      <c r="S16" s="8">
        <f t="shared" si="0"/>
        <v>0</v>
      </c>
    </row>
    <row r="17" spans="1:19" s="19" customFormat="1">
      <c r="A17" s="18" t="s">
        <v>29</v>
      </c>
      <c r="B17" s="19" t="s">
        <v>25</v>
      </c>
      <c r="C17" s="20"/>
      <c r="D17" s="21" t="s">
        <v>19</v>
      </c>
      <c r="E17" s="26"/>
      <c r="F17" s="22">
        <v>1</v>
      </c>
      <c r="G17" s="23" t="s">
        <v>20</v>
      </c>
      <c r="H17" s="22">
        <v>72</v>
      </c>
      <c r="I17" s="23" t="s">
        <v>19</v>
      </c>
      <c r="J17" s="24">
        <v>37000</v>
      </c>
      <c r="K17" s="21" t="s">
        <v>19</v>
      </c>
      <c r="L17" s="25"/>
      <c r="M17" s="25">
        <v>0.17</v>
      </c>
      <c r="N17" s="22"/>
      <c r="O17" s="23" t="s">
        <v>19</v>
      </c>
      <c r="P17" s="20">
        <f t="shared" si="1"/>
        <v>0</v>
      </c>
      <c r="Q17" s="23" t="s">
        <v>19</v>
      </c>
      <c r="R17" s="24">
        <f t="shared" si="2"/>
        <v>0</v>
      </c>
      <c r="S17" s="24">
        <f t="shared" si="0"/>
        <v>0</v>
      </c>
    </row>
    <row r="18" spans="1:19">
      <c r="A18" s="17" t="s">
        <v>30</v>
      </c>
      <c r="B18" s="2" t="s">
        <v>25</v>
      </c>
      <c r="C18" s="20"/>
      <c r="D18" s="4" t="s">
        <v>19</v>
      </c>
      <c r="F18" s="6">
        <v>1</v>
      </c>
      <c r="G18" s="7" t="s">
        <v>20</v>
      </c>
      <c r="H18" s="6">
        <v>72</v>
      </c>
      <c r="I18" s="7" t="s">
        <v>19</v>
      </c>
      <c r="J18" s="8">
        <v>30000</v>
      </c>
      <c r="K18" s="4" t="s">
        <v>19</v>
      </c>
      <c r="M18" s="9">
        <v>0.17</v>
      </c>
      <c r="O18" s="7" t="s">
        <v>19</v>
      </c>
      <c r="P18" s="3">
        <f t="shared" si="1"/>
        <v>0</v>
      </c>
      <c r="Q18" s="7" t="s">
        <v>19</v>
      </c>
      <c r="R18" s="8">
        <f t="shared" si="2"/>
        <v>0</v>
      </c>
      <c r="S18" s="8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D21" s="4" t="s">
        <v>33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6" si="3">(C21+(E21*F21*H21))-N21</f>
        <v>0</v>
      </c>
      <c r="Q21" s="7" t="s">
        <v>33</v>
      </c>
      <c r="R21" s="8">
        <f t="shared" ref="R21:R26" si="4">P21*(J21-(J21*L21)-((J21-(J21*L21))*M21))</f>
        <v>0</v>
      </c>
      <c r="S21" s="8">
        <f t="shared" si="0"/>
        <v>0</v>
      </c>
    </row>
    <row r="22" spans="1:19">
      <c r="A22" s="17" t="s">
        <v>34</v>
      </c>
      <c r="B22" s="2" t="s">
        <v>18</v>
      </c>
      <c r="D22" s="4" t="s">
        <v>33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0</v>
      </c>
      <c r="Q22" s="7" t="s">
        <v>33</v>
      </c>
      <c r="R22" s="8">
        <f t="shared" si="4"/>
        <v>0</v>
      </c>
      <c r="S22" s="8">
        <f t="shared" si="0"/>
        <v>0</v>
      </c>
    </row>
    <row r="23" spans="1:19">
      <c r="A23" s="17" t="s">
        <v>35</v>
      </c>
      <c r="B23" s="2" t="s">
        <v>18</v>
      </c>
      <c r="D23" s="4" t="s">
        <v>33</v>
      </c>
      <c r="F23" s="6">
        <v>1</v>
      </c>
      <c r="G23" s="7" t="s">
        <v>20</v>
      </c>
      <c r="H23" s="6">
        <v>60</v>
      </c>
      <c r="I23" s="7" t="s">
        <v>33</v>
      </c>
      <c r="J23" s="8">
        <v>31200</v>
      </c>
      <c r="K23" s="4" t="s">
        <v>33</v>
      </c>
      <c r="L23" s="9">
        <v>0.125</v>
      </c>
      <c r="M23" s="9">
        <v>0.05</v>
      </c>
      <c r="O23" s="7" t="s">
        <v>33</v>
      </c>
      <c r="P23" s="3">
        <f t="shared" si="3"/>
        <v>0</v>
      </c>
      <c r="Q23" s="7" t="s">
        <v>33</v>
      </c>
      <c r="R23" s="8">
        <f t="shared" si="4"/>
        <v>0</v>
      </c>
      <c r="S23" s="8">
        <f t="shared" si="0"/>
        <v>0</v>
      </c>
    </row>
    <row r="24" spans="1:19">
      <c r="A24" s="17" t="s">
        <v>703</v>
      </c>
      <c r="B24" s="2" t="s">
        <v>18</v>
      </c>
      <c r="D24" s="4" t="s">
        <v>33</v>
      </c>
      <c r="F24" s="6">
        <v>1</v>
      </c>
      <c r="G24" s="7" t="s">
        <v>20</v>
      </c>
      <c r="H24" s="6">
        <v>50</v>
      </c>
      <c r="I24" s="7" t="s">
        <v>33</v>
      </c>
      <c r="J24" s="8">
        <v>66000</v>
      </c>
      <c r="K24" s="4" t="s">
        <v>33</v>
      </c>
      <c r="L24" s="9">
        <v>0.125</v>
      </c>
      <c r="M24" s="9">
        <v>0.05</v>
      </c>
      <c r="O24" s="7" t="s">
        <v>33</v>
      </c>
      <c r="P24" s="3">
        <f t="shared" si="3"/>
        <v>0</v>
      </c>
      <c r="Q24" s="7" t="s">
        <v>33</v>
      </c>
      <c r="R24" s="8">
        <f t="shared" si="4"/>
        <v>0</v>
      </c>
      <c r="S24" s="8">
        <f t="shared" si="0"/>
        <v>0</v>
      </c>
    </row>
    <row r="25" spans="1:19">
      <c r="A25" s="17" t="s">
        <v>36</v>
      </c>
      <c r="B25" s="2" t="s">
        <v>18</v>
      </c>
      <c r="D25" s="4" t="s">
        <v>33</v>
      </c>
      <c r="F25" s="6">
        <v>1</v>
      </c>
      <c r="G25" s="7" t="s">
        <v>20</v>
      </c>
      <c r="H25" s="6">
        <v>180</v>
      </c>
      <c r="I25" s="7" t="s">
        <v>33</v>
      </c>
      <c r="J25" s="8">
        <v>10200</v>
      </c>
      <c r="K25" s="4" t="s">
        <v>33</v>
      </c>
      <c r="L25" s="9">
        <v>0.125</v>
      </c>
      <c r="M25" s="9">
        <v>0.05</v>
      </c>
      <c r="O25" s="7" t="s">
        <v>33</v>
      </c>
      <c r="P25" s="3">
        <f t="shared" si="3"/>
        <v>0</v>
      </c>
      <c r="Q25" s="7" t="s">
        <v>33</v>
      </c>
      <c r="R25" s="8">
        <f t="shared" si="4"/>
        <v>0</v>
      </c>
      <c r="S25" s="8">
        <f t="shared" si="0"/>
        <v>0</v>
      </c>
    </row>
    <row r="26" spans="1:19">
      <c r="A26" s="17" t="s">
        <v>37</v>
      </c>
      <c r="B26" s="2" t="s">
        <v>18</v>
      </c>
      <c r="D26" s="4" t="s">
        <v>33</v>
      </c>
      <c r="F26" s="6">
        <v>1</v>
      </c>
      <c r="G26" s="7" t="s">
        <v>20</v>
      </c>
      <c r="H26" s="6">
        <v>32</v>
      </c>
      <c r="I26" s="7" t="s">
        <v>33</v>
      </c>
      <c r="J26" s="8">
        <v>64800</v>
      </c>
      <c r="K26" s="4" t="s">
        <v>33</v>
      </c>
      <c r="L26" s="9">
        <v>0.125</v>
      </c>
      <c r="M26" s="9">
        <v>0.05</v>
      </c>
      <c r="O26" s="7" t="s">
        <v>33</v>
      </c>
      <c r="P26" s="3">
        <f t="shared" si="3"/>
        <v>0</v>
      </c>
      <c r="Q26" s="7" t="s">
        <v>33</v>
      </c>
      <c r="R26" s="8">
        <f t="shared" si="4"/>
        <v>0</v>
      </c>
      <c r="S26" s="8">
        <f t="shared" si="0"/>
        <v>0</v>
      </c>
    </row>
    <row r="28" spans="1:19">
      <c r="A28" s="17" t="s">
        <v>794</v>
      </c>
      <c r="B28" s="2" t="s">
        <v>25</v>
      </c>
      <c r="D28" s="4" t="s">
        <v>33</v>
      </c>
      <c r="F28" s="6">
        <v>2</v>
      </c>
      <c r="G28" s="7" t="s">
        <v>101</v>
      </c>
      <c r="H28" s="6">
        <v>30</v>
      </c>
      <c r="I28" s="7" t="s">
        <v>33</v>
      </c>
      <c r="J28" s="8">
        <f>1800000/2/30</f>
        <v>30000</v>
      </c>
      <c r="K28" s="4" t="s">
        <v>33</v>
      </c>
      <c r="M28" s="9">
        <v>0.17</v>
      </c>
      <c r="O28" s="7" t="s">
        <v>33</v>
      </c>
      <c r="P28" s="3">
        <f>(C28+(E28*F28*H28))-N28</f>
        <v>0</v>
      </c>
      <c r="Q28" s="7" t="s">
        <v>33</v>
      </c>
      <c r="R28" s="8">
        <f>P28*(J28-(J28*L28)-((J28-(J28*L28))*M28))</f>
        <v>0</v>
      </c>
      <c r="S28" s="8">
        <f t="shared" ref="S28:S29" si="5">R28/1.11</f>
        <v>0</v>
      </c>
    </row>
    <row r="29" spans="1:19">
      <c r="A29" s="17" t="s">
        <v>783</v>
      </c>
      <c r="B29" s="2" t="s">
        <v>25</v>
      </c>
      <c r="D29" s="4" t="s">
        <v>42</v>
      </c>
      <c r="F29" s="6">
        <v>1</v>
      </c>
      <c r="G29" s="7" t="s">
        <v>20</v>
      </c>
      <c r="H29" s="6">
        <v>60</v>
      </c>
      <c r="I29" s="7" t="s">
        <v>42</v>
      </c>
      <c r="J29" s="8">
        <f>1080000/60</f>
        <v>18000</v>
      </c>
      <c r="K29" s="4" t="s">
        <v>42</v>
      </c>
      <c r="M29" s="9">
        <v>0.17</v>
      </c>
      <c r="O29" s="7" t="s">
        <v>33</v>
      </c>
      <c r="P29" s="3">
        <f>(C29+(E29*F29*H29))-N29</f>
        <v>0</v>
      </c>
      <c r="Q29" s="7" t="s">
        <v>42</v>
      </c>
      <c r="R29" s="8">
        <f>P29*(J29-(J29*L29)-((J29-(J29*L29))*M29))</f>
        <v>0</v>
      </c>
      <c r="S29" s="8">
        <f t="shared" si="5"/>
        <v>0</v>
      </c>
    </row>
    <row r="30" spans="1:19">
      <c r="A30" s="17" t="s">
        <v>688</v>
      </c>
      <c r="B30" s="2" t="s">
        <v>25</v>
      </c>
      <c r="D30" s="4" t="s">
        <v>33</v>
      </c>
      <c r="F30" s="6">
        <v>1</v>
      </c>
      <c r="G30" s="7" t="s">
        <v>20</v>
      </c>
      <c r="H30" s="6">
        <v>32</v>
      </c>
      <c r="I30" s="7" t="s">
        <v>33</v>
      </c>
      <c r="J30" s="8">
        <f>1113600/32</f>
        <v>34800</v>
      </c>
      <c r="K30" s="4" t="s">
        <v>33</v>
      </c>
      <c r="M30" s="9">
        <v>0.17</v>
      </c>
      <c r="O30" s="7" t="s">
        <v>33</v>
      </c>
      <c r="P30" s="3">
        <f>(C30+(E30*F30*H30))-N30</f>
        <v>0</v>
      </c>
      <c r="Q30" s="7" t="s">
        <v>33</v>
      </c>
      <c r="R30" s="8">
        <f>P30*(J30-(J30*L30)-((J30-(J30*L30))*M30))</f>
        <v>0</v>
      </c>
      <c r="S30" s="8">
        <f t="shared" si="0"/>
        <v>0</v>
      </c>
    </row>
    <row r="32" spans="1:19" ht="15.75">
      <c r="A32" s="14" t="s">
        <v>38</v>
      </c>
    </row>
    <row r="33" spans="1:19">
      <c r="A33" s="15" t="s">
        <v>39</v>
      </c>
    </row>
    <row r="34" spans="1:19">
      <c r="A34" s="17" t="s">
        <v>40</v>
      </c>
      <c r="B34" s="2" t="s">
        <v>18</v>
      </c>
      <c r="D34" s="4" t="s">
        <v>19</v>
      </c>
      <c r="F34" s="6">
        <v>1</v>
      </c>
      <c r="G34" s="7" t="s">
        <v>20</v>
      </c>
      <c r="H34" s="6">
        <v>60</v>
      </c>
      <c r="I34" s="7" t="s">
        <v>19</v>
      </c>
      <c r="J34" s="8">
        <v>18500</v>
      </c>
      <c r="K34" s="4" t="s">
        <v>19</v>
      </c>
      <c r="L34" s="9">
        <v>0.125</v>
      </c>
      <c r="M34" s="9">
        <v>0.05</v>
      </c>
      <c r="O34" s="7" t="s">
        <v>19</v>
      </c>
      <c r="P34" s="3">
        <f>(C34+(E34*F34*H34))-N34</f>
        <v>0</v>
      </c>
      <c r="Q34" s="7" t="s">
        <v>19</v>
      </c>
      <c r="R34" s="8">
        <f>P34*(J34-(J34*L34)-((J34-(J34*L34))*M34))</f>
        <v>0</v>
      </c>
      <c r="S34" s="8">
        <f t="shared" si="0"/>
        <v>0</v>
      </c>
    </row>
    <row r="36" spans="1:19" s="19" customFormat="1">
      <c r="A36" s="18" t="s">
        <v>41</v>
      </c>
      <c r="B36" s="19" t="s">
        <v>25</v>
      </c>
      <c r="C36" s="20"/>
      <c r="D36" s="21" t="s">
        <v>42</v>
      </c>
      <c r="E36" s="26"/>
      <c r="F36" s="22">
        <v>1</v>
      </c>
      <c r="G36" s="23" t="s">
        <v>20</v>
      </c>
      <c r="H36" s="22">
        <v>5</v>
      </c>
      <c r="I36" s="23" t="s">
        <v>42</v>
      </c>
      <c r="J36" s="24">
        <f>780000/5</f>
        <v>156000</v>
      </c>
      <c r="K36" s="21" t="s">
        <v>42</v>
      </c>
      <c r="L36" s="25"/>
      <c r="M36" s="25">
        <v>0.17</v>
      </c>
      <c r="N36" s="22"/>
      <c r="O36" s="56" t="s">
        <v>42</v>
      </c>
      <c r="P36" s="20">
        <f t="shared" ref="P36:P39" si="6">(C36+(E36*F36*H36))-N36</f>
        <v>0</v>
      </c>
      <c r="Q36" s="23" t="s">
        <v>42</v>
      </c>
      <c r="R36" s="24">
        <f t="shared" ref="R36:R39" si="7">P36*(J36-(J36*L36)-((J36-(J36*L36))*M36))</f>
        <v>0</v>
      </c>
      <c r="S36" s="24">
        <f t="shared" si="0"/>
        <v>0</v>
      </c>
    </row>
    <row r="37" spans="1:19" s="19" customFormat="1">
      <c r="A37" s="18" t="s">
        <v>43</v>
      </c>
      <c r="B37" s="19" t="s">
        <v>25</v>
      </c>
      <c r="C37" s="20"/>
      <c r="D37" s="21" t="s">
        <v>42</v>
      </c>
      <c r="E37" s="26"/>
      <c r="F37" s="22">
        <v>1</v>
      </c>
      <c r="G37" s="23" t="s">
        <v>20</v>
      </c>
      <c r="H37" s="22">
        <v>5</v>
      </c>
      <c r="I37" s="23" t="s">
        <v>42</v>
      </c>
      <c r="J37" s="24">
        <f>708000/5</f>
        <v>141600</v>
      </c>
      <c r="K37" s="21" t="s">
        <v>42</v>
      </c>
      <c r="L37" s="25"/>
      <c r="M37" s="25">
        <v>0.17</v>
      </c>
      <c r="N37" s="22"/>
      <c r="O37" s="56" t="s">
        <v>42</v>
      </c>
      <c r="P37" s="20">
        <f t="shared" si="6"/>
        <v>0</v>
      </c>
      <c r="Q37" s="23" t="s">
        <v>42</v>
      </c>
      <c r="R37" s="24">
        <f t="shared" si="7"/>
        <v>0</v>
      </c>
      <c r="S37" s="24">
        <f t="shared" si="0"/>
        <v>0</v>
      </c>
    </row>
    <row r="38" spans="1:19" s="19" customFormat="1">
      <c r="A38" s="18" t="s">
        <v>44</v>
      </c>
      <c r="B38" s="19" t="s">
        <v>25</v>
      </c>
      <c r="C38" s="20"/>
      <c r="D38" s="21" t="s">
        <v>42</v>
      </c>
      <c r="E38" s="26"/>
      <c r="F38" s="22">
        <v>1</v>
      </c>
      <c r="G38" s="23" t="s">
        <v>20</v>
      </c>
      <c r="H38" s="22">
        <v>5</v>
      </c>
      <c r="I38" s="23" t="s">
        <v>42</v>
      </c>
      <c r="J38" s="24">
        <f>990000/5</f>
        <v>198000</v>
      </c>
      <c r="K38" s="21" t="s">
        <v>42</v>
      </c>
      <c r="L38" s="25"/>
      <c r="M38" s="25">
        <v>0.17</v>
      </c>
      <c r="N38" s="22"/>
      <c r="O38" s="56" t="s">
        <v>42</v>
      </c>
      <c r="P38" s="20">
        <f t="shared" si="6"/>
        <v>0</v>
      </c>
      <c r="Q38" s="23" t="s">
        <v>42</v>
      </c>
      <c r="R38" s="24">
        <f t="shared" si="7"/>
        <v>0</v>
      </c>
      <c r="S38" s="24">
        <f t="shared" si="0"/>
        <v>0</v>
      </c>
    </row>
    <row r="39" spans="1:19" s="19" customFormat="1">
      <c r="A39" s="18" t="s">
        <v>45</v>
      </c>
      <c r="B39" s="19" t="s">
        <v>25</v>
      </c>
      <c r="C39" s="20"/>
      <c r="D39" s="21" t="s">
        <v>42</v>
      </c>
      <c r="E39" s="26"/>
      <c r="F39" s="22">
        <v>1</v>
      </c>
      <c r="G39" s="23" t="s">
        <v>20</v>
      </c>
      <c r="H39" s="22">
        <v>5</v>
      </c>
      <c r="I39" s="23" t="s">
        <v>42</v>
      </c>
      <c r="J39" s="24">
        <f>975000/5</f>
        <v>195000</v>
      </c>
      <c r="K39" s="21" t="s">
        <v>42</v>
      </c>
      <c r="L39" s="25"/>
      <c r="M39" s="25">
        <v>0.17</v>
      </c>
      <c r="N39" s="22"/>
      <c r="O39" s="56" t="s">
        <v>42</v>
      </c>
      <c r="P39" s="20">
        <f t="shared" si="6"/>
        <v>0</v>
      </c>
      <c r="Q39" s="23" t="s">
        <v>42</v>
      </c>
      <c r="R39" s="24">
        <f t="shared" si="7"/>
        <v>0</v>
      </c>
      <c r="S39" s="24">
        <f t="shared" si="0"/>
        <v>0</v>
      </c>
    </row>
    <row r="40" spans="1:19" s="19" customFormat="1">
      <c r="A40" s="18"/>
      <c r="C40" s="20"/>
      <c r="D40" s="21"/>
      <c r="E40" s="26"/>
      <c r="F40" s="22"/>
      <c r="G40" s="23"/>
      <c r="H40" s="22"/>
      <c r="I40" s="23"/>
      <c r="J40" s="24"/>
      <c r="K40" s="21"/>
      <c r="L40" s="25"/>
      <c r="M40" s="25"/>
      <c r="N40" s="22"/>
      <c r="O40" s="56"/>
      <c r="P40" s="20"/>
      <c r="Q40" s="23"/>
      <c r="R40" s="24"/>
      <c r="S40" s="24"/>
    </row>
    <row r="41" spans="1:19" s="19" customFormat="1">
      <c r="A41" s="88" t="s">
        <v>706</v>
      </c>
      <c r="C41" s="20"/>
      <c r="D41" s="21"/>
      <c r="E41" s="26"/>
      <c r="F41" s="22"/>
      <c r="G41" s="23"/>
      <c r="H41" s="22"/>
      <c r="I41" s="23"/>
      <c r="J41" s="24"/>
      <c r="K41" s="21"/>
      <c r="L41" s="25"/>
      <c r="M41" s="25"/>
      <c r="N41" s="22"/>
      <c r="O41" s="23"/>
      <c r="P41" s="20"/>
      <c r="Q41" s="23"/>
      <c r="R41" s="24"/>
      <c r="S41" s="24"/>
    </row>
    <row r="42" spans="1:19" s="19" customFormat="1">
      <c r="A42" s="18" t="s">
        <v>789</v>
      </c>
      <c r="B42" s="19" t="s">
        <v>709</v>
      </c>
      <c r="C42" s="20"/>
      <c r="D42" s="21" t="s">
        <v>19</v>
      </c>
      <c r="E42" s="26"/>
      <c r="F42" s="22">
        <v>1</v>
      </c>
      <c r="G42" s="23" t="s">
        <v>20</v>
      </c>
      <c r="H42" s="22">
        <v>50</v>
      </c>
      <c r="I42" s="23" t="s">
        <v>19</v>
      </c>
      <c r="J42" s="24">
        <v>12870</v>
      </c>
      <c r="K42" s="21" t="s">
        <v>19</v>
      </c>
      <c r="L42" s="25"/>
      <c r="M42" s="25"/>
      <c r="N42" s="22"/>
      <c r="O42" s="23" t="s">
        <v>19</v>
      </c>
      <c r="P42" s="20">
        <f>(C42+(E42*F42*H42))-N42</f>
        <v>0</v>
      </c>
      <c r="Q42" s="23" t="s">
        <v>19</v>
      </c>
      <c r="R42" s="24">
        <f>P42*(J42-(J42*L42)-((J42-(J42*L42))*M42))</f>
        <v>0</v>
      </c>
      <c r="S42" s="24">
        <f t="shared" ref="S42:S44" si="8">R42/1.11</f>
        <v>0</v>
      </c>
    </row>
    <row r="43" spans="1:19" s="19" customFormat="1">
      <c r="A43" s="18" t="s">
        <v>707</v>
      </c>
      <c r="B43" s="19" t="s">
        <v>709</v>
      </c>
      <c r="C43" s="20"/>
      <c r="D43" s="21" t="s">
        <v>19</v>
      </c>
      <c r="E43" s="26"/>
      <c r="F43" s="22">
        <v>1</v>
      </c>
      <c r="G43" s="23" t="s">
        <v>20</v>
      </c>
      <c r="H43" s="22">
        <v>50</v>
      </c>
      <c r="I43" s="23" t="s">
        <v>19</v>
      </c>
      <c r="J43" s="24">
        <v>12870</v>
      </c>
      <c r="K43" s="21" t="s">
        <v>19</v>
      </c>
      <c r="L43" s="25"/>
      <c r="M43" s="25"/>
      <c r="N43" s="22"/>
      <c r="O43" s="23" t="s">
        <v>19</v>
      </c>
      <c r="P43" s="20">
        <f>(C43+(E43*F43*H43))-N43</f>
        <v>0</v>
      </c>
      <c r="Q43" s="23" t="s">
        <v>19</v>
      </c>
      <c r="R43" s="24">
        <f>P43*(J43-(J43*L43)-((J43-(J43*L43))*M43))</f>
        <v>0</v>
      </c>
      <c r="S43" s="24">
        <f t="shared" si="8"/>
        <v>0</v>
      </c>
    </row>
    <row r="44" spans="1:19" s="19" customFormat="1">
      <c r="A44" s="18" t="s">
        <v>708</v>
      </c>
      <c r="B44" s="19" t="s">
        <v>709</v>
      </c>
      <c r="C44" s="20"/>
      <c r="D44" s="21" t="s">
        <v>19</v>
      </c>
      <c r="E44" s="26"/>
      <c r="F44" s="22">
        <v>1</v>
      </c>
      <c r="G44" s="23" t="s">
        <v>20</v>
      </c>
      <c r="H44" s="22">
        <v>50</v>
      </c>
      <c r="I44" s="23" t="s">
        <v>19</v>
      </c>
      <c r="J44" s="24">
        <v>12870</v>
      </c>
      <c r="K44" s="21" t="s">
        <v>19</v>
      </c>
      <c r="L44" s="25"/>
      <c r="M44" s="25"/>
      <c r="N44" s="22"/>
      <c r="O44" s="23" t="s">
        <v>19</v>
      </c>
      <c r="P44" s="20">
        <f>(C44+(E44*F44*H44))-N44</f>
        <v>0</v>
      </c>
      <c r="Q44" s="23" t="s">
        <v>19</v>
      </c>
      <c r="R44" s="24">
        <f>P44*(J44-(J44*L44)-((J44-(J44*L44))*M44))</f>
        <v>0</v>
      </c>
      <c r="S44" s="24">
        <f t="shared" si="8"/>
        <v>0</v>
      </c>
    </row>
    <row r="45" spans="1:19" s="19" customFormat="1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23"/>
      <c r="P45" s="20"/>
      <c r="Q45" s="23"/>
      <c r="R45" s="24"/>
      <c r="S45" s="24"/>
    </row>
    <row r="46" spans="1:19" s="19" customFormat="1" ht="15.75">
      <c r="A46" s="44" t="s">
        <v>46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19" customFormat="1">
      <c r="A47" s="18" t="s">
        <v>47</v>
      </c>
      <c r="B47" s="19" t="s">
        <v>48</v>
      </c>
      <c r="C47" s="20"/>
      <c r="D47" s="21" t="s">
        <v>19</v>
      </c>
      <c r="E47" s="26"/>
      <c r="F47" s="22">
        <v>2</v>
      </c>
      <c r="G47" s="23" t="s">
        <v>33</v>
      </c>
      <c r="H47" s="22">
        <v>20</v>
      </c>
      <c r="I47" s="23" t="s">
        <v>19</v>
      </c>
      <c r="J47" s="24">
        <v>64000</v>
      </c>
      <c r="K47" s="21" t="s">
        <v>19</v>
      </c>
      <c r="L47" s="25">
        <v>0.125</v>
      </c>
      <c r="M47" s="25">
        <v>0.05</v>
      </c>
      <c r="N47" s="22"/>
      <c r="O47" s="23" t="s">
        <v>19</v>
      </c>
      <c r="P47" s="20">
        <f t="shared" ref="P47:P74" si="9">(C47+(E47*F47*H47))-N47</f>
        <v>0</v>
      </c>
      <c r="Q47" s="23" t="s">
        <v>19</v>
      </c>
      <c r="R47" s="24">
        <f t="shared" ref="R47:R74" si="10">P47*(J47-(J47*L47)-((J47-(J47*L47))*M47))</f>
        <v>0</v>
      </c>
      <c r="S47" s="24">
        <f t="shared" si="0"/>
        <v>0</v>
      </c>
    </row>
    <row r="48" spans="1:19" s="19" customFormat="1">
      <c r="A48" s="18" t="s">
        <v>49</v>
      </c>
      <c r="B48" s="19" t="s">
        <v>48</v>
      </c>
      <c r="C48" s="20"/>
      <c r="D48" s="21" t="s">
        <v>19</v>
      </c>
      <c r="E48" s="26"/>
      <c r="F48" s="22">
        <v>6</v>
      </c>
      <c r="G48" s="23" t="s">
        <v>33</v>
      </c>
      <c r="H48" s="22">
        <v>20</v>
      </c>
      <c r="I48" s="23" t="s">
        <v>19</v>
      </c>
      <c r="J48" s="24">
        <v>47000</v>
      </c>
      <c r="K48" s="21" t="s">
        <v>19</v>
      </c>
      <c r="L48" s="25">
        <v>0.125</v>
      </c>
      <c r="M48" s="25">
        <v>0.05</v>
      </c>
      <c r="N48" s="22"/>
      <c r="O48" s="23" t="s">
        <v>19</v>
      </c>
      <c r="P48" s="20">
        <f t="shared" si="9"/>
        <v>0</v>
      </c>
      <c r="Q48" s="23" t="s">
        <v>19</v>
      </c>
      <c r="R48" s="24">
        <f t="shared" si="10"/>
        <v>0</v>
      </c>
      <c r="S48" s="24">
        <f t="shared" si="0"/>
        <v>0</v>
      </c>
    </row>
    <row r="49" spans="1:19" s="19" customFormat="1">
      <c r="A49" s="18" t="s">
        <v>50</v>
      </c>
      <c r="B49" s="19" t="s">
        <v>48</v>
      </c>
      <c r="C49" s="20"/>
      <c r="D49" s="21" t="s">
        <v>19</v>
      </c>
      <c r="E49" s="26"/>
      <c r="F49" s="22">
        <v>6</v>
      </c>
      <c r="G49" s="23" t="s">
        <v>33</v>
      </c>
      <c r="H49" s="22">
        <v>20</v>
      </c>
      <c r="I49" s="23" t="s">
        <v>19</v>
      </c>
      <c r="J49" s="24">
        <v>47000</v>
      </c>
      <c r="K49" s="21" t="s">
        <v>19</v>
      </c>
      <c r="L49" s="25">
        <v>0.125</v>
      </c>
      <c r="M49" s="25">
        <v>0.05</v>
      </c>
      <c r="N49" s="22"/>
      <c r="O49" s="23" t="s">
        <v>19</v>
      </c>
      <c r="P49" s="20">
        <f t="shared" si="9"/>
        <v>0</v>
      </c>
      <c r="Q49" s="23" t="s">
        <v>19</v>
      </c>
      <c r="R49" s="24">
        <f t="shared" si="10"/>
        <v>0</v>
      </c>
      <c r="S49" s="24">
        <f t="shared" si="0"/>
        <v>0</v>
      </c>
    </row>
    <row r="50" spans="1:19" s="19" customFormat="1">
      <c r="A50" s="18" t="s">
        <v>51</v>
      </c>
      <c r="B50" s="19" t="s">
        <v>48</v>
      </c>
      <c r="C50" s="20"/>
      <c r="D50" s="21" t="s">
        <v>19</v>
      </c>
      <c r="E50" s="26"/>
      <c r="F50" s="22">
        <v>6</v>
      </c>
      <c r="G50" s="23" t="s">
        <v>33</v>
      </c>
      <c r="H50" s="22">
        <v>20</v>
      </c>
      <c r="I50" s="23" t="s">
        <v>19</v>
      </c>
      <c r="J50" s="24">
        <v>49000</v>
      </c>
      <c r="K50" s="21" t="s">
        <v>19</v>
      </c>
      <c r="L50" s="25">
        <v>0.125</v>
      </c>
      <c r="M50" s="25">
        <v>0.05</v>
      </c>
      <c r="N50" s="22"/>
      <c r="O50" s="23" t="s">
        <v>19</v>
      </c>
      <c r="P50" s="20">
        <f t="shared" si="9"/>
        <v>0</v>
      </c>
      <c r="Q50" s="23" t="s">
        <v>19</v>
      </c>
      <c r="R50" s="24">
        <f t="shared" si="10"/>
        <v>0</v>
      </c>
      <c r="S50" s="24">
        <f t="shared" si="0"/>
        <v>0</v>
      </c>
    </row>
    <row r="51" spans="1:19" s="19" customFormat="1">
      <c r="A51" s="18" t="s">
        <v>52</v>
      </c>
      <c r="B51" s="19" t="s">
        <v>48</v>
      </c>
      <c r="C51" s="20"/>
      <c r="D51" s="21" t="s">
        <v>19</v>
      </c>
      <c r="E51" s="26"/>
      <c r="F51" s="22">
        <v>4</v>
      </c>
      <c r="G51" s="23" t="s">
        <v>33</v>
      </c>
      <c r="H51" s="22">
        <v>20</v>
      </c>
      <c r="I51" s="23" t="s">
        <v>19</v>
      </c>
      <c r="J51" s="24">
        <v>49000</v>
      </c>
      <c r="K51" s="21" t="s">
        <v>19</v>
      </c>
      <c r="L51" s="25">
        <v>0.125</v>
      </c>
      <c r="M51" s="25">
        <v>0.05</v>
      </c>
      <c r="N51" s="22"/>
      <c r="O51" s="23" t="s">
        <v>19</v>
      </c>
      <c r="P51" s="20">
        <f t="shared" si="9"/>
        <v>0</v>
      </c>
      <c r="Q51" s="23" t="s">
        <v>19</v>
      </c>
      <c r="R51" s="24">
        <f t="shared" si="10"/>
        <v>0</v>
      </c>
      <c r="S51" s="24">
        <f t="shared" si="0"/>
        <v>0</v>
      </c>
    </row>
    <row r="52" spans="1:19" s="19" customFormat="1">
      <c r="A52" s="18" t="s">
        <v>53</v>
      </c>
      <c r="B52" s="19" t="s">
        <v>48</v>
      </c>
      <c r="C52" s="20"/>
      <c r="D52" s="21" t="s">
        <v>19</v>
      </c>
      <c r="E52" s="26"/>
      <c r="F52" s="22">
        <v>6</v>
      </c>
      <c r="G52" s="23" t="s">
        <v>33</v>
      </c>
      <c r="H52" s="22">
        <v>20</v>
      </c>
      <c r="I52" s="23" t="s">
        <v>19</v>
      </c>
      <c r="J52" s="24">
        <v>47000</v>
      </c>
      <c r="K52" s="21" t="s">
        <v>19</v>
      </c>
      <c r="L52" s="25">
        <v>0.125</v>
      </c>
      <c r="M52" s="25">
        <v>0.05</v>
      </c>
      <c r="N52" s="22"/>
      <c r="O52" s="23" t="s">
        <v>19</v>
      </c>
      <c r="P52" s="20">
        <f t="shared" si="9"/>
        <v>0</v>
      </c>
      <c r="Q52" s="23" t="s">
        <v>19</v>
      </c>
      <c r="R52" s="24">
        <f t="shared" si="10"/>
        <v>0</v>
      </c>
      <c r="S52" s="24">
        <f t="shared" si="0"/>
        <v>0</v>
      </c>
    </row>
    <row r="53" spans="1:19" s="19" customFormat="1">
      <c r="A53" s="18" t="s">
        <v>54</v>
      </c>
      <c r="B53" s="19" t="s">
        <v>48</v>
      </c>
      <c r="C53" s="20"/>
      <c r="D53" s="21" t="s">
        <v>19</v>
      </c>
      <c r="E53" s="26"/>
      <c r="F53" s="22">
        <v>4</v>
      </c>
      <c r="G53" s="23" t="s">
        <v>33</v>
      </c>
      <c r="H53" s="22">
        <v>40</v>
      </c>
      <c r="I53" s="23" t="s">
        <v>19</v>
      </c>
      <c r="J53" s="24">
        <v>37000</v>
      </c>
      <c r="K53" s="21" t="s">
        <v>19</v>
      </c>
      <c r="L53" s="25">
        <v>0.125</v>
      </c>
      <c r="M53" s="25">
        <v>0.05</v>
      </c>
      <c r="N53" s="22"/>
      <c r="O53" s="23" t="s">
        <v>19</v>
      </c>
      <c r="P53" s="20">
        <f t="shared" si="9"/>
        <v>0</v>
      </c>
      <c r="Q53" s="23" t="s">
        <v>19</v>
      </c>
      <c r="R53" s="24">
        <f t="shared" si="10"/>
        <v>0</v>
      </c>
      <c r="S53" s="24">
        <f t="shared" si="0"/>
        <v>0</v>
      </c>
    </row>
    <row r="54" spans="1:19" s="19" customFormat="1">
      <c r="A54" s="18" t="s">
        <v>55</v>
      </c>
      <c r="B54" s="19" t="s">
        <v>48</v>
      </c>
      <c r="C54" s="20"/>
      <c r="D54" s="21" t="s">
        <v>19</v>
      </c>
      <c r="E54" s="26"/>
      <c r="F54" s="22">
        <v>4</v>
      </c>
      <c r="G54" s="23" t="s">
        <v>33</v>
      </c>
      <c r="H54" s="22">
        <v>20</v>
      </c>
      <c r="I54" s="23" t="s">
        <v>19</v>
      </c>
      <c r="J54" s="24">
        <v>50000</v>
      </c>
      <c r="K54" s="21" t="s">
        <v>19</v>
      </c>
      <c r="L54" s="25">
        <v>0.125</v>
      </c>
      <c r="M54" s="25">
        <v>0.05</v>
      </c>
      <c r="N54" s="22"/>
      <c r="O54" s="23" t="s">
        <v>19</v>
      </c>
      <c r="P54" s="20">
        <f t="shared" si="9"/>
        <v>0</v>
      </c>
      <c r="Q54" s="23" t="s">
        <v>19</v>
      </c>
      <c r="R54" s="24">
        <f t="shared" si="10"/>
        <v>0</v>
      </c>
      <c r="S54" s="24">
        <f t="shared" si="0"/>
        <v>0</v>
      </c>
    </row>
    <row r="55" spans="1:19" s="19" customFormat="1">
      <c r="A55" s="18" t="s">
        <v>799</v>
      </c>
      <c r="B55" s="19" t="s">
        <v>48</v>
      </c>
      <c r="C55" s="20"/>
      <c r="D55" s="21" t="s">
        <v>19</v>
      </c>
      <c r="E55" s="26"/>
      <c r="F55" s="22">
        <v>4</v>
      </c>
      <c r="G55" s="23" t="s">
        <v>33</v>
      </c>
      <c r="H55" s="22">
        <v>20</v>
      </c>
      <c r="I55" s="23" t="s">
        <v>19</v>
      </c>
      <c r="J55" s="24">
        <v>50000</v>
      </c>
      <c r="K55" s="21" t="s">
        <v>19</v>
      </c>
      <c r="L55" s="25">
        <v>0.125</v>
      </c>
      <c r="M55" s="25">
        <v>0.05</v>
      </c>
      <c r="N55" s="22"/>
      <c r="O55" s="23" t="s">
        <v>19</v>
      </c>
      <c r="P55" s="20">
        <f t="shared" si="9"/>
        <v>0</v>
      </c>
      <c r="Q55" s="23" t="s">
        <v>19</v>
      </c>
      <c r="R55" s="24">
        <f t="shared" si="10"/>
        <v>0</v>
      </c>
      <c r="S55" s="24">
        <f t="shared" si="0"/>
        <v>0</v>
      </c>
    </row>
    <row r="56" spans="1:19" s="19" customFormat="1">
      <c r="A56" s="18" t="s">
        <v>56</v>
      </c>
      <c r="B56" s="19" t="s">
        <v>48</v>
      </c>
      <c r="C56" s="20"/>
      <c r="D56" s="21" t="s">
        <v>19</v>
      </c>
      <c r="E56" s="26"/>
      <c r="F56" s="22">
        <v>4</v>
      </c>
      <c r="G56" s="23" t="s">
        <v>33</v>
      </c>
      <c r="H56" s="22">
        <v>20</v>
      </c>
      <c r="I56" s="23" t="s">
        <v>19</v>
      </c>
      <c r="J56" s="24">
        <v>67000</v>
      </c>
      <c r="K56" s="21" t="s">
        <v>19</v>
      </c>
      <c r="L56" s="25">
        <v>0.125</v>
      </c>
      <c r="M56" s="25">
        <v>0.05</v>
      </c>
      <c r="N56" s="22"/>
      <c r="O56" s="23" t="s">
        <v>19</v>
      </c>
      <c r="P56" s="20">
        <f t="shared" si="9"/>
        <v>0</v>
      </c>
      <c r="Q56" s="23" t="s">
        <v>19</v>
      </c>
      <c r="R56" s="24">
        <f t="shared" si="10"/>
        <v>0</v>
      </c>
      <c r="S56" s="24">
        <f t="shared" si="0"/>
        <v>0</v>
      </c>
    </row>
    <row r="57" spans="1:19" s="19" customFormat="1">
      <c r="A57" s="18" t="s">
        <v>798</v>
      </c>
      <c r="B57" s="19" t="s">
        <v>48</v>
      </c>
      <c r="C57" s="20"/>
      <c r="D57" s="21" t="s">
        <v>19</v>
      </c>
      <c r="E57" s="26"/>
      <c r="F57" s="22">
        <v>6</v>
      </c>
      <c r="G57" s="23" t="s">
        <v>33</v>
      </c>
      <c r="H57" s="22">
        <v>10</v>
      </c>
      <c r="I57" s="23" t="s">
        <v>19</v>
      </c>
      <c r="J57" s="24">
        <v>77000</v>
      </c>
      <c r="K57" s="21" t="s">
        <v>19</v>
      </c>
      <c r="L57" s="25">
        <v>0.125</v>
      </c>
      <c r="M57" s="25">
        <v>0.05</v>
      </c>
      <c r="N57" s="22"/>
      <c r="O57" s="23" t="s">
        <v>19</v>
      </c>
      <c r="P57" s="20">
        <f t="shared" si="9"/>
        <v>0</v>
      </c>
      <c r="Q57" s="23" t="s">
        <v>19</v>
      </c>
      <c r="R57" s="24">
        <f t="shared" si="10"/>
        <v>0</v>
      </c>
      <c r="S57" s="24">
        <f t="shared" si="0"/>
        <v>0</v>
      </c>
    </row>
    <row r="58" spans="1:19" s="19" customFormat="1">
      <c r="A58" s="18" t="s">
        <v>57</v>
      </c>
      <c r="B58" s="19" t="s">
        <v>48</v>
      </c>
      <c r="C58" s="20"/>
      <c r="D58" s="21" t="s">
        <v>19</v>
      </c>
      <c r="E58" s="26"/>
      <c r="F58" s="22">
        <v>6</v>
      </c>
      <c r="G58" s="23" t="s">
        <v>33</v>
      </c>
      <c r="H58" s="22">
        <v>10</v>
      </c>
      <c r="I58" s="23" t="s">
        <v>19</v>
      </c>
      <c r="J58" s="24">
        <v>73000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9"/>
        <v>0</v>
      </c>
      <c r="Q58" s="23" t="s">
        <v>19</v>
      </c>
      <c r="R58" s="24">
        <f t="shared" si="10"/>
        <v>0</v>
      </c>
      <c r="S58" s="24">
        <f t="shared" si="0"/>
        <v>0</v>
      </c>
    </row>
    <row r="59" spans="1:19" s="19" customFormat="1">
      <c r="A59" s="18" t="s">
        <v>58</v>
      </c>
      <c r="B59" s="19" t="s">
        <v>48</v>
      </c>
      <c r="C59" s="20"/>
      <c r="D59" s="21" t="s">
        <v>19</v>
      </c>
      <c r="E59" s="26"/>
      <c r="F59" s="22">
        <v>8</v>
      </c>
      <c r="G59" s="23" t="s">
        <v>33</v>
      </c>
      <c r="H59" s="22">
        <v>10</v>
      </c>
      <c r="I59" s="23" t="s">
        <v>19</v>
      </c>
      <c r="J59" s="24">
        <v>56000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9"/>
        <v>0</v>
      </c>
      <c r="Q59" s="23" t="s">
        <v>19</v>
      </c>
      <c r="R59" s="24">
        <f t="shared" si="10"/>
        <v>0</v>
      </c>
      <c r="S59" s="24">
        <f t="shared" si="0"/>
        <v>0</v>
      </c>
    </row>
    <row r="60" spans="1:19" s="19" customFormat="1">
      <c r="A60" s="18" t="s">
        <v>59</v>
      </c>
      <c r="B60" s="19" t="s">
        <v>48</v>
      </c>
      <c r="C60" s="20"/>
      <c r="D60" s="21" t="s">
        <v>19</v>
      </c>
      <c r="E60" s="26"/>
      <c r="F60" s="22">
        <v>6</v>
      </c>
      <c r="G60" s="23" t="s">
        <v>33</v>
      </c>
      <c r="H60" s="22">
        <v>20</v>
      </c>
      <c r="I60" s="23" t="s">
        <v>19</v>
      </c>
      <c r="J60" s="24">
        <v>47000</v>
      </c>
      <c r="K60" s="21" t="s">
        <v>19</v>
      </c>
      <c r="L60" s="25">
        <v>0.125</v>
      </c>
      <c r="M60" s="25">
        <v>0.05</v>
      </c>
      <c r="N60" s="22"/>
      <c r="O60" s="23" t="s">
        <v>19</v>
      </c>
      <c r="P60" s="20">
        <f t="shared" si="9"/>
        <v>0</v>
      </c>
      <c r="Q60" s="23" t="s">
        <v>19</v>
      </c>
      <c r="R60" s="24">
        <f t="shared" si="10"/>
        <v>0</v>
      </c>
      <c r="S60" s="24">
        <f t="shared" si="0"/>
        <v>0</v>
      </c>
    </row>
    <row r="61" spans="1:19" s="19" customFormat="1">
      <c r="A61" s="18" t="s">
        <v>60</v>
      </c>
      <c r="B61" s="19" t="s">
        <v>48</v>
      </c>
      <c r="C61" s="20"/>
      <c r="D61" s="21" t="s">
        <v>19</v>
      </c>
      <c r="E61" s="26"/>
      <c r="F61" s="22">
        <v>8</v>
      </c>
      <c r="G61" s="23" t="s">
        <v>33</v>
      </c>
      <c r="H61" s="22">
        <v>20</v>
      </c>
      <c r="I61" s="23" t="s">
        <v>19</v>
      </c>
      <c r="J61" s="24">
        <v>32000</v>
      </c>
      <c r="K61" s="21" t="s">
        <v>19</v>
      </c>
      <c r="L61" s="25">
        <v>0.125</v>
      </c>
      <c r="M61" s="25">
        <v>0.05</v>
      </c>
      <c r="N61" s="22"/>
      <c r="O61" s="23" t="s">
        <v>19</v>
      </c>
      <c r="P61" s="20">
        <f t="shared" si="9"/>
        <v>0</v>
      </c>
      <c r="Q61" s="23" t="s">
        <v>19</v>
      </c>
      <c r="R61" s="24">
        <f t="shared" si="10"/>
        <v>0</v>
      </c>
      <c r="S61" s="24">
        <f t="shared" si="0"/>
        <v>0</v>
      </c>
    </row>
    <row r="62" spans="1:19" s="19" customFormat="1">
      <c r="A62" s="18" t="s">
        <v>61</v>
      </c>
      <c r="B62" s="19" t="s">
        <v>48</v>
      </c>
      <c r="C62" s="20"/>
      <c r="D62" s="21" t="s">
        <v>19</v>
      </c>
      <c r="E62" s="26"/>
      <c r="F62" s="22">
        <v>8</v>
      </c>
      <c r="G62" s="23" t="s">
        <v>33</v>
      </c>
      <c r="H62" s="22">
        <v>20</v>
      </c>
      <c r="I62" s="23" t="s">
        <v>19</v>
      </c>
      <c r="J62" s="24">
        <v>27500</v>
      </c>
      <c r="K62" s="21" t="s">
        <v>19</v>
      </c>
      <c r="L62" s="25">
        <v>0.125</v>
      </c>
      <c r="M62" s="25">
        <v>0.05</v>
      </c>
      <c r="N62" s="22"/>
      <c r="O62" s="23" t="s">
        <v>19</v>
      </c>
      <c r="P62" s="20">
        <f t="shared" si="9"/>
        <v>0</v>
      </c>
      <c r="Q62" s="23" t="s">
        <v>19</v>
      </c>
      <c r="R62" s="24">
        <f t="shared" si="10"/>
        <v>0</v>
      </c>
      <c r="S62" s="24">
        <f t="shared" si="0"/>
        <v>0</v>
      </c>
    </row>
    <row r="63" spans="1:19" s="19" customFormat="1">
      <c r="A63" s="18" t="s">
        <v>62</v>
      </c>
      <c r="B63" s="19" t="s">
        <v>48</v>
      </c>
      <c r="C63" s="20"/>
      <c r="D63" s="21" t="s">
        <v>19</v>
      </c>
      <c r="E63" s="26"/>
      <c r="F63" s="22">
        <v>4</v>
      </c>
      <c r="G63" s="23" t="s">
        <v>33</v>
      </c>
      <c r="H63" s="22">
        <v>20</v>
      </c>
      <c r="I63" s="23" t="s">
        <v>19</v>
      </c>
      <c r="J63" s="24">
        <v>54000</v>
      </c>
      <c r="K63" s="21" t="s">
        <v>19</v>
      </c>
      <c r="L63" s="25">
        <v>0.125</v>
      </c>
      <c r="M63" s="25">
        <v>0.05</v>
      </c>
      <c r="N63" s="22"/>
      <c r="O63" s="23" t="s">
        <v>19</v>
      </c>
      <c r="P63" s="20">
        <f t="shared" si="9"/>
        <v>0</v>
      </c>
      <c r="Q63" s="23" t="s">
        <v>19</v>
      </c>
      <c r="R63" s="24">
        <f t="shared" si="10"/>
        <v>0</v>
      </c>
      <c r="S63" s="24">
        <f t="shared" si="0"/>
        <v>0</v>
      </c>
    </row>
    <row r="64" spans="1:19" s="19" customFormat="1">
      <c r="A64" s="18" t="s">
        <v>63</v>
      </c>
      <c r="B64" s="19" t="s">
        <v>48</v>
      </c>
      <c r="C64" s="20"/>
      <c r="D64" s="21" t="s">
        <v>19</v>
      </c>
      <c r="E64" s="26"/>
      <c r="F64" s="22">
        <v>6</v>
      </c>
      <c r="G64" s="23" t="s">
        <v>33</v>
      </c>
      <c r="H64" s="22">
        <v>10</v>
      </c>
      <c r="I64" s="23" t="s">
        <v>19</v>
      </c>
      <c r="J64" s="24">
        <v>74000</v>
      </c>
      <c r="K64" s="21" t="s">
        <v>19</v>
      </c>
      <c r="L64" s="25">
        <v>0.125</v>
      </c>
      <c r="M64" s="25">
        <v>0.05</v>
      </c>
      <c r="N64" s="22"/>
      <c r="O64" s="23" t="s">
        <v>19</v>
      </c>
      <c r="P64" s="20">
        <f t="shared" si="9"/>
        <v>0</v>
      </c>
      <c r="Q64" s="23" t="s">
        <v>19</v>
      </c>
      <c r="R64" s="24">
        <f t="shared" si="10"/>
        <v>0</v>
      </c>
      <c r="S64" s="24">
        <f t="shared" si="0"/>
        <v>0</v>
      </c>
    </row>
    <row r="65" spans="1:19" s="19" customFormat="1">
      <c r="A65" s="18" t="s">
        <v>64</v>
      </c>
      <c r="B65" s="19" t="s">
        <v>48</v>
      </c>
      <c r="C65" s="20"/>
      <c r="D65" s="21" t="s">
        <v>19</v>
      </c>
      <c r="E65" s="26"/>
      <c r="F65" s="22">
        <v>6</v>
      </c>
      <c r="G65" s="23" t="s">
        <v>33</v>
      </c>
      <c r="H65" s="22">
        <v>20</v>
      </c>
      <c r="I65" s="23" t="s">
        <v>19</v>
      </c>
      <c r="J65" s="24">
        <v>52000</v>
      </c>
      <c r="K65" s="21" t="s">
        <v>19</v>
      </c>
      <c r="L65" s="25">
        <v>0.125</v>
      </c>
      <c r="M65" s="25">
        <v>0.1</v>
      </c>
      <c r="N65" s="22"/>
      <c r="O65" s="23" t="s">
        <v>19</v>
      </c>
      <c r="P65" s="20">
        <f t="shared" si="9"/>
        <v>0</v>
      </c>
      <c r="Q65" s="23" t="s">
        <v>19</v>
      </c>
      <c r="R65" s="24">
        <f t="shared" si="10"/>
        <v>0</v>
      </c>
      <c r="S65" s="24">
        <f t="shared" si="0"/>
        <v>0</v>
      </c>
    </row>
    <row r="66" spans="1:19" s="19" customFormat="1">
      <c r="A66" s="18" t="s">
        <v>65</v>
      </c>
      <c r="B66" s="19" t="s">
        <v>48</v>
      </c>
      <c r="C66" s="20"/>
      <c r="D66" s="21" t="s">
        <v>19</v>
      </c>
      <c r="E66" s="26"/>
      <c r="F66" s="22">
        <v>6</v>
      </c>
      <c r="G66" s="23" t="s">
        <v>33</v>
      </c>
      <c r="H66" s="22">
        <v>20</v>
      </c>
      <c r="I66" s="23" t="s">
        <v>19</v>
      </c>
      <c r="J66" s="24">
        <v>32500</v>
      </c>
      <c r="K66" s="21" t="s">
        <v>19</v>
      </c>
      <c r="L66" s="25">
        <v>0.125</v>
      </c>
      <c r="M66" s="25">
        <v>0.05</v>
      </c>
      <c r="N66" s="22"/>
      <c r="O66" s="23" t="s">
        <v>19</v>
      </c>
      <c r="P66" s="20">
        <f t="shared" si="9"/>
        <v>0</v>
      </c>
      <c r="Q66" s="23" t="s">
        <v>19</v>
      </c>
      <c r="R66" s="24">
        <f t="shared" si="10"/>
        <v>0</v>
      </c>
      <c r="S66" s="24">
        <f t="shared" si="0"/>
        <v>0</v>
      </c>
    </row>
    <row r="67" spans="1:19" s="19" customFormat="1">
      <c r="A67" s="18" t="s">
        <v>66</v>
      </c>
      <c r="B67" s="19" t="s">
        <v>48</v>
      </c>
      <c r="C67" s="20"/>
      <c r="D67" s="21" t="s">
        <v>19</v>
      </c>
      <c r="E67" s="26"/>
      <c r="F67" s="22">
        <v>6</v>
      </c>
      <c r="G67" s="23" t="s">
        <v>33</v>
      </c>
      <c r="H67" s="22">
        <v>10</v>
      </c>
      <c r="I67" s="23" t="s">
        <v>19</v>
      </c>
      <c r="J67" s="24">
        <v>65000</v>
      </c>
      <c r="K67" s="21" t="s">
        <v>19</v>
      </c>
      <c r="L67" s="25">
        <v>0.125</v>
      </c>
      <c r="M67" s="25">
        <v>0.05</v>
      </c>
      <c r="N67" s="22"/>
      <c r="O67" s="23" t="s">
        <v>19</v>
      </c>
      <c r="P67" s="20">
        <f t="shared" si="9"/>
        <v>0</v>
      </c>
      <c r="Q67" s="23" t="s">
        <v>19</v>
      </c>
      <c r="R67" s="24">
        <f t="shared" si="10"/>
        <v>0</v>
      </c>
      <c r="S67" s="24">
        <f t="shared" si="0"/>
        <v>0</v>
      </c>
    </row>
    <row r="68" spans="1:19" s="19" customFormat="1">
      <c r="A68" s="18" t="s">
        <v>67</v>
      </c>
      <c r="B68" s="19" t="s">
        <v>48</v>
      </c>
      <c r="C68" s="20"/>
      <c r="D68" s="21" t="s">
        <v>19</v>
      </c>
      <c r="E68" s="26"/>
      <c r="F68" s="22">
        <v>6</v>
      </c>
      <c r="G68" s="23" t="s">
        <v>33</v>
      </c>
      <c r="H68" s="22">
        <v>10</v>
      </c>
      <c r="I68" s="23" t="s">
        <v>19</v>
      </c>
      <c r="J68" s="24">
        <v>71000</v>
      </c>
      <c r="K68" s="21" t="s">
        <v>19</v>
      </c>
      <c r="L68" s="25">
        <v>0.125</v>
      </c>
      <c r="M68" s="25">
        <v>0.05</v>
      </c>
      <c r="N68" s="22"/>
      <c r="O68" s="23" t="s">
        <v>19</v>
      </c>
      <c r="P68" s="20">
        <f t="shared" si="9"/>
        <v>0</v>
      </c>
      <c r="Q68" s="23" t="s">
        <v>19</v>
      </c>
      <c r="R68" s="24">
        <f t="shared" si="10"/>
        <v>0</v>
      </c>
      <c r="S68" s="24">
        <f t="shared" si="0"/>
        <v>0</v>
      </c>
    </row>
    <row r="69" spans="1:19" s="19" customFormat="1">
      <c r="A69" s="18" t="s">
        <v>68</v>
      </c>
      <c r="B69" s="19" t="s">
        <v>48</v>
      </c>
      <c r="C69" s="20"/>
      <c r="D69" s="21" t="s">
        <v>19</v>
      </c>
      <c r="E69" s="26"/>
      <c r="F69" s="22">
        <v>6</v>
      </c>
      <c r="G69" s="23" t="s">
        <v>33</v>
      </c>
      <c r="H69" s="22">
        <v>10</v>
      </c>
      <c r="I69" s="23" t="s">
        <v>19</v>
      </c>
      <c r="J69" s="24">
        <v>75000</v>
      </c>
      <c r="K69" s="21" t="s">
        <v>19</v>
      </c>
      <c r="L69" s="25">
        <v>0.125</v>
      </c>
      <c r="M69" s="25">
        <v>0.05</v>
      </c>
      <c r="N69" s="22"/>
      <c r="O69" s="23" t="s">
        <v>19</v>
      </c>
      <c r="P69" s="20">
        <f t="shared" si="9"/>
        <v>0</v>
      </c>
      <c r="Q69" s="23" t="s">
        <v>19</v>
      </c>
      <c r="R69" s="24">
        <f t="shared" si="10"/>
        <v>0</v>
      </c>
      <c r="S69" s="24">
        <f t="shared" si="0"/>
        <v>0</v>
      </c>
    </row>
    <row r="70" spans="1:19" s="19" customFormat="1">
      <c r="A70" s="18" t="s">
        <v>69</v>
      </c>
      <c r="B70" s="19" t="s">
        <v>48</v>
      </c>
      <c r="C70" s="20"/>
      <c r="D70" s="21" t="s">
        <v>19</v>
      </c>
      <c r="E70" s="26"/>
      <c r="F70" s="22">
        <v>6</v>
      </c>
      <c r="G70" s="23" t="s">
        <v>33</v>
      </c>
      <c r="H70" s="22">
        <v>10</v>
      </c>
      <c r="I70" s="23" t="s">
        <v>19</v>
      </c>
      <c r="J70" s="24">
        <v>54000</v>
      </c>
      <c r="K70" s="21" t="s">
        <v>19</v>
      </c>
      <c r="L70" s="25">
        <v>0.125</v>
      </c>
      <c r="M70" s="25">
        <v>0.05</v>
      </c>
      <c r="N70" s="22"/>
      <c r="O70" s="23" t="s">
        <v>19</v>
      </c>
      <c r="P70" s="20">
        <f t="shared" si="9"/>
        <v>0</v>
      </c>
      <c r="Q70" s="23" t="s">
        <v>19</v>
      </c>
      <c r="R70" s="24">
        <f t="shared" si="10"/>
        <v>0</v>
      </c>
      <c r="S70" s="24">
        <f t="shared" si="0"/>
        <v>0</v>
      </c>
    </row>
    <row r="71" spans="1:19" s="19" customFormat="1">
      <c r="A71" s="18" t="s">
        <v>835</v>
      </c>
      <c r="B71" s="19" t="s">
        <v>48</v>
      </c>
      <c r="C71" s="20"/>
      <c r="D71" s="21" t="s">
        <v>19</v>
      </c>
      <c r="E71" s="26"/>
      <c r="F71" s="22">
        <v>6</v>
      </c>
      <c r="G71" s="23" t="s">
        <v>33</v>
      </c>
      <c r="H71" s="22">
        <v>10</v>
      </c>
      <c r="I71" s="23" t="s">
        <v>19</v>
      </c>
      <c r="J71" s="24">
        <v>56000</v>
      </c>
      <c r="K71" s="21" t="s">
        <v>19</v>
      </c>
      <c r="L71" s="25">
        <v>0.125</v>
      </c>
      <c r="M71" s="25">
        <v>0.05</v>
      </c>
      <c r="N71" s="22"/>
      <c r="O71" s="23" t="s">
        <v>19</v>
      </c>
      <c r="P71" s="20">
        <f t="shared" si="9"/>
        <v>0</v>
      </c>
      <c r="Q71" s="23" t="s">
        <v>19</v>
      </c>
      <c r="R71" s="24">
        <f t="shared" si="10"/>
        <v>0</v>
      </c>
      <c r="S71" s="24">
        <f t="shared" si="0"/>
        <v>0</v>
      </c>
    </row>
    <row r="72" spans="1:19" s="19" customFormat="1">
      <c r="A72" s="18" t="s">
        <v>70</v>
      </c>
      <c r="B72" s="19" t="s">
        <v>48</v>
      </c>
      <c r="C72" s="20"/>
      <c r="D72" s="21" t="s">
        <v>19</v>
      </c>
      <c r="E72" s="26"/>
      <c r="F72" s="22">
        <v>6</v>
      </c>
      <c r="G72" s="23" t="s">
        <v>33</v>
      </c>
      <c r="H72" s="22">
        <v>20</v>
      </c>
      <c r="I72" s="23" t="s">
        <v>19</v>
      </c>
      <c r="J72" s="24">
        <v>40000</v>
      </c>
      <c r="K72" s="21" t="s">
        <v>19</v>
      </c>
      <c r="L72" s="25">
        <v>0.125</v>
      </c>
      <c r="M72" s="25">
        <v>0.05</v>
      </c>
      <c r="N72" s="22"/>
      <c r="O72" s="23" t="s">
        <v>19</v>
      </c>
      <c r="P72" s="20">
        <f t="shared" si="9"/>
        <v>0</v>
      </c>
      <c r="Q72" s="23" t="s">
        <v>19</v>
      </c>
      <c r="R72" s="24">
        <f t="shared" si="10"/>
        <v>0</v>
      </c>
      <c r="S72" s="24">
        <f t="shared" si="0"/>
        <v>0</v>
      </c>
    </row>
    <row r="73" spans="1:19" s="19" customFormat="1">
      <c r="A73" s="18" t="s">
        <v>71</v>
      </c>
      <c r="B73" s="19" t="s">
        <v>48</v>
      </c>
      <c r="C73" s="20"/>
      <c r="D73" s="21" t="s">
        <v>19</v>
      </c>
      <c r="E73" s="26"/>
      <c r="F73" s="22">
        <v>6</v>
      </c>
      <c r="G73" s="23" t="s">
        <v>33</v>
      </c>
      <c r="H73" s="22">
        <v>10</v>
      </c>
      <c r="I73" s="23" t="s">
        <v>19</v>
      </c>
      <c r="J73" s="24">
        <v>66000</v>
      </c>
      <c r="K73" s="21" t="s">
        <v>19</v>
      </c>
      <c r="L73" s="25">
        <v>0.125</v>
      </c>
      <c r="M73" s="25">
        <v>0.1</v>
      </c>
      <c r="N73" s="22"/>
      <c r="O73" s="23" t="s">
        <v>19</v>
      </c>
      <c r="P73" s="20">
        <f t="shared" si="9"/>
        <v>0</v>
      </c>
      <c r="Q73" s="23" t="s">
        <v>19</v>
      </c>
      <c r="R73" s="24">
        <f t="shared" si="10"/>
        <v>0</v>
      </c>
      <c r="S73" s="24">
        <f t="shared" si="0"/>
        <v>0</v>
      </c>
    </row>
    <row r="74" spans="1:19" s="19" customFormat="1">
      <c r="A74" s="18" t="s">
        <v>72</v>
      </c>
      <c r="B74" s="19" t="s">
        <v>48</v>
      </c>
      <c r="C74" s="20"/>
      <c r="D74" s="21" t="s">
        <v>19</v>
      </c>
      <c r="E74" s="26"/>
      <c r="F74" s="22">
        <v>4</v>
      </c>
      <c r="G74" s="23" t="s">
        <v>33</v>
      </c>
      <c r="H74" s="22">
        <v>40</v>
      </c>
      <c r="I74" s="23" t="s">
        <v>19</v>
      </c>
      <c r="J74" s="24">
        <v>27000</v>
      </c>
      <c r="K74" s="21" t="s">
        <v>19</v>
      </c>
      <c r="L74" s="25">
        <v>0.125</v>
      </c>
      <c r="M74" s="25">
        <v>0.05</v>
      </c>
      <c r="N74" s="22"/>
      <c r="O74" s="23" t="s">
        <v>19</v>
      </c>
      <c r="P74" s="20">
        <f t="shared" si="9"/>
        <v>0</v>
      </c>
      <c r="Q74" s="23" t="s">
        <v>19</v>
      </c>
      <c r="R74" s="24">
        <f t="shared" si="10"/>
        <v>0</v>
      </c>
      <c r="S74" s="24">
        <f t="shared" si="0"/>
        <v>0</v>
      </c>
    </row>
    <row r="75" spans="1:19" s="19" customFormat="1">
      <c r="A75" s="18"/>
      <c r="C75" s="20"/>
      <c r="D75" s="21"/>
      <c r="E75" s="26"/>
      <c r="F75" s="22"/>
      <c r="G75" s="23"/>
      <c r="H75" s="22"/>
      <c r="I75" s="23"/>
      <c r="J75" s="24"/>
      <c r="K75" s="21"/>
      <c r="L75" s="25"/>
      <c r="M75" s="25"/>
      <c r="N75" s="22"/>
      <c r="O75" s="23"/>
      <c r="P75" s="20"/>
      <c r="Q75" s="23"/>
      <c r="R75" s="24"/>
      <c r="S75" s="24"/>
    </row>
    <row r="76" spans="1:19" s="19" customFormat="1" ht="15.75">
      <c r="A76" s="44" t="s">
        <v>73</v>
      </c>
      <c r="C76" s="20"/>
      <c r="D76" s="21"/>
      <c r="E76" s="26"/>
      <c r="F76" s="22"/>
      <c r="G76" s="23"/>
      <c r="H76" s="22"/>
      <c r="I76" s="23"/>
      <c r="J76" s="24"/>
      <c r="K76" s="21"/>
      <c r="L76" s="25"/>
      <c r="M76" s="25"/>
      <c r="N76" s="22"/>
      <c r="O76" s="23"/>
      <c r="P76" s="20"/>
      <c r="Q76" s="23"/>
      <c r="R76" s="24"/>
      <c r="S76" s="24">
        <f t="shared" si="0"/>
        <v>0</v>
      </c>
    </row>
    <row r="77" spans="1:19" s="19" customFormat="1">
      <c r="A77" s="18" t="s">
        <v>74</v>
      </c>
      <c r="B77" s="19" t="s">
        <v>18</v>
      </c>
      <c r="C77" s="20"/>
      <c r="D77" s="21" t="s">
        <v>19</v>
      </c>
      <c r="E77" s="26"/>
      <c r="F77" s="22">
        <v>1</v>
      </c>
      <c r="G77" s="23" t="s">
        <v>20</v>
      </c>
      <c r="H77" s="22">
        <v>6</v>
      </c>
      <c r="I77" s="23" t="s">
        <v>19</v>
      </c>
      <c r="J77" s="24">
        <v>390000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>(C77+(E77*F77*H77))-N77</f>
        <v>0</v>
      </c>
      <c r="Q77" s="23" t="s">
        <v>19</v>
      </c>
      <c r="R77" s="24">
        <f>P77*(J77-(J77*L77)-((J77-(J77*L77))*M77))</f>
        <v>0</v>
      </c>
      <c r="S77" s="24">
        <f t="shared" si="0"/>
        <v>0</v>
      </c>
    </row>
    <row r="78" spans="1:19" s="19" customFormat="1">
      <c r="A78" s="18" t="s">
        <v>75</v>
      </c>
      <c r="B78" s="19" t="s">
        <v>18</v>
      </c>
      <c r="C78" s="20"/>
      <c r="D78" s="21" t="s">
        <v>19</v>
      </c>
      <c r="E78" s="26"/>
      <c r="F78" s="22">
        <v>1</v>
      </c>
      <c r="G78" s="23" t="s">
        <v>20</v>
      </c>
      <c r="H78" s="22">
        <v>6</v>
      </c>
      <c r="I78" s="23" t="s">
        <v>19</v>
      </c>
      <c r="J78" s="24">
        <v>500000</v>
      </c>
      <c r="K78" s="21" t="s">
        <v>19</v>
      </c>
      <c r="L78" s="25">
        <v>0.125</v>
      </c>
      <c r="M78" s="25">
        <v>0.05</v>
      </c>
      <c r="N78" s="22"/>
      <c r="O78" s="23" t="s">
        <v>19</v>
      </c>
      <c r="P78" s="20">
        <f>(C78+(E78*F78*H78))-N78</f>
        <v>0</v>
      </c>
      <c r="Q78" s="23" t="s">
        <v>19</v>
      </c>
      <c r="R78" s="24">
        <f>P78*(J78-(J78*L78)-((J78-(J78*L78))*M78))</f>
        <v>0</v>
      </c>
      <c r="S78" s="24">
        <f t="shared" si="0"/>
        <v>0</v>
      </c>
    </row>
    <row r="79" spans="1:19" s="19" customFormat="1">
      <c r="A79" s="18"/>
      <c r="C79" s="20"/>
      <c r="D79" s="21"/>
      <c r="E79" s="26"/>
      <c r="F79" s="22"/>
      <c r="G79" s="23"/>
      <c r="H79" s="22"/>
      <c r="I79" s="23"/>
      <c r="J79" s="24"/>
      <c r="K79" s="21"/>
      <c r="L79" s="25"/>
      <c r="M79" s="25"/>
      <c r="N79" s="22"/>
      <c r="O79" s="23"/>
      <c r="P79" s="20"/>
      <c r="Q79" s="23"/>
      <c r="R79" s="24"/>
      <c r="S79" s="24"/>
    </row>
    <row r="80" spans="1:19" s="19" customFormat="1" ht="15.75">
      <c r="A80" s="44" t="s">
        <v>76</v>
      </c>
      <c r="C80" s="20"/>
      <c r="D80" s="21"/>
      <c r="E80" s="26"/>
      <c r="F80" s="22"/>
      <c r="G80" s="23"/>
      <c r="H80" s="22"/>
      <c r="I80" s="23"/>
      <c r="J80" s="24"/>
      <c r="K80" s="21"/>
      <c r="L80" s="25"/>
      <c r="M80" s="25"/>
      <c r="N80" s="22"/>
      <c r="O80" s="23"/>
      <c r="P80" s="20"/>
      <c r="Q80" s="23"/>
      <c r="R80" s="24"/>
      <c r="S80" s="24"/>
    </row>
    <row r="81" spans="1:19" s="19" customFormat="1">
      <c r="A81" s="88" t="s">
        <v>77</v>
      </c>
      <c r="C81" s="20"/>
      <c r="D81" s="21"/>
      <c r="E81" s="26"/>
      <c r="F81" s="22"/>
      <c r="G81" s="23"/>
      <c r="H81" s="22"/>
      <c r="I81" s="23"/>
      <c r="J81" s="24"/>
      <c r="K81" s="21"/>
      <c r="L81" s="25"/>
      <c r="M81" s="25"/>
      <c r="N81" s="22"/>
      <c r="O81" s="23"/>
      <c r="P81" s="20"/>
      <c r="Q81" s="23"/>
      <c r="R81" s="24"/>
      <c r="S81" s="24"/>
    </row>
    <row r="82" spans="1:19" s="19" customFormat="1">
      <c r="A82" s="57" t="s">
        <v>78</v>
      </c>
      <c r="B82" s="19" t="s">
        <v>18</v>
      </c>
      <c r="C82" s="20"/>
      <c r="D82" s="21" t="s">
        <v>79</v>
      </c>
      <c r="E82" s="26"/>
      <c r="F82" s="22">
        <v>1</v>
      </c>
      <c r="G82" s="23" t="s">
        <v>20</v>
      </c>
      <c r="H82" s="22">
        <v>48</v>
      </c>
      <c r="I82" s="23" t="s">
        <v>79</v>
      </c>
      <c r="J82" s="24">
        <v>14500</v>
      </c>
      <c r="K82" s="21" t="s">
        <v>79</v>
      </c>
      <c r="L82" s="25">
        <v>0.125</v>
      </c>
      <c r="M82" s="25">
        <v>0.05</v>
      </c>
      <c r="N82" s="22"/>
      <c r="O82" s="23" t="s">
        <v>79</v>
      </c>
      <c r="P82" s="20">
        <f t="shared" ref="P82:P96" si="11">(C82+(E82*F82*H82))-N82</f>
        <v>0</v>
      </c>
      <c r="Q82" s="23" t="s">
        <v>79</v>
      </c>
      <c r="R82" s="24">
        <f t="shared" ref="R82:R96" si="12">P82*(J82-(J82*L82)-((J82-(J82*L82))*M82))</f>
        <v>0</v>
      </c>
      <c r="S82" s="24">
        <f t="shared" si="0"/>
        <v>0</v>
      </c>
    </row>
    <row r="83" spans="1:19" s="19" customFormat="1">
      <c r="A83" s="57" t="s">
        <v>828</v>
      </c>
      <c r="B83" s="19" t="s">
        <v>18</v>
      </c>
      <c r="C83" s="20"/>
      <c r="D83" s="21" t="s">
        <v>79</v>
      </c>
      <c r="E83" s="26"/>
      <c r="F83" s="22">
        <v>1</v>
      </c>
      <c r="G83" s="23" t="s">
        <v>20</v>
      </c>
      <c r="H83" s="22">
        <v>96</v>
      </c>
      <c r="I83" s="23" t="s">
        <v>79</v>
      </c>
      <c r="J83" s="24">
        <v>15500</v>
      </c>
      <c r="K83" s="21" t="s">
        <v>79</v>
      </c>
      <c r="L83" s="25">
        <v>0.125</v>
      </c>
      <c r="M83" s="25">
        <v>0.05</v>
      </c>
      <c r="N83" s="22"/>
      <c r="O83" s="23" t="s">
        <v>79</v>
      </c>
      <c r="P83" s="20">
        <f t="shared" si="11"/>
        <v>0</v>
      </c>
      <c r="Q83" s="23" t="s">
        <v>79</v>
      </c>
      <c r="R83" s="24">
        <f t="shared" si="12"/>
        <v>0</v>
      </c>
      <c r="S83" s="24">
        <f t="shared" si="0"/>
        <v>0</v>
      </c>
    </row>
    <row r="84" spans="1:19" s="19" customFormat="1">
      <c r="A84" s="57" t="s">
        <v>80</v>
      </c>
      <c r="B84" s="19" t="s">
        <v>18</v>
      </c>
      <c r="C84" s="20"/>
      <c r="D84" s="21" t="s">
        <v>79</v>
      </c>
      <c r="E84" s="26"/>
      <c r="F84" s="22">
        <v>1</v>
      </c>
      <c r="G84" s="23" t="s">
        <v>20</v>
      </c>
      <c r="H84" s="22">
        <v>96</v>
      </c>
      <c r="I84" s="23" t="s">
        <v>79</v>
      </c>
      <c r="J84" s="24">
        <v>12000</v>
      </c>
      <c r="K84" s="21" t="s">
        <v>79</v>
      </c>
      <c r="L84" s="25">
        <v>0.125</v>
      </c>
      <c r="M84" s="25">
        <v>0.05</v>
      </c>
      <c r="N84" s="22"/>
      <c r="O84" s="23" t="s">
        <v>79</v>
      </c>
      <c r="P84" s="20">
        <f t="shared" si="11"/>
        <v>0</v>
      </c>
      <c r="Q84" s="23" t="s">
        <v>79</v>
      </c>
      <c r="R84" s="24">
        <f t="shared" si="12"/>
        <v>0</v>
      </c>
      <c r="S84" s="24">
        <f t="shared" si="0"/>
        <v>0</v>
      </c>
    </row>
    <row r="85" spans="1:19" s="19" customFormat="1">
      <c r="A85" s="57" t="s">
        <v>81</v>
      </c>
      <c r="B85" s="19" t="s">
        <v>18</v>
      </c>
      <c r="C85" s="20"/>
      <c r="D85" s="21" t="s">
        <v>79</v>
      </c>
      <c r="E85" s="26"/>
      <c r="F85" s="22">
        <v>1</v>
      </c>
      <c r="G85" s="23" t="s">
        <v>20</v>
      </c>
      <c r="H85" s="22">
        <v>48</v>
      </c>
      <c r="I85" s="23" t="s">
        <v>79</v>
      </c>
      <c r="J85" s="24">
        <v>19500</v>
      </c>
      <c r="K85" s="21" t="s">
        <v>79</v>
      </c>
      <c r="L85" s="25">
        <v>0.125</v>
      </c>
      <c r="M85" s="25">
        <v>0.05</v>
      </c>
      <c r="N85" s="22"/>
      <c r="O85" s="23" t="s">
        <v>79</v>
      </c>
      <c r="P85" s="20">
        <f t="shared" si="11"/>
        <v>0</v>
      </c>
      <c r="Q85" s="23" t="s">
        <v>79</v>
      </c>
      <c r="R85" s="24">
        <f t="shared" si="12"/>
        <v>0</v>
      </c>
      <c r="S85" s="24">
        <f t="shared" si="0"/>
        <v>0</v>
      </c>
    </row>
    <row r="86" spans="1:19" s="19" customFormat="1">
      <c r="A86" s="57" t="s">
        <v>82</v>
      </c>
      <c r="B86" s="19" t="s">
        <v>18</v>
      </c>
      <c r="C86" s="20"/>
      <c r="D86" s="21" t="s">
        <v>79</v>
      </c>
      <c r="E86" s="26"/>
      <c r="F86" s="22">
        <v>1</v>
      </c>
      <c r="G86" s="23" t="s">
        <v>20</v>
      </c>
      <c r="H86" s="22">
        <v>48</v>
      </c>
      <c r="I86" s="23" t="s">
        <v>79</v>
      </c>
      <c r="J86" s="24">
        <v>14800</v>
      </c>
      <c r="K86" s="21" t="s">
        <v>79</v>
      </c>
      <c r="L86" s="25">
        <v>0.125</v>
      </c>
      <c r="M86" s="25">
        <v>0.05</v>
      </c>
      <c r="N86" s="22"/>
      <c r="O86" s="23" t="s">
        <v>79</v>
      </c>
      <c r="P86" s="20">
        <f t="shared" si="11"/>
        <v>0</v>
      </c>
      <c r="Q86" s="23" t="s">
        <v>79</v>
      </c>
      <c r="R86" s="24">
        <f t="shared" si="12"/>
        <v>0</v>
      </c>
      <c r="S86" s="24">
        <f t="shared" si="0"/>
        <v>0</v>
      </c>
    </row>
    <row r="87" spans="1:19" s="19" customFormat="1">
      <c r="A87" s="58" t="s">
        <v>83</v>
      </c>
      <c r="B87" s="19" t="s">
        <v>18</v>
      </c>
      <c r="C87" s="20"/>
      <c r="D87" s="21" t="s">
        <v>79</v>
      </c>
      <c r="E87" s="26"/>
      <c r="F87" s="22">
        <v>1</v>
      </c>
      <c r="G87" s="23" t="s">
        <v>20</v>
      </c>
      <c r="H87" s="22">
        <v>24</v>
      </c>
      <c r="I87" s="23" t="s">
        <v>79</v>
      </c>
      <c r="J87" s="24">
        <v>25200</v>
      </c>
      <c r="K87" s="21" t="s">
        <v>79</v>
      </c>
      <c r="L87" s="25">
        <v>0.125</v>
      </c>
      <c r="M87" s="25">
        <v>0.05</v>
      </c>
      <c r="N87" s="22"/>
      <c r="O87" s="23" t="s">
        <v>79</v>
      </c>
      <c r="P87" s="20">
        <f t="shared" si="11"/>
        <v>0</v>
      </c>
      <c r="Q87" s="23" t="s">
        <v>79</v>
      </c>
      <c r="R87" s="24">
        <f t="shared" si="12"/>
        <v>0</v>
      </c>
      <c r="S87" s="24">
        <f t="shared" si="0"/>
        <v>0</v>
      </c>
    </row>
    <row r="88" spans="1:19" s="19" customFormat="1">
      <c r="A88" s="58" t="s">
        <v>84</v>
      </c>
      <c r="B88" s="19" t="s">
        <v>18</v>
      </c>
      <c r="C88" s="20"/>
      <c r="D88" s="21" t="s">
        <v>79</v>
      </c>
      <c r="E88" s="26"/>
      <c r="F88" s="22">
        <v>1</v>
      </c>
      <c r="G88" s="23" t="s">
        <v>20</v>
      </c>
      <c r="H88" s="22">
        <v>24</v>
      </c>
      <c r="I88" s="23" t="s">
        <v>79</v>
      </c>
      <c r="J88" s="24">
        <v>20200</v>
      </c>
      <c r="K88" s="21" t="s">
        <v>79</v>
      </c>
      <c r="L88" s="25">
        <v>0.125</v>
      </c>
      <c r="M88" s="25">
        <v>0.05</v>
      </c>
      <c r="N88" s="22"/>
      <c r="O88" s="23" t="s">
        <v>79</v>
      </c>
      <c r="P88" s="20">
        <f t="shared" si="11"/>
        <v>0</v>
      </c>
      <c r="Q88" s="23" t="s">
        <v>79</v>
      </c>
      <c r="R88" s="24">
        <f t="shared" si="12"/>
        <v>0</v>
      </c>
      <c r="S88" s="24">
        <f t="shared" si="0"/>
        <v>0</v>
      </c>
    </row>
    <row r="89" spans="1:19" s="19" customFormat="1">
      <c r="A89" s="57" t="s">
        <v>829</v>
      </c>
      <c r="B89" s="19" t="s">
        <v>18</v>
      </c>
      <c r="C89" s="20"/>
      <c r="D89" s="21" t="s">
        <v>79</v>
      </c>
      <c r="E89" s="26"/>
      <c r="F89" s="22">
        <v>1</v>
      </c>
      <c r="G89" s="23" t="s">
        <v>20</v>
      </c>
      <c r="H89" s="22">
        <v>96</v>
      </c>
      <c r="I89" s="23" t="s">
        <v>79</v>
      </c>
      <c r="J89" s="24">
        <v>16500</v>
      </c>
      <c r="K89" s="21" t="s">
        <v>79</v>
      </c>
      <c r="L89" s="25">
        <v>0.125</v>
      </c>
      <c r="M89" s="25">
        <v>0.05</v>
      </c>
      <c r="N89" s="22"/>
      <c r="O89" s="23" t="s">
        <v>79</v>
      </c>
      <c r="P89" s="20">
        <f t="shared" si="11"/>
        <v>0</v>
      </c>
      <c r="Q89" s="23" t="s">
        <v>79</v>
      </c>
      <c r="R89" s="24">
        <f t="shared" si="12"/>
        <v>0</v>
      </c>
      <c r="S89" s="24">
        <f t="shared" ref="S89:S166" si="13">R89/1.11</f>
        <v>0</v>
      </c>
    </row>
    <row r="90" spans="1:19" s="19" customFormat="1">
      <c r="A90" s="18" t="s">
        <v>85</v>
      </c>
      <c r="B90" s="19" t="s">
        <v>18</v>
      </c>
      <c r="C90" s="20"/>
      <c r="D90" s="21" t="s">
        <v>86</v>
      </c>
      <c r="E90" s="26"/>
      <c r="F90" s="22">
        <v>1</v>
      </c>
      <c r="G90" s="23" t="s">
        <v>20</v>
      </c>
      <c r="H90" s="22">
        <v>60</v>
      </c>
      <c r="I90" s="23" t="s">
        <v>86</v>
      </c>
      <c r="J90" s="24">
        <v>27600</v>
      </c>
      <c r="K90" s="21" t="s">
        <v>86</v>
      </c>
      <c r="L90" s="25">
        <v>0.125</v>
      </c>
      <c r="M90" s="25">
        <v>0.05</v>
      </c>
      <c r="N90" s="22"/>
      <c r="O90" s="23" t="s">
        <v>86</v>
      </c>
      <c r="P90" s="20">
        <f t="shared" si="11"/>
        <v>0</v>
      </c>
      <c r="Q90" s="23" t="s">
        <v>86</v>
      </c>
      <c r="R90" s="24">
        <f t="shared" si="12"/>
        <v>0</v>
      </c>
      <c r="S90" s="24">
        <f t="shared" si="13"/>
        <v>0</v>
      </c>
    </row>
    <row r="91" spans="1:19" s="19" customFormat="1">
      <c r="A91" s="18" t="s">
        <v>87</v>
      </c>
      <c r="B91" s="19" t="s">
        <v>18</v>
      </c>
      <c r="C91" s="20"/>
      <c r="D91" s="21" t="s">
        <v>86</v>
      </c>
      <c r="E91" s="26"/>
      <c r="F91" s="22">
        <v>1</v>
      </c>
      <c r="G91" s="23" t="s">
        <v>20</v>
      </c>
      <c r="H91" s="22">
        <v>50</v>
      </c>
      <c r="I91" s="23" t="s">
        <v>86</v>
      </c>
      <c r="J91" s="24">
        <v>30900</v>
      </c>
      <c r="K91" s="21" t="s">
        <v>86</v>
      </c>
      <c r="L91" s="25">
        <v>0.125</v>
      </c>
      <c r="M91" s="25">
        <v>0.05</v>
      </c>
      <c r="N91" s="22"/>
      <c r="O91" s="23" t="s">
        <v>86</v>
      </c>
      <c r="P91" s="20">
        <f t="shared" si="11"/>
        <v>0</v>
      </c>
      <c r="Q91" s="23" t="s">
        <v>86</v>
      </c>
      <c r="R91" s="24">
        <f t="shared" si="12"/>
        <v>0</v>
      </c>
      <c r="S91" s="24">
        <f t="shared" si="13"/>
        <v>0</v>
      </c>
    </row>
    <row r="92" spans="1:19" s="19" customFormat="1">
      <c r="A92" s="18" t="s">
        <v>88</v>
      </c>
      <c r="B92" s="19" t="s">
        <v>18</v>
      </c>
      <c r="C92" s="20"/>
      <c r="D92" s="21" t="s">
        <v>86</v>
      </c>
      <c r="E92" s="26"/>
      <c r="F92" s="22">
        <v>1</v>
      </c>
      <c r="G92" s="23" t="s">
        <v>20</v>
      </c>
      <c r="H92" s="22">
        <v>30</v>
      </c>
      <c r="I92" s="23" t="s">
        <v>86</v>
      </c>
      <c r="J92" s="24">
        <v>48600</v>
      </c>
      <c r="K92" s="21" t="s">
        <v>86</v>
      </c>
      <c r="L92" s="25">
        <v>0.125</v>
      </c>
      <c r="M92" s="25">
        <v>0.05</v>
      </c>
      <c r="N92" s="22"/>
      <c r="O92" s="23" t="s">
        <v>86</v>
      </c>
      <c r="P92" s="20">
        <f t="shared" si="11"/>
        <v>0</v>
      </c>
      <c r="Q92" s="23" t="s">
        <v>86</v>
      </c>
      <c r="R92" s="24">
        <f t="shared" si="12"/>
        <v>0</v>
      </c>
      <c r="S92" s="24">
        <f t="shared" si="13"/>
        <v>0</v>
      </c>
    </row>
    <row r="93" spans="1:19" s="19" customFormat="1">
      <c r="A93" s="18" t="s">
        <v>89</v>
      </c>
      <c r="B93" s="19" t="s">
        <v>18</v>
      </c>
      <c r="C93" s="20"/>
      <c r="D93" s="21" t="s">
        <v>86</v>
      </c>
      <c r="E93" s="26"/>
      <c r="F93" s="22">
        <v>1</v>
      </c>
      <c r="G93" s="23" t="s">
        <v>20</v>
      </c>
      <c r="H93" s="22">
        <v>20</v>
      </c>
      <c r="I93" s="23" t="s">
        <v>86</v>
      </c>
      <c r="J93" s="24">
        <v>67800</v>
      </c>
      <c r="K93" s="21" t="s">
        <v>86</v>
      </c>
      <c r="L93" s="25">
        <v>0.125</v>
      </c>
      <c r="M93" s="25">
        <v>0.05</v>
      </c>
      <c r="N93" s="22"/>
      <c r="O93" s="23" t="s">
        <v>86</v>
      </c>
      <c r="P93" s="20">
        <f t="shared" si="11"/>
        <v>0</v>
      </c>
      <c r="Q93" s="23" t="s">
        <v>86</v>
      </c>
      <c r="R93" s="24">
        <f t="shared" si="12"/>
        <v>0</v>
      </c>
      <c r="S93" s="24">
        <f t="shared" si="13"/>
        <v>0</v>
      </c>
    </row>
    <row r="94" spans="1:19" s="19" customFormat="1">
      <c r="A94" s="18" t="s">
        <v>90</v>
      </c>
      <c r="B94" s="19" t="s">
        <v>18</v>
      </c>
      <c r="C94" s="20"/>
      <c r="D94" s="21" t="s">
        <v>86</v>
      </c>
      <c r="E94" s="26"/>
      <c r="F94" s="22">
        <v>1</v>
      </c>
      <c r="G94" s="23" t="s">
        <v>20</v>
      </c>
      <c r="H94" s="22">
        <v>10</v>
      </c>
      <c r="I94" s="23" t="s">
        <v>86</v>
      </c>
      <c r="J94" s="24">
        <v>115800</v>
      </c>
      <c r="K94" s="21" t="s">
        <v>86</v>
      </c>
      <c r="L94" s="25">
        <v>0.125</v>
      </c>
      <c r="M94" s="25">
        <v>0.05</v>
      </c>
      <c r="N94" s="22"/>
      <c r="O94" s="23" t="s">
        <v>86</v>
      </c>
      <c r="P94" s="20">
        <f t="shared" si="11"/>
        <v>0</v>
      </c>
      <c r="Q94" s="23" t="s">
        <v>86</v>
      </c>
      <c r="R94" s="24">
        <f t="shared" si="12"/>
        <v>0</v>
      </c>
      <c r="S94" s="24">
        <f t="shared" si="13"/>
        <v>0</v>
      </c>
    </row>
    <row r="95" spans="1:19" s="19" customFormat="1">
      <c r="A95" s="18" t="s">
        <v>91</v>
      </c>
      <c r="B95" s="19" t="s">
        <v>18</v>
      </c>
      <c r="C95" s="20"/>
      <c r="D95" s="21" t="s">
        <v>86</v>
      </c>
      <c r="E95" s="26"/>
      <c r="F95" s="22">
        <v>1</v>
      </c>
      <c r="G95" s="23" t="s">
        <v>20</v>
      </c>
      <c r="H95" s="22">
        <v>5</v>
      </c>
      <c r="I95" s="23" t="s">
        <v>86</v>
      </c>
      <c r="J95" s="24">
        <v>177000</v>
      </c>
      <c r="K95" s="21" t="s">
        <v>86</v>
      </c>
      <c r="L95" s="25">
        <v>0.125</v>
      </c>
      <c r="M95" s="25">
        <v>0.05</v>
      </c>
      <c r="N95" s="22"/>
      <c r="O95" s="23" t="s">
        <v>86</v>
      </c>
      <c r="P95" s="20">
        <f t="shared" si="11"/>
        <v>0</v>
      </c>
      <c r="Q95" s="23" t="s">
        <v>86</v>
      </c>
      <c r="R95" s="24">
        <f t="shared" si="12"/>
        <v>0</v>
      </c>
      <c r="S95" s="24">
        <f t="shared" si="13"/>
        <v>0</v>
      </c>
    </row>
    <row r="96" spans="1:19" s="19" customFormat="1">
      <c r="A96" s="18" t="s">
        <v>92</v>
      </c>
      <c r="B96" s="19" t="s">
        <v>18</v>
      </c>
      <c r="C96" s="20"/>
      <c r="D96" s="21" t="s">
        <v>42</v>
      </c>
      <c r="E96" s="26"/>
      <c r="F96" s="22">
        <v>3</v>
      </c>
      <c r="G96" s="23" t="s">
        <v>86</v>
      </c>
      <c r="H96" s="22">
        <v>12</v>
      </c>
      <c r="I96" s="23" t="s">
        <v>42</v>
      </c>
      <c r="J96" s="24">
        <f>507600/12</f>
        <v>42300</v>
      </c>
      <c r="K96" s="21" t="s">
        <v>42</v>
      </c>
      <c r="L96" s="25">
        <v>0.125</v>
      </c>
      <c r="M96" s="25">
        <v>0.05</v>
      </c>
      <c r="N96" s="22"/>
      <c r="O96" s="23" t="s">
        <v>42</v>
      </c>
      <c r="P96" s="20">
        <f t="shared" si="11"/>
        <v>0</v>
      </c>
      <c r="Q96" s="23" t="s">
        <v>42</v>
      </c>
      <c r="R96" s="24">
        <f t="shared" si="12"/>
        <v>0</v>
      </c>
      <c r="S96" s="24">
        <f t="shared" si="13"/>
        <v>0</v>
      </c>
    </row>
    <row r="97" spans="1:19" s="19" customFormat="1">
      <c r="A97" s="18"/>
      <c r="C97" s="20"/>
      <c r="D97" s="21"/>
      <c r="E97" s="26"/>
      <c r="F97" s="22"/>
      <c r="G97" s="23"/>
      <c r="H97" s="22"/>
      <c r="I97" s="23"/>
      <c r="J97" s="24"/>
      <c r="K97" s="21"/>
      <c r="L97" s="25"/>
      <c r="M97" s="25"/>
      <c r="N97" s="22"/>
      <c r="O97" s="23"/>
      <c r="P97" s="20"/>
      <c r="Q97" s="23"/>
      <c r="R97" s="24"/>
      <c r="S97" s="24"/>
    </row>
    <row r="98" spans="1:19" s="19" customFormat="1">
      <c r="A98" s="18" t="s">
        <v>93</v>
      </c>
      <c r="B98" s="19" t="s">
        <v>25</v>
      </c>
      <c r="C98" s="20"/>
      <c r="D98" s="21" t="s">
        <v>86</v>
      </c>
      <c r="E98" s="26"/>
      <c r="F98" s="22">
        <v>1</v>
      </c>
      <c r="G98" s="23" t="s">
        <v>20</v>
      </c>
      <c r="H98" s="22">
        <v>50</v>
      </c>
      <c r="I98" s="23" t="s">
        <v>86</v>
      </c>
      <c r="J98" s="24">
        <f>1440000/50</f>
        <v>28800</v>
      </c>
      <c r="K98" s="21" t="s">
        <v>86</v>
      </c>
      <c r="L98" s="25"/>
      <c r="M98" s="25">
        <v>0.17</v>
      </c>
      <c r="N98" s="22"/>
      <c r="O98" s="23" t="s">
        <v>86</v>
      </c>
      <c r="P98" s="20">
        <f t="shared" ref="P98:P104" si="14">(C98+(E98*F98*H98))-N98</f>
        <v>0</v>
      </c>
      <c r="Q98" s="23" t="s">
        <v>86</v>
      </c>
      <c r="R98" s="24">
        <f t="shared" ref="R98:R104" si="15">P98*(J98-(J98*L98)-((J98-(J98*L98))*M98))</f>
        <v>0</v>
      </c>
      <c r="S98" s="24">
        <f t="shared" si="13"/>
        <v>0</v>
      </c>
    </row>
    <row r="99" spans="1:19" s="19" customFormat="1">
      <c r="A99" s="18" t="s">
        <v>94</v>
      </c>
      <c r="B99" s="19" t="s">
        <v>25</v>
      </c>
      <c r="C99" s="20"/>
      <c r="D99" s="21" t="s">
        <v>86</v>
      </c>
      <c r="E99" s="26"/>
      <c r="F99" s="22">
        <v>1</v>
      </c>
      <c r="G99" s="23" t="s">
        <v>20</v>
      </c>
      <c r="H99" s="22">
        <v>50</v>
      </c>
      <c r="I99" s="23" t="s">
        <v>86</v>
      </c>
      <c r="J99" s="24">
        <f>1590000/50</f>
        <v>31800</v>
      </c>
      <c r="K99" s="21" t="s">
        <v>86</v>
      </c>
      <c r="L99" s="25"/>
      <c r="M99" s="25">
        <v>0.17</v>
      </c>
      <c r="N99" s="22"/>
      <c r="O99" s="23" t="s">
        <v>86</v>
      </c>
      <c r="P99" s="20">
        <f t="shared" si="14"/>
        <v>0</v>
      </c>
      <c r="Q99" s="23" t="s">
        <v>86</v>
      </c>
      <c r="R99" s="24">
        <f t="shared" si="15"/>
        <v>0</v>
      </c>
      <c r="S99" s="24">
        <f t="shared" si="13"/>
        <v>0</v>
      </c>
    </row>
    <row r="100" spans="1:19" s="19" customFormat="1">
      <c r="A100" s="18" t="s">
        <v>95</v>
      </c>
      <c r="B100" s="19" t="s">
        <v>25</v>
      </c>
      <c r="C100" s="20"/>
      <c r="D100" s="21" t="s">
        <v>86</v>
      </c>
      <c r="E100" s="26"/>
      <c r="F100" s="22">
        <v>1</v>
      </c>
      <c r="G100" s="23" t="s">
        <v>20</v>
      </c>
      <c r="H100" s="22">
        <v>30</v>
      </c>
      <c r="I100" s="23" t="s">
        <v>86</v>
      </c>
      <c r="J100" s="24">
        <f>1476000/30</f>
        <v>49200</v>
      </c>
      <c r="K100" s="21" t="s">
        <v>86</v>
      </c>
      <c r="L100" s="25"/>
      <c r="M100" s="25">
        <v>0.17</v>
      </c>
      <c r="N100" s="22"/>
      <c r="O100" s="23" t="s">
        <v>86</v>
      </c>
      <c r="P100" s="20">
        <f t="shared" si="14"/>
        <v>0</v>
      </c>
      <c r="Q100" s="23" t="s">
        <v>86</v>
      </c>
      <c r="R100" s="24">
        <f t="shared" si="15"/>
        <v>0</v>
      </c>
      <c r="S100" s="24">
        <f t="shared" si="13"/>
        <v>0</v>
      </c>
    </row>
    <row r="101" spans="1:19" s="19" customFormat="1">
      <c r="A101" s="18" t="s">
        <v>96</v>
      </c>
      <c r="B101" s="19" t="s">
        <v>25</v>
      </c>
      <c r="C101" s="20"/>
      <c r="D101" s="21" t="s">
        <v>86</v>
      </c>
      <c r="E101" s="26"/>
      <c r="F101" s="22">
        <v>1</v>
      </c>
      <c r="G101" s="23" t="s">
        <v>20</v>
      </c>
      <c r="H101" s="22">
        <v>20</v>
      </c>
      <c r="I101" s="23" t="s">
        <v>86</v>
      </c>
      <c r="J101" s="24">
        <f>1380000/20</f>
        <v>69000</v>
      </c>
      <c r="K101" s="21" t="s">
        <v>86</v>
      </c>
      <c r="L101" s="25"/>
      <c r="M101" s="25">
        <v>0.17</v>
      </c>
      <c r="N101" s="22"/>
      <c r="O101" s="23" t="s">
        <v>86</v>
      </c>
      <c r="P101" s="20">
        <f t="shared" si="14"/>
        <v>0</v>
      </c>
      <c r="Q101" s="23" t="s">
        <v>86</v>
      </c>
      <c r="R101" s="24">
        <f t="shared" si="15"/>
        <v>0</v>
      </c>
      <c r="S101" s="24">
        <f t="shared" si="13"/>
        <v>0</v>
      </c>
    </row>
    <row r="102" spans="1:19" s="19" customFormat="1">
      <c r="A102" s="18" t="s">
        <v>97</v>
      </c>
      <c r="B102" s="19" t="s">
        <v>25</v>
      </c>
      <c r="C102" s="20"/>
      <c r="D102" s="21" t="s">
        <v>86</v>
      </c>
      <c r="E102" s="26"/>
      <c r="F102" s="22">
        <v>1</v>
      </c>
      <c r="G102" s="23" t="s">
        <v>20</v>
      </c>
      <c r="H102" s="22">
        <v>10</v>
      </c>
      <c r="I102" s="23" t="s">
        <v>86</v>
      </c>
      <c r="J102" s="24">
        <f>1200000/10</f>
        <v>120000</v>
      </c>
      <c r="K102" s="21" t="s">
        <v>86</v>
      </c>
      <c r="L102" s="25"/>
      <c r="M102" s="25">
        <v>0.17</v>
      </c>
      <c r="N102" s="22"/>
      <c r="O102" s="23" t="s">
        <v>86</v>
      </c>
      <c r="P102" s="20">
        <f t="shared" si="14"/>
        <v>0</v>
      </c>
      <c r="Q102" s="23" t="s">
        <v>86</v>
      </c>
      <c r="R102" s="24">
        <f t="shared" si="15"/>
        <v>0</v>
      </c>
      <c r="S102" s="24">
        <f t="shared" si="13"/>
        <v>0</v>
      </c>
    </row>
    <row r="103" spans="1:19" s="19" customFormat="1">
      <c r="A103" s="18" t="s">
        <v>98</v>
      </c>
      <c r="B103" s="19" t="s">
        <v>25</v>
      </c>
      <c r="C103" s="20"/>
      <c r="D103" s="21" t="s">
        <v>86</v>
      </c>
      <c r="E103" s="26"/>
      <c r="F103" s="22">
        <v>1</v>
      </c>
      <c r="G103" s="23" t="s">
        <v>20</v>
      </c>
      <c r="H103" s="22">
        <v>5</v>
      </c>
      <c r="I103" s="23" t="s">
        <v>86</v>
      </c>
      <c r="J103" s="24">
        <f>900000/5</f>
        <v>180000</v>
      </c>
      <c r="K103" s="21" t="s">
        <v>86</v>
      </c>
      <c r="L103" s="25"/>
      <c r="M103" s="25">
        <v>0.17</v>
      </c>
      <c r="N103" s="22"/>
      <c r="O103" s="23" t="s">
        <v>86</v>
      </c>
      <c r="P103" s="20">
        <f t="shared" si="14"/>
        <v>0</v>
      </c>
      <c r="Q103" s="23" t="s">
        <v>86</v>
      </c>
      <c r="R103" s="24">
        <f t="shared" si="15"/>
        <v>0</v>
      </c>
      <c r="S103" s="24">
        <f t="shared" si="13"/>
        <v>0</v>
      </c>
    </row>
    <row r="104" spans="1:19" s="19" customFormat="1">
      <c r="A104" s="18" t="s">
        <v>716</v>
      </c>
      <c r="B104" s="19" t="s">
        <v>25</v>
      </c>
      <c r="C104" s="20"/>
      <c r="D104" s="21" t="s">
        <v>33</v>
      </c>
      <c r="E104" s="26"/>
      <c r="F104" s="22">
        <v>1</v>
      </c>
      <c r="G104" s="23" t="s">
        <v>20</v>
      </c>
      <c r="H104" s="22">
        <v>72</v>
      </c>
      <c r="I104" s="23" t="s">
        <v>33</v>
      </c>
      <c r="J104" s="24">
        <f>1548000/72</f>
        <v>21500</v>
      </c>
      <c r="K104" s="21" t="s">
        <v>33</v>
      </c>
      <c r="L104" s="25"/>
      <c r="M104" s="25">
        <v>0.17</v>
      </c>
      <c r="N104" s="22"/>
      <c r="O104" s="23" t="s">
        <v>33</v>
      </c>
      <c r="P104" s="20">
        <f t="shared" si="14"/>
        <v>0</v>
      </c>
      <c r="Q104" s="23" t="s">
        <v>33</v>
      </c>
      <c r="R104" s="24">
        <f t="shared" si="15"/>
        <v>0</v>
      </c>
      <c r="S104" s="24">
        <f t="shared" si="13"/>
        <v>0</v>
      </c>
    </row>
    <row r="105" spans="1:19" s="19" customFormat="1">
      <c r="A105" s="18"/>
      <c r="C105" s="20"/>
      <c r="D105" s="21"/>
      <c r="E105" s="26"/>
      <c r="F105" s="22"/>
      <c r="G105" s="23"/>
      <c r="H105" s="22"/>
      <c r="I105" s="23"/>
      <c r="J105" s="24"/>
      <c r="K105" s="21"/>
      <c r="L105" s="25"/>
      <c r="M105" s="25"/>
      <c r="N105" s="22"/>
      <c r="O105" s="23"/>
      <c r="P105" s="20"/>
      <c r="Q105" s="23"/>
      <c r="R105" s="24"/>
      <c r="S105" s="24"/>
    </row>
    <row r="106" spans="1:19" s="19" customFormat="1">
      <c r="A106" s="88" t="s">
        <v>99</v>
      </c>
      <c r="C106" s="20"/>
      <c r="D106" s="21"/>
      <c r="E106" s="26"/>
      <c r="F106" s="22"/>
      <c r="G106" s="23"/>
      <c r="H106" s="22"/>
      <c r="I106" s="23"/>
      <c r="J106" s="24"/>
      <c r="K106" s="21"/>
      <c r="L106" s="25"/>
      <c r="M106" s="25"/>
      <c r="N106" s="22"/>
      <c r="O106" s="23"/>
      <c r="P106" s="20"/>
      <c r="Q106" s="23"/>
      <c r="R106" s="24"/>
      <c r="S106" s="24"/>
    </row>
    <row r="107" spans="1:19" s="19" customFormat="1">
      <c r="A107" s="18" t="s">
        <v>100</v>
      </c>
      <c r="B107" s="19" t="s">
        <v>18</v>
      </c>
      <c r="C107" s="20"/>
      <c r="D107" s="21" t="s">
        <v>33</v>
      </c>
      <c r="E107" s="26"/>
      <c r="F107" s="22">
        <v>50</v>
      </c>
      <c r="G107" s="23" t="s">
        <v>101</v>
      </c>
      <c r="H107" s="22">
        <v>10</v>
      </c>
      <c r="I107" s="23" t="s">
        <v>33</v>
      </c>
      <c r="J107" s="24">
        <v>1850</v>
      </c>
      <c r="K107" s="21" t="s">
        <v>33</v>
      </c>
      <c r="L107" s="25">
        <v>0.125</v>
      </c>
      <c r="M107" s="25">
        <v>0.05</v>
      </c>
      <c r="N107" s="22"/>
      <c r="O107" s="23" t="s">
        <v>33</v>
      </c>
      <c r="P107" s="20">
        <f>(C107+(E107*F107*H107))-N107</f>
        <v>0</v>
      </c>
      <c r="Q107" s="23" t="s">
        <v>33</v>
      </c>
      <c r="R107" s="24">
        <f>P107*(J107-(J107*L107)-((J107-(J107*L107))*M107))</f>
        <v>0</v>
      </c>
      <c r="S107" s="24">
        <f t="shared" si="13"/>
        <v>0</v>
      </c>
    </row>
    <row r="108" spans="1:19" s="19" customFormat="1">
      <c r="A108" s="18" t="s">
        <v>102</v>
      </c>
      <c r="B108" s="19" t="s">
        <v>18</v>
      </c>
      <c r="C108" s="20"/>
      <c r="D108" s="21" t="s">
        <v>33</v>
      </c>
      <c r="E108" s="26"/>
      <c r="F108" s="22">
        <v>50</v>
      </c>
      <c r="G108" s="23" t="s">
        <v>101</v>
      </c>
      <c r="H108" s="22">
        <v>10</v>
      </c>
      <c r="I108" s="23" t="s">
        <v>33</v>
      </c>
      <c r="J108" s="24">
        <v>1625</v>
      </c>
      <c r="K108" s="21" t="s">
        <v>33</v>
      </c>
      <c r="L108" s="25">
        <v>0.125</v>
      </c>
      <c r="M108" s="25">
        <v>0.05</v>
      </c>
      <c r="N108" s="22"/>
      <c r="O108" s="23" t="s">
        <v>33</v>
      </c>
      <c r="P108" s="20">
        <f>(C108+(E108*F108*H108))-N108</f>
        <v>0</v>
      </c>
      <c r="Q108" s="23" t="s">
        <v>33</v>
      </c>
      <c r="R108" s="24">
        <f>P108*(J108-(J108*L108)-((J108-(J108*L108))*M108))</f>
        <v>0</v>
      </c>
      <c r="S108" s="24">
        <f t="shared" si="13"/>
        <v>0</v>
      </c>
    </row>
    <row r="109" spans="1:19" s="19" customFormat="1">
      <c r="A109" s="18" t="s">
        <v>103</v>
      </c>
      <c r="B109" s="19" t="s">
        <v>18</v>
      </c>
      <c r="C109" s="20"/>
      <c r="D109" s="21" t="s">
        <v>33</v>
      </c>
      <c r="E109" s="26"/>
      <c r="F109" s="22">
        <v>20</v>
      </c>
      <c r="G109" s="23" t="s">
        <v>101</v>
      </c>
      <c r="H109" s="22">
        <v>10</v>
      </c>
      <c r="I109" s="23" t="s">
        <v>33</v>
      </c>
      <c r="J109" s="24">
        <v>4400</v>
      </c>
      <c r="K109" s="21" t="s">
        <v>33</v>
      </c>
      <c r="L109" s="25">
        <v>0.125</v>
      </c>
      <c r="M109" s="25">
        <v>0.05</v>
      </c>
      <c r="N109" s="22"/>
      <c r="O109" s="23" t="s">
        <v>33</v>
      </c>
      <c r="P109" s="20">
        <f>(C109+(E109*F109*H109))-N109</f>
        <v>0</v>
      </c>
      <c r="Q109" s="23" t="s">
        <v>33</v>
      </c>
      <c r="R109" s="24">
        <f>P109*(J109-(J109*L109)-((J109-(J109*L109))*M109))</f>
        <v>0</v>
      </c>
      <c r="S109" s="24">
        <f t="shared" si="13"/>
        <v>0</v>
      </c>
    </row>
    <row r="110" spans="1:19" s="19" customFormat="1">
      <c r="A110" s="18" t="s">
        <v>104</v>
      </c>
      <c r="B110" s="19" t="s">
        <v>18</v>
      </c>
      <c r="C110" s="20"/>
      <c r="D110" s="21" t="s">
        <v>105</v>
      </c>
      <c r="E110" s="26"/>
      <c r="F110" s="22">
        <v>24</v>
      </c>
      <c r="G110" s="23" t="s">
        <v>33</v>
      </c>
      <c r="H110" s="22">
        <v>12</v>
      </c>
      <c r="I110" s="23" t="s">
        <v>105</v>
      </c>
      <c r="J110" s="24">
        <v>3100</v>
      </c>
      <c r="K110" s="21" t="s">
        <v>105</v>
      </c>
      <c r="L110" s="25">
        <v>0.125</v>
      </c>
      <c r="M110" s="25">
        <v>0.05</v>
      </c>
      <c r="N110" s="22"/>
      <c r="O110" s="23" t="s">
        <v>105</v>
      </c>
      <c r="P110" s="20">
        <f>(C110+(E110*F110*H110))-N110</f>
        <v>0</v>
      </c>
      <c r="Q110" s="23" t="s">
        <v>105</v>
      </c>
      <c r="R110" s="24">
        <f>P110*(J110-(J110*L110)-((J110-(J110*L110))*M110))</f>
        <v>0</v>
      </c>
      <c r="S110" s="24">
        <f t="shared" si="13"/>
        <v>0</v>
      </c>
    </row>
    <row r="111" spans="1:19" s="19" customFormat="1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19" s="19" customFormat="1">
      <c r="A112" s="18" t="s">
        <v>106</v>
      </c>
      <c r="B112" s="19" t="s">
        <v>25</v>
      </c>
      <c r="C112" s="20"/>
      <c r="D112" s="21" t="s">
        <v>33</v>
      </c>
      <c r="E112" s="26"/>
      <c r="F112" s="22">
        <v>50</v>
      </c>
      <c r="G112" s="23" t="s">
        <v>101</v>
      </c>
      <c r="H112" s="22">
        <v>10</v>
      </c>
      <c r="I112" s="23" t="s">
        <v>33</v>
      </c>
      <c r="J112" s="24">
        <f>850000/50/10</f>
        <v>1700</v>
      </c>
      <c r="K112" s="21" t="s">
        <v>33</v>
      </c>
      <c r="L112" s="25"/>
      <c r="M112" s="25">
        <v>0.17</v>
      </c>
      <c r="N112" s="22"/>
      <c r="O112" s="23" t="s">
        <v>33</v>
      </c>
      <c r="P112" s="20">
        <f>(C112+(E112*F112*H112))-N112</f>
        <v>0</v>
      </c>
      <c r="Q112" s="23" t="s">
        <v>33</v>
      </c>
      <c r="R112" s="24">
        <f>P112*(J112-(J112*L112)-((J112-(J112*L112))*M112))</f>
        <v>0</v>
      </c>
      <c r="S112" s="24">
        <f t="shared" si="13"/>
        <v>0</v>
      </c>
    </row>
    <row r="113" spans="1:19" s="19" customFormat="1">
      <c r="A113" s="18" t="s">
        <v>107</v>
      </c>
      <c r="B113" s="19" t="s">
        <v>25</v>
      </c>
      <c r="C113" s="20"/>
      <c r="D113" s="21" t="s">
        <v>33</v>
      </c>
      <c r="E113" s="26"/>
      <c r="F113" s="22">
        <v>50</v>
      </c>
      <c r="G113" s="23" t="s">
        <v>101</v>
      </c>
      <c r="H113" s="22">
        <v>10</v>
      </c>
      <c r="I113" s="23" t="s">
        <v>33</v>
      </c>
      <c r="J113" s="24">
        <f>800000/50/10</f>
        <v>1600</v>
      </c>
      <c r="K113" s="21" t="s">
        <v>33</v>
      </c>
      <c r="L113" s="25"/>
      <c r="M113" s="25">
        <v>0.17</v>
      </c>
      <c r="N113" s="22"/>
      <c r="O113" s="23" t="s">
        <v>33</v>
      </c>
      <c r="P113" s="20">
        <f>(C113+(E113*F113*H113))-N113</f>
        <v>0</v>
      </c>
      <c r="Q113" s="23" t="s">
        <v>33</v>
      </c>
      <c r="R113" s="24">
        <f>P113*(J113-(J113*L113)-((J113-(J113*L113))*M113))</f>
        <v>0</v>
      </c>
      <c r="S113" s="24">
        <f t="shared" si="13"/>
        <v>0</v>
      </c>
    </row>
    <row r="114" spans="1:19" s="19" customFormat="1">
      <c r="A114" s="18" t="s">
        <v>108</v>
      </c>
      <c r="B114" s="19" t="s">
        <v>25</v>
      </c>
      <c r="C114" s="20"/>
      <c r="D114" s="21" t="s">
        <v>33</v>
      </c>
      <c r="E114" s="26"/>
      <c r="F114" s="22">
        <v>20</v>
      </c>
      <c r="G114" s="23" t="s">
        <v>101</v>
      </c>
      <c r="H114" s="22">
        <v>10</v>
      </c>
      <c r="I114" s="23" t="s">
        <v>33</v>
      </c>
      <c r="J114" s="24">
        <f>860000/20/10</f>
        <v>4300</v>
      </c>
      <c r="K114" s="21" t="s">
        <v>33</v>
      </c>
      <c r="L114" s="25"/>
      <c r="M114" s="25">
        <v>0.17</v>
      </c>
      <c r="N114" s="22"/>
      <c r="O114" s="23" t="s">
        <v>33</v>
      </c>
      <c r="P114" s="20">
        <f>(C114+(E114*F114*H114))-N114</f>
        <v>0</v>
      </c>
      <c r="Q114" s="23" t="s">
        <v>33</v>
      </c>
      <c r="R114" s="24">
        <f>P114*(J114-(J114*L114)-((J114-(J114*L114))*M114))</f>
        <v>0</v>
      </c>
      <c r="S114" s="24">
        <f t="shared" si="13"/>
        <v>0</v>
      </c>
    </row>
    <row r="115" spans="1:19" s="19" customFormat="1">
      <c r="A115" s="18" t="s">
        <v>109</v>
      </c>
      <c r="B115" s="19" t="s">
        <v>25</v>
      </c>
      <c r="C115" s="20"/>
      <c r="D115" s="21" t="s">
        <v>42</v>
      </c>
      <c r="E115" s="26"/>
      <c r="F115" s="22">
        <v>1</v>
      </c>
      <c r="G115" s="23" t="s">
        <v>20</v>
      </c>
      <c r="H115" s="22">
        <v>48</v>
      </c>
      <c r="I115" s="23" t="s">
        <v>42</v>
      </c>
      <c r="J115" s="24">
        <f>1987200/48</f>
        <v>41400</v>
      </c>
      <c r="K115" s="21" t="s">
        <v>42</v>
      </c>
      <c r="L115" s="25"/>
      <c r="M115" s="25">
        <v>0.17</v>
      </c>
      <c r="N115" s="22"/>
      <c r="O115" s="23" t="s">
        <v>42</v>
      </c>
      <c r="P115" s="20">
        <f>(C115+(E115*F115*H115))-N115</f>
        <v>0</v>
      </c>
      <c r="Q115" s="23" t="s">
        <v>42</v>
      </c>
      <c r="R115" s="24">
        <f>P115*(J115-(J115*L115)-((J115-(J115*L115))*M115))</f>
        <v>0</v>
      </c>
      <c r="S115" s="24">
        <f t="shared" si="13"/>
        <v>0</v>
      </c>
    </row>
    <row r="116" spans="1:19" s="19" customFormat="1">
      <c r="A116" s="18"/>
      <c r="C116" s="20"/>
      <c r="D116" s="21"/>
      <c r="E116" s="26"/>
      <c r="F116" s="22"/>
      <c r="G116" s="23"/>
      <c r="H116" s="22"/>
      <c r="I116" s="23"/>
      <c r="J116" s="24"/>
      <c r="K116" s="21"/>
      <c r="L116" s="25"/>
      <c r="M116" s="25"/>
      <c r="N116" s="22"/>
      <c r="O116" s="23"/>
      <c r="P116" s="20"/>
      <c r="Q116" s="23"/>
      <c r="R116" s="24"/>
      <c r="S116" s="24"/>
    </row>
    <row r="117" spans="1:19" s="19" customFormat="1" ht="15.75">
      <c r="A117" s="44" t="s">
        <v>110</v>
      </c>
      <c r="C117" s="20"/>
      <c r="D117" s="21"/>
      <c r="E117" s="26"/>
      <c r="F117" s="22"/>
      <c r="G117" s="23"/>
      <c r="H117" s="22"/>
      <c r="I117" s="23"/>
      <c r="J117" s="24"/>
      <c r="K117" s="21"/>
      <c r="L117" s="25"/>
      <c r="M117" s="25"/>
      <c r="N117" s="22"/>
      <c r="O117" s="23"/>
      <c r="P117" s="20"/>
      <c r="Q117" s="23"/>
      <c r="R117" s="24"/>
      <c r="S117" s="24"/>
    </row>
    <row r="118" spans="1:19" s="19" customFormat="1">
      <c r="A118" s="88" t="s">
        <v>111</v>
      </c>
      <c r="C118" s="20"/>
      <c r="D118" s="21"/>
      <c r="E118" s="26"/>
      <c r="F118" s="22"/>
      <c r="G118" s="23"/>
      <c r="H118" s="22"/>
      <c r="I118" s="23"/>
      <c r="J118" s="24"/>
      <c r="K118" s="21"/>
      <c r="L118" s="25"/>
      <c r="M118" s="25"/>
      <c r="N118" s="22"/>
      <c r="O118" s="23"/>
      <c r="P118" s="20"/>
      <c r="Q118" s="23"/>
      <c r="R118" s="24"/>
      <c r="S118" s="24"/>
    </row>
    <row r="119" spans="1:19" s="19" customFormat="1">
      <c r="A119" s="18" t="s">
        <v>112</v>
      </c>
      <c r="B119" s="19" t="s">
        <v>18</v>
      </c>
      <c r="C119" s="20"/>
      <c r="D119" s="21" t="s">
        <v>42</v>
      </c>
      <c r="E119" s="26"/>
      <c r="F119" s="22">
        <v>1</v>
      </c>
      <c r="G119" s="23" t="s">
        <v>20</v>
      </c>
      <c r="H119" s="22">
        <v>48</v>
      </c>
      <c r="I119" s="23" t="s">
        <v>42</v>
      </c>
      <c r="J119" s="24">
        <v>36000</v>
      </c>
      <c r="K119" s="21" t="s">
        <v>42</v>
      </c>
      <c r="L119" s="25">
        <v>0.125</v>
      </c>
      <c r="M119" s="25">
        <v>0.05</v>
      </c>
      <c r="N119" s="22"/>
      <c r="O119" s="23" t="s">
        <v>42</v>
      </c>
      <c r="P119" s="20">
        <f t="shared" ref="P119:P133" si="16">(C119+(E119*F119*H119))-N119</f>
        <v>0</v>
      </c>
      <c r="Q119" s="23" t="s">
        <v>42</v>
      </c>
      <c r="R119" s="24">
        <f t="shared" ref="R119:R133" si="17">P119*(J119-(J119*L119)-((J119-(J119*L119))*M119))</f>
        <v>0</v>
      </c>
      <c r="S119" s="24">
        <f t="shared" si="13"/>
        <v>0</v>
      </c>
    </row>
    <row r="120" spans="1:19" s="19" customFormat="1">
      <c r="A120" s="18" t="s">
        <v>113</v>
      </c>
      <c r="B120" s="19" t="s">
        <v>18</v>
      </c>
      <c r="C120" s="20"/>
      <c r="D120" s="21" t="s">
        <v>42</v>
      </c>
      <c r="E120" s="26"/>
      <c r="F120" s="22">
        <v>1</v>
      </c>
      <c r="G120" s="23" t="s">
        <v>20</v>
      </c>
      <c r="H120" s="22">
        <v>48</v>
      </c>
      <c r="I120" s="23" t="s">
        <v>42</v>
      </c>
      <c r="J120" s="24">
        <v>36000</v>
      </c>
      <c r="K120" s="21" t="s">
        <v>42</v>
      </c>
      <c r="L120" s="25">
        <v>0.125</v>
      </c>
      <c r="M120" s="25">
        <v>0.05</v>
      </c>
      <c r="N120" s="22"/>
      <c r="O120" s="23" t="s">
        <v>42</v>
      </c>
      <c r="P120" s="20">
        <f t="shared" si="16"/>
        <v>0</v>
      </c>
      <c r="Q120" s="23" t="s">
        <v>42</v>
      </c>
      <c r="R120" s="24">
        <f t="shared" si="17"/>
        <v>0</v>
      </c>
      <c r="S120" s="24">
        <f t="shared" si="13"/>
        <v>0</v>
      </c>
    </row>
    <row r="121" spans="1:19" s="19" customFormat="1">
      <c r="A121" s="18" t="s">
        <v>756</v>
      </c>
      <c r="B121" s="19" t="s">
        <v>18</v>
      </c>
      <c r="C121" s="20"/>
      <c r="D121" s="21" t="s">
        <v>42</v>
      </c>
      <c r="E121" s="26"/>
      <c r="F121" s="22">
        <v>1</v>
      </c>
      <c r="G121" s="23" t="s">
        <v>20</v>
      </c>
      <c r="H121" s="22">
        <v>48</v>
      </c>
      <c r="I121" s="23" t="s">
        <v>42</v>
      </c>
      <c r="J121" s="24">
        <v>36000</v>
      </c>
      <c r="K121" s="21" t="s">
        <v>42</v>
      </c>
      <c r="L121" s="25">
        <v>0.125</v>
      </c>
      <c r="M121" s="25">
        <v>0.05</v>
      </c>
      <c r="N121" s="22"/>
      <c r="O121" s="23" t="s">
        <v>42</v>
      </c>
      <c r="P121" s="20">
        <f t="shared" si="16"/>
        <v>0</v>
      </c>
      <c r="Q121" s="23" t="s">
        <v>42</v>
      </c>
      <c r="R121" s="24">
        <f t="shared" si="17"/>
        <v>0</v>
      </c>
      <c r="S121" s="24">
        <f t="shared" si="13"/>
        <v>0</v>
      </c>
    </row>
    <row r="122" spans="1:19" s="19" customFormat="1">
      <c r="A122" s="18" t="s">
        <v>114</v>
      </c>
      <c r="B122" s="19" t="s">
        <v>18</v>
      </c>
      <c r="C122" s="20"/>
      <c r="D122" s="21" t="s">
        <v>42</v>
      </c>
      <c r="E122" s="26"/>
      <c r="F122" s="22">
        <v>1</v>
      </c>
      <c r="G122" s="23" t="s">
        <v>20</v>
      </c>
      <c r="H122" s="22">
        <v>48</v>
      </c>
      <c r="I122" s="23" t="s">
        <v>42</v>
      </c>
      <c r="J122" s="24">
        <v>39000</v>
      </c>
      <c r="K122" s="21" t="s">
        <v>42</v>
      </c>
      <c r="L122" s="25">
        <v>0.125</v>
      </c>
      <c r="M122" s="25">
        <v>0.05</v>
      </c>
      <c r="N122" s="22"/>
      <c r="O122" s="23" t="s">
        <v>42</v>
      </c>
      <c r="P122" s="20">
        <f t="shared" si="16"/>
        <v>0</v>
      </c>
      <c r="Q122" s="23" t="s">
        <v>42</v>
      </c>
      <c r="R122" s="24">
        <f t="shared" si="17"/>
        <v>0</v>
      </c>
      <c r="S122" s="24">
        <f t="shared" si="13"/>
        <v>0</v>
      </c>
    </row>
    <row r="123" spans="1:19" s="19" customFormat="1">
      <c r="A123" s="18" t="s">
        <v>115</v>
      </c>
      <c r="B123" s="19" t="s">
        <v>18</v>
      </c>
      <c r="C123" s="20"/>
      <c r="D123" s="21" t="s">
        <v>42</v>
      </c>
      <c r="E123" s="26"/>
      <c r="F123" s="22">
        <v>1</v>
      </c>
      <c r="G123" s="23" t="s">
        <v>20</v>
      </c>
      <c r="H123" s="22">
        <v>48</v>
      </c>
      <c r="I123" s="23" t="s">
        <v>42</v>
      </c>
      <c r="J123" s="24">
        <v>54600</v>
      </c>
      <c r="K123" s="21" t="s">
        <v>42</v>
      </c>
      <c r="L123" s="25">
        <v>0.125</v>
      </c>
      <c r="M123" s="25">
        <v>0.05</v>
      </c>
      <c r="N123" s="22"/>
      <c r="O123" s="23" t="s">
        <v>42</v>
      </c>
      <c r="P123" s="20">
        <f t="shared" si="16"/>
        <v>0</v>
      </c>
      <c r="Q123" s="23" t="s">
        <v>42</v>
      </c>
      <c r="R123" s="24">
        <f t="shared" si="17"/>
        <v>0</v>
      </c>
      <c r="S123" s="24">
        <f t="shared" si="13"/>
        <v>0</v>
      </c>
    </row>
    <row r="124" spans="1:19" s="19" customFormat="1">
      <c r="A124" s="18" t="s">
        <v>116</v>
      </c>
      <c r="B124" s="19" t="s">
        <v>18</v>
      </c>
      <c r="C124" s="20"/>
      <c r="D124" s="21" t="s">
        <v>42</v>
      </c>
      <c r="E124" s="26"/>
      <c r="F124" s="22">
        <v>1</v>
      </c>
      <c r="G124" s="23" t="s">
        <v>20</v>
      </c>
      <c r="H124" s="22">
        <v>48</v>
      </c>
      <c r="I124" s="23" t="s">
        <v>42</v>
      </c>
      <c r="J124" s="24">
        <v>30000</v>
      </c>
      <c r="K124" s="21" t="s">
        <v>42</v>
      </c>
      <c r="L124" s="25">
        <v>0.125</v>
      </c>
      <c r="M124" s="25">
        <v>0.05</v>
      </c>
      <c r="N124" s="22"/>
      <c r="O124" s="23" t="s">
        <v>42</v>
      </c>
      <c r="P124" s="20">
        <f t="shared" si="16"/>
        <v>0</v>
      </c>
      <c r="Q124" s="23" t="s">
        <v>42</v>
      </c>
      <c r="R124" s="24">
        <f t="shared" si="17"/>
        <v>0</v>
      </c>
      <c r="S124" s="24">
        <f t="shared" si="13"/>
        <v>0</v>
      </c>
    </row>
    <row r="125" spans="1:19" s="19" customFormat="1">
      <c r="A125" s="18" t="s">
        <v>701</v>
      </c>
      <c r="B125" s="19" t="s">
        <v>18</v>
      </c>
      <c r="C125" s="20"/>
      <c r="D125" s="21" t="s">
        <v>42</v>
      </c>
      <c r="E125" s="26"/>
      <c r="F125" s="22">
        <v>1</v>
      </c>
      <c r="G125" s="23" t="s">
        <v>20</v>
      </c>
      <c r="H125" s="22">
        <v>48</v>
      </c>
      <c r="I125" s="23" t="s">
        <v>42</v>
      </c>
      <c r="J125" s="24">
        <v>48000</v>
      </c>
      <c r="K125" s="21" t="s">
        <v>42</v>
      </c>
      <c r="L125" s="25">
        <v>0.125</v>
      </c>
      <c r="M125" s="25">
        <v>0.05</v>
      </c>
      <c r="N125" s="22"/>
      <c r="O125" s="23" t="s">
        <v>42</v>
      </c>
      <c r="P125" s="20">
        <f t="shared" si="16"/>
        <v>0</v>
      </c>
      <c r="Q125" s="23" t="s">
        <v>42</v>
      </c>
      <c r="R125" s="24">
        <f t="shared" si="17"/>
        <v>0</v>
      </c>
      <c r="S125" s="24">
        <f t="shared" si="13"/>
        <v>0</v>
      </c>
    </row>
    <row r="126" spans="1:19" s="19" customFormat="1">
      <c r="A126" s="18" t="s">
        <v>117</v>
      </c>
      <c r="B126" s="19" t="s">
        <v>18</v>
      </c>
      <c r="C126" s="20"/>
      <c r="D126" s="21" t="s">
        <v>42</v>
      </c>
      <c r="E126" s="26"/>
      <c r="F126" s="22">
        <v>1</v>
      </c>
      <c r="G126" s="23" t="s">
        <v>20</v>
      </c>
      <c r="H126" s="22">
        <v>36</v>
      </c>
      <c r="I126" s="23" t="s">
        <v>42</v>
      </c>
      <c r="J126" s="24">
        <v>41400</v>
      </c>
      <c r="K126" s="21" t="s">
        <v>42</v>
      </c>
      <c r="L126" s="25">
        <v>0.125</v>
      </c>
      <c r="M126" s="25">
        <v>0.05</v>
      </c>
      <c r="N126" s="22"/>
      <c r="O126" s="23" t="s">
        <v>42</v>
      </c>
      <c r="P126" s="20">
        <f t="shared" si="16"/>
        <v>0</v>
      </c>
      <c r="Q126" s="23" t="s">
        <v>42</v>
      </c>
      <c r="R126" s="24">
        <f t="shared" si="17"/>
        <v>0</v>
      </c>
      <c r="S126" s="24">
        <f t="shared" si="13"/>
        <v>0</v>
      </c>
    </row>
    <row r="127" spans="1:19" s="19" customFormat="1">
      <c r="A127" s="18" t="s">
        <v>118</v>
      </c>
      <c r="B127" s="19" t="s">
        <v>18</v>
      </c>
      <c r="C127" s="20"/>
      <c r="D127" s="21" t="s">
        <v>42</v>
      </c>
      <c r="E127" s="26"/>
      <c r="F127" s="22">
        <v>1</v>
      </c>
      <c r="G127" s="23" t="s">
        <v>20</v>
      </c>
      <c r="H127" s="22">
        <v>36</v>
      </c>
      <c r="I127" s="23" t="s">
        <v>42</v>
      </c>
      <c r="J127" s="24">
        <v>41400</v>
      </c>
      <c r="K127" s="21" t="s">
        <v>42</v>
      </c>
      <c r="L127" s="25">
        <v>0.125</v>
      </c>
      <c r="M127" s="25">
        <v>0.05</v>
      </c>
      <c r="N127" s="22"/>
      <c r="O127" s="23" t="s">
        <v>42</v>
      </c>
      <c r="P127" s="20">
        <f t="shared" si="16"/>
        <v>0</v>
      </c>
      <c r="Q127" s="23" t="s">
        <v>42</v>
      </c>
      <c r="R127" s="24">
        <f t="shared" si="17"/>
        <v>0</v>
      </c>
      <c r="S127" s="24">
        <f t="shared" si="13"/>
        <v>0</v>
      </c>
    </row>
    <row r="128" spans="1:19" s="19" customFormat="1">
      <c r="A128" s="18" t="s">
        <v>119</v>
      </c>
      <c r="B128" s="19" t="s">
        <v>18</v>
      </c>
      <c r="C128" s="20"/>
      <c r="D128" s="21" t="s">
        <v>42</v>
      </c>
      <c r="E128" s="26"/>
      <c r="F128" s="22">
        <v>24</v>
      </c>
      <c r="G128" s="23" t="s">
        <v>33</v>
      </c>
      <c r="H128" s="22">
        <v>2</v>
      </c>
      <c r="I128" s="23" t="s">
        <v>42</v>
      </c>
      <c r="J128" s="24">
        <f>70800/2</f>
        <v>35400</v>
      </c>
      <c r="K128" s="21" t="s">
        <v>42</v>
      </c>
      <c r="L128" s="25">
        <v>0.125</v>
      </c>
      <c r="M128" s="25">
        <v>0.05</v>
      </c>
      <c r="N128" s="22"/>
      <c r="O128" s="23" t="s">
        <v>42</v>
      </c>
      <c r="P128" s="20">
        <f t="shared" si="16"/>
        <v>0</v>
      </c>
      <c r="Q128" s="23" t="s">
        <v>42</v>
      </c>
      <c r="R128" s="24">
        <f t="shared" si="17"/>
        <v>0</v>
      </c>
      <c r="S128" s="24">
        <f t="shared" si="13"/>
        <v>0</v>
      </c>
    </row>
    <row r="129" spans="1:19" s="19" customFormat="1">
      <c r="A129" s="18" t="s">
        <v>120</v>
      </c>
      <c r="B129" s="19" t="s">
        <v>18</v>
      </c>
      <c r="C129" s="20"/>
      <c r="D129" s="21" t="s">
        <v>42</v>
      </c>
      <c r="E129" s="26"/>
      <c r="F129" s="22">
        <v>24</v>
      </c>
      <c r="G129" s="23" t="s">
        <v>33</v>
      </c>
      <c r="H129" s="22">
        <v>2</v>
      </c>
      <c r="I129" s="23" t="s">
        <v>42</v>
      </c>
      <c r="J129" s="24">
        <f>70800/2</f>
        <v>35400</v>
      </c>
      <c r="K129" s="21" t="s">
        <v>42</v>
      </c>
      <c r="L129" s="25">
        <v>0.125</v>
      </c>
      <c r="M129" s="25">
        <v>0.05</v>
      </c>
      <c r="N129" s="22"/>
      <c r="O129" s="23" t="s">
        <v>42</v>
      </c>
      <c r="P129" s="20">
        <f t="shared" si="16"/>
        <v>0</v>
      </c>
      <c r="Q129" s="23" t="s">
        <v>42</v>
      </c>
      <c r="R129" s="24">
        <f t="shared" si="17"/>
        <v>0</v>
      </c>
      <c r="S129" s="24">
        <f t="shared" si="13"/>
        <v>0</v>
      </c>
    </row>
    <row r="130" spans="1:19" s="19" customFormat="1">
      <c r="A130" s="18" t="s">
        <v>121</v>
      </c>
      <c r="B130" s="19" t="s">
        <v>18</v>
      </c>
      <c r="C130" s="20"/>
      <c r="D130" s="21" t="s">
        <v>42</v>
      </c>
      <c r="E130" s="26"/>
      <c r="F130" s="22">
        <v>1</v>
      </c>
      <c r="G130" s="23" t="s">
        <v>20</v>
      </c>
      <c r="H130" s="22">
        <v>36</v>
      </c>
      <c r="I130" s="23" t="s">
        <v>42</v>
      </c>
      <c r="J130" s="24">
        <v>34200</v>
      </c>
      <c r="K130" s="21" t="s">
        <v>42</v>
      </c>
      <c r="L130" s="25">
        <v>0.125</v>
      </c>
      <c r="M130" s="25">
        <v>0.05</v>
      </c>
      <c r="N130" s="22"/>
      <c r="O130" s="23" t="s">
        <v>42</v>
      </c>
      <c r="P130" s="20">
        <f t="shared" si="16"/>
        <v>0</v>
      </c>
      <c r="Q130" s="23" t="s">
        <v>42</v>
      </c>
      <c r="R130" s="24">
        <f t="shared" si="17"/>
        <v>0</v>
      </c>
      <c r="S130" s="24">
        <f t="shared" si="13"/>
        <v>0</v>
      </c>
    </row>
    <row r="131" spans="1:19" s="19" customFormat="1">
      <c r="A131" s="18" t="s">
        <v>122</v>
      </c>
      <c r="B131" s="19" t="s">
        <v>18</v>
      </c>
      <c r="C131" s="20"/>
      <c r="D131" s="21" t="s">
        <v>42</v>
      </c>
      <c r="E131" s="26"/>
      <c r="F131" s="22">
        <v>24</v>
      </c>
      <c r="G131" s="23" t="s">
        <v>33</v>
      </c>
      <c r="H131" s="22">
        <v>2</v>
      </c>
      <c r="I131" s="23" t="s">
        <v>42</v>
      </c>
      <c r="J131" s="24">
        <f>46800/2</f>
        <v>23400</v>
      </c>
      <c r="K131" s="21" t="s">
        <v>42</v>
      </c>
      <c r="L131" s="25">
        <v>0.125</v>
      </c>
      <c r="M131" s="25">
        <v>0.05</v>
      </c>
      <c r="N131" s="22"/>
      <c r="O131" s="23" t="s">
        <v>42</v>
      </c>
      <c r="P131" s="20">
        <f t="shared" si="16"/>
        <v>0</v>
      </c>
      <c r="Q131" s="23" t="s">
        <v>42</v>
      </c>
      <c r="R131" s="24">
        <f t="shared" si="17"/>
        <v>0</v>
      </c>
      <c r="S131" s="24">
        <f t="shared" si="13"/>
        <v>0</v>
      </c>
    </row>
    <row r="132" spans="1:19" s="19" customFormat="1">
      <c r="A132" s="18" t="s">
        <v>123</v>
      </c>
      <c r="B132" s="19" t="s">
        <v>18</v>
      </c>
      <c r="C132" s="20"/>
      <c r="D132" s="21" t="s">
        <v>42</v>
      </c>
      <c r="E132" s="26"/>
      <c r="F132" s="22">
        <v>60</v>
      </c>
      <c r="G132" s="23" t="s">
        <v>33</v>
      </c>
      <c r="H132" s="22">
        <v>1</v>
      </c>
      <c r="I132" s="23" t="s">
        <v>42</v>
      </c>
      <c r="J132" s="24">
        <v>43200</v>
      </c>
      <c r="K132" s="21" t="s">
        <v>42</v>
      </c>
      <c r="L132" s="25">
        <v>0.125</v>
      </c>
      <c r="M132" s="25">
        <v>0.05</v>
      </c>
      <c r="N132" s="22"/>
      <c r="O132" s="23" t="s">
        <v>42</v>
      </c>
      <c r="P132" s="20">
        <f t="shared" si="16"/>
        <v>0</v>
      </c>
      <c r="Q132" s="23" t="s">
        <v>42</v>
      </c>
      <c r="R132" s="24">
        <f t="shared" si="17"/>
        <v>0</v>
      </c>
      <c r="S132" s="24">
        <f t="shared" si="13"/>
        <v>0</v>
      </c>
    </row>
    <row r="133" spans="1:19" s="19" customFormat="1">
      <c r="A133" s="18" t="s">
        <v>695</v>
      </c>
      <c r="B133" s="19" t="s">
        <v>18</v>
      </c>
      <c r="C133" s="20"/>
      <c r="D133" s="21" t="s">
        <v>42</v>
      </c>
      <c r="E133" s="26"/>
      <c r="F133" s="22">
        <v>120</v>
      </c>
      <c r="G133" s="23" t="s">
        <v>33</v>
      </c>
      <c r="H133" s="22">
        <v>1</v>
      </c>
      <c r="I133" s="23" t="s">
        <v>42</v>
      </c>
      <c r="J133" s="24">
        <v>17400</v>
      </c>
      <c r="K133" s="21" t="s">
        <v>42</v>
      </c>
      <c r="L133" s="25">
        <v>0.125</v>
      </c>
      <c r="M133" s="25">
        <v>0.05</v>
      </c>
      <c r="N133" s="22"/>
      <c r="O133" s="23" t="s">
        <v>42</v>
      </c>
      <c r="P133" s="20">
        <f t="shared" si="16"/>
        <v>0</v>
      </c>
      <c r="Q133" s="23" t="s">
        <v>42</v>
      </c>
      <c r="R133" s="24">
        <f t="shared" si="17"/>
        <v>0</v>
      </c>
      <c r="S133" s="24">
        <f t="shared" si="13"/>
        <v>0</v>
      </c>
    </row>
    <row r="134" spans="1:19" s="19" customFormat="1">
      <c r="A134" s="18"/>
      <c r="C134" s="20"/>
      <c r="D134" s="21"/>
      <c r="E134" s="26"/>
      <c r="F134" s="22"/>
      <c r="G134" s="23"/>
      <c r="H134" s="22"/>
      <c r="I134" s="23"/>
      <c r="J134" s="24"/>
      <c r="K134" s="21"/>
      <c r="L134" s="25"/>
      <c r="M134" s="25"/>
      <c r="N134" s="22"/>
      <c r="O134" s="23"/>
      <c r="P134" s="20"/>
      <c r="Q134" s="23"/>
      <c r="R134" s="24"/>
      <c r="S134" s="24"/>
    </row>
    <row r="135" spans="1:19" s="19" customFormat="1">
      <c r="A135" s="18" t="s">
        <v>124</v>
      </c>
      <c r="B135" s="19" t="s">
        <v>25</v>
      </c>
      <c r="C135" s="20"/>
      <c r="D135" s="21" t="s">
        <v>42</v>
      </c>
      <c r="E135" s="26"/>
      <c r="F135" s="22">
        <v>1</v>
      </c>
      <c r="G135" s="23" t="s">
        <v>20</v>
      </c>
      <c r="H135" s="22">
        <v>36</v>
      </c>
      <c r="I135" s="23" t="s">
        <v>42</v>
      </c>
      <c r="J135" s="24">
        <f>1954800/36</f>
        <v>54300</v>
      </c>
      <c r="K135" s="21" t="s">
        <v>42</v>
      </c>
      <c r="L135" s="25"/>
      <c r="M135" s="25">
        <v>0.17</v>
      </c>
      <c r="N135" s="22"/>
      <c r="O135" s="23" t="s">
        <v>42</v>
      </c>
      <c r="P135" s="20">
        <f t="shared" ref="P135:P142" si="18">(C135+(E135*F135*H135))-N135</f>
        <v>0</v>
      </c>
      <c r="Q135" s="23" t="s">
        <v>42</v>
      </c>
      <c r="R135" s="24">
        <f t="shared" ref="R135:R142" si="19">P135*(J135-(J135*L135)-((J135-(J135*L135))*M135))</f>
        <v>0</v>
      </c>
      <c r="S135" s="24">
        <f t="shared" si="13"/>
        <v>0</v>
      </c>
    </row>
    <row r="136" spans="1:19" s="19" customFormat="1">
      <c r="A136" s="18" t="s">
        <v>125</v>
      </c>
      <c r="B136" s="19" t="s">
        <v>25</v>
      </c>
      <c r="C136" s="20"/>
      <c r="D136" s="21" t="s">
        <v>42</v>
      </c>
      <c r="E136" s="26"/>
      <c r="F136" s="22">
        <v>1</v>
      </c>
      <c r="G136" s="23" t="s">
        <v>20</v>
      </c>
      <c r="H136" s="22">
        <v>36</v>
      </c>
      <c r="I136" s="23" t="s">
        <v>42</v>
      </c>
      <c r="J136" s="24">
        <f>1954800/36</f>
        <v>54300</v>
      </c>
      <c r="K136" s="21" t="s">
        <v>42</v>
      </c>
      <c r="L136" s="25"/>
      <c r="M136" s="25">
        <v>0.17</v>
      </c>
      <c r="N136" s="22"/>
      <c r="O136" s="23" t="s">
        <v>42</v>
      </c>
      <c r="P136" s="20">
        <f t="shared" si="18"/>
        <v>0</v>
      </c>
      <c r="Q136" s="23" t="s">
        <v>42</v>
      </c>
      <c r="R136" s="24">
        <f t="shared" si="19"/>
        <v>0</v>
      </c>
      <c r="S136" s="24">
        <f t="shared" si="13"/>
        <v>0</v>
      </c>
    </row>
    <row r="137" spans="1:19" s="19" customFormat="1">
      <c r="A137" s="18" t="s">
        <v>126</v>
      </c>
      <c r="B137" s="19" t="s">
        <v>25</v>
      </c>
      <c r="C137" s="20"/>
      <c r="D137" s="21" t="s">
        <v>42</v>
      </c>
      <c r="E137" s="26"/>
      <c r="F137" s="22">
        <v>1</v>
      </c>
      <c r="G137" s="23" t="s">
        <v>20</v>
      </c>
      <c r="H137" s="22">
        <v>36</v>
      </c>
      <c r="I137" s="23" t="s">
        <v>42</v>
      </c>
      <c r="J137" s="24">
        <f>1954800/36</f>
        <v>54300</v>
      </c>
      <c r="K137" s="21" t="s">
        <v>42</v>
      </c>
      <c r="L137" s="25"/>
      <c r="M137" s="25">
        <v>0.17</v>
      </c>
      <c r="N137" s="22"/>
      <c r="O137" s="23" t="s">
        <v>42</v>
      </c>
      <c r="P137" s="20">
        <f t="shared" si="18"/>
        <v>0</v>
      </c>
      <c r="Q137" s="23" t="s">
        <v>42</v>
      </c>
      <c r="R137" s="24">
        <f t="shared" si="19"/>
        <v>0</v>
      </c>
      <c r="S137" s="24">
        <f t="shared" si="13"/>
        <v>0</v>
      </c>
    </row>
    <row r="138" spans="1:19" s="19" customFormat="1">
      <c r="A138" s="18" t="s">
        <v>127</v>
      </c>
      <c r="B138" s="19" t="s">
        <v>25</v>
      </c>
      <c r="C138" s="20"/>
      <c r="D138" s="21" t="s">
        <v>42</v>
      </c>
      <c r="E138" s="26"/>
      <c r="F138" s="22">
        <v>1</v>
      </c>
      <c r="G138" s="23" t="s">
        <v>20</v>
      </c>
      <c r="H138" s="22">
        <v>36</v>
      </c>
      <c r="I138" s="23" t="s">
        <v>42</v>
      </c>
      <c r="J138" s="24">
        <f>2008800/36</f>
        <v>55800</v>
      </c>
      <c r="K138" s="21" t="s">
        <v>42</v>
      </c>
      <c r="L138" s="25"/>
      <c r="M138" s="25">
        <v>0.17</v>
      </c>
      <c r="N138" s="22"/>
      <c r="O138" s="23" t="s">
        <v>42</v>
      </c>
      <c r="P138" s="20">
        <f t="shared" si="18"/>
        <v>0</v>
      </c>
      <c r="Q138" s="23" t="s">
        <v>42</v>
      </c>
      <c r="R138" s="24">
        <f t="shared" si="19"/>
        <v>0</v>
      </c>
      <c r="S138" s="24">
        <f t="shared" si="13"/>
        <v>0</v>
      </c>
    </row>
    <row r="139" spans="1:19" s="19" customFormat="1">
      <c r="A139" s="18" t="s">
        <v>128</v>
      </c>
      <c r="B139" s="19" t="s">
        <v>25</v>
      </c>
      <c r="C139" s="20"/>
      <c r="D139" s="21" t="s">
        <v>42</v>
      </c>
      <c r="E139" s="26"/>
      <c r="F139" s="22">
        <v>1</v>
      </c>
      <c r="G139" s="23" t="s">
        <v>20</v>
      </c>
      <c r="H139" s="22">
        <v>36</v>
      </c>
      <c r="I139" s="23" t="s">
        <v>42</v>
      </c>
      <c r="J139" s="24">
        <f>1695600/36</f>
        <v>47100</v>
      </c>
      <c r="K139" s="21" t="s">
        <v>42</v>
      </c>
      <c r="L139" s="25"/>
      <c r="M139" s="25">
        <v>0.17</v>
      </c>
      <c r="N139" s="22"/>
      <c r="O139" s="23" t="s">
        <v>42</v>
      </c>
      <c r="P139" s="20">
        <f t="shared" si="18"/>
        <v>0</v>
      </c>
      <c r="Q139" s="23" t="s">
        <v>42</v>
      </c>
      <c r="R139" s="24">
        <f t="shared" si="19"/>
        <v>0</v>
      </c>
      <c r="S139" s="24">
        <f t="shared" si="13"/>
        <v>0</v>
      </c>
    </row>
    <row r="140" spans="1:19" s="19" customFormat="1">
      <c r="A140" s="18" t="s">
        <v>129</v>
      </c>
      <c r="B140" s="19" t="s">
        <v>25</v>
      </c>
      <c r="C140" s="20"/>
      <c r="D140" s="21" t="s">
        <v>42</v>
      </c>
      <c r="E140" s="26"/>
      <c r="F140" s="22">
        <v>1</v>
      </c>
      <c r="G140" s="23" t="s">
        <v>20</v>
      </c>
      <c r="H140" s="22">
        <v>36</v>
      </c>
      <c r="I140" s="23" t="s">
        <v>42</v>
      </c>
      <c r="J140" s="24">
        <f>1922400/36</f>
        <v>53400</v>
      </c>
      <c r="K140" s="21" t="s">
        <v>42</v>
      </c>
      <c r="L140" s="25"/>
      <c r="M140" s="25">
        <v>0.17</v>
      </c>
      <c r="N140" s="22"/>
      <c r="O140" s="23" t="s">
        <v>42</v>
      </c>
      <c r="P140" s="20">
        <f t="shared" si="18"/>
        <v>0</v>
      </c>
      <c r="Q140" s="23" t="s">
        <v>42</v>
      </c>
      <c r="R140" s="24">
        <f t="shared" si="19"/>
        <v>0</v>
      </c>
      <c r="S140" s="24">
        <f t="shared" si="13"/>
        <v>0</v>
      </c>
    </row>
    <row r="141" spans="1:19" s="19" customFormat="1">
      <c r="A141" s="18" t="s">
        <v>130</v>
      </c>
      <c r="B141" s="19" t="s">
        <v>25</v>
      </c>
      <c r="C141" s="20"/>
      <c r="D141" s="21" t="s">
        <v>42</v>
      </c>
      <c r="E141" s="26"/>
      <c r="F141" s="22">
        <v>1</v>
      </c>
      <c r="G141" s="23" t="s">
        <v>20</v>
      </c>
      <c r="H141" s="22">
        <v>36</v>
      </c>
      <c r="I141" s="23" t="s">
        <v>42</v>
      </c>
      <c r="J141" s="24">
        <f>2052000/36</f>
        <v>57000</v>
      </c>
      <c r="K141" s="21" t="s">
        <v>42</v>
      </c>
      <c r="L141" s="25"/>
      <c r="M141" s="25">
        <v>0.17</v>
      </c>
      <c r="N141" s="22"/>
      <c r="O141" s="23" t="s">
        <v>42</v>
      </c>
      <c r="P141" s="20">
        <f t="shared" si="18"/>
        <v>0</v>
      </c>
      <c r="Q141" s="23" t="s">
        <v>42</v>
      </c>
      <c r="R141" s="24">
        <f t="shared" si="19"/>
        <v>0</v>
      </c>
      <c r="S141" s="24">
        <f t="shared" si="13"/>
        <v>0</v>
      </c>
    </row>
    <row r="142" spans="1:19" s="19" customFormat="1">
      <c r="A142" s="18" t="s">
        <v>131</v>
      </c>
      <c r="B142" s="19" t="s">
        <v>25</v>
      </c>
      <c r="C142" s="20"/>
      <c r="D142" s="21" t="s">
        <v>42</v>
      </c>
      <c r="E142" s="26"/>
      <c r="F142" s="22">
        <v>1</v>
      </c>
      <c r="G142" s="23" t="s">
        <v>20</v>
      </c>
      <c r="H142" s="22">
        <v>36</v>
      </c>
      <c r="I142" s="23" t="s">
        <v>42</v>
      </c>
      <c r="J142" s="24">
        <f>2170800/36</f>
        <v>60300</v>
      </c>
      <c r="K142" s="21" t="s">
        <v>42</v>
      </c>
      <c r="L142" s="25"/>
      <c r="M142" s="25">
        <v>0.17</v>
      </c>
      <c r="N142" s="22"/>
      <c r="O142" s="23" t="s">
        <v>42</v>
      </c>
      <c r="P142" s="20">
        <f t="shared" si="18"/>
        <v>0</v>
      </c>
      <c r="Q142" s="23" t="s">
        <v>42</v>
      </c>
      <c r="R142" s="24">
        <f t="shared" si="19"/>
        <v>0</v>
      </c>
      <c r="S142" s="24">
        <f t="shared" si="13"/>
        <v>0</v>
      </c>
    </row>
    <row r="143" spans="1:19" s="19" customFormat="1">
      <c r="A143" s="18"/>
      <c r="C143" s="20"/>
      <c r="D143" s="21"/>
      <c r="E143" s="26"/>
      <c r="F143" s="22"/>
      <c r="G143" s="23"/>
      <c r="H143" s="22"/>
      <c r="I143" s="23"/>
      <c r="J143" s="24"/>
      <c r="K143" s="21"/>
      <c r="L143" s="25"/>
      <c r="M143" s="25"/>
      <c r="N143" s="22"/>
      <c r="O143" s="23"/>
      <c r="P143" s="20"/>
      <c r="Q143" s="23"/>
      <c r="R143" s="24"/>
      <c r="S143" s="24"/>
    </row>
    <row r="144" spans="1:19" s="19" customFormat="1">
      <c r="A144" s="88" t="s">
        <v>132</v>
      </c>
      <c r="C144" s="20"/>
      <c r="D144" s="21"/>
      <c r="E144" s="26"/>
      <c r="F144" s="22"/>
      <c r="G144" s="23"/>
      <c r="H144" s="22"/>
      <c r="I144" s="23"/>
      <c r="J144" s="24"/>
      <c r="K144" s="21"/>
      <c r="L144" s="25"/>
      <c r="M144" s="25"/>
      <c r="N144" s="22"/>
      <c r="O144" s="23"/>
      <c r="P144" s="20"/>
      <c r="Q144" s="23"/>
      <c r="R144" s="24"/>
      <c r="S144" s="24"/>
    </row>
    <row r="145" spans="1:19" s="19" customFormat="1">
      <c r="A145" s="18" t="s">
        <v>133</v>
      </c>
      <c r="B145" s="19" t="s">
        <v>18</v>
      </c>
      <c r="C145" s="20"/>
      <c r="D145" s="21" t="s">
        <v>42</v>
      </c>
      <c r="E145" s="26"/>
      <c r="F145" s="22">
        <v>60</v>
      </c>
      <c r="G145" s="23" t="s">
        <v>33</v>
      </c>
      <c r="H145" s="22">
        <v>1</v>
      </c>
      <c r="I145" s="23" t="s">
        <v>42</v>
      </c>
      <c r="J145" s="24">
        <f>4600*12</f>
        <v>55200</v>
      </c>
      <c r="K145" s="21" t="s">
        <v>42</v>
      </c>
      <c r="L145" s="25">
        <v>0.125</v>
      </c>
      <c r="M145" s="25">
        <v>0.05</v>
      </c>
      <c r="N145" s="22"/>
      <c r="O145" s="23" t="s">
        <v>42</v>
      </c>
      <c r="P145" s="20">
        <f t="shared" ref="P145:P156" si="20">(C145+(E145*F145*H145))-N145</f>
        <v>0</v>
      </c>
      <c r="Q145" s="23" t="s">
        <v>42</v>
      </c>
      <c r="R145" s="24">
        <f t="shared" ref="R145:R156" si="21">P145*(J145-(J145*L145)-((J145-(J145*L145))*M145))</f>
        <v>0</v>
      </c>
      <c r="S145" s="24">
        <f t="shared" si="13"/>
        <v>0</v>
      </c>
    </row>
    <row r="146" spans="1:19" s="19" customFormat="1">
      <c r="A146" s="18" t="s">
        <v>134</v>
      </c>
      <c r="B146" s="19" t="s">
        <v>18</v>
      </c>
      <c r="C146" s="20"/>
      <c r="D146" s="21" t="s">
        <v>42</v>
      </c>
      <c r="E146" s="26"/>
      <c r="F146" s="22">
        <v>60</v>
      </c>
      <c r="G146" s="23" t="s">
        <v>33</v>
      </c>
      <c r="H146" s="22">
        <v>1</v>
      </c>
      <c r="I146" s="23" t="s">
        <v>42</v>
      </c>
      <c r="J146" s="24">
        <f>4500*12</f>
        <v>54000</v>
      </c>
      <c r="K146" s="21" t="s">
        <v>42</v>
      </c>
      <c r="L146" s="25">
        <v>0.125</v>
      </c>
      <c r="M146" s="25">
        <v>0.05</v>
      </c>
      <c r="N146" s="22"/>
      <c r="O146" s="23" t="s">
        <v>42</v>
      </c>
      <c r="P146" s="20">
        <f t="shared" si="20"/>
        <v>0</v>
      </c>
      <c r="Q146" s="23" t="s">
        <v>42</v>
      </c>
      <c r="R146" s="24">
        <f t="shared" si="21"/>
        <v>0</v>
      </c>
      <c r="S146" s="24">
        <f t="shared" si="13"/>
        <v>0</v>
      </c>
    </row>
    <row r="147" spans="1:19" s="19" customFormat="1">
      <c r="A147" s="18" t="s">
        <v>702</v>
      </c>
      <c r="B147" s="19" t="s">
        <v>18</v>
      </c>
      <c r="C147" s="20"/>
      <c r="D147" s="21" t="s">
        <v>42</v>
      </c>
      <c r="E147" s="26"/>
      <c r="F147" s="22">
        <v>60</v>
      </c>
      <c r="G147" s="23" t="s">
        <v>33</v>
      </c>
      <c r="H147" s="22">
        <v>1</v>
      </c>
      <c r="I147" s="23" t="s">
        <v>42</v>
      </c>
      <c r="J147" s="24">
        <f>4500*12</f>
        <v>54000</v>
      </c>
      <c r="K147" s="21" t="s">
        <v>42</v>
      </c>
      <c r="L147" s="25">
        <v>0.125</v>
      </c>
      <c r="M147" s="25">
        <v>0.05</v>
      </c>
      <c r="N147" s="22"/>
      <c r="O147" s="23" t="s">
        <v>42</v>
      </c>
      <c r="P147" s="20">
        <f t="shared" si="20"/>
        <v>0</v>
      </c>
      <c r="Q147" s="23" t="s">
        <v>42</v>
      </c>
      <c r="R147" s="24">
        <f t="shared" si="21"/>
        <v>0</v>
      </c>
      <c r="S147" s="24">
        <f t="shared" si="13"/>
        <v>0</v>
      </c>
    </row>
    <row r="148" spans="1:19" s="19" customFormat="1">
      <c r="A148" s="18" t="s">
        <v>135</v>
      </c>
      <c r="B148" s="19" t="s">
        <v>18</v>
      </c>
      <c r="C148" s="20"/>
      <c r="D148" s="21" t="s">
        <v>42</v>
      </c>
      <c r="E148" s="26"/>
      <c r="F148" s="22">
        <v>30</v>
      </c>
      <c r="G148" s="23" t="s">
        <v>33</v>
      </c>
      <c r="H148" s="22">
        <v>1</v>
      </c>
      <c r="I148" s="23" t="s">
        <v>42</v>
      </c>
      <c r="J148" s="24">
        <f>5500*12</f>
        <v>66000</v>
      </c>
      <c r="K148" s="21" t="s">
        <v>42</v>
      </c>
      <c r="L148" s="25">
        <v>0.125</v>
      </c>
      <c r="M148" s="25">
        <v>0.05</v>
      </c>
      <c r="N148" s="22"/>
      <c r="O148" s="23" t="s">
        <v>42</v>
      </c>
      <c r="P148" s="20">
        <f t="shared" si="20"/>
        <v>0</v>
      </c>
      <c r="Q148" s="23" t="s">
        <v>42</v>
      </c>
      <c r="R148" s="24">
        <f t="shared" si="21"/>
        <v>0</v>
      </c>
      <c r="S148" s="24">
        <f t="shared" si="13"/>
        <v>0</v>
      </c>
    </row>
    <row r="149" spans="1:19" s="19" customFormat="1">
      <c r="A149" s="18" t="s">
        <v>750</v>
      </c>
      <c r="B149" s="19" t="s">
        <v>18</v>
      </c>
      <c r="C149" s="20"/>
      <c r="D149" s="21" t="s">
        <v>42</v>
      </c>
      <c r="E149" s="26"/>
      <c r="F149" s="22">
        <v>30</v>
      </c>
      <c r="G149" s="23" t="s">
        <v>33</v>
      </c>
      <c r="H149" s="22">
        <v>1</v>
      </c>
      <c r="I149" s="23" t="s">
        <v>42</v>
      </c>
      <c r="J149" s="24">
        <f>10500*12</f>
        <v>126000</v>
      </c>
      <c r="K149" s="21" t="s">
        <v>42</v>
      </c>
      <c r="L149" s="25">
        <v>0.125</v>
      </c>
      <c r="M149" s="25">
        <v>0.05</v>
      </c>
      <c r="N149" s="22"/>
      <c r="O149" s="23" t="s">
        <v>42</v>
      </c>
      <c r="P149" s="20">
        <f t="shared" si="20"/>
        <v>0</v>
      </c>
      <c r="Q149" s="23" t="s">
        <v>42</v>
      </c>
      <c r="R149" s="24">
        <f t="shared" si="21"/>
        <v>0</v>
      </c>
      <c r="S149" s="24">
        <f t="shared" si="13"/>
        <v>0</v>
      </c>
    </row>
    <row r="150" spans="1:19" s="19" customFormat="1">
      <c r="A150" s="18" t="s">
        <v>136</v>
      </c>
      <c r="B150" s="19" t="s">
        <v>18</v>
      </c>
      <c r="C150" s="20"/>
      <c r="D150" s="21" t="s">
        <v>42</v>
      </c>
      <c r="E150" s="26"/>
      <c r="F150" s="22">
        <v>60</v>
      </c>
      <c r="G150" s="23" t="s">
        <v>33</v>
      </c>
      <c r="H150" s="22">
        <v>1</v>
      </c>
      <c r="I150" s="23" t="s">
        <v>42</v>
      </c>
      <c r="J150" s="24">
        <f>4800*12</f>
        <v>57600</v>
      </c>
      <c r="K150" s="21" t="s">
        <v>42</v>
      </c>
      <c r="L150" s="25">
        <v>0.125</v>
      </c>
      <c r="M150" s="25">
        <v>0.05</v>
      </c>
      <c r="N150" s="22"/>
      <c r="O150" s="23" t="s">
        <v>42</v>
      </c>
      <c r="P150" s="20">
        <f t="shared" si="20"/>
        <v>0</v>
      </c>
      <c r="Q150" s="23" t="s">
        <v>42</v>
      </c>
      <c r="R150" s="24">
        <f t="shared" si="21"/>
        <v>0</v>
      </c>
      <c r="S150" s="24">
        <f t="shared" si="13"/>
        <v>0</v>
      </c>
    </row>
    <row r="151" spans="1:19" s="19" customFormat="1">
      <c r="A151" s="18" t="s">
        <v>137</v>
      </c>
      <c r="B151" s="19" t="s">
        <v>18</v>
      </c>
      <c r="C151" s="20"/>
      <c r="D151" s="21" t="s">
        <v>42</v>
      </c>
      <c r="E151" s="26"/>
      <c r="F151" s="22">
        <v>60</v>
      </c>
      <c r="G151" s="23" t="s">
        <v>33</v>
      </c>
      <c r="H151" s="22">
        <v>1</v>
      </c>
      <c r="I151" s="23" t="s">
        <v>42</v>
      </c>
      <c r="J151" s="24">
        <f>5800*12</f>
        <v>69600</v>
      </c>
      <c r="K151" s="21" t="s">
        <v>42</v>
      </c>
      <c r="L151" s="25">
        <v>0.125</v>
      </c>
      <c r="M151" s="25">
        <v>0.05</v>
      </c>
      <c r="N151" s="22"/>
      <c r="O151" s="23" t="s">
        <v>42</v>
      </c>
      <c r="P151" s="20">
        <f t="shared" si="20"/>
        <v>0</v>
      </c>
      <c r="Q151" s="23" t="s">
        <v>42</v>
      </c>
      <c r="R151" s="24">
        <f t="shared" si="21"/>
        <v>0</v>
      </c>
      <c r="S151" s="24">
        <f t="shared" si="13"/>
        <v>0</v>
      </c>
    </row>
    <row r="152" spans="1:19" s="19" customFormat="1">
      <c r="A152" s="18" t="s">
        <v>138</v>
      </c>
      <c r="B152" s="19" t="s">
        <v>18</v>
      </c>
      <c r="C152" s="20"/>
      <c r="D152" s="21" t="s">
        <v>42</v>
      </c>
      <c r="E152" s="26"/>
      <c r="F152" s="22">
        <v>40</v>
      </c>
      <c r="G152" s="23" t="s">
        <v>33</v>
      </c>
      <c r="H152" s="22">
        <v>1</v>
      </c>
      <c r="I152" s="23" t="s">
        <v>42</v>
      </c>
      <c r="J152" s="24">
        <f>8500*12</f>
        <v>102000</v>
      </c>
      <c r="K152" s="21" t="s">
        <v>42</v>
      </c>
      <c r="L152" s="25">
        <v>0.125</v>
      </c>
      <c r="M152" s="25">
        <v>0.05</v>
      </c>
      <c r="N152" s="22"/>
      <c r="O152" s="23" t="s">
        <v>42</v>
      </c>
      <c r="P152" s="20">
        <f t="shared" si="20"/>
        <v>0</v>
      </c>
      <c r="Q152" s="23" t="s">
        <v>42</v>
      </c>
      <c r="R152" s="24">
        <f t="shared" si="21"/>
        <v>0</v>
      </c>
      <c r="S152" s="24">
        <f t="shared" si="13"/>
        <v>0</v>
      </c>
    </row>
    <row r="153" spans="1:19" s="19" customFormat="1">
      <c r="A153" s="18" t="s">
        <v>824</v>
      </c>
      <c r="B153" s="19" t="s">
        <v>18</v>
      </c>
      <c r="C153" s="20"/>
      <c r="D153" s="21" t="s">
        <v>42</v>
      </c>
      <c r="E153" s="26"/>
      <c r="F153" s="22">
        <v>60</v>
      </c>
      <c r="G153" s="23" t="s">
        <v>33</v>
      </c>
      <c r="H153" s="22">
        <v>1</v>
      </c>
      <c r="I153" s="23" t="s">
        <v>42</v>
      </c>
      <c r="J153" s="24">
        <f>5800*12</f>
        <v>69600</v>
      </c>
      <c r="K153" s="21" t="s">
        <v>42</v>
      </c>
      <c r="L153" s="25">
        <v>0.125</v>
      </c>
      <c r="M153" s="25">
        <v>0.05</v>
      </c>
      <c r="N153" s="22"/>
      <c r="O153" s="23" t="s">
        <v>42</v>
      </c>
      <c r="P153" s="20">
        <f t="shared" si="20"/>
        <v>0</v>
      </c>
      <c r="Q153" s="23" t="s">
        <v>42</v>
      </c>
      <c r="R153" s="24">
        <f t="shared" si="21"/>
        <v>0</v>
      </c>
      <c r="S153" s="24">
        <f t="shared" si="13"/>
        <v>0</v>
      </c>
    </row>
    <row r="154" spans="1:19" s="19" customFormat="1">
      <c r="A154" s="18" t="s">
        <v>139</v>
      </c>
      <c r="B154" s="19" t="s">
        <v>18</v>
      </c>
      <c r="C154" s="20"/>
      <c r="D154" s="21" t="s">
        <v>42</v>
      </c>
      <c r="E154" s="26"/>
      <c r="F154" s="22">
        <v>40</v>
      </c>
      <c r="G154" s="23" t="s">
        <v>33</v>
      </c>
      <c r="H154" s="22">
        <v>1</v>
      </c>
      <c r="I154" s="23" t="s">
        <v>42</v>
      </c>
      <c r="J154" s="24">
        <f>8800*12</f>
        <v>105600</v>
      </c>
      <c r="K154" s="21" t="s">
        <v>42</v>
      </c>
      <c r="L154" s="25">
        <v>0.125</v>
      </c>
      <c r="M154" s="25">
        <v>0.05</v>
      </c>
      <c r="N154" s="22"/>
      <c r="O154" s="23" t="s">
        <v>42</v>
      </c>
      <c r="P154" s="20">
        <f t="shared" si="20"/>
        <v>0</v>
      </c>
      <c r="Q154" s="23" t="s">
        <v>42</v>
      </c>
      <c r="R154" s="24">
        <f t="shared" si="21"/>
        <v>0</v>
      </c>
      <c r="S154" s="24">
        <f t="shared" si="13"/>
        <v>0</v>
      </c>
    </row>
    <row r="155" spans="1:19" s="19" customFormat="1">
      <c r="A155" s="18" t="s">
        <v>825</v>
      </c>
      <c r="B155" s="19" t="s">
        <v>18</v>
      </c>
      <c r="C155" s="20"/>
      <c r="D155" s="21" t="s">
        <v>42</v>
      </c>
      <c r="E155" s="26"/>
      <c r="F155" s="22">
        <v>1</v>
      </c>
      <c r="G155" s="23" t="s">
        <v>20</v>
      </c>
      <c r="H155" s="22">
        <f>360/12</f>
        <v>30</v>
      </c>
      <c r="I155" s="23" t="s">
        <v>42</v>
      </c>
      <c r="J155" s="24">
        <f>4800*12</f>
        <v>57600</v>
      </c>
      <c r="K155" s="21" t="s">
        <v>42</v>
      </c>
      <c r="L155" s="25">
        <v>0.125</v>
      </c>
      <c r="M155" s="25">
        <v>0.05</v>
      </c>
      <c r="N155" s="22"/>
      <c r="O155" s="23" t="s">
        <v>42</v>
      </c>
      <c r="P155" s="20">
        <f t="shared" si="20"/>
        <v>0</v>
      </c>
      <c r="Q155" s="23" t="s">
        <v>42</v>
      </c>
      <c r="R155" s="24">
        <f t="shared" si="21"/>
        <v>0</v>
      </c>
      <c r="S155" s="24">
        <f t="shared" si="13"/>
        <v>0</v>
      </c>
    </row>
    <row r="156" spans="1:19" s="19" customFormat="1">
      <c r="A156" s="18" t="s">
        <v>826</v>
      </c>
      <c r="B156" s="19" t="s">
        <v>18</v>
      </c>
      <c r="C156" s="20"/>
      <c r="D156" s="21" t="s">
        <v>42</v>
      </c>
      <c r="E156" s="26"/>
      <c r="F156" s="22">
        <v>60</v>
      </c>
      <c r="G156" s="23" t="s">
        <v>33</v>
      </c>
      <c r="H156" s="22">
        <f>360/12</f>
        <v>30</v>
      </c>
      <c r="I156" s="23" t="s">
        <v>42</v>
      </c>
      <c r="J156" s="24">
        <f>6000*12</f>
        <v>72000</v>
      </c>
      <c r="K156" s="21" t="s">
        <v>42</v>
      </c>
      <c r="L156" s="25">
        <v>0.125</v>
      </c>
      <c r="M156" s="25">
        <v>0.05</v>
      </c>
      <c r="N156" s="22"/>
      <c r="O156" s="23" t="s">
        <v>42</v>
      </c>
      <c r="P156" s="20">
        <f t="shared" si="20"/>
        <v>0</v>
      </c>
      <c r="Q156" s="23" t="s">
        <v>42</v>
      </c>
      <c r="R156" s="24">
        <f t="shared" si="21"/>
        <v>0</v>
      </c>
      <c r="S156" s="24">
        <f t="shared" si="13"/>
        <v>0</v>
      </c>
    </row>
    <row r="157" spans="1:19" s="19" customFormat="1">
      <c r="A157" s="18"/>
      <c r="C157" s="20"/>
      <c r="D157" s="21"/>
      <c r="E157" s="26"/>
      <c r="F157" s="22"/>
      <c r="G157" s="23"/>
      <c r="H157" s="22"/>
      <c r="I157" s="23"/>
      <c r="J157" s="24"/>
      <c r="K157" s="21"/>
      <c r="L157" s="25"/>
      <c r="M157" s="25"/>
      <c r="N157" s="22"/>
      <c r="O157" s="23"/>
      <c r="P157" s="20"/>
      <c r="Q157" s="23"/>
      <c r="R157" s="24"/>
      <c r="S157" s="24"/>
    </row>
    <row r="158" spans="1:19" s="19" customFormat="1">
      <c r="A158" s="18" t="s">
        <v>140</v>
      </c>
      <c r="B158" s="19" t="s">
        <v>25</v>
      </c>
      <c r="C158" s="20"/>
      <c r="D158" s="21" t="s">
        <v>42</v>
      </c>
      <c r="E158" s="26"/>
      <c r="F158" s="22">
        <v>1</v>
      </c>
      <c r="G158" s="23" t="s">
        <v>20</v>
      </c>
      <c r="H158" s="22">
        <v>36</v>
      </c>
      <c r="I158" s="23" t="s">
        <v>42</v>
      </c>
      <c r="J158" s="24">
        <f>2095200/36</f>
        <v>58200</v>
      </c>
      <c r="K158" s="21" t="s">
        <v>42</v>
      </c>
      <c r="L158" s="25"/>
      <c r="M158" s="25">
        <v>0.17</v>
      </c>
      <c r="N158" s="22"/>
      <c r="O158" s="23" t="s">
        <v>42</v>
      </c>
      <c r="P158" s="20">
        <f t="shared" ref="P158:P177" si="22">(C158+(E158*F158*H158))-N158</f>
        <v>0</v>
      </c>
      <c r="Q158" s="23" t="s">
        <v>42</v>
      </c>
      <c r="R158" s="24">
        <f t="shared" ref="R158:R177" si="23">P158*(J158-(J158*L158)-((J158-(J158*L158))*M158))</f>
        <v>0</v>
      </c>
      <c r="S158" s="24">
        <f t="shared" si="13"/>
        <v>0</v>
      </c>
    </row>
    <row r="159" spans="1:19" s="19" customFormat="1">
      <c r="A159" s="18" t="s">
        <v>782</v>
      </c>
      <c r="B159" s="19" t="s">
        <v>25</v>
      </c>
      <c r="C159" s="20"/>
      <c r="D159" s="21" t="s">
        <v>42</v>
      </c>
      <c r="E159" s="26"/>
      <c r="F159" s="22">
        <v>1</v>
      </c>
      <c r="G159" s="23" t="s">
        <v>20</v>
      </c>
      <c r="H159" s="22">
        <v>36</v>
      </c>
      <c r="I159" s="23" t="s">
        <v>42</v>
      </c>
      <c r="J159" s="24">
        <f>2116800/36</f>
        <v>58800</v>
      </c>
      <c r="K159" s="21" t="s">
        <v>42</v>
      </c>
      <c r="L159" s="25"/>
      <c r="M159" s="25">
        <v>0.17</v>
      </c>
      <c r="N159" s="22"/>
      <c r="O159" s="23" t="s">
        <v>42</v>
      </c>
      <c r="P159" s="20">
        <f t="shared" si="22"/>
        <v>0</v>
      </c>
      <c r="Q159" s="23" t="s">
        <v>42</v>
      </c>
      <c r="R159" s="24">
        <f t="shared" si="23"/>
        <v>0</v>
      </c>
      <c r="S159" s="24">
        <f t="shared" si="13"/>
        <v>0</v>
      </c>
    </row>
    <row r="160" spans="1:19" s="19" customFormat="1">
      <c r="A160" s="18" t="s">
        <v>141</v>
      </c>
      <c r="B160" s="19" t="s">
        <v>25</v>
      </c>
      <c r="C160" s="20"/>
      <c r="D160" s="21" t="s">
        <v>42</v>
      </c>
      <c r="E160" s="26"/>
      <c r="F160" s="22">
        <v>1</v>
      </c>
      <c r="G160" s="23" t="s">
        <v>20</v>
      </c>
      <c r="H160" s="22">
        <v>48</v>
      </c>
      <c r="I160" s="23" t="s">
        <v>42</v>
      </c>
      <c r="J160" s="24">
        <f>2995200/48</f>
        <v>62400</v>
      </c>
      <c r="K160" s="21" t="s">
        <v>42</v>
      </c>
      <c r="L160" s="25"/>
      <c r="M160" s="25">
        <v>0.17</v>
      </c>
      <c r="N160" s="22"/>
      <c r="O160" s="23" t="s">
        <v>42</v>
      </c>
      <c r="P160" s="20">
        <f t="shared" si="22"/>
        <v>0</v>
      </c>
      <c r="Q160" s="23" t="s">
        <v>42</v>
      </c>
      <c r="R160" s="24">
        <f t="shared" si="23"/>
        <v>0</v>
      </c>
      <c r="S160" s="24">
        <f t="shared" si="13"/>
        <v>0</v>
      </c>
    </row>
    <row r="161" spans="1:19" s="19" customFormat="1">
      <c r="A161" s="18" t="s">
        <v>142</v>
      </c>
      <c r="B161" s="19" t="s">
        <v>25</v>
      </c>
      <c r="C161" s="20"/>
      <c r="D161" s="21" t="s">
        <v>42</v>
      </c>
      <c r="E161" s="26"/>
      <c r="F161" s="22">
        <v>1</v>
      </c>
      <c r="G161" s="23" t="s">
        <v>20</v>
      </c>
      <c r="H161" s="22">
        <v>48</v>
      </c>
      <c r="I161" s="23" t="s">
        <v>42</v>
      </c>
      <c r="J161" s="24">
        <f>3916800/48</f>
        <v>81600</v>
      </c>
      <c r="K161" s="21" t="s">
        <v>42</v>
      </c>
      <c r="L161" s="25"/>
      <c r="M161" s="25">
        <v>0.17</v>
      </c>
      <c r="N161" s="22"/>
      <c r="O161" s="23" t="s">
        <v>42</v>
      </c>
      <c r="P161" s="20">
        <f t="shared" si="22"/>
        <v>0</v>
      </c>
      <c r="Q161" s="23" t="s">
        <v>42</v>
      </c>
      <c r="R161" s="24">
        <f t="shared" si="23"/>
        <v>0</v>
      </c>
      <c r="S161" s="24">
        <f t="shared" si="13"/>
        <v>0</v>
      </c>
    </row>
    <row r="162" spans="1:19" s="19" customFormat="1">
      <c r="A162" s="18" t="s">
        <v>781</v>
      </c>
      <c r="B162" s="19" t="s">
        <v>25</v>
      </c>
      <c r="C162" s="20"/>
      <c r="D162" s="21" t="s">
        <v>42</v>
      </c>
      <c r="E162" s="26"/>
      <c r="F162" s="22">
        <v>1</v>
      </c>
      <c r="G162" s="23" t="s">
        <v>20</v>
      </c>
      <c r="H162" s="22">
        <v>48</v>
      </c>
      <c r="I162" s="23" t="s">
        <v>42</v>
      </c>
      <c r="J162" s="24">
        <f>4032000/48</f>
        <v>84000</v>
      </c>
      <c r="K162" s="21" t="s">
        <v>42</v>
      </c>
      <c r="L162" s="25"/>
      <c r="M162" s="25">
        <v>0.17</v>
      </c>
      <c r="N162" s="22"/>
      <c r="O162" s="23" t="s">
        <v>42</v>
      </c>
      <c r="P162" s="20">
        <f t="shared" si="22"/>
        <v>0</v>
      </c>
      <c r="Q162" s="23" t="s">
        <v>42</v>
      </c>
      <c r="R162" s="24">
        <f t="shared" si="23"/>
        <v>0</v>
      </c>
      <c r="S162" s="24">
        <f t="shared" si="13"/>
        <v>0</v>
      </c>
    </row>
    <row r="163" spans="1:19" s="19" customFormat="1">
      <c r="A163" s="18" t="s">
        <v>143</v>
      </c>
      <c r="B163" s="19" t="s">
        <v>25</v>
      </c>
      <c r="C163" s="20"/>
      <c r="D163" s="21" t="s">
        <v>42</v>
      </c>
      <c r="E163" s="26"/>
      <c r="F163" s="22">
        <v>1</v>
      </c>
      <c r="G163" s="23" t="s">
        <v>20</v>
      </c>
      <c r="H163" s="22">
        <v>48</v>
      </c>
      <c r="I163" s="23" t="s">
        <v>42</v>
      </c>
      <c r="J163" s="24">
        <f>5100*12</f>
        <v>61200</v>
      </c>
      <c r="K163" s="21" t="s">
        <v>42</v>
      </c>
      <c r="L163" s="25"/>
      <c r="M163" s="25">
        <v>0.17</v>
      </c>
      <c r="N163" s="22"/>
      <c r="O163" s="23" t="s">
        <v>42</v>
      </c>
      <c r="P163" s="20">
        <f t="shared" si="22"/>
        <v>0</v>
      </c>
      <c r="Q163" s="23" t="s">
        <v>42</v>
      </c>
      <c r="R163" s="24">
        <f t="shared" si="23"/>
        <v>0</v>
      </c>
      <c r="S163" s="24">
        <f t="shared" si="13"/>
        <v>0</v>
      </c>
    </row>
    <row r="164" spans="1:19" s="19" customFormat="1">
      <c r="A164" s="18" t="s">
        <v>144</v>
      </c>
      <c r="B164" s="19" t="s">
        <v>25</v>
      </c>
      <c r="C164" s="20"/>
      <c r="D164" s="21" t="s">
        <v>42</v>
      </c>
      <c r="E164" s="26"/>
      <c r="F164" s="22">
        <v>1</v>
      </c>
      <c r="G164" s="23" t="s">
        <v>20</v>
      </c>
      <c r="H164" s="22">
        <v>48</v>
      </c>
      <c r="I164" s="23" t="s">
        <v>42</v>
      </c>
      <c r="J164" s="24">
        <f>4250*12</f>
        <v>51000</v>
      </c>
      <c r="K164" s="21" t="s">
        <v>42</v>
      </c>
      <c r="L164" s="25"/>
      <c r="M164" s="25">
        <v>0.17</v>
      </c>
      <c r="N164" s="22"/>
      <c r="O164" s="23" t="s">
        <v>42</v>
      </c>
      <c r="P164" s="20">
        <f t="shared" si="22"/>
        <v>0</v>
      </c>
      <c r="Q164" s="23" t="s">
        <v>42</v>
      </c>
      <c r="R164" s="24">
        <f t="shared" si="23"/>
        <v>0</v>
      </c>
      <c r="S164" s="24">
        <f t="shared" si="13"/>
        <v>0</v>
      </c>
    </row>
    <row r="165" spans="1:19" s="19" customFormat="1">
      <c r="A165" s="18" t="s">
        <v>145</v>
      </c>
      <c r="B165" s="19" t="s">
        <v>25</v>
      </c>
      <c r="C165" s="20"/>
      <c r="D165" s="21" t="s">
        <v>42</v>
      </c>
      <c r="E165" s="26"/>
      <c r="F165" s="22">
        <v>1</v>
      </c>
      <c r="G165" s="23" t="s">
        <v>20</v>
      </c>
      <c r="H165" s="22">
        <v>48</v>
      </c>
      <c r="I165" s="23" t="s">
        <v>42</v>
      </c>
      <c r="J165" s="24">
        <f>2592000/48</f>
        <v>54000</v>
      </c>
      <c r="K165" s="21" t="s">
        <v>42</v>
      </c>
      <c r="L165" s="25"/>
      <c r="M165" s="25">
        <v>0.17</v>
      </c>
      <c r="N165" s="22"/>
      <c r="O165" s="23" t="s">
        <v>42</v>
      </c>
      <c r="P165" s="20">
        <f t="shared" si="22"/>
        <v>0</v>
      </c>
      <c r="Q165" s="23" t="s">
        <v>42</v>
      </c>
      <c r="R165" s="24">
        <f t="shared" si="23"/>
        <v>0</v>
      </c>
      <c r="S165" s="24">
        <f t="shared" si="13"/>
        <v>0</v>
      </c>
    </row>
    <row r="166" spans="1:19" s="19" customFormat="1">
      <c r="A166" s="18" t="s">
        <v>146</v>
      </c>
      <c r="B166" s="19" t="s">
        <v>25</v>
      </c>
      <c r="C166" s="20"/>
      <c r="D166" s="21" t="s">
        <v>42</v>
      </c>
      <c r="E166" s="26"/>
      <c r="F166" s="22">
        <v>1</v>
      </c>
      <c r="G166" s="23" t="s">
        <v>20</v>
      </c>
      <c r="H166" s="22">
        <v>48</v>
      </c>
      <c r="I166" s="23" t="s">
        <v>42</v>
      </c>
      <c r="J166" s="24">
        <f>2448000/48</f>
        <v>51000</v>
      </c>
      <c r="K166" s="21" t="s">
        <v>42</v>
      </c>
      <c r="L166" s="25"/>
      <c r="M166" s="25">
        <v>0.17</v>
      </c>
      <c r="N166" s="22"/>
      <c r="O166" s="23" t="s">
        <v>42</v>
      </c>
      <c r="P166" s="20">
        <f t="shared" si="22"/>
        <v>0</v>
      </c>
      <c r="Q166" s="23" t="s">
        <v>42</v>
      </c>
      <c r="R166" s="24">
        <f t="shared" si="23"/>
        <v>0</v>
      </c>
      <c r="S166" s="24">
        <f t="shared" si="13"/>
        <v>0</v>
      </c>
    </row>
    <row r="167" spans="1:19" s="19" customFormat="1">
      <c r="A167" s="18" t="s">
        <v>147</v>
      </c>
      <c r="B167" s="19" t="s">
        <v>25</v>
      </c>
      <c r="C167" s="20"/>
      <c r="D167" s="21" t="s">
        <v>42</v>
      </c>
      <c r="E167" s="26"/>
      <c r="F167" s="22">
        <v>1</v>
      </c>
      <c r="G167" s="23" t="s">
        <v>20</v>
      </c>
      <c r="H167" s="22">
        <v>24</v>
      </c>
      <c r="I167" s="23" t="s">
        <v>42</v>
      </c>
      <c r="J167" s="24">
        <f>2491200/24</f>
        <v>103800</v>
      </c>
      <c r="K167" s="21" t="s">
        <v>42</v>
      </c>
      <c r="L167" s="25"/>
      <c r="M167" s="25">
        <v>0.17</v>
      </c>
      <c r="N167" s="22"/>
      <c r="O167" s="23" t="s">
        <v>42</v>
      </c>
      <c r="P167" s="20">
        <f t="shared" si="22"/>
        <v>0</v>
      </c>
      <c r="Q167" s="23" t="s">
        <v>42</v>
      </c>
      <c r="R167" s="24">
        <f t="shared" si="23"/>
        <v>0</v>
      </c>
      <c r="S167" s="24">
        <f t="shared" ref="S167:S253" si="24">R167/1.11</f>
        <v>0</v>
      </c>
    </row>
    <row r="168" spans="1:19" s="19" customFormat="1">
      <c r="A168" s="18" t="s">
        <v>148</v>
      </c>
      <c r="B168" s="19" t="s">
        <v>25</v>
      </c>
      <c r="C168" s="20"/>
      <c r="D168" s="21" t="s">
        <v>42</v>
      </c>
      <c r="E168" s="26"/>
      <c r="F168" s="22">
        <v>1</v>
      </c>
      <c r="G168" s="23" t="s">
        <v>20</v>
      </c>
      <c r="H168" s="22">
        <v>36</v>
      </c>
      <c r="I168" s="23" t="s">
        <v>42</v>
      </c>
      <c r="J168" s="24">
        <f>3736800/36</f>
        <v>103800</v>
      </c>
      <c r="K168" s="21" t="s">
        <v>42</v>
      </c>
      <c r="L168" s="25"/>
      <c r="M168" s="25">
        <v>0.17</v>
      </c>
      <c r="N168" s="22"/>
      <c r="O168" s="23" t="s">
        <v>42</v>
      </c>
      <c r="P168" s="20">
        <f t="shared" si="22"/>
        <v>0</v>
      </c>
      <c r="Q168" s="23" t="s">
        <v>42</v>
      </c>
      <c r="R168" s="24">
        <f t="shared" si="23"/>
        <v>0</v>
      </c>
      <c r="S168" s="24">
        <f t="shared" si="24"/>
        <v>0</v>
      </c>
    </row>
    <row r="169" spans="1:19" s="19" customFormat="1">
      <c r="A169" s="18" t="s">
        <v>149</v>
      </c>
      <c r="B169" s="19" t="s">
        <v>25</v>
      </c>
      <c r="C169" s="20"/>
      <c r="D169" s="21" t="s">
        <v>42</v>
      </c>
      <c r="E169" s="26"/>
      <c r="F169" s="22">
        <v>1</v>
      </c>
      <c r="G169" s="23" t="s">
        <v>20</v>
      </c>
      <c r="H169" s="22">
        <v>48</v>
      </c>
      <c r="I169" s="23" t="s">
        <v>42</v>
      </c>
      <c r="J169" s="24">
        <f>2592000/48</f>
        <v>54000</v>
      </c>
      <c r="K169" s="21" t="s">
        <v>42</v>
      </c>
      <c r="L169" s="25"/>
      <c r="M169" s="25">
        <v>0.17</v>
      </c>
      <c r="N169" s="22"/>
      <c r="O169" s="23" t="s">
        <v>42</v>
      </c>
      <c r="P169" s="20">
        <f t="shared" si="22"/>
        <v>0</v>
      </c>
      <c r="Q169" s="23" t="s">
        <v>42</v>
      </c>
      <c r="R169" s="24">
        <f t="shared" si="23"/>
        <v>0</v>
      </c>
      <c r="S169" s="24">
        <f t="shared" si="24"/>
        <v>0</v>
      </c>
    </row>
    <row r="170" spans="1:19" s="19" customFormat="1">
      <c r="A170" s="18" t="s">
        <v>150</v>
      </c>
      <c r="B170" s="19" t="s">
        <v>25</v>
      </c>
      <c r="C170" s="20"/>
      <c r="D170" s="21" t="s">
        <v>42</v>
      </c>
      <c r="E170" s="26"/>
      <c r="F170" s="22">
        <v>1</v>
      </c>
      <c r="G170" s="23" t="s">
        <v>20</v>
      </c>
      <c r="H170" s="22">
        <v>48</v>
      </c>
      <c r="I170" s="23" t="s">
        <v>42</v>
      </c>
      <c r="J170" s="24">
        <f>2880000/48</f>
        <v>60000</v>
      </c>
      <c r="K170" s="21" t="s">
        <v>42</v>
      </c>
      <c r="L170" s="25"/>
      <c r="M170" s="25">
        <v>0.17</v>
      </c>
      <c r="N170" s="22"/>
      <c r="O170" s="23" t="s">
        <v>42</v>
      </c>
      <c r="P170" s="20">
        <f t="shared" si="22"/>
        <v>0</v>
      </c>
      <c r="Q170" s="23" t="s">
        <v>42</v>
      </c>
      <c r="R170" s="24">
        <f t="shared" si="23"/>
        <v>0</v>
      </c>
      <c r="S170" s="24">
        <f t="shared" si="24"/>
        <v>0</v>
      </c>
    </row>
    <row r="171" spans="1:19" s="19" customFormat="1">
      <c r="A171" s="18" t="s">
        <v>151</v>
      </c>
      <c r="B171" s="19" t="s">
        <v>25</v>
      </c>
      <c r="C171" s="20"/>
      <c r="D171" s="21" t="s">
        <v>42</v>
      </c>
      <c r="E171" s="26"/>
      <c r="F171" s="22">
        <v>1</v>
      </c>
      <c r="G171" s="23" t="s">
        <v>20</v>
      </c>
      <c r="H171" s="22">
        <v>48</v>
      </c>
      <c r="I171" s="23" t="s">
        <v>42</v>
      </c>
      <c r="J171" s="24">
        <f>2880000/48</f>
        <v>60000</v>
      </c>
      <c r="K171" s="21" t="s">
        <v>42</v>
      </c>
      <c r="L171" s="25"/>
      <c r="M171" s="25">
        <v>0.17</v>
      </c>
      <c r="N171" s="22"/>
      <c r="O171" s="23" t="s">
        <v>42</v>
      </c>
      <c r="P171" s="20">
        <f t="shared" si="22"/>
        <v>0</v>
      </c>
      <c r="Q171" s="23" t="s">
        <v>42</v>
      </c>
      <c r="R171" s="24">
        <f t="shared" si="23"/>
        <v>0</v>
      </c>
      <c r="S171" s="24">
        <f t="shared" si="24"/>
        <v>0</v>
      </c>
    </row>
    <row r="172" spans="1:19" s="19" customFormat="1">
      <c r="A172" s="18" t="s">
        <v>152</v>
      </c>
      <c r="B172" s="19" t="s">
        <v>25</v>
      </c>
      <c r="C172" s="20"/>
      <c r="D172" s="21" t="s">
        <v>42</v>
      </c>
      <c r="E172" s="26"/>
      <c r="F172" s="22">
        <v>1</v>
      </c>
      <c r="G172" s="23" t="s">
        <v>20</v>
      </c>
      <c r="H172" s="22">
        <v>48</v>
      </c>
      <c r="I172" s="23" t="s">
        <v>42</v>
      </c>
      <c r="J172" s="24">
        <f>2736000/48</f>
        <v>57000</v>
      </c>
      <c r="K172" s="21" t="s">
        <v>42</v>
      </c>
      <c r="L172" s="25"/>
      <c r="M172" s="25">
        <v>0.17</v>
      </c>
      <c r="N172" s="22"/>
      <c r="O172" s="23" t="s">
        <v>42</v>
      </c>
      <c r="P172" s="20">
        <f t="shared" si="22"/>
        <v>0</v>
      </c>
      <c r="Q172" s="23" t="s">
        <v>42</v>
      </c>
      <c r="R172" s="24">
        <f t="shared" si="23"/>
        <v>0</v>
      </c>
      <c r="S172" s="24">
        <f t="shared" si="24"/>
        <v>0</v>
      </c>
    </row>
    <row r="173" spans="1:19" s="19" customFormat="1">
      <c r="A173" s="18" t="s">
        <v>153</v>
      </c>
      <c r="B173" s="19" t="s">
        <v>25</v>
      </c>
      <c r="C173" s="20"/>
      <c r="D173" s="21" t="s">
        <v>42</v>
      </c>
      <c r="E173" s="26"/>
      <c r="F173" s="22">
        <v>1</v>
      </c>
      <c r="G173" s="23" t="s">
        <v>20</v>
      </c>
      <c r="H173" s="22">
        <v>48</v>
      </c>
      <c r="I173" s="23" t="s">
        <v>42</v>
      </c>
      <c r="J173" s="24">
        <f>3024000/48</f>
        <v>63000</v>
      </c>
      <c r="K173" s="21" t="s">
        <v>42</v>
      </c>
      <c r="L173" s="25"/>
      <c r="M173" s="25">
        <v>0.17</v>
      </c>
      <c r="N173" s="22"/>
      <c r="O173" s="23" t="s">
        <v>42</v>
      </c>
      <c r="P173" s="20">
        <f t="shared" si="22"/>
        <v>0</v>
      </c>
      <c r="Q173" s="23" t="s">
        <v>42</v>
      </c>
      <c r="R173" s="24">
        <f t="shared" si="23"/>
        <v>0</v>
      </c>
      <c r="S173" s="24">
        <f t="shared" si="24"/>
        <v>0</v>
      </c>
    </row>
    <row r="174" spans="1:19" s="19" customFormat="1">
      <c r="A174" s="18" t="s">
        <v>154</v>
      </c>
      <c r="B174" s="19" t="s">
        <v>25</v>
      </c>
      <c r="C174" s="20"/>
      <c r="D174" s="21" t="s">
        <v>42</v>
      </c>
      <c r="E174" s="26"/>
      <c r="F174" s="22">
        <v>1</v>
      </c>
      <c r="G174" s="23" t="s">
        <v>20</v>
      </c>
      <c r="H174" s="22">
        <v>48</v>
      </c>
      <c r="I174" s="23" t="s">
        <v>42</v>
      </c>
      <c r="J174" s="24">
        <f>2995200/48</f>
        <v>62400</v>
      </c>
      <c r="K174" s="21" t="s">
        <v>42</v>
      </c>
      <c r="L174" s="25"/>
      <c r="M174" s="25">
        <v>0.17</v>
      </c>
      <c r="N174" s="22"/>
      <c r="O174" s="23" t="s">
        <v>42</v>
      </c>
      <c r="P174" s="20">
        <f t="shared" si="22"/>
        <v>0</v>
      </c>
      <c r="Q174" s="23" t="s">
        <v>42</v>
      </c>
      <c r="R174" s="24">
        <f t="shared" si="23"/>
        <v>0</v>
      </c>
      <c r="S174" s="24">
        <f t="shared" si="24"/>
        <v>0</v>
      </c>
    </row>
    <row r="175" spans="1:19" s="19" customFormat="1">
      <c r="A175" s="18" t="s">
        <v>155</v>
      </c>
      <c r="B175" s="19" t="s">
        <v>25</v>
      </c>
      <c r="C175" s="20"/>
      <c r="D175" s="21" t="s">
        <v>42</v>
      </c>
      <c r="E175" s="26"/>
      <c r="F175" s="22">
        <v>1</v>
      </c>
      <c r="G175" s="23" t="s">
        <v>20</v>
      </c>
      <c r="H175" s="22">
        <v>48</v>
      </c>
      <c r="I175" s="23" t="s">
        <v>42</v>
      </c>
      <c r="J175" s="24">
        <f>2995200/48</f>
        <v>62400</v>
      </c>
      <c r="K175" s="21" t="s">
        <v>42</v>
      </c>
      <c r="L175" s="25"/>
      <c r="M175" s="25">
        <v>0.17</v>
      </c>
      <c r="N175" s="22"/>
      <c r="O175" s="23" t="s">
        <v>42</v>
      </c>
      <c r="P175" s="20">
        <f t="shared" si="22"/>
        <v>0</v>
      </c>
      <c r="Q175" s="23" t="s">
        <v>42</v>
      </c>
      <c r="R175" s="24">
        <f t="shared" si="23"/>
        <v>0</v>
      </c>
      <c r="S175" s="24">
        <f t="shared" si="24"/>
        <v>0</v>
      </c>
    </row>
    <row r="176" spans="1:19" s="19" customFormat="1">
      <c r="A176" s="18" t="s">
        <v>757</v>
      </c>
      <c r="B176" s="19" t="s">
        <v>25</v>
      </c>
      <c r="C176" s="20"/>
      <c r="D176" s="21" t="s">
        <v>42</v>
      </c>
      <c r="E176" s="26"/>
      <c r="F176" s="22">
        <v>1</v>
      </c>
      <c r="G176" s="23" t="s">
        <v>20</v>
      </c>
      <c r="H176" s="22">
        <v>36</v>
      </c>
      <c r="I176" s="23" t="s">
        <v>42</v>
      </c>
      <c r="J176" s="24">
        <f>3240000/36</f>
        <v>90000</v>
      </c>
      <c r="K176" s="21" t="s">
        <v>42</v>
      </c>
      <c r="L176" s="25"/>
      <c r="M176" s="25">
        <v>0.17</v>
      </c>
      <c r="N176" s="22"/>
      <c r="O176" s="23" t="s">
        <v>42</v>
      </c>
      <c r="P176" s="20">
        <f t="shared" si="22"/>
        <v>0</v>
      </c>
      <c r="Q176" s="23" t="s">
        <v>42</v>
      </c>
      <c r="R176" s="24">
        <f t="shared" si="23"/>
        <v>0</v>
      </c>
      <c r="S176" s="24">
        <f>R176/1.11</f>
        <v>0</v>
      </c>
    </row>
    <row r="177" spans="1:19" s="19" customFormat="1">
      <c r="A177" s="18" t="s">
        <v>815</v>
      </c>
      <c r="B177" s="19" t="s">
        <v>25</v>
      </c>
      <c r="C177" s="20"/>
      <c r="D177" s="21" t="s">
        <v>42</v>
      </c>
      <c r="E177" s="26"/>
      <c r="F177" s="22">
        <v>1</v>
      </c>
      <c r="G177" s="23" t="s">
        <v>20</v>
      </c>
      <c r="H177" s="22">
        <v>36</v>
      </c>
      <c r="I177" s="23" t="s">
        <v>42</v>
      </c>
      <c r="J177" s="24">
        <f>4406400/36</f>
        <v>122400</v>
      </c>
      <c r="K177" s="21" t="s">
        <v>42</v>
      </c>
      <c r="L177" s="25"/>
      <c r="M177" s="25">
        <v>0.17</v>
      </c>
      <c r="N177" s="22"/>
      <c r="O177" s="23" t="s">
        <v>42</v>
      </c>
      <c r="P177" s="20">
        <f t="shared" si="22"/>
        <v>0</v>
      </c>
      <c r="Q177" s="23" t="s">
        <v>42</v>
      </c>
      <c r="R177" s="24">
        <f t="shared" si="23"/>
        <v>0</v>
      </c>
      <c r="S177" s="24">
        <f>R177/1.11</f>
        <v>0</v>
      </c>
    </row>
    <row r="178" spans="1:19" s="19" customFormat="1">
      <c r="A178" s="18"/>
      <c r="C178" s="20"/>
      <c r="D178" s="21"/>
      <c r="E178" s="26"/>
      <c r="F178" s="22"/>
      <c r="G178" s="23"/>
      <c r="H178" s="22"/>
      <c r="I178" s="23"/>
      <c r="J178" s="24"/>
      <c r="K178" s="21"/>
      <c r="L178" s="25"/>
      <c r="M178" s="25"/>
      <c r="N178" s="22"/>
      <c r="O178" s="23"/>
      <c r="P178" s="20"/>
      <c r="Q178" s="23"/>
      <c r="R178" s="24"/>
      <c r="S178" s="24"/>
    </row>
    <row r="179" spans="1:19" s="19" customFormat="1" ht="15.75">
      <c r="A179" s="44" t="s">
        <v>156</v>
      </c>
      <c r="C179" s="20"/>
      <c r="D179" s="21"/>
      <c r="E179" s="26"/>
      <c r="F179" s="22"/>
      <c r="G179" s="23"/>
      <c r="H179" s="22"/>
      <c r="I179" s="23"/>
      <c r="J179" s="24"/>
      <c r="K179" s="21"/>
      <c r="L179" s="25"/>
      <c r="M179" s="25"/>
      <c r="N179" s="22"/>
      <c r="O179" s="23"/>
      <c r="P179" s="20"/>
      <c r="Q179" s="23"/>
      <c r="R179" s="24"/>
      <c r="S179" s="24"/>
    </row>
    <row r="180" spans="1:19" s="19" customFormat="1">
      <c r="A180" s="59" t="s">
        <v>711</v>
      </c>
      <c r="B180" s="19" t="s">
        <v>18</v>
      </c>
      <c r="C180" s="20"/>
      <c r="D180" s="21" t="s">
        <v>158</v>
      </c>
      <c r="E180" s="26"/>
      <c r="F180" s="22">
        <v>12</v>
      </c>
      <c r="G180" s="23" t="s">
        <v>33</v>
      </c>
      <c r="H180" s="22">
        <v>12</v>
      </c>
      <c r="I180" s="23" t="s">
        <v>158</v>
      </c>
      <c r="J180" s="24">
        <v>11000</v>
      </c>
      <c r="K180" s="21" t="s">
        <v>158</v>
      </c>
      <c r="L180" s="25">
        <v>0.125</v>
      </c>
      <c r="M180" s="25">
        <v>0.05</v>
      </c>
      <c r="N180" s="22"/>
      <c r="O180" s="23" t="s">
        <v>158</v>
      </c>
      <c r="P180" s="20">
        <f t="shared" ref="P180:P189" si="25">(C180+(E180*F180*H180))-N180</f>
        <v>0</v>
      </c>
      <c r="Q180" s="23" t="s">
        <v>158</v>
      </c>
      <c r="R180" s="24">
        <f t="shared" ref="R180:R189" si="26">P180*(J180-(J180*L180)-((J180-(J180*L180))*M180))</f>
        <v>0</v>
      </c>
      <c r="S180" s="24">
        <f t="shared" si="24"/>
        <v>0</v>
      </c>
    </row>
    <row r="181" spans="1:19" s="19" customFormat="1">
      <c r="A181" s="59" t="s">
        <v>157</v>
      </c>
      <c r="B181" s="19" t="s">
        <v>18</v>
      </c>
      <c r="C181" s="20"/>
      <c r="D181" s="21" t="s">
        <v>158</v>
      </c>
      <c r="E181" s="26"/>
      <c r="F181" s="22">
        <v>12</v>
      </c>
      <c r="G181" s="23" t="s">
        <v>33</v>
      </c>
      <c r="H181" s="22">
        <v>12</v>
      </c>
      <c r="I181" s="23" t="s">
        <v>158</v>
      </c>
      <c r="J181" s="24">
        <v>11600</v>
      </c>
      <c r="K181" s="21" t="s">
        <v>158</v>
      </c>
      <c r="L181" s="25">
        <v>0.125</v>
      </c>
      <c r="M181" s="25">
        <v>0.05</v>
      </c>
      <c r="N181" s="22"/>
      <c r="O181" s="23" t="s">
        <v>158</v>
      </c>
      <c r="P181" s="20">
        <f t="shared" si="25"/>
        <v>0</v>
      </c>
      <c r="Q181" s="23" t="s">
        <v>158</v>
      </c>
      <c r="R181" s="24">
        <f t="shared" si="26"/>
        <v>0</v>
      </c>
      <c r="S181" s="24">
        <f t="shared" si="24"/>
        <v>0</v>
      </c>
    </row>
    <row r="182" spans="1:19" s="19" customFormat="1">
      <c r="A182" s="59" t="s">
        <v>159</v>
      </c>
      <c r="B182" s="19" t="s">
        <v>18</v>
      </c>
      <c r="C182" s="20"/>
      <c r="D182" s="21" t="s">
        <v>158</v>
      </c>
      <c r="E182" s="26"/>
      <c r="F182" s="22">
        <v>6</v>
      </c>
      <c r="G182" s="23" t="s">
        <v>33</v>
      </c>
      <c r="H182" s="22">
        <v>24</v>
      </c>
      <c r="I182" s="23" t="s">
        <v>158</v>
      </c>
      <c r="J182" s="24">
        <v>9000</v>
      </c>
      <c r="K182" s="21" t="s">
        <v>158</v>
      </c>
      <c r="L182" s="25">
        <v>0.125</v>
      </c>
      <c r="M182" s="25">
        <v>0.05</v>
      </c>
      <c r="N182" s="22"/>
      <c r="O182" s="23" t="s">
        <v>158</v>
      </c>
      <c r="P182" s="20">
        <f t="shared" si="25"/>
        <v>0</v>
      </c>
      <c r="Q182" s="23" t="s">
        <v>158</v>
      </c>
      <c r="R182" s="24">
        <f t="shared" si="26"/>
        <v>0</v>
      </c>
      <c r="S182" s="24">
        <f t="shared" si="24"/>
        <v>0</v>
      </c>
    </row>
    <row r="183" spans="1:19" s="19" customFormat="1">
      <c r="A183" s="18" t="s">
        <v>160</v>
      </c>
      <c r="B183" s="19" t="s">
        <v>18</v>
      </c>
      <c r="C183" s="20"/>
      <c r="D183" s="21" t="s">
        <v>158</v>
      </c>
      <c r="E183" s="26"/>
      <c r="F183" s="22">
        <v>1</v>
      </c>
      <c r="G183" s="23" t="s">
        <v>20</v>
      </c>
      <c r="H183" s="22">
        <v>144</v>
      </c>
      <c r="I183" s="23" t="s">
        <v>158</v>
      </c>
      <c r="J183" s="24">
        <v>11900</v>
      </c>
      <c r="K183" s="21" t="s">
        <v>158</v>
      </c>
      <c r="L183" s="25">
        <v>0.125</v>
      </c>
      <c r="M183" s="25">
        <v>0.05</v>
      </c>
      <c r="N183" s="22"/>
      <c r="O183" s="23" t="s">
        <v>158</v>
      </c>
      <c r="P183" s="20">
        <f t="shared" si="25"/>
        <v>0</v>
      </c>
      <c r="Q183" s="23" t="s">
        <v>158</v>
      </c>
      <c r="R183" s="24">
        <f t="shared" si="26"/>
        <v>0</v>
      </c>
      <c r="S183" s="24">
        <f t="shared" si="24"/>
        <v>0</v>
      </c>
    </row>
    <row r="184" spans="1:19" s="19" customFormat="1">
      <c r="A184" s="18" t="s">
        <v>161</v>
      </c>
      <c r="B184" s="19" t="s">
        <v>18</v>
      </c>
      <c r="C184" s="20"/>
      <c r="D184" s="21" t="s">
        <v>158</v>
      </c>
      <c r="E184" s="26"/>
      <c r="F184" s="22">
        <v>6</v>
      </c>
      <c r="G184" s="23" t="s">
        <v>33</v>
      </c>
      <c r="H184" s="22">
        <v>12</v>
      </c>
      <c r="I184" s="23" t="s">
        <v>158</v>
      </c>
      <c r="J184" s="24">
        <v>23000</v>
      </c>
      <c r="K184" s="21" t="s">
        <v>158</v>
      </c>
      <c r="L184" s="25">
        <v>0.125</v>
      </c>
      <c r="M184" s="25">
        <v>0.05</v>
      </c>
      <c r="N184" s="22"/>
      <c r="O184" s="23" t="s">
        <v>158</v>
      </c>
      <c r="P184" s="20">
        <f t="shared" si="25"/>
        <v>0</v>
      </c>
      <c r="Q184" s="23" t="s">
        <v>158</v>
      </c>
      <c r="R184" s="24">
        <f t="shared" si="26"/>
        <v>0</v>
      </c>
      <c r="S184" s="24">
        <f t="shared" si="24"/>
        <v>0</v>
      </c>
    </row>
    <row r="185" spans="1:19" s="19" customFormat="1">
      <c r="A185" s="18" t="s">
        <v>162</v>
      </c>
      <c r="B185" s="19" t="s">
        <v>18</v>
      </c>
      <c r="C185" s="20"/>
      <c r="D185" s="21" t="s">
        <v>158</v>
      </c>
      <c r="E185" s="26"/>
      <c r="F185" s="22">
        <v>8</v>
      </c>
      <c r="G185" s="23" t="s">
        <v>33</v>
      </c>
      <c r="H185" s="22">
        <v>6</v>
      </c>
      <c r="I185" s="23" t="s">
        <v>158</v>
      </c>
      <c r="J185" s="24">
        <v>29600</v>
      </c>
      <c r="K185" s="21" t="s">
        <v>158</v>
      </c>
      <c r="L185" s="25">
        <v>0.125</v>
      </c>
      <c r="M185" s="25">
        <v>0.05</v>
      </c>
      <c r="N185" s="22"/>
      <c r="O185" s="23" t="s">
        <v>158</v>
      </c>
      <c r="P185" s="20">
        <f t="shared" si="25"/>
        <v>0</v>
      </c>
      <c r="Q185" s="23" t="s">
        <v>158</v>
      </c>
      <c r="R185" s="24">
        <f t="shared" si="26"/>
        <v>0</v>
      </c>
      <c r="S185" s="24">
        <f t="shared" si="24"/>
        <v>0</v>
      </c>
    </row>
    <row r="186" spans="1:19" s="19" customFormat="1">
      <c r="A186" s="18" t="s">
        <v>163</v>
      </c>
      <c r="B186" s="19" t="s">
        <v>18</v>
      </c>
      <c r="C186" s="20"/>
      <c r="D186" s="21" t="s">
        <v>158</v>
      </c>
      <c r="E186" s="26"/>
      <c r="F186" s="22">
        <v>6</v>
      </c>
      <c r="G186" s="23" t="s">
        <v>33</v>
      </c>
      <c r="H186" s="22">
        <v>6</v>
      </c>
      <c r="I186" s="23" t="s">
        <v>158</v>
      </c>
      <c r="J186" s="24">
        <v>41500</v>
      </c>
      <c r="K186" s="21" t="s">
        <v>158</v>
      </c>
      <c r="L186" s="25">
        <v>0.125</v>
      </c>
      <c r="M186" s="25">
        <v>0.05</v>
      </c>
      <c r="N186" s="22"/>
      <c r="O186" s="23" t="s">
        <v>158</v>
      </c>
      <c r="P186" s="20">
        <f t="shared" si="25"/>
        <v>0</v>
      </c>
      <c r="Q186" s="23" t="s">
        <v>158</v>
      </c>
      <c r="R186" s="24">
        <f t="shared" si="26"/>
        <v>0</v>
      </c>
      <c r="S186" s="24">
        <f>R186/1.11</f>
        <v>0</v>
      </c>
    </row>
    <row r="187" spans="1:19" s="19" customFormat="1">
      <c r="A187" s="18" t="s">
        <v>164</v>
      </c>
      <c r="B187" s="19" t="s">
        <v>18</v>
      </c>
      <c r="C187" s="20"/>
      <c r="D187" s="21" t="s">
        <v>158</v>
      </c>
      <c r="E187" s="26"/>
      <c r="F187" s="22">
        <v>4</v>
      </c>
      <c r="G187" s="23" t="s">
        <v>33</v>
      </c>
      <c r="H187" s="22">
        <v>6</v>
      </c>
      <c r="I187" s="23" t="s">
        <v>158</v>
      </c>
      <c r="J187" s="24">
        <v>58900</v>
      </c>
      <c r="K187" s="21" t="s">
        <v>158</v>
      </c>
      <c r="L187" s="25">
        <v>0.125</v>
      </c>
      <c r="M187" s="25">
        <v>0.05</v>
      </c>
      <c r="N187" s="22"/>
      <c r="O187" s="23" t="s">
        <v>158</v>
      </c>
      <c r="P187" s="20">
        <f t="shared" si="25"/>
        <v>0</v>
      </c>
      <c r="Q187" s="23" t="s">
        <v>158</v>
      </c>
      <c r="R187" s="24">
        <f t="shared" si="26"/>
        <v>0</v>
      </c>
      <c r="S187" s="24">
        <f t="shared" si="24"/>
        <v>0</v>
      </c>
    </row>
    <row r="188" spans="1:19" s="19" customFormat="1">
      <c r="A188" s="18" t="s">
        <v>165</v>
      </c>
      <c r="B188" s="19" t="s">
        <v>18</v>
      </c>
      <c r="C188" s="20"/>
      <c r="D188" s="21" t="s">
        <v>158</v>
      </c>
      <c r="E188" s="26"/>
      <c r="F188" s="22">
        <v>4</v>
      </c>
      <c r="G188" s="23" t="s">
        <v>33</v>
      </c>
      <c r="H188" s="22">
        <v>6</v>
      </c>
      <c r="I188" s="23" t="s">
        <v>158</v>
      </c>
      <c r="J188" s="24">
        <v>66900</v>
      </c>
      <c r="K188" s="21" t="s">
        <v>158</v>
      </c>
      <c r="L188" s="25">
        <v>0.125</v>
      </c>
      <c r="M188" s="25">
        <v>0.05</v>
      </c>
      <c r="N188" s="22"/>
      <c r="O188" s="23" t="s">
        <v>158</v>
      </c>
      <c r="P188" s="20">
        <f t="shared" si="25"/>
        <v>0</v>
      </c>
      <c r="Q188" s="23" t="s">
        <v>158</v>
      </c>
      <c r="R188" s="24">
        <f t="shared" si="26"/>
        <v>0</v>
      </c>
      <c r="S188" s="24">
        <f t="shared" si="24"/>
        <v>0</v>
      </c>
    </row>
    <row r="189" spans="1:19" s="19" customFormat="1">
      <c r="A189" s="18" t="s">
        <v>705</v>
      </c>
      <c r="B189" s="19" t="s">
        <v>18</v>
      </c>
      <c r="C189" s="20"/>
      <c r="D189" s="21" t="s">
        <v>158</v>
      </c>
      <c r="E189" s="26"/>
      <c r="F189" s="22">
        <v>1</v>
      </c>
      <c r="G189" s="23" t="s">
        <v>20</v>
      </c>
      <c r="H189" s="22">
        <v>24</v>
      </c>
      <c r="I189" s="23" t="s">
        <v>158</v>
      </c>
      <c r="J189" s="24">
        <v>96000</v>
      </c>
      <c r="K189" s="21" t="s">
        <v>158</v>
      </c>
      <c r="L189" s="25">
        <v>0.125</v>
      </c>
      <c r="M189" s="25">
        <v>0.05</v>
      </c>
      <c r="N189" s="22"/>
      <c r="O189" s="23" t="s">
        <v>158</v>
      </c>
      <c r="P189" s="20">
        <f t="shared" si="25"/>
        <v>0</v>
      </c>
      <c r="Q189" s="23" t="s">
        <v>158</v>
      </c>
      <c r="R189" s="24">
        <f t="shared" si="26"/>
        <v>0</v>
      </c>
      <c r="S189" s="24">
        <f t="shared" si="24"/>
        <v>0</v>
      </c>
    </row>
    <row r="190" spans="1:19" s="19" customFormat="1">
      <c r="A190" s="18"/>
      <c r="C190" s="20"/>
      <c r="D190" s="21"/>
      <c r="E190" s="26"/>
      <c r="F190" s="22"/>
      <c r="G190" s="23"/>
      <c r="H190" s="22"/>
      <c r="I190" s="23"/>
      <c r="J190" s="24"/>
      <c r="K190" s="21"/>
      <c r="L190" s="25"/>
      <c r="M190" s="25"/>
      <c r="N190" s="22"/>
      <c r="O190" s="23"/>
      <c r="P190" s="20"/>
      <c r="Q190" s="23"/>
      <c r="R190" s="24"/>
      <c r="S190" s="24"/>
    </row>
    <row r="191" spans="1:19" s="19" customFormat="1">
      <c r="A191" s="59" t="s">
        <v>166</v>
      </c>
      <c r="B191" s="19" t="s">
        <v>25</v>
      </c>
      <c r="C191" s="20"/>
      <c r="D191" s="21" t="s">
        <v>158</v>
      </c>
      <c r="E191" s="26"/>
      <c r="F191" s="22">
        <v>12</v>
      </c>
      <c r="G191" s="23" t="s">
        <v>42</v>
      </c>
      <c r="H191" s="22">
        <v>12</v>
      </c>
      <c r="I191" s="23" t="s">
        <v>158</v>
      </c>
      <c r="J191" s="24">
        <f>1728000/12/12</f>
        <v>12000</v>
      </c>
      <c r="K191" s="21" t="s">
        <v>158</v>
      </c>
      <c r="L191" s="25"/>
      <c r="M191" s="25">
        <v>0.17</v>
      </c>
      <c r="N191" s="22"/>
      <c r="O191" s="23" t="s">
        <v>158</v>
      </c>
      <c r="P191" s="20">
        <f>(C191+(E191*F191*H191))-N191</f>
        <v>0</v>
      </c>
      <c r="Q191" s="23" t="s">
        <v>158</v>
      </c>
      <c r="R191" s="24">
        <f>P191*(J191-(J191*L191)-((J191-(J191*L191))*M191))</f>
        <v>0</v>
      </c>
      <c r="S191" s="24">
        <f t="shared" si="24"/>
        <v>0</v>
      </c>
    </row>
    <row r="192" spans="1:19" s="19" customFormat="1">
      <c r="A192" s="59" t="s">
        <v>167</v>
      </c>
      <c r="B192" s="19" t="s">
        <v>25</v>
      </c>
      <c r="C192" s="20"/>
      <c r="D192" s="21" t="s">
        <v>158</v>
      </c>
      <c r="E192" s="26"/>
      <c r="F192" s="22">
        <v>6</v>
      </c>
      <c r="G192" s="23" t="s">
        <v>42</v>
      </c>
      <c r="H192" s="22">
        <v>12</v>
      </c>
      <c r="I192" s="23" t="s">
        <v>158</v>
      </c>
      <c r="J192" s="24">
        <f>1548000/6/12</f>
        <v>21500</v>
      </c>
      <c r="K192" s="21" t="s">
        <v>158</v>
      </c>
      <c r="L192" s="25"/>
      <c r="M192" s="25">
        <v>0.17</v>
      </c>
      <c r="N192" s="22"/>
      <c r="O192" s="23" t="s">
        <v>158</v>
      </c>
      <c r="P192" s="20">
        <f>(C192+(E192*F192*H192))-N192</f>
        <v>0</v>
      </c>
      <c r="Q192" s="23" t="s">
        <v>158</v>
      </c>
      <c r="R192" s="24">
        <f>P192*(J192-(J192*L192)-((J192-(J192*L192))*M192))</f>
        <v>0</v>
      </c>
      <c r="S192" s="24">
        <f t="shared" si="24"/>
        <v>0</v>
      </c>
    </row>
    <row r="193" spans="1:19" s="19" customFormat="1">
      <c r="A193" s="59"/>
      <c r="C193" s="20"/>
      <c r="D193" s="21"/>
      <c r="E193" s="26"/>
      <c r="F193" s="22"/>
      <c r="G193" s="23"/>
      <c r="H193" s="22"/>
      <c r="I193" s="23"/>
      <c r="J193" s="24"/>
      <c r="K193" s="21"/>
      <c r="L193" s="25"/>
      <c r="M193" s="25"/>
      <c r="N193" s="22"/>
      <c r="O193" s="23"/>
      <c r="P193" s="20"/>
      <c r="Q193" s="23"/>
      <c r="R193" s="24"/>
      <c r="S193" s="24"/>
    </row>
    <row r="194" spans="1:19" s="19" customFormat="1">
      <c r="A194" s="59" t="s">
        <v>168</v>
      </c>
      <c r="B194" s="19" t="s">
        <v>25</v>
      </c>
      <c r="C194" s="20"/>
      <c r="D194" s="21" t="s">
        <v>158</v>
      </c>
      <c r="E194" s="26"/>
      <c r="F194" s="22">
        <v>8</v>
      </c>
      <c r="G194" s="23" t="s">
        <v>33</v>
      </c>
      <c r="H194" s="22">
        <v>12</v>
      </c>
      <c r="I194" s="23" t="s">
        <v>158</v>
      </c>
      <c r="J194" s="24">
        <v>12500</v>
      </c>
      <c r="K194" s="21" t="s">
        <v>158</v>
      </c>
      <c r="L194" s="25"/>
      <c r="M194" s="25">
        <v>0.17</v>
      </c>
      <c r="N194" s="22"/>
      <c r="O194" s="23" t="s">
        <v>158</v>
      </c>
      <c r="P194" s="20">
        <f t="shared" ref="P194:P201" si="27">(C194+(E194*F194*H194))-N194</f>
        <v>0</v>
      </c>
      <c r="Q194" s="23" t="s">
        <v>158</v>
      </c>
      <c r="R194" s="24">
        <f t="shared" ref="R194:R201" si="28">P194*(J194-(J194*L194)-((J194-(J194*L194))*M194))</f>
        <v>0</v>
      </c>
      <c r="S194" s="24">
        <f t="shared" si="24"/>
        <v>0</v>
      </c>
    </row>
    <row r="195" spans="1:19" s="19" customFormat="1">
      <c r="A195" s="59" t="s">
        <v>169</v>
      </c>
      <c r="B195" s="19" t="s">
        <v>25</v>
      </c>
      <c r="C195" s="20"/>
      <c r="D195" s="21" t="s">
        <v>158</v>
      </c>
      <c r="E195" s="26"/>
      <c r="F195" s="22">
        <v>1</v>
      </c>
      <c r="G195" s="23" t="s">
        <v>20</v>
      </c>
      <c r="H195" s="22">
        <v>144</v>
      </c>
      <c r="I195" s="23" t="s">
        <v>158</v>
      </c>
      <c r="J195" s="24">
        <v>11600</v>
      </c>
      <c r="K195" s="21" t="s">
        <v>158</v>
      </c>
      <c r="L195" s="25"/>
      <c r="M195" s="25">
        <v>0.17</v>
      </c>
      <c r="N195" s="22"/>
      <c r="O195" s="23" t="s">
        <v>158</v>
      </c>
      <c r="P195" s="20">
        <f t="shared" si="27"/>
        <v>0</v>
      </c>
      <c r="Q195" s="23" t="s">
        <v>158</v>
      </c>
      <c r="R195" s="24">
        <f t="shared" si="28"/>
        <v>0</v>
      </c>
      <c r="S195" s="24">
        <f t="shared" si="24"/>
        <v>0</v>
      </c>
    </row>
    <row r="196" spans="1:19" s="19" customFormat="1">
      <c r="A196" s="18" t="s">
        <v>170</v>
      </c>
      <c r="B196" s="19" t="s">
        <v>25</v>
      </c>
      <c r="C196" s="20"/>
      <c r="D196" s="21" t="s">
        <v>158</v>
      </c>
      <c r="E196" s="26"/>
      <c r="F196" s="22">
        <v>12</v>
      </c>
      <c r="G196" s="23" t="s">
        <v>42</v>
      </c>
      <c r="H196" s="22">
        <v>12</v>
      </c>
      <c r="I196" s="23" t="s">
        <v>158</v>
      </c>
      <c r="J196" s="24">
        <f>2088000/144</f>
        <v>14500</v>
      </c>
      <c r="K196" s="21" t="s">
        <v>158</v>
      </c>
      <c r="L196" s="25"/>
      <c r="M196" s="25">
        <v>0.17</v>
      </c>
      <c r="N196" s="22"/>
      <c r="O196" s="23" t="s">
        <v>158</v>
      </c>
      <c r="P196" s="20">
        <f t="shared" si="27"/>
        <v>0</v>
      </c>
      <c r="Q196" s="23" t="s">
        <v>158</v>
      </c>
      <c r="R196" s="24">
        <f t="shared" si="28"/>
        <v>0</v>
      </c>
      <c r="S196" s="24">
        <f t="shared" si="24"/>
        <v>0</v>
      </c>
    </row>
    <row r="197" spans="1:19" s="19" customFormat="1">
      <c r="A197" s="18" t="s">
        <v>171</v>
      </c>
      <c r="B197" s="19" t="s">
        <v>25</v>
      </c>
      <c r="C197" s="20"/>
      <c r="D197" s="21" t="s">
        <v>158</v>
      </c>
      <c r="E197" s="26"/>
      <c r="F197" s="22">
        <v>6</v>
      </c>
      <c r="G197" s="23" t="s">
        <v>42</v>
      </c>
      <c r="H197" s="22">
        <v>12</v>
      </c>
      <c r="I197" s="23" t="s">
        <v>158</v>
      </c>
      <c r="J197" s="24">
        <f>1944000/72</f>
        <v>27000</v>
      </c>
      <c r="K197" s="21" t="s">
        <v>158</v>
      </c>
      <c r="L197" s="25"/>
      <c r="M197" s="25">
        <v>0.17</v>
      </c>
      <c r="N197" s="22"/>
      <c r="O197" s="23" t="s">
        <v>158</v>
      </c>
      <c r="P197" s="20">
        <f t="shared" si="27"/>
        <v>0</v>
      </c>
      <c r="Q197" s="23" t="s">
        <v>158</v>
      </c>
      <c r="R197" s="24">
        <f t="shared" si="28"/>
        <v>0</v>
      </c>
      <c r="S197" s="24">
        <f t="shared" si="24"/>
        <v>0</v>
      </c>
    </row>
    <row r="198" spans="1:19" s="19" customFormat="1">
      <c r="A198" s="18" t="s">
        <v>172</v>
      </c>
      <c r="B198" s="19" t="s">
        <v>25</v>
      </c>
      <c r="C198" s="20"/>
      <c r="D198" s="21" t="s">
        <v>158</v>
      </c>
      <c r="E198" s="26"/>
      <c r="F198" s="22">
        <v>8</v>
      </c>
      <c r="G198" s="23" t="s">
        <v>33</v>
      </c>
      <c r="H198" s="22">
        <v>6</v>
      </c>
      <c r="I198" s="23" t="s">
        <v>158</v>
      </c>
      <c r="J198" s="24">
        <f>1632000/8/6</f>
        <v>34000</v>
      </c>
      <c r="K198" s="21" t="s">
        <v>158</v>
      </c>
      <c r="L198" s="25"/>
      <c r="M198" s="25">
        <v>0.17</v>
      </c>
      <c r="N198" s="22"/>
      <c r="O198" s="23" t="s">
        <v>158</v>
      </c>
      <c r="P198" s="20">
        <f t="shared" si="27"/>
        <v>0</v>
      </c>
      <c r="Q198" s="23" t="s">
        <v>158</v>
      </c>
      <c r="R198" s="24">
        <f t="shared" si="28"/>
        <v>0</v>
      </c>
      <c r="S198" s="24">
        <f t="shared" si="24"/>
        <v>0</v>
      </c>
    </row>
    <row r="199" spans="1:19" s="19" customFormat="1">
      <c r="A199" s="18" t="s">
        <v>173</v>
      </c>
      <c r="B199" s="19" t="s">
        <v>25</v>
      </c>
      <c r="C199" s="20"/>
      <c r="D199" s="21" t="s">
        <v>158</v>
      </c>
      <c r="E199" s="26"/>
      <c r="F199" s="22">
        <v>6</v>
      </c>
      <c r="G199" s="23" t="s">
        <v>33</v>
      </c>
      <c r="H199" s="22">
        <v>6</v>
      </c>
      <c r="I199" s="23" t="s">
        <v>158</v>
      </c>
      <c r="J199" s="24">
        <f>1710000/6/6</f>
        <v>47500</v>
      </c>
      <c r="K199" s="21" t="s">
        <v>158</v>
      </c>
      <c r="L199" s="25"/>
      <c r="M199" s="25">
        <v>0.17</v>
      </c>
      <c r="N199" s="22"/>
      <c r="O199" s="23" t="s">
        <v>158</v>
      </c>
      <c r="P199" s="20">
        <f t="shared" si="27"/>
        <v>0</v>
      </c>
      <c r="Q199" s="23" t="s">
        <v>158</v>
      </c>
      <c r="R199" s="24">
        <f t="shared" si="28"/>
        <v>0</v>
      </c>
      <c r="S199" s="24">
        <f t="shared" si="24"/>
        <v>0</v>
      </c>
    </row>
    <row r="200" spans="1:19" s="19" customFormat="1">
      <c r="A200" s="18" t="s">
        <v>174</v>
      </c>
      <c r="B200" s="19" t="s">
        <v>25</v>
      </c>
      <c r="C200" s="20"/>
      <c r="D200" s="21" t="s">
        <v>158</v>
      </c>
      <c r="E200" s="26"/>
      <c r="F200" s="22">
        <v>4</v>
      </c>
      <c r="G200" s="23" t="s">
        <v>33</v>
      </c>
      <c r="H200" s="22">
        <v>6</v>
      </c>
      <c r="I200" s="23" t="s">
        <v>158</v>
      </c>
      <c r="J200" s="24">
        <f>1656000/4/6</f>
        <v>69000</v>
      </c>
      <c r="K200" s="21" t="s">
        <v>158</v>
      </c>
      <c r="L200" s="25"/>
      <c r="M200" s="25">
        <v>0.17</v>
      </c>
      <c r="N200" s="22"/>
      <c r="O200" s="23" t="s">
        <v>158</v>
      </c>
      <c r="P200" s="20">
        <f t="shared" si="27"/>
        <v>0</v>
      </c>
      <c r="Q200" s="23" t="s">
        <v>158</v>
      </c>
      <c r="R200" s="24">
        <f t="shared" si="28"/>
        <v>0</v>
      </c>
      <c r="S200" s="24">
        <f t="shared" si="24"/>
        <v>0</v>
      </c>
    </row>
    <row r="201" spans="1:19" s="19" customFormat="1">
      <c r="A201" s="18" t="s">
        <v>175</v>
      </c>
      <c r="B201" s="19" t="s">
        <v>25</v>
      </c>
      <c r="C201" s="20"/>
      <c r="D201" s="21" t="s">
        <v>158</v>
      </c>
      <c r="E201" s="26"/>
      <c r="F201" s="22">
        <v>4</v>
      </c>
      <c r="G201" s="23" t="s">
        <v>33</v>
      </c>
      <c r="H201" s="22">
        <v>6</v>
      </c>
      <c r="I201" s="23" t="s">
        <v>158</v>
      </c>
      <c r="J201" s="24">
        <f>1824000/4/6</f>
        <v>76000</v>
      </c>
      <c r="K201" s="21" t="s">
        <v>158</v>
      </c>
      <c r="L201" s="25"/>
      <c r="M201" s="25">
        <v>0.17</v>
      </c>
      <c r="N201" s="22"/>
      <c r="O201" s="23" t="s">
        <v>158</v>
      </c>
      <c r="P201" s="20">
        <f t="shared" si="27"/>
        <v>0</v>
      </c>
      <c r="Q201" s="23" t="s">
        <v>158</v>
      </c>
      <c r="R201" s="24">
        <f t="shared" si="28"/>
        <v>0</v>
      </c>
      <c r="S201" s="24">
        <f t="shared" si="24"/>
        <v>0</v>
      </c>
    </row>
    <row r="202" spans="1:19" s="19" customFormat="1">
      <c r="A202" s="18"/>
      <c r="C202" s="20"/>
      <c r="D202" s="21"/>
      <c r="E202" s="26"/>
      <c r="F202" s="22"/>
      <c r="G202" s="23"/>
      <c r="H202" s="22"/>
      <c r="I202" s="23"/>
      <c r="J202" s="24"/>
      <c r="K202" s="21"/>
      <c r="L202" s="25"/>
      <c r="M202" s="25"/>
      <c r="N202" s="22"/>
      <c r="O202" s="23"/>
      <c r="P202" s="20"/>
      <c r="Q202" s="23"/>
      <c r="R202" s="24"/>
      <c r="S202" s="24"/>
    </row>
    <row r="203" spans="1:19" s="19" customFormat="1">
      <c r="A203" s="88" t="s">
        <v>176</v>
      </c>
      <c r="C203" s="20"/>
      <c r="D203" s="21"/>
      <c r="E203" s="26"/>
      <c r="F203" s="22"/>
      <c r="G203" s="23"/>
      <c r="H203" s="22"/>
      <c r="I203" s="23"/>
      <c r="J203" s="24"/>
      <c r="K203" s="21"/>
      <c r="L203" s="25"/>
      <c r="M203" s="25"/>
      <c r="N203" s="22"/>
      <c r="O203" s="23"/>
      <c r="P203" s="20"/>
      <c r="Q203" s="23"/>
      <c r="R203" s="24"/>
      <c r="S203" s="24"/>
    </row>
    <row r="204" spans="1:19" s="19" customFormat="1">
      <c r="A204" s="18" t="s">
        <v>177</v>
      </c>
      <c r="B204" s="19" t="s">
        <v>178</v>
      </c>
      <c r="C204" s="20"/>
      <c r="D204" s="21" t="s">
        <v>158</v>
      </c>
      <c r="E204" s="26"/>
      <c r="F204" s="22">
        <v>1</v>
      </c>
      <c r="G204" s="23" t="s">
        <v>20</v>
      </c>
      <c r="H204" s="22">
        <v>144</v>
      </c>
      <c r="I204" s="23" t="s">
        <v>158</v>
      </c>
      <c r="J204" s="24">
        <v>14000</v>
      </c>
      <c r="K204" s="21" t="s">
        <v>158</v>
      </c>
      <c r="L204" s="25">
        <v>0.05</v>
      </c>
      <c r="M204" s="25">
        <v>0.03</v>
      </c>
      <c r="N204" s="22"/>
      <c r="O204" s="23" t="s">
        <v>158</v>
      </c>
      <c r="P204" s="20">
        <f>(C204+(E204*F204*H204))-N204</f>
        <v>0</v>
      </c>
      <c r="Q204" s="23" t="s">
        <v>158</v>
      </c>
      <c r="R204" s="24">
        <f>P204*(J204-(J204*L204)-((J204-(J204*L204))*M204))</f>
        <v>0</v>
      </c>
      <c r="S204" s="24">
        <f t="shared" si="24"/>
        <v>0</v>
      </c>
    </row>
    <row r="205" spans="1:19" s="19" customFormat="1">
      <c r="A205" s="18"/>
      <c r="C205" s="20"/>
      <c r="D205" s="21"/>
      <c r="E205" s="26"/>
      <c r="F205" s="22"/>
      <c r="G205" s="23"/>
      <c r="H205" s="22"/>
      <c r="I205" s="23"/>
      <c r="J205" s="24"/>
      <c r="K205" s="21"/>
      <c r="L205" s="25"/>
      <c r="M205" s="25"/>
      <c r="N205" s="22"/>
      <c r="O205" s="23"/>
      <c r="P205" s="20"/>
      <c r="Q205" s="23"/>
      <c r="R205" s="24"/>
      <c r="S205" s="24"/>
    </row>
    <row r="206" spans="1:19" s="19" customFormat="1">
      <c r="A206" s="18" t="s">
        <v>179</v>
      </c>
      <c r="B206" s="19" t="s">
        <v>18</v>
      </c>
      <c r="C206" s="20"/>
      <c r="D206" s="21" t="s">
        <v>158</v>
      </c>
      <c r="E206" s="26"/>
      <c r="F206" s="22">
        <v>12</v>
      </c>
      <c r="G206" s="23" t="s">
        <v>33</v>
      </c>
      <c r="H206" s="22">
        <v>12</v>
      </c>
      <c r="I206" s="23" t="s">
        <v>158</v>
      </c>
      <c r="J206" s="24">
        <v>18600</v>
      </c>
      <c r="K206" s="21" t="s">
        <v>158</v>
      </c>
      <c r="L206" s="25">
        <v>0.125</v>
      </c>
      <c r="M206" s="25">
        <v>0.05</v>
      </c>
      <c r="N206" s="22"/>
      <c r="O206" s="23" t="s">
        <v>158</v>
      </c>
      <c r="P206" s="20">
        <f>(C206+(E206*F206*H206))-N206</f>
        <v>0</v>
      </c>
      <c r="Q206" s="23" t="s">
        <v>158</v>
      </c>
      <c r="R206" s="24">
        <f>P206*(J206-(J206*L206)-((J206-(J206*L206))*M206))</f>
        <v>0</v>
      </c>
      <c r="S206" s="24">
        <f t="shared" si="24"/>
        <v>0</v>
      </c>
    </row>
    <row r="207" spans="1:19" s="19" customFormat="1">
      <c r="A207" s="18" t="s">
        <v>180</v>
      </c>
      <c r="B207" s="19" t="s">
        <v>18</v>
      </c>
      <c r="C207" s="20"/>
      <c r="D207" s="21" t="s">
        <v>158</v>
      </c>
      <c r="E207" s="26"/>
      <c r="F207" s="22">
        <v>12</v>
      </c>
      <c r="G207" s="23" t="s">
        <v>33</v>
      </c>
      <c r="H207" s="22">
        <v>12</v>
      </c>
      <c r="I207" s="23" t="s">
        <v>158</v>
      </c>
      <c r="J207" s="24">
        <v>23900</v>
      </c>
      <c r="K207" s="21" t="s">
        <v>158</v>
      </c>
      <c r="L207" s="25">
        <v>0.125</v>
      </c>
      <c r="M207" s="25">
        <v>0.05</v>
      </c>
      <c r="N207" s="22"/>
      <c r="O207" s="23" t="s">
        <v>158</v>
      </c>
      <c r="P207" s="20">
        <f>(C207+(E207*F207*H207))-N207</f>
        <v>0</v>
      </c>
      <c r="Q207" s="23" t="s">
        <v>158</v>
      </c>
      <c r="R207" s="24">
        <f>P207*(J207-(J207*L207)-((J207-(J207*L207))*M207))</f>
        <v>0</v>
      </c>
      <c r="S207" s="24">
        <f t="shared" si="24"/>
        <v>0</v>
      </c>
    </row>
    <row r="208" spans="1:19" s="19" customFormat="1">
      <c r="A208" s="18" t="s">
        <v>181</v>
      </c>
      <c r="B208" s="19" t="s">
        <v>18</v>
      </c>
      <c r="C208" s="20"/>
      <c r="D208" s="21" t="s">
        <v>158</v>
      </c>
      <c r="E208" s="26"/>
      <c r="F208" s="22">
        <v>12</v>
      </c>
      <c r="G208" s="23" t="s">
        <v>33</v>
      </c>
      <c r="H208" s="22">
        <v>6</v>
      </c>
      <c r="I208" s="23" t="s">
        <v>158</v>
      </c>
      <c r="J208" s="24">
        <v>48000</v>
      </c>
      <c r="K208" s="21" t="s">
        <v>158</v>
      </c>
      <c r="L208" s="25">
        <v>0.125</v>
      </c>
      <c r="M208" s="25">
        <v>0.05</v>
      </c>
      <c r="N208" s="22"/>
      <c r="O208" s="23" t="s">
        <v>158</v>
      </c>
      <c r="P208" s="20">
        <f>(C208+(E208*F208*H208))-N208</f>
        <v>0</v>
      </c>
      <c r="Q208" s="23" t="s">
        <v>158</v>
      </c>
      <c r="R208" s="24">
        <f>P208*(J208-(J208*L208)-((J208-(J208*L208))*M208))</f>
        <v>0</v>
      </c>
      <c r="S208" s="24">
        <f t="shared" si="24"/>
        <v>0</v>
      </c>
    </row>
    <row r="209" spans="1:19" s="19" customFormat="1">
      <c r="A209" s="18"/>
      <c r="C209" s="20"/>
      <c r="D209" s="21"/>
      <c r="E209" s="26"/>
      <c r="F209" s="22"/>
      <c r="G209" s="23"/>
      <c r="H209" s="22"/>
      <c r="I209" s="23"/>
      <c r="J209" s="24"/>
      <c r="K209" s="21"/>
      <c r="L209" s="25"/>
      <c r="M209" s="25"/>
      <c r="N209" s="22"/>
      <c r="O209" s="23"/>
      <c r="P209" s="20"/>
      <c r="Q209" s="23"/>
      <c r="R209" s="24"/>
      <c r="S209" s="24"/>
    </row>
    <row r="210" spans="1:19" s="19" customFormat="1">
      <c r="A210" s="18" t="s">
        <v>182</v>
      </c>
      <c r="B210" s="19" t="s">
        <v>25</v>
      </c>
      <c r="C210" s="20"/>
      <c r="D210" s="21" t="s">
        <v>158</v>
      </c>
      <c r="E210" s="26"/>
      <c r="F210" s="22">
        <v>12</v>
      </c>
      <c r="G210" s="23" t="s">
        <v>42</v>
      </c>
      <c r="H210" s="22">
        <v>12</v>
      </c>
      <c r="I210" s="23" t="s">
        <v>158</v>
      </c>
      <c r="J210" s="24">
        <f>2592000/12/12</f>
        <v>18000</v>
      </c>
      <c r="K210" s="21" t="s">
        <v>158</v>
      </c>
      <c r="L210" s="25"/>
      <c r="M210" s="25">
        <v>0.17</v>
      </c>
      <c r="N210" s="22"/>
      <c r="O210" s="23" t="s">
        <v>158</v>
      </c>
      <c r="P210" s="20">
        <f>(C210+(E210*F210*H210))-N210</f>
        <v>0</v>
      </c>
      <c r="Q210" s="23" t="s">
        <v>158</v>
      </c>
      <c r="R210" s="24">
        <f>P210*(J210-(J210*L210)-((J210-(J210*L210))*M210))</f>
        <v>0</v>
      </c>
      <c r="S210" s="24">
        <f t="shared" si="24"/>
        <v>0</v>
      </c>
    </row>
    <row r="211" spans="1:19" s="19" customFormat="1">
      <c r="A211" s="18" t="s">
        <v>183</v>
      </c>
      <c r="B211" s="19" t="s">
        <v>25</v>
      </c>
      <c r="C211" s="20"/>
      <c r="D211" s="21" t="s">
        <v>158</v>
      </c>
      <c r="E211" s="26"/>
      <c r="F211" s="22">
        <v>8</v>
      </c>
      <c r="G211" s="23" t="s">
        <v>42</v>
      </c>
      <c r="H211" s="22">
        <v>12</v>
      </c>
      <c r="I211" s="23" t="s">
        <v>158</v>
      </c>
      <c r="J211" s="24">
        <v>24500</v>
      </c>
      <c r="K211" s="21" t="s">
        <v>158</v>
      </c>
      <c r="L211" s="25"/>
      <c r="M211" s="25">
        <v>0.17</v>
      </c>
      <c r="N211" s="22"/>
      <c r="O211" s="23" t="s">
        <v>158</v>
      </c>
      <c r="P211" s="20">
        <f>(C211+(E211*F211*H211))-N211</f>
        <v>0</v>
      </c>
      <c r="Q211" s="23" t="s">
        <v>158</v>
      </c>
      <c r="R211" s="24">
        <f>P211*(J211-(J211*L211)-((J211-(J211*L211))*M211))</f>
        <v>0</v>
      </c>
      <c r="S211" s="24">
        <f t="shared" si="24"/>
        <v>0</v>
      </c>
    </row>
    <row r="212" spans="1:19" s="19" customFormat="1">
      <c r="A212" s="18" t="s">
        <v>184</v>
      </c>
      <c r="B212" s="19" t="s">
        <v>25</v>
      </c>
      <c r="C212" s="20"/>
      <c r="D212" s="21" t="s">
        <v>158</v>
      </c>
      <c r="E212" s="26"/>
      <c r="F212" s="22">
        <v>12</v>
      </c>
      <c r="G212" s="23" t="s">
        <v>42</v>
      </c>
      <c r="H212" s="22">
        <v>12</v>
      </c>
      <c r="I212" s="23" t="s">
        <v>158</v>
      </c>
      <c r="J212" s="24">
        <f>3888000/144</f>
        <v>27000</v>
      </c>
      <c r="K212" s="21" t="s">
        <v>158</v>
      </c>
      <c r="L212" s="25">
        <v>0.05</v>
      </c>
      <c r="M212" s="25">
        <v>0.17</v>
      </c>
      <c r="N212" s="22"/>
      <c r="O212" s="23" t="s">
        <v>158</v>
      </c>
      <c r="P212" s="20">
        <f>(C212+(E212*F212*H212))-N212</f>
        <v>0</v>
      </c>
      <c r="Q212" s="23" t="s">
        <v>158</v>
      </c>
      <c r="R212" s="24">
        <f>P212*(J212-(J212*L212)-((J212-(J212*L212))*M212))</f>
        <v>0</v>
      </c>
      <c r="S212" s="24">
        <f t="shared" si="24"/>
        <v>0</v>
      </c>
    </row>
    <row r="213" spans="1:19" s="19" customFormat="1">
      <c r="A213" s="18" t="s">
        <v>185</v>
      </c>
      <c r="B213" s="19" t="s">
        <v>25</v>
      </c>
      <c r="C213" s="20"/>
      <c r="D213" s="21" t="s">
        <v>158</v>
      </c>
      <c r="E213" s="26"/>
      <c r="F213" s="22">
        <v>6</v>
      </c>
      <c r="G213" s="23" t="s">
        <v>42</v>
      </c>
      <c r="H213" s="22">
        <v>12</v>
      </c>
      <c r="I213" s="23" t="s">
        <v>158</v>
      </c>
      <c r="J213" s="24">
        <v>36000</v>
      </c>
      <c r="K213" s="21" t="s">
        <v>158</v>
      </c>
      <c r="L213" s="25">
        <v>0.05</v>
      </c>
      <c r="M213" s="25">
        <v>0.17</v>
      </c>
      <c r="N213" s="22"/>
      <c r="O213" s="23" t="s">
        <v>158</v>
      </c>
      <c r="P213" s="20">
        <f>(C213+(E213*F213*H213))-N213</f>
        <v>0</v>
      </c>
      <c r="Q213" s="23" t="s">
        <v>158</v>
      </c>
      <c r="R213" s="24">
        <f>P213*(J213-(J213*L213)-((J213-(J213*L213))*M213))</f>
        <v>0</v>
      </c>
      <c r="S213" s="24">
        <f t="shared" si="24"/>
        <v>0</v>
      </c>
    </row>
    <row r="214" spans="1:19" s="19" customFormat="1">
      <c r="A214" s="18"/>
      <c r="C214" s="20"/>
      <c r="D214" s="21"/>
      <c r="E214" s="26"/>
      <c r="F214" s="22"/>
      <c r="G214" s="23"/>
      <c r="H214" s="22"/>
      <c r="I214" s="23"/>
      <c r="J214" s="24"/>
      <c r="K214" s="21"/>
      <c r="L214" s="25"/>
      <c r="M214" s="25"/>
      <c r="N214" s="22"/>
      <c r="O214" s="23"/>
      <c r="P214" s="20"/>
      <c r="Q214" s="23"/>
      <c r="R214" s="24"/>
      <c r="S214" s="24"/>
    </row>
    <row r="215" spans="1:19" s="19" customFormat="1">
      <c r="A215" s="88" t="s">
        <v>186</v>
      </c>
      <c r="C215" s="20"/>
      <c r="D215" s="21"/>
      <c r="E215" s="26"/>
      <c r="F215" s="22"/>
      <c r="G215" s="23"/>
      <c r="H215" s="22"/>
      <c r="I215" s="23"/>
      <c r="J215" s="24"/>
      <c r="K215" s="21"/>
      <c r="L215" s="25"/>
      <c r="M215" s="25"/>
      <c r="N215" s="22"/>
      <c r="O215" s="23"/>
      <c r="P215" s="20"/>
      <c r="Q215" s="23"/>
      <c r="R215" s="24"/>
      <c r="S215" s="24"/>
    </row>
    <row r="216" spans="1:19" s="19" customFormat="1">
      <c r="A216" s="18" t="s">
        <v>187</v>
      </c>
      <c r="B216" s="19" t="s">
        <v>188</v>
      </c>
      <c r="C216" s="20"/>
      <c r="D216" s="21" t="s">
        <v>42</v>
      </c>
      <c r="E216" s="26"/>
      <c r="F216" s="22">
        <v>1</v>
      </c>
      <c r="G216" s="23" t="s">
        <v>20</v>
      </c>
      <c r="H216" s="22">
        <v>5</v>
      </c>
      <c r="I216" s="23" t="s">
        <v>42</v>
      </c>
      <c r="J216" s="24">
        <v>475000</v>
      </c>
      <c r="K216" s="21" t="s">
        <v>42</v>
      </c>
      <c r="L216" s="25"/>
      <c r="M216" s="25"/>
      <c r="N216" s="22"/>
      <c r="O216" s="23" t="s">
        <v>42</v>
      </c>
      <c r="P216" s="20">
        <f>(C216+(E216*F216*H216))-N216</f>
        <v>0</v>
      </c>
      <c r="Q216" s="23" t="s">
        <v>42</v>
      </c>
      <c r="R216" s="24">
        <f>P216*(J216-(J216*L216)-((J216-(J216*L216))*M216))</f>
        <v>0</v>
      </c>
      <c r="S216" s="24">
        <f t="shared" si="24"/>
        <v>0</v>
      </c>
    </row>
    <row r="217" spans="1:19" s="19" customFormat="1">
      <c r="A217" s="18"/>
      <c r="C217" s="20"/>
      <c r="D217" s="21"/>
      <c r="E217" s="26"/>
      <c r="F217" s="22"/>
      <c r="G217" s="23"/>
      <c r="H217" s="22"/>
      <c r="I217" s="23"/>
      <c r="J217" s="24"/>
      <c r="K217" s="21"/>
      <c r="L217" s="25"/>
      <c r="M217" s="25"/>
      <c r="N217" s="22"/>
      <c r="O217" s="23"/>
      <c r="P217" s="20"/>
      <c r="Q217" s="23"/>
      <c r="R217" s="24"/>
      <c r="S217" s="24"/>
    </row>
    <row r="218" spans="1:19" s="19" customFormat="1">
      <c r="A218" s="18" t="s">
        <v>722</v>
      </c>
      <c r="B218" s="19" t="s">
        <v>18</v>
      </c>
      <c r="C218" s="20"/>
      <c r="D218" s="21" t="s">
        <v>158</v>
      </c>
      <c r="E218" s="26"/>
      <c r="F218" s="22">
        <v>8</v>
      </c>
      <c r="G218" s="23" t="s">
        <v>33</v>
      </c>
      <c r="H218" s="22">
        <v>12</v>
      </c>
      <c r="I218" s="23" t="s">
        <v>158</v>
      </c>
      <c r="J218" s="24">
        <v>26800</v>
      </c>
      <c r="K218" s="21" t="s">
        <v>158</v>
      </c>
      <c r="L218" s="25">
        <v>0.125</v>
      </c>
      <c r="M218" s="25">
        <v>0.05</v>
      </c>
      <c r="N218" s="22"/>
      <c r="O218" s="23" t="s">
        <v>158</v>
      </c>
      <c r="P218" s="20">
        <f>(C218+(E218*F218*H218))-N218</f>
        <v>0</v>
      </c>
      <c r="Q218" s="23" t="s">
        <v>158</v>
      </c>
      <c r="R218" s="24">
        <f>P218*(J218-(J218*L218)-((J218-(J218*L218))*M218))</f>
        <v>0</v>
      </c>
      <c r="S218" s="24">
        <f t="shared" si="24"/>
        <v>0</v>
      </c>
    </row>
    <row r="219" spans="1:19" s="19" customFormat="1">
      <c r="A219" s="18" t="s">
        <v>189</v>
      </c>
      <c r="B219" s="19" t="s">
        <v>18</v>
      </c>
      <c r="C219" s="20"/>
      <c r="D219" s="21" t="s">
        <v>158</v>
      </c>
      <c r="E219" s="26"/>
      <c r="F219" s="22">
        <v>6</v>
      </c>
      <c r="G219" s="23" t="s">
        <v>33</v>
      </c>
      <c r="H219" s="22">
        <v>12</v>
      </c>
      <c r="I219" s="23" t="s">
        <v>158</v>
      </c>
      <c r="J219" s="24">
        <v>41500</v>
      </c>
      <c r="K219" s="21" t="s">
        <v>158</v>
      </c>
      <c r="L219" s="25">
        <v>0.125</v>
      </c>
      <c r="M219" s="25">
        <v>0.05</v>
      </c>
      <c r="N219" s="22"/>
      <c r="O219" s="23" t="s">
        <v>158</v>
      </c>
      <c r="P219" s="20">
        <f>(C219+(E219*F219*H219))-N219</f>
        <v>0</v>
      </c>
      <c r="Q219" s="23" t="s">
        <v>158</v>
      </c>
      <c r="R219" s="24">
        <f>P219*(J219-(J219*L219)-((J219-(J219*L219))*M219))</f>
        <v>0</v>
      </c>
      <c r="S219" s="24">
        <f t="shared" si="24"/>
        <v>0</v>
      </c>
    </row>
    <row r="220" spans="1:19" s="19" customFormat="1">
      <c r="A220" s="18"/>
      <c r="C220" s="20"/>
      <c r="D220" s="21"/>
      <c r="E220" s="26"/>
      <c r="F220" s="22"/>
      <c r="G220" s="23"/>
      <c r="H220" s="22"/>
      <c r="I220" s="23"/>
      <c r="J220" s="24"/>
      <c r="K220" s="21"/>
      <c r="L220" s="25"/>
      <c r="M220" s="25"/>
      <c r="N220" s="22"/>
      <c r="O220" s="23"/>
      <c r="P220" s="20"/>
      <c r="Q220" s="23"/>
      <c r="R220" s="24"/>
      <c r="S220" s="24"/>
    </row>
    <row r="221" spans="1:19" s="19" customFormat="1" ht="15.75">
      <c r="A221" s="44" t="s">
        <v>190</v>
      </c>
      <c r="C221" s="20"/>
      <c r="D221" s="21"/>
      <c r="E221" s="26"/>
      <c r="F221" s="22"/>
      <c r="G221" s="23"/>
      <c r="H221" s="22"/>
      <c r="I221" s="23"/>
      <c r="J221" s="24"/>
      <c r="K221" s="21"/>
      <c r="L221" s="25"/>
      <c r="M221" s="25"/>
      <c r="N221" s="22"/>
      <c r="O221" s="23"/>
      <c r="P221" s="20"/>
      <c r="Q221" s="23"/>
      <c r="R221" s="24"/>
      <c r="S221" s="24"/>
    </row>
    <row r="222" spans="1:19" s="19" customFormat="1">
      <c r="A222" s="88" t="s">
        <v>191</v>
      </c>
      <c r="C222" s="20"/>
      <c r="D222" s="21"/>
      <c r="E222" s="26"/>
      <c r="F222" s="22"/>
      <c r="G222" s="23"/>
      <c r="H222" s="22"/>
      <c r="I222" s="23"/>
      <c r="J222" s="24"/>
      <c r="K222" s="21"/>
      <c r="L222" s="25"/>
      <c r="M222" s="25"/>
      <c r="N222" s="22"/>
      <c r="O222" s="23"/>
      <c r="P222" s="20"/>
      <c r="Q222" s="23"/>
      <c r="R222" s="24"/>
      <c r="S222" s="24"/>
    </row>
    <row r="223" spans="1:19" s="19" customFormat="1">
      <c r="A223" s="18" t="s">
        <v>700</v>
      </c>
      <c r="B223" s="19" t="s">
        <v>18</v>
      </c>
      <c r="C223" s="20"/>
      <c r="D223" s="21" t="s">
        <v>42</v>
      </c>
      <c r="E223" s="26"/>
      <c r="F223" s="22">
        <v>1</v>
      </c>
      <c r="G223" s="23" t="s">
        <v>20</v>
      </c>
      <c r="H223" s="22">
        <v>24</v>
      </c>
      <c r="I223" s="23" t="s">
        <v>42</v>
      </c>
      <c r="J223" s="24">
        <v>27600</v>
      </c>
      <c r="K223" s="21" t="s">
        <v>42</v>
      </c>
      <c r="L223" s="25">
        <v>0.125</v>
      </c>
      <c r="M223" s="25">
        <v>0.05</v>
      </c>
      <c r="N223" s="22"/>
      <c r="O223" s="23" t="s">
        <v>42</v>
      </c>
      <c r="P223" s="20">
        <f t="shared" ref="P223:P228" si="29">(C223+(E223*F223*H223))-N223</f>
        <v>0</v>
      </c>
      <c r="Q223" s="23" t="s">
        <v>42</v>
      </c>
      <c r="R223" s="24">
        <f t="shared" ref="R223:R228" si="30">P223*(J223-(J223*L223)-((J223-(J223*L223))*M223))</f>
        <v>0</v>
      </c>
      <c r="S223" s="24">
        <f t="shared" ref="S223" si="31">R223/1.11</f>
        <v>0</v>
      </c>
    </row>
    <row r="224" spans="1:19" s="19" customFormat="1">
      <c r="A224" s="18" t="s">
        <v>192</v>
      </c>
      <c r="B224" s="19" t="s">
        <v>18</v>
      </c>
      <c r="C224" s="20"/>
      <c r="D224" s="21" t="s">
        <v>42</v>
      </c>
      <c r="E224" s="26"/>
      <c r="F224" s="22">
        <v>1</v>
      </c>
      <c r="G224" s="23" t="s">
        <v>20</v>
      </c>
      <c r="H224" s="22">
        <v>24</v>
      </c>
      <c r="I224" s="23" t="s">
        <v>42</v>
      </c>
      <c r="J224" s="24">
        <v>73200</v>
      </c>
      <c r="K224" s="21" t="s">
        <v>42</v>
      </c>
      <c r="L224" s="25">
        <v>0.125</v>
      </c>
      <c r="M224" s="25">
        <v>0.05</v>
      </c>
      <c r="N224" s="22"/>
      <c r="O224" s="23" t="s">
        <v>42</v>
      </c>
      <c r="P224" s="20">
        <f t="shared" si="29"/>
        <v>0</v>
      </c>
      <c r="Q224" s="23" t="s">
        <v>42</v>
      </c>
      <c r="R224" s="24">
        <f t="shared" si="30"/>
        <v>0</v>
      </c>
      <c r="S224" s="24">
        <f t="shared" si="24"/>
        <v>0</v>
      </c>
    </row>
    <row r="225" spans="1:19" s="19" customFormat="1">
      <c r="A225" s="18" t="s">
        <v>193</v>
      </c>
      <c r="B225" s="19" t="s">
        <v>18</v>
      </c>
      <c r="C225" s="20"/>
      <c r="D225" s="21" t="s">
        <v>42</v>
      </c>
      <c r="E225" s="26"/>
      <c r="F225" s="22">
        <v>1</v>
      </c>
      <c r="G225" s="23" t="s">
        <v>20</v>
      </c>
      <c r="H225" s="22">
        <v>48</v>
      </c>
      <c r="I225" s="23" t="s">
        <v>42</v>
      </c>
      <c r="J225" s="24">
        <v>51600</v>
      </c>
      <c r="K225" s="21" t="s">
        <v>42</v>
      </c>
      <c r="L225" s="25">
        <v>0.125</v>
      </c>
      <c r="M225" s="25">
        <v>0.05</v>
      </c>
      <c r="N225" s="22"/>
      <c r="O225" s="23" t="s">
        <v>42</v>
      </c>
      <c r="P225" s="20">
        <f t="shared" si="29"/>
        <v>0</v>
      </c>
      <c r="Q225" s="23" t="s">
        <v>42</v>
      </c>
      <c r="R225" s="24">
        <f t="shared" si="30"/>
        <v>0</v>
      </c>
      <c r="S225" s="24">
        <f t="shared" si="24"/>
        <v>0</v>
      </c>
    </row>
    <row r="226" spans="1:19" s="19" customFormat="1">
      <c r="A226" s="18" t="s">
        <v>194</v>
      </c>
      <c r="B226" s="19" t="s">
        <v>18</v>
      </c>
      <c r="C226" s="20"/>
      <c r="D226" s="21" t="s">
        <v>42</v>
      </c>
      <c r="E226" s="26"/>
      <c r="F226" s="22">
        <v>1</v>
      </c>
      <c r="G226" s="23" t="s">
        <v>20</v>
      </c>
      <c r="H226" s="22">
        <v>48</v>
      </c>
      <c r="I226" s="23" t="s">
        <v>42</v>
      </c>
      <c r="J226" s="24">
        <v>55800</v>
      </c>
      <c r="K226" s="21" t="s">
        <v>42</v>
      </c>
      <c r="L226" s="25">
        <v>0.125</v>
      </c>
      <c r="M226" s="25">
        <v>0.05</v>
      </c>
      <c r="N226" s="22"/>
      <c r="O226" s="23" t="s">
        <v>42</v>
      </c>
      <c r="P226" s="20">
        <f t="shared" si="29"/>
        <v>0</v>
      </c>
      <c r="Q226" s="23" t="s">
        <v>42</v>
      </c>
      <c r="R226" s="24">
        <f t="shared" si="30"/>
        <v>0</v>
      </c>
      <c r="S226" s="24">
        <f t="shared" si="24"/>
        <v>0</v>
      </c>
    </row>
    <row r="227" spans="1:19" s="19" customFormat="1">
      <c r="A227" s="18" t="s">
        <v>721</v>
      </c>
      <c r="B227" s="19" t="s">
        <v>18</v>
      </c>
      <c r="C227" s="20"/>
      <c r="D227" s="21" t="s">
        <v>42</v>
      </c>
      <c r="E227" s="26"/>
      <c r="F227" s="22">
        <v>1</v>
      </c>
      <c r="G227" s="23" t="s">
        <v>20</v>
      </c>
      <c r="H227" s="22">
        <f>288/12</f>
        <v>24</v>
      </c>
      <c r="I227" s="23" t="s">
        <v>42</v>
      </c>
      <c r="J227" s="24">
        <f>10600*12</f>
        <v>127200</v>
      </c>
      <c r="K227" s="21" t="s">
        <v>42</v>
      </c>
      <c r="L227" s="25">
        <v>0.125</v>
      </c>
      <c r="M227" s="25">
        <v>0.05</v>
      </c>
      <c r="N227" s="22"/>
      <c r="O227" s="23" t="s">
        <v>42</v>
      </c>
      <c r="P227" s="20">
        <f t="shared" si="29"/>
        <v>0</v>
      </c>
      <c r="Q227" s="23" t="s">
        <v>42</v>
      </c>
      <c r="R227" s="24">
        <f t="shared" si="30"/>
        <v>0</v>
      </c>
      <c r="S227" s="24">
        <f t="shared" si="24"/>
        <v>0</v>
      </c>
    </row>
    <row r="228" spans="1:19" s="19" customFormat="1">
      <c r="A228" s="18" t="s">
        <v>195</v>
      </c>
      <c r="B228" s="19" t="s">
        <v>18</v>
      </c>
      <c r="C228" s="20"/>
      <c r="D228" s="21" t="s">
        <v>42</v>
      </c>
      <c r="E228" s="26"/>
      <c r="F228" s="22">
        <v>1</v>
      </c>
      <c r="G228" s="23" t="s">
        <v>20</v>
      </c>
      <c r="H228" s="22">
        <v>24</v>
      </c>
      <c r="I228" s="23" t="s">
        <v>42</v>
      </c>
      <c r="J228" s="24">
        <v>162000</v>
      </c>
      <c r="K228" s="21" t="s">
        <v>42</v>
      </c>
      <c r="L228" s="25">
        <v>0.125</v>
      </c>
      <c r="M228" s="25">
        <v>0.05</v>
      </c>
      <c r="N228" s="22"/>
      <c r="O228" s="23" t="s">
        <v>42</v>
      </c>
      <c r="P228" s="20">
        <f t="shared" si="29"/>
        <v>0</v>
      </c>
      <c r="Q228" s="23" t="s">
        <v>42</v>
      </c>
      <c r="R228" s="24">
        <f t="shared" si="30"/>
        <v>0</v>
      </c>
      <c r="S228" s="24">
        <f t="shared" si="24"/>
        <v>0</v>
      </c>
    </row>
    <row r="229" spans="1:19" s="19" customFormat="1">
      <c r="A229" s="18"/>
      <c r="C229" s="20"/>
      <c r="D229" s="21"/>
      <c r="E229" s="26"/>
      <c r="F229" s="22"/>
      <c r="G229" s="23"/>
      <c r="H229" s="22"/>
      <c r="I229" s="23"/>
      <c r="J229" s="24"/>
      <c r="K229" s="21"/>
      <c r="L229" s="25"/>
      <c r="M229" s="25"/>
      <c r="N229" s="22"/>
      <c r="O229" s="23"/>
      <c r="P229" s="20"/>
      <c r="Q229" s="23"/>
      <c r="R229" s="24"/>
      <c r="S229" s="24"/>
    </row>
    <row r="230" spans="1:19" s="19" customFormat="1">
      <c r="A230" s="18" t="s">
        <v>196</v>
      </c>
      <c r="B230" s="19" t="s">
        <v>25</v>
      </c>
      <c r="C230" s="20"/>
      <c r="D230" s="21" t="s">
        <v>42</v>
      </c>
      <c r="E230" s="26"/>
      <c r="F230" s="22">
        <v>1</v>
      </c>
      <c r="G230" s="23" t="s">
        <v>20</v>
      </c>
      <c r="H230" s="22">
        <v>30</v>
      </c>
      <c r="I230" s="23" t="s">
        <v>42</v>
      </c>
      <c r="J230" s="24">
        <f>1566000/30</f>
        <v>52200</v>
      </c>
      <c r="K230" s="21" t="s">
        <v>42</v>
      </c>
      <c r="L230" s="25"/>
      <c r="M230" s="25">
        <v>0.17</v>
      </c>
      <c r="N230" s="22"/>
      <c r="O230" s="23" t="s">
        <v>42</v>
      </c>
      <c r="P230" s="20">
        <f>(C230+(E230*F230*H230))-N230</f>
        <v>0</v>
      </c>
      <c r="Q230" s="23" t="s">
        <v>42</v>
      </c>
      <c r="R230" s="24">
        <f>P230*(J230-(J230*L230)-((J230-(J230*L230))*M230))</f>
        <v>0</v>
      </c>
      <c r="S230" s="24">
        <f t="shared" si="24"/>
        <v>0</v>
      </c>
    </row>
    <row r="231" spans="1:19" s="19" customFormat="1">
      <c r="A231" s="18" t="s">
        <v>197</v>
      </c>
      <c r="B231" s="19" t="s">
        <v>25</v>
      </c>
      <c r="C231" s="20"/>
      <c r="D231" s="21" t="s">
        <v>42</v>
      </c>
      <c r="E231" s="26"/>
      <c r="F231" s="22">
        <v>1</v>
      </c>
      <c r="G231" s="23" t="s">
        <v>20</v>
      </c>
      <c r="H231" s="22">
        <v>30</v>
      </c>
      <c r="I231" s="23" t="s">
        <v>42</v>
      </c>
      <c r="J231" s="24">
        <f>1710000/30</f>
        <v>57000</v>
      </c>
      <c r="K231" s="21" t="s">
        <v>42</v>
      </c>
      <c r="L231" s="25"/>
      <c r="M231" s="25">
        <v>0.17</v>
      </c>
      <c r="N231" s="22"/>
      <c r="O231" s="23" t="s">
        <v>42</v>
      </c>
      <c r="P231" s="20">
        <f>(C231+(E231*F231*H231))-N231</f>
        <v>0</v>
      </c>
      <c r="Q231" s="23" t="s">
        <v>42</v>
      </c>
      <c r="R231" s="24">
        <f>P231*(J231-(J231*L231)-((J231-(J231*L231))*M231))</f>
        <v>0</v>
      </c>
      <c r="S231" s="24">
        <f t="shared" si="24"/>
        <v>0</v>
      </c>
    </row>
    <row r="232" spans="1:19" s="19" customFormat="1">
      <c r="A232" s="18" t="s">
        <v>198</v>
      </c>
      <c r="B232" s="19" t="s">
        <v>25</v>
      </c>
      <c r="C232" s="20"/>
      <c r="D232" s="21" t="s">
        <v>42</v>
      </c>
      <c r="E232" s="26"/>
      <c r="F232" s="22">
        <v>1</v>
      </c>
      <c r="G232" s="23" t="s">
        <v>20</v>
      </c>
      <c r="H232" s="22">
        <v>20</v>
      </c>
      <c r="I232" s="23" t="s">
        <v>42</v>
      </c>
      <c r="J232" s="24">
        <f>2952000/20</f>
        <v>147600</v>
      </c>
      <c r="K232" s="21" t="s">
        <v>42</v>
      </c>
      <c r="L232" s="25"/>
      <c r="M232" s="25">
        <v>0.17</v>
      </c>
      <c r="N232" s="22"/>
      <c r="O232" s="23" t="s">
        <v>42</v>
      </c>
      <c r="P232" s="20">
        <f>(C232+(E232*F232*H232))-N232</f>
        <v>0</v>
      </c>
      <c r="Q232" s="23" t="s">
        <v>42</v>
      </c>
      <c r="R232" s="24">
        <f>P232*(J232-(J232*L232)-((J232-(J232*L232))*M232))</f>
        <v>0</v>
      </c>
      <c r="S232" s="24">
        <f t="shared" si="24"/>
        <v>0</v>
      </c>
    </row>
    <row r="233" spans="1:19" s="19" customFormat="1">
      <c r="A233" s="18"/>
      <c r="C233" s="20"/>
      <c r="D233" s="21"/>
      <c r="E233" s="26"/>
      <c r="F233" s="22"/>
      <c r="G233" s="23"/>
      <c r="H233" s="22"/>
      <c r="I233" s="23"/>
      <c r="J233" s="24"/>
      <c r="K233" s="21"/>
      <c r="L233" s="25"/>
      <c r="M233" s="25"/>
      <c r="N233" s="22"/>
      <c r="O233" s="23"/>
      <c r="P233" s="20"/>
      <c r="Q233" s="23"/>
      <c r="R233" s="24"/>
      <c r="S233" s="24"/>
    </row>
    <row r="234" spans="1:19" s="19" customFormat="1">
      <c r="A234" s="18" t="s">
        <v>671</v>
      </c>
      <c r="B234" s="19" t="s">
        <v>605</v>
      </c>
      <c r="C234" s="20"/>
      <c r="D234" s="21" t="s">
        <v>42</v>
      </c>
      <c r="E234" s="26"/>
      <c r="F234" s="22">
        <v>1</v>
      </c>
      <c r="G234" s="23" t="s">
        <v>20</v>
      </c>
      <c r="H234" s="22">
        <v>48</v>
      </c>
      <c r="I234" s="23" t="s">
        <v>42</v>
      </c>
      <c r="J234" s="24">
        <v>60600</v>
      </c>
      <c r="K234" s="21" t="s">
        <v>42</v>
      </c>
      <c r="L234" s="25">
        <v>0.15</v>
      </c>
      <c r="M234" s="25">
        <v>0.03</v>
      </c>
      <c r="N234" s="22"/>
      <c r="O234" s="23" t="s">
        <v>42</v>
      </c>
      <c r="P234" s="20">
        <f>(C234+(E234*F234*H234))-N234</f>
        <v>0</v>
      </c>
      <c r="Q234" s="23" t="s">
        <v>42</v>
      </c>
      <c r="R234" s="24">
        <f>P234*(J234-(J234*L234)-((J234-(J234*L234))*M234))</f>
        <v>0</v>
      </c>
      <c r="S234" s="24">
        <f t="shared" si="24"/>
        <v>0</v>
      </c>
    </row>
    <row r="235" spans="1:19" s="19" customFormat="1">
      <c r="A235" s="18"/>
      <c r="C235" s="20"/>
      <c r="D235" s="21"/>
      <c r="E235" s="26"/>
      <c r="F235" s="22"/>
      <c r="G235" s="23"/>
      <c r="H235" s="22"/>
      <c r="I235" s="23"/>
      <c r="J235" s="24"/>
      <c r="K235" s="21"/>
      <c r="L235" s="25"/>
      <c r="M235" s="25"/>
      <c r="N235" s="22"/>
      <c r="O235" s="23"/>
      <c r="P235" s="20"/>
      <c r="Q235" s="23"/>
      <c r="R235" s="24"/>
      <c r="S235" s="24"/>
    </row>
    <row r="236" spans="1:19" s="19" customFormat="1">
      <c r="A236" s="18" t="s">
        <v>800</v>
      </c>
      <c r="B236" s="18" t="s">
        <v>178</v>
      </c>
      <c r="C236" s="60"/>
      <c r="D236" s="61" t="s">
        <v>42</v>
      </c>
      <c r="E236" s="62"/>
      <c r="F236" s="63">
        <v>1</v>
      </c>
      <c r="G236" s="58" t="s">
        <v>20</v>
      </c>
      <c r="H236" s="63">
        <v>120</v>
      </c>
      <c r="I236" s="58" t="s">
        <v>42</v>
      </c>
      <c r="J236" s="29">
        <v>7500</v>
      </c>
      <c r="K236" s="61" t="s">
        <v>42</v>
      </c>
      <c r="L236" s="64">
        <v>0.05</v>
      </c>
      <c r="M236" s="64"/>
      <c r="N236" s="63"/>
      <c r="O236" s="58" t="s">
        <v>42</v>
      </c>
      <c r="P236" s="60">
        <f>(C236+(E236*F236*H236))-N236</f>
        <v>0</v>
      </c>
      <c r="Q236" s="58" t="s">
        <v>42</v>
      </c>
      <c r="R236" s="29">
        <f>P236*(J236-(J236*L236)-((J236-(J236*L236))*M236))</f>
        <v>0</v>
      </c>
      <c r="S236" s="29">
        <f t="shared" ref="S236:S237" si="32">R236/1.11</f>
        <v>0</v>
      </c>
    </row>
    <row r="237" spans="1:19" s="19" customFormat="1">
      <c r="A237" s="18" t="s">
        <v>806</v>
      </c>
      <c r="B237" s="18" t="s">
        <v>178</v>
      </c>
      <c r="C237" s="60"/>
      <c r="D237" s="61" t="s">
        <v>42</v>
      </c>
      <c r="E237" s="62"/>
      <c r="F237" s="63">
        <v>1</v>
      </c>
      <c r="G237" s="58" t="s">
        <v>20</v>
      </c>
      <c r="H237" s="63">
        <v>20</v>
      </c>
      <c r="I237" s="58" t="s">
        <v>42</v>
      </c>
      <c r="J237" s="29">
        <f>5500*12</f>
        <v>66000</v>
      </c>
      <c r="K237" s="61" t="s">
        <v>42</v>
      </c>
      <c r="L237" s="64">
        <v>0.05</v>
      </c>
      <c r="M237" s="64"/>
      <c r="N237" s="63"/>
      <c r="O237" s="58" t="s">
        <v>42</v>
      </c>
      <c r="P237" s="60">
        <f>(C237+(E237*F237*H237))-N237</f>
        <v>0</v>
      </c>
      <c r="Q237" s="58" t="s">
        <v>42</v>
      </c>
      <c r="R237" s="29">
        <f>P237*(J237-(J237*L237)-((J237-(J237*L237))*M237))</f>
        <v>0</v>
      </c>
      <c r="S237" s="29">
        <f t="shared" si="32"/>
        <v>0</v>
      </c>
    </row>
    <row r="238" spans="1:19" s="19" customFormat="1">
      <c r="A238" s="18"/>
      <c r="C238" s="20"/>
      <c r="D238" s="21"/>
      <c r="E238" s="26"/>
      <c r="F238" s="22"/>
      <c r="G238" s="23"/>
      <c r="H238" s="22"/>
      <c r="I238" s="23"/>
      <c r="J238" s="24"/>
      <c r="K238" s="21"/>
      <c r="L238" s="25"/>
      <c r="M238" s="25"/>
      <c r="N238" s="22"/>
      <c r="O238" s="23"/>
      <c r="P238" s="20"/>
      <c r="Q238" s="23"/>
      <c r="R238" s="24"/>
      <c r="S238" s="24"/>
    </row>
    <row r="239" spans="1:19" s="19" customFormat="1">
      <c r="A239" s="88" t="s">
        <v>199</v>
      </c>
      <c r="C239" s="20"/>
      <c r="D239" s="21"/>
      <c r="E239" s="26"/>
      <c r="F239" s="22"/>
      <c r="G239" s="23"/>
      <c r="H239" s="22"/>
      <c r="I239" s="23"/>
      <c r="J239" s="24"/>
      <c r="K239" s="21"/>
      <c r="L239" s="25"/>
      <c r="M239" s="25"/>
      <c r="N239" s="22"/>
      <c r="O239" s="23"/>
      <c r="P239" s="20"/>
      <c r="Q239" s="23"/>
      <c r="R239" s="24"/>
      <c r="S239" s="24"/>
    </row>
    <row r="240" spans="1:19" s="19" customFormat="1">
      <c r="A240" s="18" t="s">
        <v>200</v>
      </c>
      <c r="B240" s="19" t="s">
        <v>18</v>
      </c>
      <c r="C240" s="20"/>
      <c r="D240" s="21" t="s">
        <v>42</v>
      </c>
      <c r="E240" s="26"/>
      <c r="F240" s="22">
        <v>1</v>
      </c>
      <c r="G240" s="23" t="s">
        <v>20</v>
      </c>
      <c r="H240" s="22">
        <v>120</v>
      </c>
      <c r="I240" s="23" t="s">
        <v>42</v>
      </c>
      <c r="J240" s="24">
        <v>24600</v>
      </c>
      <c r="K240" s="21" t="s">
        <v>42</v>
      </c>
      <c r="L240" s="25">
        <v>0.125</v>
      </c>
      <c r="M240" s="25">
        <v>0.05</v>
      </c>
      <c r="N240" s="22"/>
      <c r="O240" s="23" t="s">
        <v>42</v>
      </c>
      <c r="P240" s="20">
        <f>(C240+(E240*F240*H240))-N240</f>
        <v>0</v>
      </c>
      <c r="Q240" s="23" t="s">
        <v>42</v>
      </c>
      <c r="R240" s="24">
        <f>P240*(J240-(J240*L240)-((J240-(J240*L240))*M240))</f>
        <v>0</v>
      </c>
      <c r="S240" s="24">
        <f t="shared" si="24"/>
        <v>0</v>
      </c>
    </row>
    <row r="241" spans="1:19" s="19" customFormat="1">
      <c r="A241" s="18" t="s">
        <v>761</v>
      </c>
      <c r="B241" s="19" t="s">
        <v>18</v>
      </c>
      <c r="C241" s="20"/>
      <c r="D241" s="21" t="s">
        <v>42</v>
      </c>
      <c r="E241" s="26"/>
      <c r="F241" s="22">
        <v>1</v>
      </c>
      <c r="G241" s="23" t="s">
        <v>20</v>
      </c>
      <c r="H241" s="22">
        <v>40</v>
      </c>
      <c r="I241" s="23" t="s">
        <v>42</v>
      </c>
      <c r="J241" s="24">
        <v>49200</v>
      </c>
      <c r="K241" s="21" t="s">
        <v>42</v>
      </c>
      <c r="L241" s="25">
        <v>0.125</v>
      </c>
      <c r="M241" s="25">
        <v>0.05</v>
      </c>
      <c r="N241" s="22"/>
      <c r="O241" s="23" t="s">
        <v>42</v>
      </c>
      <c r="P241" s="20">
        <f>(C241+(E241*F241*H241))-N241</f>
        <v>0</v>
      </c>
      <c r="Q241" s="23" t="s">
        <v>42</v>
      </c>
      <c r="R241" s="24">
        <f>P241*(J241-(J241*L241)-((J241-(J241*L241))*M241))</f>
        <v>0</v>
      </c>
      <c r="S241" s="24">
        <f t="shared" si="24"/>
        <v>0</v>
      </c>
    </row>
    <row r="242" spans="1:19" s="19" customFormat="1">
      <c r="A242" s="18"/>
      <c r="C242" s="20"/>
      <c r="D242" s="21"/>
      <c r="E242" s="26"/>
      <c r="F242" s="22"/>
      <c r="G242" s="23"/>
      <c r="H242" s="22"/>
      <c r="I242" s="23"/>
      <c r="J242" s="24"/>
      <c r="K242" s="21"/>
      <c r="L242" s="25"/>
      <c r="M242" s="25"/>
      <c r="N242" s="22"/>
      <c r="O242" s="23"/>
      <c r="P242" s="20"/>
      <c r="Q242" s="23"/>
      <c r="R242" s="24"/>
      <c r="S242" s="24"/>
    </row>
    <row r="243" spans="1:19" s="19" customFormat="1">
      <c r="A243" s="18" t="s">
        <v>201</v>
      </c>
      <c r="B243" s="19" t="s">
        <v>25</v>
      </c>
      <c r="C243" s="20"/>
      <c r="D243" s="21" t="s">
        <v>42</v>
      </c>
      <c r="E243" s="26"/>
      <c r="F243" s="22">
        <v>1</v>
      </c>
      <c r="G243" s="23" t="s">
        <v>20</v>
      </c>
      <c r="H243" s="22">
        <v>120</v>
      </c>
      <c r="I243" s="23" t="s">
        <v>42</v>
      </c>
      <c r="J243" s="24">
        <f>3888000/120</f>
        <v>32400</v>
      </c>
      <c r="K243" s="21" t="s">
        <v>42</v>
      </c>
      <c r="L243" s="25"/>
      <c r="M243" s="25">
        <v>0.17</v>
      </c>
      <c r="N243" s="22"/>
      <c r="O243" s="23" t="s">
        <v>42</v>
      </c>
      <c r="P243" s="20">
        <f>(C243+(E243*F243*H243))-N243</f>
        <v>0</v>
      </c>
      <c r="Q243" s="23" t="s">
        <v>42</v>
      </c>
      <c r="R243" s="24">
        <f>P243*(J243-(J243*L243)-((J243-(J243*L243))*M243))</f>
        <v>0</v>
      </c>
      <c r="S243" s="24">
        <f t="shared" si="24"/>
        <v>0</v>
      </c>
    </row>
    <row r="244" spans="1:19" s="19" customFormat="1">
      <c r="A244" s="18" t="s">
        <v>202</v>
      </c>
      <c r="B244" s="19" t="s">
        <v>25</v>
      </c>
      <c r="C244" s="20"/>
      <c r="D244" s="21" t="s">
        <v>42</v>
      </c>
      <c r="E244" s="26"/>
      <c r="F244" s="22">
        <v>1</v>
      </c>
      <c r="G244" s="23" t="s">
        <v>20</v>
      </c>
      <c r="H244" s="22">
        <v>60</v>
      </c>
      <c r="I244" s="23" t="s">
        <v>42</v>
      </c>
      <c r="J244" s="24">
        <f>3888000/60</f>
        <v>64800</v>
      </c>
      <c r="K244" s="21" t="s">
        <v>42</v>
      </c>
      <c r="L244" s="25"/>
      <c r="M244" s="25">
        <v>0.17</v>
      </c>
      <c r="N244" s="22"/>
      <c r="O244" s="23" t="s">
        <v>42</v>
      </c>
      <c r="P244" s="20">
        <f>(C244+(E244*F244*H244))-N244</f>
        <v>0</v>
      </c>
      <c r="Q244" s="23" t="s">
        <v>42</v>
      </c>
      <c r="R244" s="24">
        <f>P244*(J244-(J244*L244)-((J244-(J244*L244))*M244))</f>
        <v>0</v>
      </c>
      <c r="S244" s="24">
        <f t="shared" si="24"/>
        <v>0</v>
      </c>
    </row>
    <row r="245" spans="1:19" s="19" customFormat="1">
      <c r="A245" s="18"/>
      <c r="C245" s="20"/>
      <c r="D245" s="21"/>
      <c r="E245" s="26"/>
      <c r="F245" s="22"/>
      <c r="G245" s="23"/>
      <c r="H245" s="22"/>
      <c r="I245" s="23"/>
      <c r="J245" s="24"/>
      <c r="K245" s="21"/>
      <c r="L245" s="25"/>
      <c r="M245" s="25"/>
      <c r="N245" s="22"/>
      <c r="O245" s="23"/>
      <c r="P245" s="20"/>
      <c r="Q245" s="23"/>
      <c r="R245" s="24"/>
      <c r="S245" s="24"/>
    </row>
    <row r="246" spans="1:19" s="19" customFormat="1">
      <c r="A246" s="88" t="s">
        <v>203</v>
      </c>
      <c r="C246" s="20"/>
      <c r="D246" s="21"/>
      <c r="E246" s="26"/>
      <c r="F246" s="22"/>
      <c r="G246" s="23"/>
      <c r="H246" s="22"/>
      <c r="I246" s="23"/>
      <c r="J246" s="24"/>
      <c r="K246" s="21"/>
      <c r="L246" s="25"/>
      <c r="M246" s="25"/>
      <c r="N246" s="22"/>
      <c r="O246" s="23"/>
      <c r="P246" s="20"/>
      <c r="Q246" s="23"/>
      <c r="R246" s="24"/>
      <c r="S246" s="24"/>
    </row>
    <row r="247" spans="1:19" s="19" customFormat="1">
      <c r="A247" s="18" t="s">
        <v>823</v>
      </c>
      <c r="B247" s="19" t="s">
        <v>18</v>
      </c>
      <c r="C247" s="20"/>
      <c r="D247" s="21" t="s">
        <v>19</v>
      </c>
      <c r="E247" s="26"/>
      <c r="F247" s="22">
        <v>1</v>
      </c>
      <c r="G247" s="23" t="s">
        <v>20</v>
      </c>
      <c r="H247" s="22">
        <v>20</v>
      </c>
      <c r="I247" s="23" t="s">
        <v>19</v>
      </c>
      <c r="J247" s="24">
        <v>124000</v>
      </c>
      <c r="K247" s="21" t="s">
        <v>19</v>
      </c>
      <c r="L247" s="25">
        <v>0.125</v>
      </c>
      <c r="M247" s="25">
        <v>0.05</v>
      </c>
      <c r="N247" s="22"/>
      <c r="O247" s="23" t="s">
        <v>19</v>
      </c>
      <c r="P247" s="20">
        <f>(C247+(E247*F247*H247))-N247</f>
        <v>0</v>
      </c>
      <c r="Q247" s="23" t="s">
        <v>19</v>
      </c>
      <c r="R247" s="24">
        <f>P247*(J247-(J247*L247)-((J247-(J247*L247))*M247))</f>
        <v>0</v>
      </c>
      <c r="S247" s="24">
        <f t="shared" ref="S247" si="33">R247/1.11</f>
        <v>0</v>
      </c>
    </row>
    <row r="248" spans="1:19" s="19" customFormat="1">
      <c r="A248" s="18" t="s">
        <v>204</v>
      </c>
      <c r="B248" s="19" t="s">
        <v>18</v>
      </c>
      <c r="C248" s="20"/>
      <c r="D248" s="21" t="s">
        <v>19</v>
      </c>
      <c r="E248" s="26"/>
      <c r="F248" s="22">
        <v>1</v>
      </c>
      <c r="G248" s="23" t="s">
        <v>20</v>
      </c>
      <c r="H248" s="22">
        <v>5</v>
      </c>
      <c r="I248" s="23" t="s">
        <v>19</v>
      </c>
      <c r="J248" s="24">
        <v>214000</v>
      </c>
      <c r="K248" s="21" t="s">
        <v>19</v>
      </c>
      <c r="L248" s="25">
        <v>0.125</v>
      </c>
      <c r="M248" s="25">
        <v>0.05</v>
      </c>
      <c r="N248" s="22"/>
      <c r="O248" s="23" t="s">
        <v>19</v>
      </c>
      <c r="P248" s="20">
        <f>(C248+(E248*F248*H248))-N248</f>
        <v>0</v>
      </c>
      <c r="Q248" s="23" t="s">
        <v>19</v>
      </c>
      <c r="R248" s="24">
        <f>P248*(J248-(J248*L248)-((J248-(J248*L248))*M248))</f>
        <v>0</v>
      </c>
      <c r="S248" s="24">
        <f t="shared" si="24"/>
        <v>0</v>
      </c>
    </row>
    <row r="249" spans="1:19" s="19" customFormat="1">
      <c r="A249" s="18" t="s">
        <v>205</v>
      </c>
      <c r="B249" s="19" t="s">
        <v>18</v>
      </c>
      <c r="C249" s="20"/>
      <c r="D249" s="21" t="s">
        <v>19</v>
      </c>
      <c r="E249" s="26"/>
      <c r="F249" s="22">
        <v>1</v>
      </c>
      <c r="G249" s="23" t="s">
        <v>20</v>
      </c>
      <c r="H249" s="22">
        <v>5</v>
      </c>
      <c r="I249" s="23" t="s">
        <v>19</v>
      </c>
      <c r="J249" s="24">
        <v>219000</v>
      </c>
      <c r="K249" s="21" t="s">
        <v>19</v>
      </c>
      <c r="L249" s="25">
        <v>0.125</v>
      </c>
      <c r="M249" s="25">
        <v>0.05</v>
      </c>
      <c r="N249" s="22"/>
      <c r="O249" s="23" t="s">
        <v>19</v>
      </c>
      <c r="P249" s="20">
        <f>(C249+(E249*F249*H249))-N249</f>
        <v>0</v>
      </c>
      <c r="Q249" s="23" t="s">
        <v>19</v>
      </c>
      <c r="R249" s="24">
        <f>P249*(J249-(J249*L249)-((J249-(J249*L249))*M249))</f>
        <v>0</v>
      </c>
      <c r="S249" s="24">
        <f t="shared" si="24"/>
        <v>0</v>
      </c>
    </row>
    <row r="250" spans="1:19" s="19" customFormat="1">
      <c r="A250" s="18" t="s">
        <v>206</v>
      </c>
      <c r="B250" s="19" t="s">
        <v>18</v>
      </c>
      <c r="C250" s="20"/>
      <c r="D250" s="21" t="s">
        <v>19</v>
      </c>
      <c r="E250" s="26"/>
      <c r="F250" s="22">
        <v>1</v>
      </c>
      <c r="G250" s="23" t="s">
        <v>20</v>
      </c>
      <c r="H250" s="22">
        <v>4</v>
      </c>
      <c r="I250" s="23" t="s">
        <v>19</v>
      </c>
      <c r="J250" s="24">
        <v>291000</v>
      </c>
      <c r="K250" s="21" t="s">
        <v>19</v>
      </c>
      <c r="L250" s="25">
        <v>0.125</v>
      </c>
      <c r="M250" s="25">
        <v>0.05</v>
      </c>
      <c r="N250" s="22"/>
      <c r="O250" s="23" t="s">
        <v>19</v>
      </c>
      <c r="P250" s="20">
        <f>(C250+(E250*F250*H250))-N250</f>
        <v>0</v>
      </c>
      <c r="Q250" s="23" t="s">
        <v>19</v>
      </c>
      <c r="R250" s="24">
        <f>P250*(J250-(J250*L250)-((J250-(J250*L250))*M250))</f>
        <v>0</v>
      </c>
      <c r="S250" s="24">
        <f t="shared" si="24"/>
        <v>0</v>
      </c>
    </row>
    <row r="251" spans="1:19" s="19" customFormat="1">
      <c r="A251" s="18"/>
      <c r="C251" s="20"/>
      <c r="D251" s="21"/>
      <c r="E251" s="26"/>
      <c r="F251" s="22"/>
      <c r="G251" s="23"/>
      <c r="H251" s="22"/>
      <c r="I251" s="23"/>
      <c r="J251" s="24"/>
      <c r="K251" s="21"/>
      <c r="L251" s="25"/>
      <c r="M251" s="25"/>
      <c r="N251" s="22"/>
      <c r="O251" s="23"/>
      <c r="P251" s="20"/>
      <c r="Q251" s="23"/>
      <c r="R251" s="24"/>
      <c r="S251" s="24"/>
    </row>
    <row r="252" spans="1:19" s="19" customFormat="1">
      <c r="A252" s="18" t="s">
        <v>207</v>
      </c>
      <c r="B252" s="19" t="s">
        <v>25</v>
      </c>
      <c r="C252" s="20"/>
      <c r="D252" s="21" t="s">
        <v>19</v>
      </c>
      <c r="E252" s="26"/>
      <c r="F252" s="22">
        <v>1</v>
      </c>
      <c r="G252" s="23" t="s">
        <v>20</v>
      </c>
      <c r="H252" s="22">
        <v>5</v>
      </c>
      <c r="I252" s="23" t="s">
        <v>19</v>
      </c>
      <c r="J252" s="24">
        <f>1125000/5</f>
        <v>225000</v>
      </c>
      <c r="K252" s="21" t="s">
        <v>19</v>
      </c>
      <c r="L252" s="25"/>
      <c r="M252" s="25">
        <v>0.17</v>
      </c>
      <c r="N252" s="22"/>
      <c r="O252" s="23" t="s">
        <v>19</v>
      </c>
      <c r="P252" s="20">
        <f>(C252+(E252*F252*H252))-N252</f>
        <v>0</v>
      </c>
      <c r="Q252" s="23" t="s">
        <v>19</v>
      </c>
      <c r="R252" s="24">
        <f>P252*(J252-(J252*L252)-((J252-(J252*L252))*M252))</f>
        <v>0</v>
      </c>
      <c r="S252" s="24">
        <f t="shared" si="24"/>
        <v>0</v>
      </c>
    </row>
    <row r="253" spans="1:19" s="19" customFormat="1">
      <c r="A253" s="18" t="s">
        <v>208</v>
      </c>
      <c r="B253" s="19" t="s">
        <v>25</v>
      </c>
      <c r="C253" s="20"/>
      <c r="D253" s="21" t="s">
        <v>19</v>
      </c>
      <c r="E253" s="26"/>
      <c r="F253" s="22">
        <v>1</v>
      </c>
      <c r="G253" s="23" t="s">
        <v>20</v>
      </c>
      <c r="H253" s="22">
        <v>5</v>
      </c>
      <c r="I253" s="23" t="s">
        <v>19</v>
      </c>
      <c r="J253" s="24">
        <f>1125000/5</f>
        <v>225000</v>
      </c>
      <c r="K253" s="21" t="s">
        <v>19</v>
      </c>
      <c r="L253" s="25"/>
      <c r="M253" s="25">
        <v>0.17</v>
      </c>
      <c r="N253" s="22"/>
      <c r="O253" s="23" t="s">
        <v>19</v>
      </c>
      <c r="P253" s="20">
        <f>(C253+(E253*F253*H253))-N253</f>
        <v>0</v>
      </c>
      <c r="Q253" s="23" t="s">
        <v>19</v>
      </c>
      <c r="R253" s="24">
        <f>P253*(J253-(J253*L253)-((J253-(J253*L253))*M253))</f>
        <v>0</v>
      </c>
      <c r="S253" s="24">
        <f t="shared" si="24"/>
        <v>0</v>
      </c>
    </row>
    <row r="254" spans="1:19" s="19" customFormat="1">
      <c r="A254" s="18" t="s">
        <v>209</v>
      </c>
      <c r="B254" s="19" t="s">
        <v>25</v>
      </c>
      <c r="C254" s="20"/>
      <c r="D254" s="21" t="s">
        <v>19</v>
      </c>
      <c r="E254" s="26"/>
      <c r="F254" s="22">
        <v>1</v>
      </c>
      <c r="G254" s="23" t="s">
        <v>20</v>
      </c>
      <c r="H254" s="22">
        <v>4</v>
      </c>
      <c r="I254" s="23" t="s">
        <v>19</v>
      </c>
      <c r="J254" s="24">
        <f>1180000/4</f>
        <v>295000</v>
      </c>
      <c r="K254" s="21" t="s">
        <v>19</v>
      </c>
      <c r="L254" s="25"/>
      <c r="M254" s="25">
        <v>0.17</v>
      </c>
      <c r="N254" s="22"/>
      <c r="O254" s="23" t="s">
        <v>19</v>
      </c>
      <c r="P254" s="20">
        <f>(C254+(E254*F254*H254))-N254</f>
        <v>0</v>
      </c>
      <c r="Q254" s="23" t="s">
        <v>19</v>
      </c>
      <c r="R254" s="24">
        <f>P254*(J254-(J254*L254)-((J254-(J254*L254))*M254))</f>
        <v>0</v>
      </c>
      <c r="S254" s="24">
        <f t="shared" ref="S254:S337" si="34">R254/1.11</f>
        <v>0</v>
      </c>
    </row>
    <row r="255" spans="1:19" s="19" customFormat="1">
      <c r="A255" s="18"/>
      <c r="C255" s="20"/>
      <c r="D255" s="21"/>
      <c r="E255" s="26"/>
      <c r="F255" s="22"/>
      <c r="G255" s="23"/>
      <c r="H255" s="22"/>
      <c r="I255" s="23"/>
      <c r="J255" s="24"/>
      <c r="K255" s="21"/>
      <c r="L255" s="25"/>
      <c r="M255" s="25"/>
      <c r="N255" s="22"/>
      <c r="O255" s="23"/>
      <c r="P255" s="20"/>
      <c r="Q255" s="23"/>
      <c r="R255" s="24"/>
      <c r="S255" s="24"/>
    </row>
    <row r="256" spans="1:19" s="19" customFormat="1" ht="15.75">
      <c r="A256" s="44" t="s">
        <v>772</v>
      </c>
      <c r="C256" s="20"/>
      <c r="D256" s="21"/>
      <c r="E256" s="26"/>
      <c r="F256" s="22"/>
      <c r="G256" s="23"/>
      <c r="H256" s="22"/>
      <c r="I256" s="23"/>
      <c r="J256" s="24"/>
      <c r="K256" s="21"/>
      <c r="L256" s="25"/>
      <c r="M256" s="25"/>
      <c r="N256" s="22"/>
      <c r="O256" s="23"/>
      <c r="P256" s="20"/>
      <c r="Q256" s="23"/>
      <c r="R256" s="24"/>
      <c r="S256" s="24"/>
    </row>
    <row r="257" spans="1:19" s="19" customFormat="1">
      <c r="A257" s="18" t="s">
        <v>773</v>
      </c>
      <c r="B257" s="19" t="s">
        <v>605</v>
      </c>
      <c r="C257" s="20"/>
      <c r="D257" s="21" t="s">
        <v>19</v>
      </c>
      <c r="E257" s="26"/>
      <c r="F257" s="22">
        <v>1</v>
      </c>
      <c r="G257" s="23" t="s">
        <v>20</v>
      </c>
      <c r="H257" s="22">
        <v>48</v>
      </c>
      <c r="I257" s="23" t="s">
        <v>19</v>
      </c>
      <c r="J257" s="24">
        <v>53000</v>
      </c>
      <c r="K257" s="21" t="s">
        <v>19</v>
      </c>
      <c r="L257" s="25">
        <v>0.17499999999999999</v>
      </c>
      <c r="M257" s="25">
        <v>1.0999999999999999E-2</v>
      </c>
      <c r="N257" s="22"/>
      <c r="O257" s="23" t="s">
        <v>19</v>
      </c>
      <c r="P257" s="20">
        <f>(C257+(E257*F257*H257))-N257</f>
        <v>0</v>
      </c>
      <c r="Q257" s="23" t="s">
        <v>19</v>
      </c>
      <c r="R257" s="24">
        <f>P257*(J257-(J257*L257)-((J257-(J257*L257))*M257))</f>
        <v>0</v>
      </c>
      <c r="S257" s="24">
        <f t="shared" ref="S257" si="35">R257/1.11</f>
        <v>0</v>
      </c>
    </row>
    <row r="258" spans="1:19" s="19" customFormat="1">
      <c r="A258" s="18"/>
      <c r="C258" s="20"/>
      <c r="D258" s="21"/>
      <c r="E258" s="26"/>
      <c r="F258" s="22"/>
      <c r="G258" s="23"/>
      <c r="H258" s="22"/>
      <c r="I258" s="23"/>
      <c r="J258" s="24"/>
      <c r="K258" s="21"/>
      <c r="L258" s="25"/>
      <c r="M258" s="25"/>
      <c r="N258" s="22"/>
      <c r="O258" s="23"/>
      <c r="P258" s="20"/>
      <c r="Q258" s="23"/>
      <c r="R258" s="24"/>
      <c r="S258" s="24"/>
    </row>
    <row r="259" spans="1:19" s="19" customFormat="1" ht="15.75">
      <c r="A259" s="44" t="s">
        <v>210</v>
      </c>
      <c r="C259" s="20"/>
      <c r="D259" s="21"/>
      <c r="E259" s="26"/>
      <c r="F259" s="22"/>
      <c r="G259" s="23"/>
      <c r="H259" s="22"/>
      <c r="I259" s="23"/>
      <c r="J259" s="24"/>
      <c r="K259" s="21"/>
      <c r="L259" s="25"/>
      <c r="M259" s="25"/>
      <c r="N259" s="22"/>
      <c r="O259" s="23"/>
      <c r="P259" s="20"/>
      <c r="Q259" s="23"/>
      <c r="R259" s="24"/>
      <c r="S259" s="24"/>
    </row>
    <row r="260" spans="1:19" s="19" customFormat="1">
      <c r="A260" s="18" t="s">
        <v>833</v>
      </c>
      <c r="B260" s="19" t="s">
        <v>18</v>
      </c>
      <c r="C260" s="20"/>
      <c r="D260" s="21" t="s">
        <v>19</v>
      </c>
      <c r="E260" s="26"/>
      <c r="F260" s="22">
        <v>8</v>
      </c>
      <c r="G260" s="23" t="s">
        <v>33</v>
      </c>
      <c r="H260" s="22">
        <v>12</v>
      </c>
      <c r="I260" s="23" t="s">
        <v>19</v>
      </c>
      <c r="J260" s="24">
        <v>11500</v>
      </c>
      <c r="K260" s="21" t="s">
        <v>19</v>
      </c>
      <c r="L260" s="25">
        <v>0.125</v>
      </c>
      <c r="M260" s="25">
        <v>0.05</v>
      </c>
      <c r="N260" s="22"/>
      <c r="O260" s="23" t="s">
        <v>19</v>
      </c>
      <c r="P260" s="20">
        <f>(C260+(E260*F260*H260))-N260</f>
        <v>0</v>
      </c>
      <c r="Q260" s="23" t="s">
        <v>19</v>
      </c>
      <c r="R260" s="24">
        <f>P260*(J260-(J260*L260)-((J260-(J260*L260))*M260))</f>
        <v>0</v>
      </c>
      <c r="S260" s="24">
        <f t="shared" ref="S260" si="36">R260/1.11</f>
        <v>0</v>
      </c>
    </row>
    <row r="261" spans="1:19" s="19" customFormat="1">
      <c r="A261" s="18" t="s">
        <v>211</v>
      </c>
      <c r="B261" s="19" t="s">
        <v>18</v>
      </c>
      <c r="C261" s="20"/>
      <c r="D261" s="21" t="s">
        <v>19</v>
      </c>
      <c r="E261" s="26"/>
      <c r="F261" s="22">
        <v>1</v>
      </c>
      <c r="G261" s="23" t="s">
        <v>20</v>
      </c>
      <c r="H261" s="22">
        <v>90</v>
      </c>
      <c r="I261" s="23" t="s">
        <v>19</v>
      </c>
      <c r="J261" s="24">
        <v>24000</v>
      </c>
      <c r="K261" s="21" t="s">
        <v>19</v>
      </c>
      <c r="L261" s="25">
        <v>0.125</v>
      </c>
      <c r="M261" s="25">
        <v>0.05</v>
      </c>
      <c r="N261" s="22"/>
      <c r="O261" s="23" t="s">
        <v>19</v>
      </c>
      <c r="P261" s="20">
        <f>(C261+(E261*F261*H261))-N261</f>
        <v>0</v>
      </c>
      <c r="Q261" s="23" t="s">
        <v>19</v>
      </c>
      <c r="R261" s="24">
        <f>P261*(J261-(J261*L261)-((J261-(J261*L261))*M261))</f>
        <v>0</v>
      </c>
      <c r="S261" s="24">
        <f t="shared" si="34"/>
        <v>0</v>
      </c>
    </row>
    <row r="262" spans="1:19" s="19" customFormat="1">
      <c r="A262" s="18" t="s">
        <v>212</v>
      </c>
      <c r="B262" s="19" t="s">
        <v>18</v>
      </c>
      <c r="C262" s="20"/>
      <c r="D262" s="21" t="s">
        <v>19</v>
      </c>
      <c r="E262" s="26"/>
      <c r="F262" s="22">
        <v>1</v>
      </c>
      <c r="G262" s="23" t="s">
        <v>20</v>
      </c>
      <c r="H262" s="22">
        <v>48</v>
      </c>
      <c r="I262" s="23" t="s">
        <v>19</v>
      </c>
      <c r="J262" s="24">
        <v>24900</v>
      </c>
      <c r="K262" s="21" t="s">
        <v>19</v>
      </c>
      <c r="L262" s="25">
        <v>0.125</v>
      </c>
      <c r="M262" s="25">
        <v>0.05</v>
      </c>
      <c r="N262" s="22"/>
      <c r="O262" s="23" t="s">
        <v>19</v>
      </c>
      <c r="P262" s="20">
        <f>(C262+(E262*F262*H262))-N262</f>
        <v>0</v>
      </c>
      <c r="Q262" s="23" t="s">
        <v>19</v>
      </c>
      <c r="R262" s="24">
        <f>P262*(J262-(J262*L262)-((J262-(J262*L262))*M262))</f>
        <v>0</v>
      </c>
      <c r="S262" s="24">
        <f t="shared" si="34"/>
        <v>0</v>
      </c>
    </row>
    <row r="263" spans="1:19" s="19" customFormat="1">
      <c r="A263" s="18"/>
      <c r="C263" s="20"/>
      <c r="D263" s="21"/>
      <c r="E263" s="26"/>
      <c r="F263" s="22"/>
      <c r="G263" s="23"/>
      <c r="H263" s="22"/>
      <c r="I263" s="23"/>
      <c r="J263" s="24"/>
      <c r="K263" s="21"/>
      <c r="L263" s="25"/>
      <c r="M263" s="25"/>
      <c r="N263" s="22"/>
      <c r="O263" s="23"/>
      <c r="P263" s="20"/>
      <c r="Q263" s="23"/>
      <c r="R263" s="24"/>
      <c r="S263" s="24"/>
    </row>
    <row r="264" spans="1:19" s="19" customFormat="1">
      <c r="A264" s="18" t="s">
        <v>213</v>
      </c>
      <c r="B264" s="19" t="s">
        <v>25</v>
      </c>
      <c r="C264" s="20"/>
      <c r="D264" s="21" t="s">
        <v>19</v>
      </c>
      <c r="E264" s="26"/>
      <c r="F264" s="22">
        <v>1</v>
      </c>
      <c r="G264" s="23" t="s">
        <v>20</v>
      </c>
      <c r="H264" s="22">
        <v>24</v>
      </c>
      <c r="I264" s="23" t="s">
        <v>19</v>
      </c>
      <c r="J264" s="24">
        <f>720000/24</f>
        <v>30000</v>
      </c>
      <c r="K264" s="21" t="s">
        <v>19</v>
      </c>
      <c r="L264" s="25"/>
      <c r="M264" s="25">
        <v>0.17</v>
      </c>
      <c r="N264" s="22"/>
      <c r="O264" s="23" t="s">
        <v>19</v>
      </c>
      <c r="P264" s="20">
        <f>(C264+(E264*F264*H264))-N264</f>
        <v>0</v>
      </c>
      <c r="Q264" s="23" t="s">
        <v>19</v>
      </c>
      <c r="R264" s="24">
        <f>P264*(J264-(J264*L264)-((J264-(J264*L264))*M264))</f>
        <v>0</v>
      </c>
      <c r="S264" s="24">
        <f t="shared" si="34"/>
        <v>0</v>
      </c>
    </row>
    <row r="265" spans="1:19" s="19" customFormat="1">
      <c r="A265" s="18" t="s">
        <v>214</v>
      </c>
      <c r="B265" s="19" t="s">
        <v>25</v>
      </c>
      <c r="C265" s="20"/>
      <c r="D265" s="21" t="s">
        <v>19</v>
      </c>
      <c r="E265" s="26"/>
      <c r="F265" s="22">
        <v>1</v>
      </c>
      <c r="G265" s="23" t="s">
        <v>20</v>
      </c>
      <c r="H265" s="22">
        <v>48</v>
      </c>
      <c r="I265" s="23" t="s">
        <v>19</v>
      </c>
      <c r="J265" s="24">
        <f>1152000/48</f>
        <v>24000</v>
      </c>
      <c r="K265" s="21" t="s">
        <v>19</v>
      </c>
      <c r="L265" s="25"/>
      <c r="M265" s="25">
        <v>0.17</v>
      </c>
      <c r="N265" s="22"/>
      <c r="O265" s="23" t="s">
        <v>19</v>
      </c>
      <c r="P265" s="20">
        <f>(C265+(E265*F265*H265))-N265</f>
        <v>0</v>
      </c>
      <c r="Q265" s="23" t="s">
        <v>19</v>
      </c>
      <c r="R265" s="24">
        <f>P265*(J265-(J265*L265)-((J265-(J265*L265))*M265))</f>
        <v>0</v>
      </c>
      <c r="S265" s="24">
        <f t="shared" si="34"/>
        <v>0</v>
      </c>
    </row>
    <row r="266" spans="1:19" s="19" customFormat="1">
      <c r="A266" s="18"/>
      <c r="C266" s="20"/>
      <c r="D266" s="21"/>
      <c r="E266" s="26"/>
      <c r="F266" s="22"/>
      <c r="G266" s="23"/>
      <c r="H266" s="22"/>
      <c r="I266" s="23"/>
      <c r="J266" s="24"/>
      <c r="K266" s="21"/>
      <c r="L266" s="25"/>
      <c r="M266" s="25"/>
      <c r="N266" s="22"/>
      <c r="O266" s="23"/>
      <c r="P266" s="20"/>
      <c r="Q266" s="23"/>
      <c r="R266" s="24"/>
      <c r="S266" s="24"/>
    </row>
    <row r="267" spans="1:19" s="19" customFormat="1" ht="15.75">
      <c r="A267" s="44" t="s">
        <v>215</v>
      </c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>
      <c r="A268" s="88" t="s">
        <v>792</v>
      </c>
      <c r="C268" s="20"/>
      <c r="D268" s="21"/>
      <c r="E268" s="26"/>
      <c r="F268" s="22"/>
      <c r="G268" s="23"/>
      <c r="H268" s="22"/>
      <c r="I268" s="23"/>
      <c r="J268" s="24"/>
      <c r="K268" s="21"/>
      <c r="L268" s="25"/>
      <c r="M268" s="25"/>
      <c r="N268" s="22"/>
      <c r="O268" s="23"/>
      <c r="P268" s="20"/>
      <c r="Q268" s="23"/>
      <c r="R268" s="24"/>
      <c r="S268" s="24"/>
    </row>
    <row r="269" spans="1:19" s="19" customFormat="1">
      <c r="A269" s="18" t="s">
        <v>793</v>
      </c>
      <c r="B269" s="19" t="s">
        <v>25</v>
      </c>
      <c r="C269" s="20"/>
      <c r="D269" s="21" t="s">
        <v>42</v>
      </c>
      <c r="E269" s="26"/>
      <c r="F269" s="22">
        <v>1</v>
      </c>
      <c r="G269" s="23" t="s">
        <v>20</v>
      </c>
      <c r="H269" s="22">
        <v>40</v>
      </c>
      <c r="I269" s="23" t="s">
        <v>42</v>
      </c>
      <c r="J269" s="24">
        <v>32400</v>
      </c>
      <c r="K269" s="21" t="s">
        <v>42</v>
      </c>
      <c r="L269" s="25"/>
      <c r="M269" s="25">
        <v>0.17</v>
      </c>
      <c r="N269" s="22"/>
      <c r="O269" s="23" t="s">
        <v>42</v>
      </c>
      <c r="P269" s="20">
        <f>(C269+(E269*F269*H269))-N269</f>
        <v>0</v>
      </c>
      <c r="Q269" s="23" t="s">
        <v>42</v>
      </c>
      <c r="R269" s="24">
        <f>P269*(J269-(J269*L269)-((J269-(J269*L269))*M269))</f>
        <v>0</v>
      </c>
      <c r="S269" s="24">
        <f t="shared" ref="S269" si="37">R269/1.11</f>
        <v>0</v>
      </c>
    </row>
    <row r="270" spans="1:19" s="19" customFormat="1">
      <c r="A270" s="18"/>
      <c r="C270" s="20"/>
      <c r="D270" s="21"/>
      <c r="E270" s="26"/>
      <c r="F270" s="22"/>
      <c r="G270" s="23"/>
      <c r="H270" s="22"/>
      <c r="I270" s="23"/>
      <c r="J270" s="24"/>
      <c r="K270" s="21"/>
      <c r="L270" s="25"/>
      <c r="M270" s="25"/>
      <c r="N270" s="22"/>
      <c r="O270" s="23"/>
      <c r="P270" s="20"/>
      <c r="Q270" s="23"/>
      <c r="R270" s="24"/>
      <c r="S270" s="24"/>
    </row>
    <row r="271" spans="1:19" s="19" customFormat="1">
      <c r="A271" s="88" t="s">
        <v>216</v>
      </c>
      <c r="C271" s="20"/>
      <c r="D271" s="21"/>
      <c r="E271" s="26"/>
      <c r="F271" s="22"/>
      <c r="G271" s="23"/>
      <c r="H271" s="22"/>
      <c r="I271" s="23"/>
      <c r="J271" s="24"/>
      <c r="K271" s="21"/>
      <c r="L271" s="25"/>
      <c r="M271" s="25"/>
      <c r="N271" s="22"/>
      <c r="O271" s="23"/>
      <c r="P271" s="20"/>
      <c r="Q271" s="23"/>
      <c r="R271" s="24"/>
      <c r="S271" s="24"/>
    </row>
    <row r="272" spans="1:19" s="19" customFormat="1">
      <c r="A272" s="18" t="s">
        <v>217</v>
      </c>
      <c r="B272" s="19" t="s">
        <v>18</v>
      </c>
      <c r="C272" s="20"/>
      <c r="D272" s="21" t="s">
        <v>19</v>
      </c>
      <c r="E272" s="26"/>
      <c r="F272" s="22">
        <v>1</v>
      </c>
      <c r="G272" s="23" t="s">
        <v>20</v>
      </c>
      <c r="H272" s="22">
        <v>40</v>
      </c>
      <c r="I272" s="23" t="s">
        <v>19</v>
      </c>
      <c r="J272" s="24">
        <v>38500</v>
      </c>
      <c r="K272" s="21" t="s">
        <v>19</v>
      </c>
      <c r="L272" s="25">
        <v>0.125</v>
      </c>
      <c r="M272" s="25">
        <v>0.05</v>
      </c>
      <c r="N272" s="22"/>
      <c r="O272" s="23" t="s">
        <v>19</v>
      </c>
      <c r="P272" s="20">
        <f>(C272+(E272*F272*H272))-N272</f>
        <v>0</v>
      </c>
      <c r="Q272" s="23" t="s">
        <v>19</v>
      </c>
      <c r="R272" s="24">
        <f>P272*(J272-(J272*L272)-((J272-(J272*L272))*M272))</f>
        <v>0</v>
      </c>
      <c r="S272" s="24">
        <f t="shared" si="34"/>
        <v>0</v>
      </c>
    </row>
    <row r="273" spans="1:19" s="19" customFormat="1">
      <c r="A273" s="18"/>
      <c r="C273" s="20"/>
      <c r="D273" s="21"/>
      <c r="E273" s="26"/>
      <c r="F273" s="22"/>
      <c r="G273" s="23"/>
      <c r="H273" s="22"/>
      <c r="I273" s="23"/>
      <c r="J273" s="24"/>
      <c r="K273" s="21"/>
      <c r="L273" s="25"/>
      <c r="M273" s="25"/>
      <c r="N273" s="22"/>
      <c r="O273" s="23"/>
      <c r="P273" s="20"/>
      <c r="Q273" s="23"/>
      <c r="R273" s="24"/>
      <c r="S273" s="24"/>
    </row>
    <row r="274" spans="1:19" s="19" customFormat="1">
      <c r="A274" s="88" t="s">
        <v>218</v>
      </c>
      <c r="C274" s="20"/>
      <c r="D274" s="21"/>
      <c r="E274" s="26"/>
      <c r="F274" s="22"/>
      <c r="G274" s="23"/>
      <c r="H274" s="22"/>
      <c r="I274" s="23"/>
      <c r="J274" s="24"/>
      <c r="K274" s="21"/>
      <c r="L274" s="25"/>
      <c r="M274" s="25"/>
      <c r="N274" s="22"/>
      <c r="O274" s="23"/>
      <c r="P274" s="20"/>
      <c r="Q274" s="23"/>
      <c r="R274" s="24"/>
      <c r="S274" s="24"/>
    </row>
    <row r="275" spans="1:19" s="19" customFormat="1">
      <c r="A275" s="18" t="s">
        <v>762</v>
      </c>
      <c r="B275" s="19" t="s">
        <v>18</v>
      </c>
      <c r="C275" s="20"/>
      <c r="D275" s="21" t="s">
        <v>19</v>
      </c>
      <c r="E275" s="26"/>
      <c r="F275" s="22">
        <v>1</v>
      </c>
      <c r="G275" s="23" t="s">
        <v>20</v>
      </c>
      <c r="H275" s="22">
        <v>48</v>
      </c>
      <c r="I275" s="23" t="s">
        <v>19</v>
      </c>
      <c r="J275" s="24">
        <v>17600</v>
      </c>
      <c r="K275" s="21" t="s">
        <v>19</v>
      </c>
      <c r="L275" s="25">
        <v>0.125</v>
      </c>
      <c r="M275" s="25">
        <v>0.05</v>
      </c>
      <c r="N275" s="22"/>
      <c r="O275" s="23" t="s">
        <v>19</v>
      </c>
      <c r="P275" s="20">
        <f>(C275+(E275*F275*H275))-N275</f>
        <v>0</v>
      </c>
      <c r="Q275" s="23" t="s">
        <v>19</v>
      </c>
      <c r="R275" s="24">
        <f>P275*(J275-(J275*L275)-((J275-(J275*L275))*M275))</f>
        <v>0</v>
      </c>
      <c r="S275" s="24">
        <f t="shared" si="34"/>
        <v>0</v>
      </c>
    </row>
    <row r="276" spans="1:19" s="19" customFormat="1">
      <c r="A276" s="18"/>
      <c r="C276" s="20"/>
      <c r="D276" s="21"/>
      <c r="E276" s="26"/>
      <c r="F276" s="22"/>
      <c r="G276" s="23"/>
      <c r="H276" s="22"/>
      <c r="I276" s="23"/>
      <c r="J276" s="24"/>
      <c r="K276" s="21"/>
      <c r="L276" s="25"/>
      <c r="M276" s="25"/>
      <c r="N276" s="22"/>
      <c r="O276" s="23"/>
      <c r="P276" s="20"/>
      <c r="Q276" s="23"/>
      <c r="R276" s="24"/>
      <c r="S276" s="24"/>
    </row>
    <row r="277" spans="1:19" s="19" customFormat="1" ht="15.75">
      <c r="A277" s="44" t="s">
        <v>219</v>
      </c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9" customFormat="1">
      <c r="A278" s="88" t="s">
        <v>220</v>
      </c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>
      <c r="A279" s="18" t="s">
        <v>221</v>
      </c>
      <c r="B279" s="19" t="s">
        <v>25</v>
      </c>
      <c r="C279" s="20"/>
      <c r="D279" s="21" t="s">
        <v>42</v>
      </c>
      <c r="E279" s="26"/>
      <c r="F279" s="22">
        <v>1</v>
      </c>
      <c r="G279" s="23" t="s">
        <v>20</v>
      </c>
      <c r="H279" s="22">
        <v>50</v>
      </c>
      <c r="I279" s="23" t="s">
        <v>42</v>
      </c>
      <c r="J279" s="24">
        <f>1800000/50</f>
        <v>36000</v>
      </c>
      <c r="K279" s="21" t="s">
        <v>42</v>
      </c>
      <c r="L279" s="25"/>
      <c r="M279" s="25">
        <v>0.17</v>
      </c>
      <c r="N279" s="22"/>
      <c r="O279" s="23" t="s">
        <v>42</v>
      </c>
      <c r="P279" s="20">
        <f t="shared" ref="P279:P285" si="38">(C279+(E279*F279*H279))-N279</f>
        <v>0</v>
      </c>
      <c r="Q279" s="23" t="s">
        <v>42</v>
      </c>
      <c r="R279" s="24">
        <f t="shared" ref="R279:R285" si="39">P279*(J279-(J279*L279)-((J279-(J279*L279))*M279))</f>
        <v>0</v>
      </c>
      <c r="S279" s="24">
        <f t="shared" si="34"/>
        <v>0</v>
      </c>
    </row>
    <row r="280" spans="1:19" s="19" customFormat="1">
      <c r="A280" s="18" t="s">
        <v>780</v>
      </c>
      <c r="B280" s="19" t="s">
        <v>25</v>
      </c>
      <c r="C280" s="20"/>
      <c r="D280" s="21" t="s">
        <v>42</v>
      </c>
      <c r="E280" s="26"/>
      <c r="F280" s="22">
        <v>1</v>
      </c>
      <c r="G280" s="23" t="s">
        <v>20</v>
      </c>
      <c r="H280" s="22">
        <v>25</v>
      </c>
      <c r="I280" s="23" t="s">
        <v>42</v>
      </c>
      <c r="J280" s="24">
        <f>1672500/25</f>
        <v>66900</v>
      </c>
      <c r="K280" s="21" t="s">
        <v>42</v>
      </c>
      <c r="L280" s="25"/>
      <c r="M280" s="25">
        <v>0.17</v>
      </c>
      <c r="N280" s="22"/>
      <c r="O280" s="23" t="s">
        <v>42</v>
      </c>
      <c r="P280" s="20">
        <f t="shared" si="38"/>
        <v>0</v>
      </c>
      <c r="Q280" s="23" t="s">
        <v>42</v>
      </c>
      <c r="R280" s="24">
        <f t="shared" si="39"/>
        <v>0</v>
      </c>
      <c r="S280" s="24">
        <f t="shared" si="34"/>
        <v>0</v>
      </c>
    </row>
    <row r="281" spans="1:19" s="19" customFormat="1">
      <c r="A281" s="18" t="s">
        <v>222</v>
      </c>
      <c r="B281" s="19" t="s">
        <v>25</v>
      </c>
      <c r="C281" s="20"/>
      <c r="D281" s="21" t="s">
        <v>42</v>
      </c>
      <c r="E281" s="26"/>
      <c r="F281" s="22">
        <v>1</v>
      </c>
      <c r="G281" s="23" t="s">
        <v>20</v>
      </c>
      <c r="H281" s="22">
        <v>25</v>
      </c>
      <c r="I281" s="23" t="s">
        <v>42</v>
      </c>
      <c r="J281" s="24">
        <f>2100000/25</f>
        <v>84000</v>
      </c>
      <c r="K281" s="21" t="s">
        <v>42</v>
      </c>
      <c r="L281" s="25"/>
      <c r="M281" s="25">
        <v>0.17</v>
      </c>
      <c r="N281" s="22"/>
      <c r="O281" s="23" t="s">
        <v>42</v>
      </c>
      <c r="P281" s="20">
        <f t="shared" si="38"/>
        <v>0</v>
      </c>
      <c r="Q281" s="23" t="s">
        <v>42</v>
      </c>
      <c r="R281" s="24">
        <f t="shared" si="39"/>
        <v>0</v>
      </c>
      <c r="S281" s="24">
        <f t="shared" si="34"/>
        <v>0</v>
      </c>
    </row>
    <row r="282" spans="1:19" s="19" customFormat="1">
      <c r="A282" s="18" t="s">
        <v>223</v>
      </c>
      <c r="B282" s="19" t="s">
        <v>25</v>
      </c>
      <c r="C282" s="20"/>
      <c r="D282" s="21" t="s">
        <v>42</v>
      </c>
      <c r="E282" s="26"/>
      <c r="F282" s="22">
        <v>1</v>
      </c>
      <c r="G282" s="23" t="s">
        <v>20</v>
      </c>
      <c r="H282" s="22">
        <v>10</v>
      </c>
      <c r="I282" s="23" t="s">
        <v>42</v>
      </c>
      <c r="J282" s="24">
        <f>1632000/10</f>
        <v>163200</v>
      </c>
      <c r="K282" s="21" t="s">
        <v>42</v>
      </c>
      <c r="L282" s="25"/>
      <c r="M282" s="25">
        <v>0.17</v>
      </c>
      <c r="N282" s="22"/>
      <c r="O282" s="23" t="s">
        <v>42</v>
      </c>
      <c r="P282" s="20">
        <f t="shared" si="38"/>
        <v>0</v>
      </c>
      <c r="Q282" s="23" t="s">
        <v>42</v>
      </c>
      <c r="R282" s="24">
        <f t="shared" si="39"/>
        <v>0</v>
      </c>
      <c r="S282" s="24">
        <f t="shared" si="34"/>
        <v>0</v>
      </c>
    </row>
    <row r="283" spans="1:19" s="19" customFormat="1">
      <c r="A283" s="18" t="s">
        <v>224</v>
      </c>
      <c r="B283" s="19" t="s">
        <v>25</v>
      </c>
      <c r="C283" s="20"/>
      <c r="D283" s="21" t="s">
        <v>42</v>
      </c>
      <c r="E283" s="26"/>
      <c r="F283" s="22">
        <v>1</v>
      </c>
      <c r="G283" s="23" t="s">
        <v>20</v>
      </c>
      <c r="H283" s="22">
        <v>10</v>
      </c>
      <c r="I283" s="23" t="s">
        <v>42</v>
      </c>
      <c r="J283" s="24">
        <f>2028000/10</f>
        <v>202800</v>
      </c>
      <c r="K283" s="21" t="s">
        <v>42</v>
      </c>
      <c r="L283" s="25"/>
      <c r="M283" s="25">
        <v>0.17</v>
      </c>
      <c r="N283" s="22"/>
      <c r="O283" s="23" t="s">
        <v>42</v>
      </c>
      <c r="P283" s="20">
        <f t="shared" si="38"/>
        <v>0</v>
      </c>
      <c r="Q283" s="23" t="s">
        <v>42</v>
      </c>
      <c r="R283" s="24">
        <f t="shared" si="39"/>
        <v>0</v>
      </c>
      <c r="S283" s="24">
        <f t="shared" si="34"/>
        <v>0</v>
      </c>
    </row>
    <row r="284" spans="1:19" s="19" customFormat="1">
      <c r="A284" s="18" t="s">
        <v>225</v>
      </c>
      <c r="B284" s="19" t="s">
        <v>25</v>
      </c>
      <c r="C284" s="20"/>
      <c r="D284" s="21" t="s">
        <v>42</v>
      </c>
      <c r="E284" s="26"/>
      <c r="F284" s="22">
        <v>1</v>
      </c>
      <c r="G284" s="23" t="s">
        <v>20</v>
      </c>
      <c r="H284" s="22">
        <v>10</v>
      </c>
      <c r="I284" s="23" t="s">
        <v>42</v>
      </c>
      <c r="J284" s="24">
        <f>2520000/10</f>
        <v>252000</v>
      </c>
      <c r="K284" s="21" t="s">
        <v>42</v>
      </c>
      <c r="L284" s="25"/>
      <c r="M284" s="25">
        <v>0.17</v>
      </c>
      <c r="N284" s="22"/>
      <c r="O284" s="23" t="s">
        <v>42</v>
      </c>
      <c r="P284" s="20">
        <f t="shared" si="38"/>
        <v>0</v>
      </c>
      <c r="Q284" s="23" t="s">
        <v>42</v>
      </c>
      <c r="R284" s="24">
        <f t="shared" si="39"/>
        <v>0</v>
      </c>
      <c r="S284" s="24">
        <f t="shared" si="34"/>
        <v>0</v>
      </c>
    </row>
    <row r="285" spans="1:19" s="19" customFormat="1">
      <c r="A285" s="18" t="s">
        <v>226</v>
      </c>
      <c r="B285" s="19" t="s">
        <v>25</v>
      </c>
      <c r="C285" s="20"/>
      <c r="D285" s="21" t="s">
        <v>19</v>
      </c>
      <c r="E285" s="26"/>
      <c r="F285" s="22">
        <v>10</v>
      </c>
      <c r="G285" s="23" t="s">
        <v>42</v>
      </c>
      <c r="H285" s="22">
        <v>12</v>
      </c>
      <c r="I285" s="23" t="s">
        <v>19</v>
      </c>
      <c r="J285" s="24">
        <f>5220000/10/12</f>
        <v>43500</v>
      </c>
      <c r="K285" s="21" t="s">
        <v>19</v>
      </c>
      <c r="L285" s="25"/>
      <c r="M285" s="25">
        <v>0.17</v>
      </c>
      <c r="N285" s="22"/>
      <c r="O285" s="23" t="s">
        <v>19</v>
      </c>
      <c r="P285" s="20">
        <f t="shared" si="38"/>
        <v>0</v>
      </c>
      <c r="Q285" s="23" t="s">
        <v>19</v>
      </c>
      <c r="R285" s="24">
        <f t="shared" si="39"/>
        <v>0</v>
      </c>
      <c r="S285" s="24">
        <f t="shared" si="34"/>
        <v>0</v>
      </c>
    </row>
    <row r="286" spans="1:19" s="19" customFormat="1">
      <c r="A286" s="18"/>
      <c r="C286" s="20"/>
      <c r="D286" s="21"/>
      <c r="E286" s="26"/>
      <c r="F286" s="22"/>
      <c r="G286" s="23"/>
      <c r="H286" s="22"/>
      <c r="I286" s="23"/>
      <c r="J286" s="24"/>
      <c r="K286" s="21"/>
      <c r="L286" s="25"/>
      <c r="M286" s="25"/>
      <c r="N286" s="22"/>
      <c r="O286" s="23"/>
      <c r="P286" s="20"/>
      <c r="Q286" s="23"/>
      <c r="R286" s="24"/>
      <c r="S286" s="24"/>
    </row>
    <row r="287" spans="1:19" s="19" customFormat="1">
      <c r="A287" s="88" t="s">
        <v>673</v>
      </c>
      <c r="C287" s="20"/>
      <c r="D287" s="21"/>
      <c r="E287" s="26"/>
      <c r="F287" s="22"/>
      <c r="G287" s="23"/>
      <c r="H287" s="22"/>
      <c r="I287" s="23"/>
      <c r="J287" s="24"/>
      <c r="K287" s="21"/>
      <c r="L287" s="25"/>
      <c r="M287" s="25"/>
      <c r="N287" s="22"/>
      <c r="O287" s="23"/>
      <c r="P287" s="20"/>
      <c r="Q287" s="23"/>
      <c r="R287" s="24"/>
      <c r="S287" s="24"/>
    </row>
    <row r="288" spans="1:19" s="19" customFormat="1">
      <c r="A288" s="18" t="s">
        <v>791</v>
      </c>
      <c r="B288" s="19" t="s">
        <v>178</v>
      </c>
      <c r="C288" s="20"/>
      <c r="D288" s="21" t="s">
        <v>42</v>
      </c>
      <c r="E288" s="26"/>
      <c r="F288" s="22">
        <v>20</v>
      </c>
      <c r="G288" s="23" t="s">
        <v>33</v>
      </c>
      <c r="H288" s="22">
        <v>4</v>
      </c>
      <c r="I288" s="23" t="s">
        <v>42</v>
      </c>
      <c r="J288" s="24">
        <f>1400*12</f>
        <v>16800</v>
      </c>
      <c r="K288" s="21" t="s">
        <v>42</v>
      </c>
      <c r="L288" s="25">
        <v>0.05</v>
      </c>
      <c r="M288" s="25"/>
      <c r="N288" s="22"/>
      <c r="O288" s="23" t="s">
        <v>42</v>
      </c>
      <c r="P288" s="20">
        <f>(C288+(E288*F288*H288))-N288</f>
        <v>0</v>
      </c>
      <c r="Q288" s="23" t="s">
        <v>42</v>
      </c>
      <c r="R288" s="24">
        <f>P288*(J288-(J288*L288)-((J288-(J288*L288))*M288))</f>
        <v>0</v>
      </c>
      <c r="S288" s="24">
        <f t="shared" ref="S288" si="40">R288/1.11</f>
        <v>0</v>
      </c>
    </row>
    <row r="289" spans="1:19" s="19" customFormat="1" ht="15.75">
      <c r="A289" s="89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 ht="15.75">
      <c r="A290" s="44" t="s">
        <v>227</v>
      </c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19" customFormat="1">
      <c r="A291" s="18" t="s">
        <v>228</v>
      </c>
      <c r="B291" s="19" t="s">
        <v>18</v>
      </c>
      <c r="C291" s="20"/>
      <c r="D291" s="21" t="s">
        <v>19</v>
      </c>
      <c r="E291" s="26"/>
      <c r="F291" s="22">
        <v>12</v>
      </c>
      <c r="G291" s="23" t="s">
        <v>33</v>
      </c>
      <c r="H291" s="22">
        <v>12</v>
      </c>
      <c r="I291" s="23" t="s">
        <v>19</v>
      </c>
      <c r="J291" s="24">
        <f>52500/12</f>
        <v>4375</v>
      </c>
      <c r="K291" s="21" t="s">
        <v>19</v>
      </c>
      <c r="L291" s="25">
        <v>0.125</v>
      </c>
      <c r="M291" s="25">
        <v>0.05</v>
      </c>
      <c r="N291" s="22"/>
      <c r="O291" s="23" t="s">
        <v>19</v>
      </c>
      <c r="P291" s="20">
        <f t="shared" ref="P291:P302" si="41">(C291+(E291*F291*H291))-N291</f>
        <v>0</v>
      </c>
      <c r="Q291" s="23" t="s">
        <v>19</v>
      </c>
      <c r="R291" s="24">
        <f t="shared" ref="R291:R302" si="42">P291*(J291-(J291*L291)-((J291-(J291*L291))*M291))</f>
        <v>0</v>
      </c>
      <c r="S291" s="24">
        <f t="shared" ref="S291" si="43">R291/1.11</f>
        <v>0</v>
      </c>
    </row>
    <row r="292" spans="1:19" s="19" customFormat="1">
      <c r="A292" s="18" t="s">
        <v>229</v>
      </c>
      <c r="B292" s="19" t="s">
        <v>18</v>
      </c>
      <c r="C292" s="20"/>
      <c r="D292" s="21" t="s">
        <v>19</v>
      </c>
      <c r="E292" s="26"/>
      <c r="F292" s="22">
        <v>12</v>
      </c>
      <c r="G292" s="23" t="s">
        <v>33</v>
      </c>
      <c r="H292" s="22">
        <v>12</v>
      </c>
      <c r="I292" s="23" t="s">
        <v>19</v>
      </c>
      <c r="J292" s="24">
        <v>20500</v>
      </c>
      <c r="K292" s="21" t="s">
        <v>19</v>
      </c>
      <c r="L292" s="25">
        <v>0.125</v>
      </c>
      <c r="M292" s="25">
        <v>0.05</v>
      </c>
      <c r="N292" s="22"/>
      <c r="O292" s="23" t="s">
        <v>19</v>
      </c>
      <c r="P292" s="20">
        <f t="shared" si="41"/>
        <v>0</v>
      </c>
      <c r="Q292" s="23" t="s">
        <v>19</v>
      </c>
      <c r="R292" s="24">
        <f t="shared" si="42"/>
        <v>0</v>
      </c>
      <c r="S292" s="24">
        <f t="shared" si="34"/>
        <v>0</v>
      </c>
    </row>
    <row r="293" spans="1:19" s="19" customFormat="1">
      <c r="A293" s="18" t="s">
        <v>230</v>
      </c>
      <c r="B293" s="19" t="s">
        <v>18</v>
      </c>
      <c r="C293" s="20"/>
      <c r="D293" s="21" t="s">
        <v>19</v>
      </c>
      <c r="E293" s="26"/>
      <c r="F293" s="22">
        <v>12</v>
      </c>
      <c r="G293" s="23" t="s">
        <v>33</v>
      </c>
      <c r="H293" s="22">
        <v>12</v>
      </c>
      <c r="I293" s="23" t="s">
        <v>19</v>
      </c>
      <c r="J293" s="24">
        <v>22000</v>
      </c>
      <c r="K293" s="21" t="s">
        <v>19</v>
      </c>
      <c r="L293" s="25">
        <v>0.125</v>
      </c>
      <c r="M293" s="25">
        <v>0.05</v>
      </c>
      <c r="N293" s="22"/>
      <c r="O293" s="23" t="s">
        <v>19</v>
      </c>
      <c r="P293" s="20">
        <f t="shared" si="41"/>
        <v>0</v>
      </c>
      <c r="Q293" s="23" t="s">
        <v>19</v>
      </c>
      <c r="R293" s="24">
        <f t="shared" si="42"/>
        <v>0</v>
      </c>
      <c r="S293" s="24">
        <f t="shared" si="34"/>
        <v>0</v>
      </c>
    </row>
    <row r="294" spans="1:19" s="19" customFormat="1">
      <c r="A294" s="18" t="s">
        <v>231</v>
      </c>
      <c r="B294" s="19" t="s">
        <v>18</v>
      </c>
      <c r="C294" s="20"/>
      <c r="D294" s="21" t="s">
        <v>19</v>
      </c>
      <c r="E294" s="26"/>
      <c r="F294" s="22">
        <v>12</v>
      </c>
      <c r="G294" s="23" t="s">
        <v>33</v>
      </c>
      <c r="H294" s="22">
        <v>12</v>
      </c>
      <c r="I294" s="23" t="s">
        <v>19</v>
      </c>
      <c r="J294" s="24">
        <v>4350</v>
      </c>
      <c r="K294" s="21" t="s">
        <v>19</v>
      </c>
      <c r="L294" s="25">
        <v>0.125</v>
      </c>
      <c r="M294" s="25">
        <v>0.05</v>
      </c>
      <c r="N294" s="22"/>
      <c r="O294" s="23" t="s">
        <v>19</v>
      </c>
      <c r="P294" s="20">
        <f t="shared" si="41"/>
        <v>0</v>
      </c>
      <c r="Q294" s="23" t="s">
        <v>19</v>
      </c>
      <c r="R294" s="24">
        <f t="shared" si="42"/>
        <v>0</v>
      </c>
      <c r="S294" s="24">
        <f t="shared" si="34"/>
        <v>0</v>
      </c>
    </row>
    <row r="295" spans="1:19" s="19" customFormat="1">
      <c r="A295" s="18" t="s">
        <v>232</v>
      </c>
      <c r="B295" s="19" t="s">
        <v>18</v>
      </c>
      <c r="C295" s="20"/>
      <c r="D295" s="21" t="s">
        <v>19</v>
      </c>
      <c r="E295" s="26"/>
      <c r="F295" s="22">
        <v>12</v>
      </c>
      <c r="G295" s="23" t="s">
        <v>33</v>
      </c>
      <c r="H295" s="22">
        <v>12</v>
      </c>
      <c r="I295" s="23" t="s">
        <v>19</v>
      </c>
      <c r="J295" s="24">
        <v>6500</v>
      </c>
      <c r="K295" s="21" t="s">
        <v>19</v>
      </c>
      <c r="L295" s="25">
        <v>0.125</v>
      </c>
      <c r="M295" s="25">
        <v>0.05</v>
      </c>
      <c r="N295" s="22"/>
      <c r="O295" s="23" t="s">
        <v>19</v>
      </c>
      <c r="P295" s="20">
        <f t="shared" si="41"/>
        <v>0</v>
      </c>
      <c r="Q295" s="23" t="s">
        <v>19</v>
      </c>
      <c r="R295" s="24">
        <f t="shared" si="42"/>
        <v>0</v>
      </c>
      <c r="S295" s="24">
        <f t="shared" si="34"/>
        <v>0</v>
      </c>
    </row>
    <row r="296" spans="1:19" s="19" customFormat="1">
      <c r="A296" s="18" t="s">
        <v>233</v>
      </c>
      <c r="B296" s="19" t="s">
        <v>18</v>
      </c>
      <c r="C296" s="20"/>
      <c r="D296" s="21" t="s">
        <v>19</v>
      </c>
      <c r="E296" s="26"/>
      <c r="F296" s="22">
        <v>12</v>
      </c>
      <c r="G296" s="23" t="s">
        <v>33</v>
      </c>
      <c r="H296" s="22">
        <v>12</v>
      </c>
      <c r="I296" s="23" t="s">
        <v>19</v>
      </c>
      <c r="J296" s="24">
        <v>9750</v>
      </c>
      <c r="K296" s="21" t="s">
        <v>19</v>
      </c>
      <c r="L296" s="25">
        <v>0.125</v>
      </c>
      <c r="M296" s="25">
        <v>0.05</v>
      </c>
      <c r="N296" s="22"/>
      <c r="O296" s="23" t="s">
        <v>19</v>
      </c>
      <c r="P296" s="20">
        <f t="shared" si="41"/>
        <v>0</v>
      </c>
      <c r="Q296" s="23" t="s">
        <v>19</v>
      </c>
      <c r="R296" s="24">
        <f t="shared" si="42"/>
        <v>0</v>
      </c>
      <c r="S296" s="24">
        <f t="shared" si="34"/>
        <v>0</v>
      </c>
    </row>
    <row r="297" spans="1:19" s="19" customFormat="1">
      <c r="A297" s="18" t="s">
        <v>234</v>
      </c>
      <c r="B297" s="19" t="s">
        <v>18</v>
      </c>
      <c r="C297" s="20"/>
      <c r="D297" s="21" t="s">
        <v>19</v>
      </c>
      <c r="E297" s="26"/>
      <c r="F297" s="22">
        <v>6</v>
      </c>
      <c r="G297" s="23" t="s">
        <v>33</v>
      </c>
      <c r="H297" s="22">
        <v>12</v>
      </c>
      <c r="I297" s="23" t="s">
        <v>19</v>
      </c>
      <c r="J297" s="24">
        <v>19200</v>
      </c>
      <c r="K297" s="21" t="s">
        <v>19</v>
      </c>
      <c r="L297" s="25">
        <v>0.125</v>
      </c>
      <c r="M297" s="25">
        <v>0.05</v>
      </c>
      <c r="N297" s="22"/>
      <c r="O297" s="23" t="s">
        <v>19</v>
      </c>
      <c r="P297" s="20">
        <f t="shared" si="41"/>
        <v>0</v>
      </c>
      <c r="Q297" s="23" t="s">
        <v>19</v>
      </c>
      <c r="R297" s="24">
        <f t="shared" si="42"/>
        <v>0</v>
      </c>
      <c r="S297" s="24">
        <f t="shared" si="34"/>
        <v>0</v>
      </c>
    </row>
    <row r="298" spans="1:19" s="19" customFormat="1">
      <c r="A298" s="18" t="s">
        <v>235</v>
      </c>
      <c r="B298" s="19" t="s">
        <v>18</v>
      </c>
      <c r="C298" s="20"/>
      <c r="D298" s="21" t="s">
        <v>19</v>
      </c>
      <c r="E298" s="26"/>
      <c r="F298" s="22">
        <v>12</v>
      </c>
      <c r="G298" s="23" t="s">
        <v>33</v>
      </c>
      <c r="H298" s="22">
        <v>12</v>
      </c>
      <c r="I298" s="23" t="s">
        <v>19</v>
      </c>
      <c r="J298" s="24">
        <v>5900</v>
      </c>
      <c r="K298" s="21" t="s">
        <v>19</v>
      </c>
      <c r="L298" s="25">
        <v>0.125</v>
      </c>
      <c r="M298" s="25">
        <v>0.05</v>
      </c>
      <c r="N298" s="22"/>
      <c r="O298" s="23" t="s">
        <v>19</v>
      </c>
      <c r="P298" s="20">
        <f t="shared" si="41"/>
        <v>0</v>
      </c>
      <c r="Q298" s="23" t="s">
        <v>19</v>
      </c>
      <c r="R298" s="24">
        <f t="shared" si="42"/>
        <v>0</v>
      </c>
      <c r="S298" s="24">
        <f t="shared" si="34"/>
        <v>0</v>
      </c>
    </row>
    <row r="299" spans="1:19" s="19" customFormat="1">
      <c r="A299" s="18" t="s">
        <v>236</v>
      </c>
      <c r="B299" s="19" t="s">
        <v>18</v>
      </c>
      <c r="C299" s="20"/>
      <c r="D299" s="21" t="s">
        <v>19</v>
      </c>
      <c r="E299" s="26"/>
      <c r="F299" s="22">
        <v>12</v>
      </c>
      <c r="G299" s="23" t="s">
        <v>33</v>
      </c>
      <c r="H299" s="22">
        <v>12</v>
      </c>
      <c r="I299" s="23" t="s">
        <v>19</v>
      </c>
      <c r="J299" s="24">
        <v>7700</v>
      </c>
      <c r="K299" s="21" t="s">
        <v>19</v>
      </c>
      <c r="L299" s="25">
        <v>0.125</v>
      </c>
      <c r="M299" s="25">
        <v>0.05</v>
      </c>
      <c r="N299" s="22"/>
      <c r="O299" s="23" t="s">
        <v>19</v>
      </c>
      <c r="P299" s="20">
        <f t="shared" si="41"/>
        <v>0</v>
      </c>
      <c r="Q299" s="23" t="s">
        <v>19</v>
      </c>
      <c r="R299" s="24">
        <f t="shared" si="42"/>
        <v>0</v>
      </c>
      <c r="S299" s="24">
        <f t="shared" si="34"/>
        <v>0</v>
      </c>
    </row>
    <row r="300" spans="1:19" s="19" customFormat="1" ht="15">
      <c r="A300" s="18" t="s">
        <v>237</v>
      </c>
      <c r="B300" s="19" t="s">
        <v>18</v>
      </c>
      <c r="C300" s="65"/>
      <c r="D300" s="21" t="s">
        <v>19</v>
      </c>
      <c r="E300" s="26"/>
      <c r="F300" s="22">
        <v>12</v>
      </c>
      <c r="G300" s="23" t="s">
        <v>33</v>
      </c>
      <c r="H300" s="22">
        <v>12</v>
      </c>
      <c r="I300" s="23" t="s">
        <v>19</v>
      </c>
      <c r="J300" s="24">
        <v>11200</v>
      </c>
      <c r="K300" s="21" t="s">
        <v>19</v>
      </c>
      <c r="L300" s="25">
        <v>0.125</v>
      </c>
      <c r="M300" s="25">
        <v>0.05</v>
      </c>
      <c r="N300" s="22"/>
      <c r="O300" s="23" t="s">
        <v>19</v>
      </c>
      <c r="P300" s="20">
        <f t="shared" si="41"/>
        <v>0</v>
      </c>
      <c r="Q300" s="23" t="s">
        <v>19</v>
      </c>
      <c r="R300" s="24">
        <f t="shared" si="42"/>
        <v>0</v>
      </c>
      <c r="S300" s="24">
        <f t="shared" si="34"/>
        <v>0</v>
      </c>
    </row>
    <row r="301" spans="1:19" s="19" customFormat="1">
      <c r="A301" s="18" t="s">
        <v>238</v>
      </c>
      <c r="B301" s="19" t="s">
        <v>18</v>
      </c>
      <c r="C301" s="20"/>
      <c r="D301" s="21" t="s">
        <v>19</v>
      </c>
      <c r="E301" s="26"/>
      <c r="F301" s="22">
        <v>12</v>
      </c>
      <c r="G301" s="23" t="s">
        <v>33</v>
      </c>
      <c r="H301" s="22">
        <v>12</v>
      </c>
      <c r="I301" s="23" t="s">
        <v>19</v>
      </c>
      <c r="J301" s="24">
        <v>7600</v>
      </c>
      <c r="K301" s="21" t="s">
        <v>19</v>
      </c>
      <c r="L301" s="25">
        <v>0.125</v>
      </c>
      <c r="M301" s="25">
        <v>0.05</v>
      </c>
      <c r="N301" s="22"/>
      <c r="O301" s="23" t="s">
        <v>19</v>
      </c>
      <c r="P301" s="20">
        <f t="shared" si="41"/>
        <v>0</v>
      </c>
      <c r="Q301" s="23" t="s">
        <v>19</v>
      </c>
      <c r="R301" s="24">
        <f t="shared" si="42"/>
        <v>0</v>
      </c>
      <c r="S301" s="24">
        <f t="shared" si="34"/>
        <v>0</v>
      </c>
    </row>
    <row r="302" spans="1:19" s="19" customFormat="1">
      <c r="A302" s="18" t="s">
        <v>239</v>
      </c>
      <c r="B302" s="19" t="s">
        <v>18</v>
      </c>
      <c r="C302" s="20"/>
      <c r="D302" s="21" t="s">
        <v>19</v>
      </c>
      <c r="E302" s="26"/>
      <c r="F302" s="22">
        <v>8</v>
      </c>
      <c r="G302" s="23" t="s">
        <v>33</v>
      </c>
      <c r="H302" s="22">
        <v>6</v>
      </c>
      <c r="I302" s="23" t="s">
        <v>19</v>
      </c>
      <c r="J302" s="24">
        <v>65000</v>
      </c>
      <c r="K302" s="21" t="s">
        <v>19</v>
      </c>
      <c r="L302" s="25">
        <v>0.125</v>
      </c>
      <c r="M302" s="25">
        <v>0.05</v>
      </c>
      <c r="N302" s="22"/>
      <c r="O302" s="23" t="s">
        <v>19</v>
      </c>
      <c r="P302" s="20">
        <f t="shared" si="41"/>
        <v>0</v>
      </c>
      <c r="Q302" s="23" t="s">
        <v>19</v>
      </c>
      <c r="R302" s="24">
        <f t="shared" si="42"/>
        <v>0</v>
      </c>
      <c r="S302" s="24">
        <f t="shared" si="34"/>
        <v>0</v>
      </c>
    </row>
    <row r="303" spans="1:19" s="19" customFormat="1">
      <c r="A303" s="18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>
      <c r="A304" s="18" t="s">
        <v>240</v>
      </c>
      <c r="B304" s="19" t="s">
        <v>25</v>
      </c>
      <c r="C304" s="20"/>
      <c r="D304" s="21" t="s">
        <v>42</v>
      </c>
      <c r="E304" s="26"/>
      <c r="F304" s="22">
        <v>1</v>
      </c>
      <c r="G304" s="23" t="s">
        <v>20</v>
      </c>
      <c r="H304" s="22">
        <v>25</v>
      </c>
      <c r="I304" s="23" t="s">
        <v>42</v>
      </c>
      <c r="J304" s="24">
        <f>1245000/25</f>
        <v>49800</v>
      </c>
      <c r="K304" s="21" t="s">
        <v>42</v>
      </c>
      <c r="L304" s="25"/>
      <c r="M304" s="25">
        <v>0.17</v>
      </c>
      <c r="N304" s="22"/>
      <c r="O304" s="23" t="s">
        <v>42</v>
      </c>
      <c r="P304" s="20">
        <f>(C304+(E304*F304*H304))-N304</f>
        <v>0</v>
      </c>
      <c r="Q304" s="23" t="s">
        <v>42</v>
      </c>
      <c r="R304" s="24">
        <f>P304*(J304-(J304*L304)-((J304-(J304*L304))*M304))</f>
        <v>0</v>
      </c>
      <c r="S304" s="24">
        <f t="shared" si="34"/>
        <v>0</v>
      </c>
    </row>
    <row r="305" spans="1:19" s="19" customFormat="1">
      <c r="A305" s="18" t="s">
        <v>241</v>
      </c>
      <c r="B305" s="19" t="s">
        <v>25</v>
      </c>
      <c r="C305" s="20"/>
      <c r="D305" s="21" t="s">
        <v>42</v>
      </c>
      <c r="E305" s="26"/>
      <c r="F305" s="22">
        <v>1</v>
      </c>
      <c r="G305" s="23" t="s">
        <v>20</v>
      </c>
      <c r="H305" s="22">
        <v>25</v>
      </c>
      <c r="I305" s="23" t="s">
        <v>42</v>
      </c>
      <c r="J305" s="24">
        <f>1890000/25</f>
        <v>75600</v>
      </c>
      <c r="K305" s="21" t="s">
        <v>42</v>
      </c>
      <c r="L305" s="25"/>
      <c r="M305" s="25">
        <v>0.17</v>
      </c>
      <c r="N305" s="22"/>
      <c r="O305" s="23" t="s">
        <v>42</v>
      </c>
      <c r="P305" s="20">
        <f>(C305+(E305*F305*H305))-N305</f>
        <v>0</v>
      </c>
      <c r="Q305" s="23" t="s">
        <v>42</v>
      </c>
      <c r="R305" s="24">
        <f>P305*(J305-(J305*L305)-((J305-(J305*L305))*M305))</f>
        <v>0</v>
      </c>
      <c r="S305" s="24">
        <f t="shared" si="34"/>
        <v>0</v>
      </c>
    </row>
    <row r="306" spans="1:19" s="19" customFormat="1">
      <c r="A306" s="18" t="s">
        <v>242</v>
      </c>
      <c r="B306" s="19" t="s">
        <v>25</v>
      </c>
      <c r="C306" s="20"/>
      <c r="D306" s="21" t="s">
        <v>42</v>
      </c>
      <c r="E306" s="26"/>
      <c r="F306" s="22">
        <v>1</v>
      </c>
      <c r="G306" s="23" t="s">
        <v>20</v>
      </c>
      <c r="H306" s="22">
        <v>10</v>
      </c>
      <c r="I306" s="23" t="s">
        <v>42</v>
      </c>
      <c r="J306" s="24">
        <f>1122000/10</f>
        <v>112200</v>
      </c>
      <c r="K306" s="21" t="s">
        <v>42</v>
      </c>
      <c r="L306" s="25"/>
      <c r="M306" s="25">
        <v>0.17</v>
      </c>
      <c r="N306" s="22"/>
      <c r="O306" s="23" t="s">
        <v>42</v>
      </c>
      <c r="P306" s="20">
        <f>(C306+(E306*F306*H306))-N306</f>
        <v>0</v>
      </c>
      <c r="Q306" s="23" t="s">
        <v>42</v>
      </c>
      <c r="R306" s="24">
        <f>P306*(J306-(J306*L306)-((J306-(J306*L306))*M306))</f>
        <v>0</v>
      </c>
      <c r="S306" s="24">
        <f t="shared" si="34"/>
        <v>0</v>
      </c>
    </row>
    <row r="307" spans="1:19" s="19" customFormat="1">
      <c r="A307" s="18" t="s">
        <v>687</v>
      </c>
      <c r="B307" s="19" t="s">
        <v>25</v>
      </c>
      <c r="C307" s="20"/>
      <c r="D307" s="21" t="s">
        <v>42</v>
      </c>
      <c r="E307" s="26"/>
      <c r="F307" s="22">
        <v>1</v>
      </c>
      <c r="G307" s="23" t="s">
        <v>20</v>
      </c>
      <c r="H307" s="22">
        <v>25</v>
      </c>
      <c r="I307" s="23" t="s">
        <v>42</v>
      </c>
      <c r="J307" s="24">
        <f>2010000/25</f>
        <v>80400</v>
      </c>
      <c r="K307" s="21" t="s">
        <v>42</v>
      </c>
      <c r="L307" s="25"/>
      <c r="M307" s="25">
        <v>0.17</v>
      </c>
      <c r="N307" s="22"/>
      <c r="O307" s="23" t="s">
        <v>42</v>
      </c>
      <c r="P307" s="20">
        <f>(C307+(E307*F307*H307))-N307</f>
        <v>0</v>
      </c>
      <c r="Q307" s="23" t="s">
        <v>42</v>
      </c>
      <c r="R307" s="24">
        <f>P307*(J307-(J307*L307)-((J307-(J307*L307))*M307))</f>
        <v>0</v>
      </c>
      <c r="S307" s="24">
        <f t="shared" si="34"/>
        <v>0</v>
      </c>
    </row>
    <row r="308" spans="1:19" s="19" customFormat="1">
      <c r="A308" s="18" t="s">
        <v>243</v>
      </c>
      <c r="B308" s="19" t="s">
        <v>25</v>
      </c>
      <c r="C308" s="20"/>
      <c r="D308" s="21" t="s">
        <v>42</v>
      </c>
      <c r="E308" s="26"/>
      <c r="F308" s="22">
        <v>1</v>
      </c>
      <c r="G308" s="23" t="s">
        <v>20</v>
      </c>
      <c r="H308" s="22">
        <v>10</v>
      </c>
      <c r="I308" s="23" t="s">
        <v>42</v>
      </c>
      <c r="J308" s="24">
        <f>1260000/10</f>
        <v>126000</v>
      </c>
      <c r="K308" s="21" t="s">
        <v>42</v>
      </c>
      <c r="L308" s="25"/>
      <c r="M308" s="25">
        <v>0.17</v>
      </c>
      <c r="N308" s="22"/>
      <c r="O308" s="23" t="s">
        <v>42</v>
      </c>
      <c r="P308" s="20">
        <f>(C308+(E308*F308*H308))-N308</f>
        <v>0</v>
      </c>
      <c r="Q308" s="23" t="s">
        <v>42</v>
      </c>
      <c r="R308" s="24">
        <f>P308*(J308-(J308*L308)-((J308-(J308*L308))*M308))</f>
        <v>0</v>
      </c>
      <c r="S308" s="24">
        <f t="shared" si="34"/>
        <v>0</v>
      </c>
    </row>
    <row r="309" spans="1:19" s="19" customFormat="1">
      <c r="A309" s="18"/>
      <c r="C309" s="20"/>
      <c r="D309" s="21"/>
      <c r="E309" s="26"/>
      <c r="F309" s="22"/>
      <c r="G309" s="23"/>
      <c r="H309" s="22"/>
      <c r="I309" s="23"/>
      <c r="J309" s="24"/>
      <c r="K309" s="21"/>
      <c r="L309" s="25"/>
      <c r="M309" s="25"/>
      <c r="N309" s="22"/>
      <c r="O309" s="23"/>
      <c r="P309" s="20"/>
      <c r="Q309" s="23"/>
      <c r="R309" s="24"/>
      <c r="S309" s="24"/>
    </row>
    <row r="310" spans="1:19" s="19" customFormat="1" ht="15.75">
      <c r="A310" s="44" t="s">
        <v>244</v>
      </c>
      <c r="C310" s="20"/>
      <c r="D310" s="21"/>
      <c r="E310" s="26"/>
      <c r="F310" s="22"/>
      <c r="G310" s="23"/>
      <c r="H310" s="22"/>
      <c r="I310" s="23"/>
      <c r="J310" s="24"/>
      <c r="K310" s="21"/>
      <c r="L310" s="25"/>
      <c r="M310" s="25"/>
      <c r="N310" s="22"/>
      <c r="O310" s="23"/>
      <c r="P310" s="20"/>
      <c r="Q310" s="23"/>
      <c r="R310" s="24"/>
      <c r="S310" s="24"/>
    </row>
    <row r="311" spans="1:19" s="19" customFormat="1">
      <c r="A311" s="66" t="s">
        <v>245</v>
      </c>
      <c r="B311" s="19" t="s">
        <v>25</v>
      </c>
      <c r="C311" s="20"/>
      <c r="D311" s="21" t="s">
        <v>19</v>
      </c>
      <c r="E311" s="26"/>
      <c r="F311" s="22">
        <v>20</v>
      </c>
      <c r="G311" s="23" t="s">
        <v>33</v>
      </c>
      <c r="H311" s="22">
        <v>10</v>
      </c>
      <c r="I311" s="23" t="s">
        <v>19</v>
      </c>
      <c r="J311" s="24">
        <f>3800000/20/10</f>
        <v>19000</v>
      </c>
      <c r="K311" s="21" t="s">
        <v>19</v>
      </c>
      <c r="L311" s="25"/>
      <c r="M311" s="25">
        <v>0.17</v>
      </c>
      <c r="N311" s="22"/>
      <c r="O311" s="23" t="s">
        <v>19</v>
      </c>
      <c r="P311" s="20">
        <f>(C311+(E311*F311*H311))-N311</f>
        <v>0</v>
      </c>
      <c r="Q311" s="23" t="s">
        <v>19</v>
      </c>
      <c r="R311" s="24">
        <f>P311*(J311-(J311*L311)-((J311-(J311*L311))*M311))</f>
        <v>0</v>
      </c>
      <c r="S311" s="24">
        <f t="shared" si="34"/>
        <v>0</v>
      </c>
    </row>
    <row r="312" spans="1:19" s="19" customFormat="1">
      <c r="A312" s="66" t="s">
        <v>246</v>
      </c>
      <c r="B312" s="19" t="s">
        <v>25</v>
      </c>
      <c r="C312" s="20"/>
      <c r="D312" s="21" t="s">
        <v>19</v>
      </c>
      <c r="E312" s="26"/>
      <c r="F312" s="22">
        <v>20</v>
      </c>
      <c r="G312" s="23" t="s">
        <v>33</v>
      </c>
      <c r="H312" s="22">
        <v>12</v>
      </c>
      <c r="I312" s="23" t="s">
        <v>19</v>
      </c>
      <c r="J312" s="24">
        <f>3120000/20/12</f>
        <v>13000</v>
      </c>
      <c r="K312" s="21" t="s">
        <v>19</v>
      </c>
      <c r="L312" s="25"/>
      <c r="M312" s="25">
        <v>0.17</v>
      </c>
      <c r="N312" s="22"/>
      <c r="O312" s="23" t="s">
        <v>19</v>
      </c>
      <c r="P312" s="20">
        <f>(C312+(E312*F312*H312))-N312</f>
        <v>0</v>
      </c>
      <c r="Q312" s="23" t="s">
        <v>19</v>
      </c>
      <c r="R312" s="24">
        <f>P312*(J312-(J312*L312)-((J312-(J312*L312))*M312))</f>
        <v>0</v>
      </c>
      <c r="S312" s="24">
        <f t="shared" si="34"/>
        <v>0</v>
      </c>
    </row>
    <row r="313" spans="1:19" s="19" customFormat="1">
      <c r="A313" s="18"/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19" customFormat="1" ht="15.75">
      <c r="A314" s="44" t="s">
        <v>247</v>
      </c>
      <c r="C314" s="20"/>
      <c r="D314" s="21"/>
      <c r="E314" s="26"/>
      <c r="F314" s="22"/>
      <c r="G314" s="23"/>
      <c r="H314" s="22"/>
      <c r="I314" s="23"/>
      <c r="J314" s="24"/>
      <c r="K314" s="21"/>
      <c r="L314" s="25"/>
      <c r="M314" s="25"/>
      <c r="N314" s="22"/>
      <c r="O314" s="23"/>
      <c r="P314" s="20"/>
      <c r="Q314" s="23"/>
      <c r="R314" s="24"/>
      <c r="S314" s="24"/>
    </row>
    <row r="315" spans="1:19" s="19" customFormat="1">
      <c r="A315" s="18" t="s">
        <v>248</v>
      </c>
      <c r="B315" s="19" t="s">
        <v>18</v>
      </c>
      <c r="C315" s="20"/>
      <c r="D315" s="21" t="s">
        <v>42</v>
      </c>
      <c r="E315" s="26"/>
      <c r="F315" s="22">
        <v>1</v>
      </c>
      <c r="G315" s="23" t="s">
        <v>20</v>
      </c>
      <c r="H315" s="22">
        <v>24</v>
      </c>
      <c r="I315" s="23" t="s">
        <v>42</v>
      </c>
      <c r="J315" s="24">
        <v>88200</v>
      </c>
      <c r="K315" s="21" t="s">
        <v>42</v>
      </c>
      <c r="L315" s="25">
        <v>0.125</v>
      </c>
      <c r="M315" s="25">
        <v>0.05</v>
      </c>
      <c r="N315" s="22"/>
      <c r="O315" s="23" t="s">
        <v>42</v>
      </c>
      <c r="P315" s="20">
        <f t="shared" ref="P315:P324" si="44">(C315+(E315*F315*H315))-N315</f>
        <v>0</v>
      </c>
      <c r="Q315" s="23" t="s">
        <v>42</v>
      </c>
      <c r="R315" s="24">
        <f t="shared" ref="R315:R324" si="45">P315*(J315-(J315*L315)-((J315-(J315*L315))*M315))</f>
        <v>0</v>
      </c>
      <c r="S315" s="24">
        <f t="shared" si="34"/>
        <v>0</v>
      </c>
    </row>
    <row r="316" spans="1:19" s="19" customFormat="1">
      <c r="A316" s="18" t="s">
        <v>664</v>
      </c>
      <c r="B316" s="19" t="s">
        <v>18</v>
      </c>
      <c r="C316" s="20"/>
      <c r="D316" s="21" t="s">
        <v>42</v>
      </c>
      <c r="E316" s="26"/>
      <c r="F316" s="22">
        <v>1</v>
      </c>
      <c r="G316" s="23" t="s">
        <v>20</v>
      </c>
      <c r="H316" s="22">
        <v>24</v>
      </c>
      <c r="I316" s="23" t="s">
        <v>42</v>
      </c>
      <c r="J316" s="24">
        <v>114000</v>
      </c>
      <c r="K316" s="21" t="s">
        <v>42</v>
      </c>
      <c r="L316" s="25">
        <v>0.125</v>
      </c>
      <c r="M316" s="25">
        <v>0.05</v>
      </c>
      <c r="N316" s="22"/>
      <c r="O316" s="23" t="s">
        <v>42</v>
      </c>
      <c r="P316" s="20">
        <f t="shared" si="44"/>
        <v>0</v>
      </c>
      <c r="Q316" s="23" t="s">
        <v>42</v>
      </c>
      <c r="R316" s="24">
        <f t="shared" si="45"/>
        <v>0</v>
      </c>
      <c r="S316" s="24">
        <f t="shared" si="34"/>
        <v>0</v>
      </c>
    </row>
    <row r="317" spans="1:19" s="19" customFormat="1">
      <c r="A317" s="18" t="s">
        <v>249</v>
      </c>
      <c r="B317" s="19" t="s">
        <v>18</v>
      </c>
      <c r="C317" s="20"/>
      <c r="D317" s="21" t="s">
        <v>42</v>
      </c>
      <c r="E317" s="26"/>
      <c r="F317" s="22">
        <v>1</v>
      </c>
      <c r="G317" s="23" t="s">
        <v>20</v>
      </c>
      <c r="H317" s="22">
        <v>24</v>
      </c>
      <c r="I317" s="23" t="s">
        <v>42</v>
      </c>
      <c r="J317" s="24">
        <v>88200</v>
      </c>
      <c r="K317" s="21" t="s">
        <v>42</v>
      </c>
      <c r="L317" s="25">
        <v>0.125</v>
      </c>
      <c r="M317" s="25">
        <v>0.05</v>
      </c>
      <c r="N317" s="22"/>
      <c r="O317" s="23" t="s">
        <v>42</v>
      </c>
      <c r="P317" s="20">
        <f t="shared" si="44"/>
        <v>0</v>
      </c>
      <c r="Q317" s="23" t="s">
        <v>42</v>
      </c>
      <c r="R317" s="24">
        <f t="shared" si="45"/>
        <v>0</v>
      </c>
      <c r="S317" s="24">
        <f t="shared" si="34"/>
        <v>0</v>
      </c>
    </row>
    <row r="318" spans="1:19" s="19" customFormat="1">
      <c r="A318" s="18" t="s">
        <v>250</v>
      </c>
      <c r="B318" s="19" t="s">
        <v>18</v>
      </c>
      <c r="C318" s="20"/>
      <c r="D318" s="21" t="s">
        <v>42</v>
      </c>
      <c r="E318" s="26"/>
      <c r="F318" s="22">
        <v>1</v>
      </c>
      <c r="G318" s="23" t="s">
        <v>20</v>
      </c>
      <c r="H318" s="22">
        <v>24</v>
      </c>
      <c r="I318" s="23" t="s">
        <v>42</v>
      </c>
      <c r="J318" s="24">
        <v>89400</v>
      </c>
      <c r="K318" s="21" t="s">
        <v>42</v>
      </c>
      <c r="L318" s="25">
        <v>0.125</v>
      </c>
      <c r="M318" s="25">
        <v>0.05</v>
      </c>
      <c r="N318" s="22"/>
      <c r="O318" s="23" t="s">
        <v>42</v>
      </c>
      <c r="P318" s="20">
        <f t="shared" si="44"/>
        <v>0</v>
      </c>
      <c r="Q318" s="23" t="s">
        <v>42</v>
      </c>
      <c r="R318" s="24">
        <f t="shared" si="45"/>
        <v>0</v>
      </c>
      <c r="S318" s="24">
        <f t="shared" si="34"/>
        <v>0</v>
      </c>
    </row>
    <row r="319" spans="1:19" s="19" customFormat="1">
      <c r="A319" s="18" t="s">
        <v>251</v>
      </c>
      <c r="B319" s="19" t="s">
        <v>18</v>
      </c>
      <c r="C319" s="20"/>
      <c r="D319" s="21" t="s">
        <v>158</v>
      </c>
      <c r="E319" s="26"/>
      <c r="F319" s="22">
        <v>12</v>
      </c>
      <c r="G319" s="23" t="s">
        <v>33</v>
      </c>
      <c r="H319" s="22">
        <v>24</v>
      </c>
      <c r="I319" s="23" t="s">
        <v>158</v>
      </c>
      <c r="J319" s="24">
        <v>12000</v>
      </c>
      <c r="K319" s="21" t="s">
        <v>158</v>
      </c>
      <c r="L319" s="25">
        <v>0.125</v>
      </c>
      <c r="M319" s="25">
        <v>0.05</v>
      </c>
      <c r="N319" s="22"/>
      <c r="O319" s="23" t="s">
        <v>158</v>
      </c>
      <c r="P319" s="20">
        <f t="shared" si="44"/>
        <v>0</v>
      </c>
      <c r="Q319" s="23" t="s">
        <v>158</v>
      </c>
      <c r="R319" s="24">
        <f t="shared" si="45"/>
        <v>0</v>
      </c>
      <c r="S319" s="24">
        <f t="shared" si="34"/>
        <v>0</v>
      </c>
    </row>
    <row r="320" spans="1:19" s="19" customFormat="1">
      <c r="A320" s="18" t="s">
        <v>252</v>
      </c>
      <c r="B320" s="19" t="s">
        <v>18</v>
      </c>
      <c r="C320" s="20"/>
      <c r="D320" s="21" t="s">
        <v>158</v>
      </c>
      <c r="E320" s="26"/>
      <c r="F320" s="22">
        <v>10</v>
      </c>
      <c r="G320" s="23" t="s">
        <v>33</v>
      </c>
      <c r="H320" s="22">
        <v>10</v>
      </c>
      <c r="I320" s="23" t="s">
        <v>158</v>
      </c>
      <c r="J320" s="24">
        <v>28000</v>
      </c>
      <c r="K320" s="21" t="s">
        <v>158</v>
      </c>
      <c r="L320" s="25">
        <v>0.125</v>
      </c>
      <c r="M320" s="25">
        <v>0.05</v>
      </c>
      <c r="N320" s="22"/>
      <c r="O320" s="23" t="s">
        <v>158</v>
      </c>
      <c r="P320" s="20">
        <f t="shared" si="44"/>
        <v>0</v>
      </c>
      <c r="Q320" s="23" t="s">
        <v>158</v>
      </c>
      <c r="R320" s="24">
        <f t="shared" si="45"/>
        <v>0</v>
      </c>
      <c r="S320" s="24">
        <f t="shared" si="34"/>
        <v>0</v>
      </c>
    </row>
    <row r="321" spans="1:19" s="19" customFormat="1">
      <c r="A321" s="18" t="s">
        <v>253</v>
      </c>
      <c r="B321" s="19" t="s">
        <v>18</v>
      </c>
      <c r="C321" s="20"/>
      <c r="D321" s="21" t="s">
        <v>158</v>
      </c>
      <c r="E321" s="26"/>
      <c r="F321" s="22">
        <v>10</v>
      </c>
      <c r="G321" s="23" t="s">
        <v>33</v>
      </c>
      <c r="H321" s="22">
        <v>10</v>
      </c>
      <c r="I321" s="23" t="s">
        <v>158</v>
      </c>
      <c r="J321" s="24">
        <v>33500</v>
      </c>
      <c r="K321" s="21" t="s">
        <v>158</v>
      </c>
      <c r="L321" s="25">
        <v>0.125</v>
      </c>
      <c r="M321" s="25">
        <v>0.05</v>
      </c>
      <c r="N321" s="22"/>
      <c r="O321" s="23" t="s">
        <v>158</v>
      </c>
      <c r="P321" s="20">
        <f t="shared" si="44"/>
        <v>0</v>
      </c>
      <c r="Q321" s="23" t="s">
        <v>158</v>
      </c>
      <c r="R321" s="24">
        <f t="shared" si="45"/>
        <v>0</v>
      </c>
      <c r="S321" s="24">
        <f t="shared" si="34"/>
        <v>0</v>
      </c>
    </row>
    <row r="322" spans="1:19" s="19" customFormat="1">
      <c r="A322" s="18" t="s">
        <v>254</v>
      </c>
      <c r="B322" s="19" t="s">
        <v>18</v>
      </c>
      <c r="C322" s="20"/>
      <c r="D322" s="21" t="s">
        <v>158</v>
      </c>
      <c r="E322" s="26"/>
      <c r="F322" s="22">
        <v>8</v>
      </c>
      <c r="G322" s="23" t="s">
        <v>33</v>
      </c>
      <c r="H322" s="22">
        <v>10</v>
      </c>
      <c r="I322" s="23" t="s">
        <v>158</v>
      </c>
      <c r="J322" s="24">
        <v>48500</v>
      </c>
      <c r="K322" s="21" t="s">
        <v>158</v>
      </c>
      <c r="L322" s="25">
        <v>0.125</v>
      </c>
      <c r="M322" s="25">
        <v>0.05</v>
      </c>
      <c r="N322" s="22"/>
      <c r="O322" s="23" t="s">
        <v>158</v>
      </c>
      <c r="P322" s="20">
        <f t="shared" si="44"/>
        <v>0</v>
      </c>
      <c r="Q322" s="23" t="s">
        <v>158</v>
      </c>
      <c r="R322" s="24">
        <f t="shared" si="45"/>
        <v>0</v>
      </c>
      <c r="S322" s="24">
        <f t="shared" si="34"/>
        <v>0</v>
      </c>
    </row>
    <row r="323" spans="1:19" s="19" customFormat="1">
      <c r="A323" s="18" t="s">
        <v>255</v>
      </c>
      <c r="B323" s="19" t="s">
        <v>18</v>
      </c>
      <c r="C323" s="20"/>
      <c r="D323" s="21" t="s">
        <v>158</v>
      </c>
      <c r="E323" s="26"/>
      <c r="F323" s="22">
        <v>10</v>
      </c>
      <c r="G323" s="23" t="s">
        <v>33</v>
      </c>
      <c r="H323" s="22">
        <v>12</v>
      </c>
      <c r="I323" s="23" t="s">
        <v>158</v>
      </c>
      <c r="J323" s="24">
        <v>17000</v>
      </c>
      <c r="K323" s="21" t="s">
        <v>158</v>
      </c>
      <c r="L323" s="25">
        <v>0.125</v>
      </c>
      <c r="M323" s="25">
        <v>0.05</v>
      </c>
      <c r="N323" s="22"/>
      <c r="O323" s="23" t="s">
        <v>158</v>
      </c>
      <c r="P323" s="20">
        <f t="shared" si="44"/>
        <v>0</v>
      </c>
      <c r="Q323" s="23" t="s">
        <v>158</v>
      </c>
      <c r="R323" s="24">
        <f t="shared" si="45"/>
        <v>0</v>
      </c>
      <c r="S323" s="24">
        <f t="shared" si="34"/>
        <v>0</v>
      </c>
    </row>
    <row r="324" spans="1:19" s="19" customFormat="1">
      <c r="A324" s="18" t="s">
        <v>256</v>
      </c>
      <c r="B324" s="19" t="s">
        <v>18</v>
      </c>
      <c r="C324" s="20"/>
      <c r="D324" s="21" t="s">
        <v>158</v>
      </c>
      <c r="E324" s="26"/>
      <c r="F324" s="22">
        <v>24</v>
      </c>
      <c r="G324" s="23" t="s">
        <v>33</v>
      </c>
      <c r="H324" s="22">
        <v>12</v>
      </c>
      <c r="I324" s="23" t="s">
        <v>158</v>
      </c>
      <c r="J324" s="24">
        <v>13300</v>
      </c>
      <c r="K324" s="21" t="s">
        <v>158</v>
      </c>
      <c r="L324" s="25">
        <v>0.125</v>
      </c>
      <c r="M324" s="25">
        <v>0.05</v>
      </c>
      <c r="N324" s="22"/>
      <c r="O324" s="23" t="s">
        <v>158</v>
      </c>
      <c r="P324" s="20">
        <f t="shared" si="44"/>
        <v>0</v>
      </c>
      <c r="Q324" s="23" t="s">
        <v>158</v>
      </c>
      <c r="R324" s="24">
        <f t="shared" si="45"/>
        <v>0</v>
      </c>
      <c r="S324" s="24">
        <f t="shared" si="34"/>
        <v>0</v>
      </c>
    </row>
    <row r="325" spans="1:19" s="19" customFormat="1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>
      <c r="A326" s="59" t="s">
        <v>257</v>
      </c>
      <c r="B326" s="19" t="s">
        <v>25</v>
      </c>
      <c r="C326" s="20"/>
      <c r="D326" s="21" t="s">
        <v>19</v>
      </c>
      <c r="E326" s="26"/>
      <c r="F326" s="22">
        <v>24</v>
      </c>
      <c r="G326" s="23" t="s">
        <v>42</v>
      </c>
      <c r="H326" s="22">
        <v>12</v>
      </c>
      <c r="I326" s="23" t="s">
        <v>19</v>
      </c>
      <c r="J326" s="24">
        <f>2160000/24/12</f>
        <v>7500</v>
      </c>
      <c r="K326" s="21" t="s">
        <v>19</v>
      </c>
      <c r="L326" s="25"/>
      <c r="M326" s="25">
        <v>0.17</v>
      </c>
      <c r="N326" s="22"/>
      <c r="O326" s="23" t="s">
        <v>19</v>
      </c>
      <c r="P326" s="20">
        <f t="shared" ref="P326:P329" si="46">(C326+(E326*F326*H326))-N326</f>
        <v>0</v>
      </c>
      <c r="Q326" s="23" t="s">
        <v>19</v>
      </c>
      <c r="R326" s="24">
        <f t="shared" ref="R326:R329" si="47">P326*(J326-(J326*L326)-((J326-(J326*L326))*M326))</f>
        <v>0</v>
      </c>
      <c r="S326" s="24">
        <f t="shared" si="34"/>
        <v>0</v>
      </c>
    </row>
    <row r="327" spans="1:19" s="19" customFormat="1">
      <c r="A327" s="59" t="s">
        <v>258</v>
      </c>
      <c r="B327" s="19" t="s">
        <v>25</v>
      </c>
      <c r="C327" s="20"/>
      <c r="D327" s="21" t="s">
        <v>19</v>
      </c>
      <c r="E327" s="26"/>
      <c r="F327" s="22">
        <v>24</v>
      </c>
      <c r="G327" s="23" t="s">
        <v>42</v>
      </c>
      <c r="H327" s="22">
        <v>12</v>
      </c>
      <c r="I327" s="23" t="s">
        <v>19</v>
      </c>
      <c r="J327" s="24">
        <f>2160000/24/12</f>
        <v>7500</v>
      </c>
      <c r="K327" s="21" t="s">
        <v>19</v>
      </c>
      <c r="L327" s="25"/>
      <c r="M327" s="25">
        <v>0.17</v>
      </c>
      <c r="N327" s="22"/>
      <c r="O327" s="23" t="s">
        <v>19</v>
      </c>
      <c r="P327" s="20">
        <f t="shared" si="46"/>
        <v>0</v>
      </c>
      <c r="Q327" s="23" t="s">
        <v>19</v>
      </c>
      <c r="R327" s="24">
        <f t="shared" si="47"/>
        <v>0</v>
      </c>
      <c r="S327" s="24">
        <f t="shared" si="34"/>
        <v>0</v>
      </c>
    </row>
    <row r="328" spans="1:19" s="19" customFormat="1">
      <c r="A328" s="59" t="s">
        <v>816</v>
      </c>
      <c r="B328" s="19" t="s">
        <v>25</v>
      </c>
      <c r="C328" s="20"/>
      <c r="D328" s="21" t="s">
        <v>19</v>
      </c>
      <c r="E328" s="26"/>
      <c r="F328" s="22">
        <v>24</v>
      </c>
      <c r="G328" s="23" t="s">
        <v>42</v>
      </c>
      <c r="H328" s="22">
        <v>12</v>
      </c>
      <c r="I328" s="23" t="s">
        <v>19</v>
      </c>
      <c r="J328" s="24">
        <f>2160000/24/12</f>
        <v>7500</v>
      </c>
      <c r="K328" s="21" t="s">
        <v>19</v>
      </c>
      <c r="L328" s="25"/>
      <c r="M328" s="25">
        <v>0.17</v>
      </c>
      <c r="N328" s="22"/>
      <c r="O328" s="23" t="s">
        <v>19</v>
      </c>
      <c r="P328" s="20">
        <f t="shared" si="46"/>
        <v>0</v>
      </c>
      <c r="Q328" s="23" t="s">
        <v>19</v>
      </c>
      <c r="R328" s="24">
        <f t="shared" si="47"/>
        <v>0</v>
      </c>
      <c r="S328" s="24">
        <f t="shared" si="34"/>
        <v>0</v>
      </c>
    </row>
    <row r="329" spans="1:19" s="19" customFormat="1">
      <c r="A329" s="59" t="s">
        <v>817</v>
      </c>
      <c r="B329" s="19" t="s">
        <v>25</v>
      </c>
      <c r="C329" s="20"/>
      <c r="D329" s="21" t="s">
        <v>19</v>
      </c>
      <c r="E329" s="26"/>
      <c r="F329" s="22">
        <v>12</v>
      </c>
      <c r="G329" s="23" t="s">
        <v>42</v>
      </c>
      <c r="H329" s="22">
        <v>12</v>
      </c>
      <c r="I329" s="23" t="s">
        <v>19</v>
      </c>
      <c r="J329" s="24">
        <f>3024000/12/12</f>
        <v>21000</v>
      </c>
      <c r="K329" s="21" t="s">
        <v>19</v>
      </c>
      <c r="L329" s="25"/>
      <c r="M329" s="25">
        <v>0.17</v>
      </c>
      <c r="N329" s="22"/>
      <c r="O329" s="23" t="s">
        <v>19</v>
      </c>
      <c r="P329" s="20">
        <f t="shared" si="46"/>
        <v>0</v>
      </c>
      <c r="Q329" s="23" t="s">
        <v>19</v>
      </c>
      <c r="R329" s="24">
        <f t="shared" si="47"/>
        <v>0</v>
      </c>
      <c r="S329" s="24">
        <f t="shared" si="34"/>
        <v>0</v>
      </c>
    </row>
    <row r="330" spans="1:19" s="19" customFormat="1">
      <c r="A330" s="18"/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19" customFormat="1" ht="15.75">
      <c r="A331" s="44" t="s">
        <v>259</v>
      </c>
      <c r="C331" s="20"/>
      <c r="D331" s="21"/>
      <c r="E331" s="26"/>
      <c r="F331" s="22"/>
      <c r="G331" s="23"/>
      <c r="H331" s="22"/>
      <c r="I331" s="23"/>
      <c r="J331" s="24"/>
      <c r="K331" s="21"/>
      <c r="L331" s="25"/>
      <c r="M331" s="25"/>
      <c r="N331" s="22"/>
      <c r="O331" s="23"/>
      <c r="P331" s="20"/>
      <c r="Q331" s="23"/>
      <c r="R331" s="24"/>
      <c r="S331" s="24"/>
    </row>
    <row r="332" spans="1:19" s="19" customFormat="1">
      <c r="A332" s="18" t="s">
        <v>260</v>
      </c>
      <c r="B332" s="19" t="s">
        <v>18</v>
      </c>
      <c r="C332" s="20"/>
      <c r="D332" s="21" t="s">
        <v>33</v>
      </c>
      <c r="E332" s="26"/>
      <c r="F332" s="22">
        <v>1</v>
      </c>
      <c r="G332" s="23" t="s">
        <v>20</v>
      </c>
      <c r="H332" s="22">
        <v>20</v>
      </c>
      <c r="I332" s="23" t="s">
        <v>33</v>
      </c>
      <c r="J332" s="24">
        <f>6200*12</f>
        <v>74400</v>
      </c>
      <c r="K332" s="21" t="s">
        <v>33</v>
      </c>
      <c r="L332" s="25">
        <v>0.125</v>
      </c>
      <c r="M332" s="25">
        <v>0.05</v>
      </c>
      <c r="N332" s="22"/>
      <c r="O332" s="23" t="s">
        <v>33</v>
      </c>
      <c r="P332" s="20">
        <f>(C332+(E332*F332*H332))-N332</f>
        <v>0</v>
      </c>
      <c r="Q332" s="23" t="s">
        <v>33</v>
      </c>
      <c r="R332" s="24">
        <f>P332*(J332-(J332*L332)-((J332-(J332*L332))*M332))</f>
        <v>0</v>
      </c>
      <c r="S332" s="24">
        <f t="shared" si="34"/>
        <v>0</v>
      </c>
    </row>
    <row r="333" spans="1:19" s="19" customFormat="1">
      <c r="A333" s="18" t="s">
        <v>261</v>
      </c>
      <c r="B333" s="19" t="s">
        <v>18</v>
      </c>
      <c r="C333" s="20"/>
      <c r="D333" s="21" t="s">
        <v>33</v>
      </c>
      <c r="E333" s="26"/>
      <c r="F333" s="22">
        <v>1</v>
      </c>
      <c r="G333" s="23" t="s">
        <v>20</v>
      </c>
      <c r="H333" s="22">
        <v>20</v>
      </c>
      <c r="I333" s="23" t="s">
        <v>33</v>
      </c>
      <c r="J333" s="24">
        <f>6800*12</f>
        <v>81600</v>
      </c>
      <c r="K333" s="21" t="s">
        <v>33</v>
      </c>
      <c r="L333" s="25">
        <v>0.125</v>
      </c>
      <c r="M333" s="25">
        <v>0.05</v>
      </c>
      <c r="N333" s="22"/>
      <c r="O333" s="23" t="s">
        <v>33</v>
      </c>
      <c r="P333" s="20">
        <f>(C333+(E333*F333*H333))-N333</f>
        <v>0</v>
      </c>
      <c r="Q333" s="23" t="s">
        <v>33</v>
      </c>
      <c r="R333" s="24">
        <f>P333*(J333-(J333*L333)-((J333-(J333*L333))*M333))</f>
        <v>0</v>
      </c>
      <c r="S333" s="24">
        <f t="shared" si="34"/>
        <v>0</v>
      </c>
    </row>
    <row r="334" spans="1:19" s="19" customFormat="1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19" customFormat="1" ht="15.75">
      <c r="A335" s="44" t="s">
        <v>262</v>
      </c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19" customFormat="1">
      <c r="A336" s="88" t="s">
        <v>263</v>
      </c>
      <c r="C336" s="20"/>
      <c r="D336" s="21"/>
      <c r="E336" s="26"/>
      <c r="F336" s="22"/>
      <c r="G336" s="23"/>
      <c r="H336" s="22"/>
      <c r="I336" s="23"/>
      <c r="J336" s="24"/>
      <c r="K336" s="21"/>
      <c r="L336" s="25"/>
      <c r="M336" s="25"/>
      <c r="N336" s="22"/>
      <c r="O336" s="23"/>
      <c r="P336" s="20"/>
      <c r="Q336" s="23"/>
      <c r="R336" s="24"/>
      <c r="S336" s="24"/>
    </row>
    <row r="337" spans="1:19" s="19" customFormat="1">
      <c r="A337" s="18" t="s">
        <v>264</v>
      </c>
      <c r="B337" s="19" t="s">
        <v>25</v>
      </c>
      <c r="C337" s="20"/>
      <c r="D337" s="21" t="s">
        <v>101</v>
      </c>
      <c r="E337" s="26"/>
      <c r="F337" s="22">
        <v>1</v>
      </c>
      <c r="G337" s="23" t="s">
        <v>20</v>
      </c>
      <c r="H337" s="22">
        <v>50</v>
      </c>
      <c r="I337" s="23" t="s">
        <v>101</v>
      </c>
      <c r="J337" s="24">
        <f>740000/50</f>
        <v>14800</v>
      </c>
      <c r="K337" s="21" t="s">
        <v>101</v>
      </c>
      <c r="L337" s="25"/>
      <c r="M337" s="25">
        <v>0.17</v>
      </c>
      <c r="N337" s="22"/>
      <c r="O337" s="23" t="s">
        <v>101</v>
      </c>
      <c r="P337" s="20">
        <f>(C337+(E337*F337*H337))-N337</f>
        <v>0</v>
      </c>
      <c r="Q337" s="23" t="s">
        <v>101</v>
      </c>
      <c r="R337" s="24">
        <f>P337*(J337-(J337*L337)-((J337-(J337*L337))*M337))</f>
        <v>0</v>
      </c>
      <c r="S337" s="24">
        <f t="shared" si="34"/>
        <v>0</v>
      </c>
    </row>
    <row r="338" spans="1:19" s="19" customFormat="1">
      <c r="A338" s="88" t="s">
        <v>265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>
      <c r="A339" s="18" t="s">
        <v>266</v>
      </c>
      <c r="B339" s="19" t="s">
        <v>267</v>
      </c>
      <c r="C339" s="20"/>
      <c r="D339" s="21" t="s">
        <v>101</v>
      </c>
      <c r="E339" s="26"/>
      <c r="F339" s="22">
        <v>1</v>
      </c>
      <c r="G339" s="23" t="s">
        <v>20</v>
      </c>
      <c r="H339" s="22">
        <v>50</v>
      </c>
      <c r="I339" s="23" t="s">
        <v>101</v>
      </c>
      <c r="J339" s="24">
        <v>32500</v>
      </c>
      <c r="K339" s="21" t="s">
        <v>101</v>
      </c>
      <c r="L339" s="25"/>
      <c r="M339" s="25"/>
      <c r="N339" s="22"/>
      <c r="O339" s="23" t="s">
        <v>101</v>
      </c>
      <c r="P339" s="20">
        <f>(C339+(E339*F339*H339))-N339</f>
        <v>0</v>
      </c>
      <c r="Q339" s="23" t="s">
        <v>101</v>
      </c>
      <c r="R339" s="24">
        <f>P339*(J339-(J339*L339)-((J339-(J339*L339))*M339))</f>
        <v>0</v>
      </c>
      <c r="S339" s="24">
        <f t="shared" ref="S339:S418" si="48">R339/1.11</f>
        <v>0</v>
      </c>
    </row>
    <row r="340" spans="1:19" s="19" customFormat="1">
      <c r="A340" s="18"/>
      <c r="C340" s="20"/>
      <c r="D340" s="21"/>
      <c r="E340" s="26"/>
      <c r="F340" s="22"/>
      <c r="G340" s="23"/>
      <c r="H340" s="22"/>
      <c r="I340" s="23"/>
      <c r="J340" s="24"/>
      <c r="K340" s="21"/>
      <c r="L340" s="25"/>
      <c r="M340" s="25"/>
      <c r="N340" s="22"/>
      <c r="O340" s="23"/>
      <c r="P340" s="20"/>
      <c r="Q340" s="23"/>
      <c r="R340" s="24"/>
      <c r="S340" s="24"/>
    </row>
    <row r="341" spans="1:19" s="19" customFormat="1" ht="15.75">
      <c r="A341" s="44" t="s">
        <v>268</v>
      </c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>
      <c r="A342" s="18" t="s">
        <v>269</v>
      </c>
      <c r="B342" s="19" t="s">
        <v>18</v>
      </c>
      <c r="C342" s="20"/>
      <c r="D342" s="21" t="s">
        <v>105</v>
      </c>
      <c r="E342" s="26"/>
      <c r="F342" s="22">
        <v>8</v>
      </c>
      <c r="G342" s="23" t="s">
        <v>33</v>
      </c>
      <c r="H342" s="22">
        <v>25</v>
      </c>
      <c r="I342" s="23" t="s">
        <v>105</v>
      </c>
      <c r="J342" s="24">
        <v>4000</v>
      </c>
      <c r="K342" s="21" t="s">
        <v>105</v>
      </c>
      <c r="L342" s="25">
        <v>0.125</v>
      </c>
      <c r="M342" s="25">
        <v>0.05</v>
      </c>
      <c r="N342" s="22"/>
      <c r="O342" s="23" t="s">
        <v>105</v>
      </c>
      <c r="P342" s="20">
        <f>(C342+(E342*F342*H342))-N342</f>
        <v>0</v>
      </c>
      <c r="Q342" s="23" t="s">
        <v>105</v>
      </c>
      <c r="R342" s="24">
        <f>P342*(J342-(J342*L342)-((J342-(J342*L342))*M342))</f>
        <v>0</v>
      </c>
      <c r="S342" s="24">
        <f t="shared" si="48"/>
        <v>0</v>
      </c>
    </row>
    <row r="343" spans="1:19" s="19" customFormat="1">
      <c r="A343" s="18" t="s">
        <v>270</v>
      </c>
      <c r="B343" s="19" t="s">
        <v>18</v>
      </c>
      <c r="C343" s="20"/>
      <c r="D343" s="21" t="s">
        <v>79</v>
      </c>
      <c r="E343" s="26"/>
      <c r="F343" s="22">
        <v>1</v>
      </c>
      <c r="G343" s="23" t="s">
        <v>20</v>
      </c>
      <c r="H343" s="22">
        <v>48</v>
      </c>
      <c r="I343" s="23" t="s">
        <v>79</v>
      </c>
      <c r="J343" s="24">
        <v>30000</v>
      </c>
      <c r="K343" s="21" t="s">
        <v>79</v>
      </c>
      <c r="L343" s="25">
        <v>0.125</v>
      </c>
      <c r="M343" s="25">
        <v>0.05</v>
      </c>
      <c r="N343" s="22"/>
      <c r="O343" s="23" t="s">
        <v>79</v>
      </c>
      <c r="P343" s="20">
        <f>(C343+(E343*F343*H343))-N343</f>
        <v>0</v>
      </c>
      <c r="Q343" s="23" t="s">
        <v>79</v>
      </c>
      <c r="R343" s="24">
        <f>P343*(J343-(J343*L343)-((J343-(J343*L343))*M343))</f>
        <v>0</v>
      </c>
      <c r="S343" s="24">
        <f t="shared" si="48"/>
        <v>0</v>
      </c>
    </row>
    <row r="344" spans="1:19" s="19" customFormat="1">
      <c r="A344" s="18" t="s">
        <v>271</v>
      </c>
      <c r="B344" s="19" t="s">
        <v>18</v>
      </c>
      <c r="C344" s="20"/>
      <c r="D344" s="21" t="s">
        <v>79</v>
      </c>
      <c r="E344" s="26"/>
      <c r="F344" s="22">
        <v>1</v>
      </c>
      <c r="G344" s="23" t="s">
        <v>20</v>
      </c>
      <c r="H344" s="22">
        <v>48</v>
      </c>
      <c r="I344" s="23" t="s">
        <v>79</v>
      </c>
      <c r="J344" s="24">
        <v>23000</v>
      </c>
      <c r="K344" s="21" t="s">
        <v>79</v>
      </c>
      <c r="L344" s="25">
        <v>0.125</v>
      </c>
      <c r="M344" s="25">
        <v>0.05</v>
      </c>
      <c r="N344" s="22"/>
      <c r="O344" s="23" t="s">
        <v>79</v>
      </c>
      <c r="P344" s="20">
        <f>(C344+(E344*F344*H344))-N344</f>
        <v>0</v>
      </c>
      <c r="Q344" s="23" t="s">
        <v>79</v>
      </c>
      <c r="R344" s="24">
        <f>P344*(J344-(J344*L344)-((J344-(J344*L344))*M344))</f>
        <v>0</v>
      </c>
      <c r="S344" s="24">
        <f t="shared" si="48"/>
        <v>0</v>
      </c>
    </row>
    <row r="345" spans="1:19" s="19" customFormat="1">
      <c r="A345" s="18"/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>
      <c r="A346" s="18" t="s">
        <v>272</v>
      </c>
      <c r="B346" s="19" t="s">
        <v>25</v>
      </c>
      <c r="C346" s="20"/>
      <c r="D346" s="21" t="s">
        <v>105</v>
      </c>
      <c r="E346" s="26"/>
      <c r="F346" s="22">
        <v>80</v>
      </c>
      <c r="G346" s="23" t="s">
        <v>33</v>
      </c>
      <c r="H346" s="22">
        <v>25</v>
      </c>
      <c r="I346" s="23" t="s">
        <v>105</v>
      </c>
      <c r="J346" s="24">
        <v>4500</v>
      </c>
      <c r="K346" s="21" t="s">
        <v>105</v>
      </c>
      <c r="L346" s="25"/>
      <c r="M346" s="25">
        <v>0.17</v>
      </c>
      <c r="N346" s="22"/>
      <c r="O346" s="23" t="s">
        <v>105</v>
      </c>
      <c r="P346" s="20">
        <f>(C346+(E346*F346*H346))-N346</f>
        <v>0</v>
      </c>
      <c r="Q346" s="23" t="s">
        <v>105</v>
      </c>
      <c r="R346" s="24">
        <f>P346*(J346-(J346*L346)-((J346-(J346*L346))*M346))</f>
        <v>0</v>
      </c>
      <c r="S346" s="24">
        <f t="shared" si="48"/>
        <v>0</v>
      </c>
    </row>
    <row r="347" spans="1:19" s="19" customFormat="1">
      <c r="A347" s="18" t="s">
        <v>273</v>
      </c>
      <c r="B347" s="19" t="s">
        <v>25</v>
      </c>
      <c r="C347" s="20"/>
      <c r="D347" s="21" t="s">
        <v>79</v>
      </c>
      <c r="E347" s="26"/>
      <c r="F347" s="22">
        <v>1</v>
      </c>
      <c r="G347" s="23" t="s">
        <v>20</v>
      </c>
      <c r="H347" s="22">
        <v>48</v>
      </c>
      <c r="I347" s="23" t="s">
        <v>79</v>
      </c>
      <c r="J347" s="24">
        <v>23500</v>
      </c>
      <c r="K347" s="21" t="s">
        <v>79</v>
      </c>
      <c r="L347" s="25"/>
      <c r="M347" s="25">
        <v>0.17</v>
      </c>
      <c r="N347" s="22"/>
      <c r="O347" s="23" t="s">
        <v>79</v>
      </c>
      <c r="P347" s="20">
        <f>(C347+(E347*F347*H347))-N347</f>
        <v>0</v>
      </c>
      <c r="Q347" s="23" t="s">
        <v>79</v>
      </c>
      <c r="R347" s="24">
        <f>P347*(J347-(J347*L347)-((J347-(J347*L347))*M347))</f>
        <v>0</v>
      </c>
      <c r="S347" s="24">
        <f t="shared" si="48"/>
        <v>0</v>
      </c>
    </row>
    <row r="348" spans="1:19" s="19" customFormat="1">
      <c r="A348" s="18"/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 ht="15.75">
      <c r="A349" s="44" t="s">
        <v>274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>
      <c r="A350" s="18" t="s">
        <v>275</v>
      </c>
      <c r="B350" s="19" t="s">
        <v>18</v>
      </c>
      <c r="C350" s="20"/>
      <c r="D350" s="21" t="s">
        <v>158</v>
      </c>
      <c r="E350" s="26"/>
      <c r="F350" s="22">
        <v>10</v>
      </c>
      <c r="G350" s="23" t="s">
        <v>33</v>
      </c>
      <c r="H350" s="22">
        <v>24</v>
      </c>
      <c r="I350" s="23" t="s">
        <v>158</v>
      </c>
      <c r="J350" s="24">
        <v>8800</v>
      </c>
      <c r="K350" s="21" t="s">
        <v>158</v>
      </c>
      <c r="L350" s="25">
        <v>0.125</v>
      </c>
      <c r="M350" s="25">
        <v>0.05</v>
      </c>
      <c r="N350" s="22"/>
      <c r="O350" s="23" t="s">
        <v>158</v>
      </c>
      <c r="P350" s="20">
        <f t="shared" ref="P350:P356" si="49">(C350+(E350*F350*H350))-N350</f>
        <v>0</v>
      </c>
      <c r="Q350" s="23" t="s">
        <v>158</v>
      </c>
      <c r="R350" s="24">
        <f t="shared" ref="R350:R356" si="50">P350*(J350-(J350*L350)-((J350-(J350*L350))*M350))</f>
        <v>0</v>
      </c>
      <c r="S350" s="24">
        <f t="shared" si="48"/>
        <v>0</v>
      </c>
    </row>
    <row r="351" spans="1:19" s="19" customFormat="1">
      <c r="A351" s="18" t="s">
        <v>276</v>
      </c>
      <c r="B351" s="19" t="s">
        <v>18</v>
      </c>
      <c r="C351" s="20"/>
      <c r="D351" s="21" t="s">
        <v>158</v>
      </c>
      <c r="E351" s="26"/>
      <c r="F351" s="22">
        <v>6</v>
      </c>
      <c r="G351" s="23" t="s">
        <v>33</v>
      </c>
      <c r="H351" s="22">
        <v>24</v>
      </c>
      <c r="I351" s="23" t="s">
        <v>158</v>
      </c>
      <c r="J351" s="24">
        <v>29500</v>
      </c>
      <c r="K351" s="21" t="s">
        <v>158</v>
      </c>
      <c r="L351" s="25">
        <v>0.125</v>
      </c>
      <c r="M351" s="25">
        <v>0.05</v>
      </c>
      <c r="N351" s="22"/>
      <c r="O351" s="23" t="s">
        <v>158</v>
      </c>
      <c r="P351" s="20">
        <f t="shared" si="49"/>
        <v>0</v>
      </c>
      <c r="Q351" s="23" t="s">
        <v>158</v>
      </c>
      <c r="R351" s="24">
        <f t="shared" si="50"/>
        <v>0</v>
      </c>
      <c r="S351" s="24">
        <f t="shared" si="48"/>
        <v>0</v>
      </c>
    </row>
    <row r="352" spans="1:19" s="19" customFormat="1">
      <c r="A352" s="18" t="s">
        <v>277</v>
      </c>
      <c r="B352" s="19" t="s">
        <v>18</v>
      </c>
      <c r="C352" s="20"/>
      <c r="D352" s="21" t="s">
        <v>158</v>
      </c>
      <c r="E352" s="26"/>
      <c r="F352" s="22">
        <v>12</v>
      </c>
      <c r="G352" s="23" t="s">
        <v>33</v>
      </c>
      <c r="H352" s="22">
        <v>12</v>
      </c>
      <c r="I352" s="23" t="s">
        <v>158</v>
      </c>
      <c r="J352" s="24">
        <v>19600</v>
      </c>
      <c r="K352" s="21" t="s">
        <v>158</v>
      </c>
      <c r="L352" s="25">
        <v>0.125</v>
      </c>
      <c r="M352" s="25">
        <v>0.05</v>
      </c>
      <c r="N352" s="22"/>
      <c r="O352" s="23" t="s">
        <v>158</v>
      </c>
      <c r="P352" s="20">
        <f t="shared" si="49"/>
        <v>0</v>
      </c>
      <c r="Q352" s="23" t="s">
        <v>158</v>
      </c>
      <c r="R352" s="24">
        <f t="shared" si="50"/>
        <v>0</v>
      </c>
      <c r="S352" s="24">
        <f t="shared" si="48"/>
        <v>0</v>
      </c>
    </row>
    <row r="353" spans="1:19" s="19" customFormat="1">
      <c r="A353" s="18" t="s">
        <v>278</v>
      </c>
      <c r="B353" s="19" t="s">
        <v>18</v>
      </c>
      <c r="C353" s="20"/>
      <c r="D353" s="21" t="s">
        <v>158</v>
      </c>
      <c r="E353" s="26"/>
      <c r="F353" s="22">
        <v>12</v>
      </c>
      <c r="G353" s="23" t="s">
        <v>33</v>
      </c>
      <c r="H353" s="22">
        <v>12</v>
      </c>
      <c r="I353" s="23" t="s">
        <v>158</v>
      </c>
      <c r="J353" s="24">
        <v>18500</v>
      </c>
      <c r="K353" s="21" t="s">
        <v>158</v>
      </c>
      <c r="L353" s="25">
        <v>0.125</v>
      </c>
      <c r="M353" s="25">
        <v>0.05</v>
      </c>
      <c r="N353" s="22"/>
      <c r="O353" s="23" t="s">
        <v>158</v>
      </c>
      <c r="P353" s="20">
        <f t="shared" si="49"/>
        <v>0</v>
      </c>
      <c r="Q353" s="23" t="s">
        <v>158</v>
      </c>
      <c r="R353" s="24">
        <f t="shared" si="50"/>
        <v>0</v>
      </c>
      <c r="S353" s="24">
        <f t="shared" si="48"/>
        <v>0</v>
      </c>
    </row>
    <row r="354" spans="1:19" s="19" customFormat="1">
      <c r="A354" s="18" t="s">
        <v>279</v>
      </c>
      <c r="B354" s="19" t="s">
        <v>18</v>
      </c>
      <c r="C354" s="20"/>
      <c r="D354" s="21" t="s">
        <v>158</v>
      </c>
      <c r="E354" s="26"/>
      <c r="F354" s="22">
        <v>10</v>
      </c>
      <c r="G354" s="23" t="s">
        <v>33</v>
      </c>
      <c r="H354" s="22">
        <v>24</v>
      </c>
      <c r="I354" s="23" t="s">
        <v>158</v>
      </c>
      <c r="J354" s="24">
        <v>10600</v>
      </c>
      <c r="K354" s="21" t="s">
        <v>158</v>
      </c>
      <c r="L354" s="25">
        <v>0.125</v>
      </c>
      <c r="M354" s="25">
        <v>0.05</v>
      </c>
      <c r="N354" s="22"/>
      <c r="O354" s="23" t="s">
        <v>158</v>
      </c>
      <c r="P354" s="20">
        <f t="shared" si="49"/>
        <v>0</v>
      </c>
      <c r="Q354" s="23" t="s">
        <v>158</v>
      </c>
      <c r="R354" s="24">
        <f t="shared" si="50"/>
        <v>0</v>
      </c>
      <c r="S354" s="24">
        <f t="shared" si="48"/>
        <v>0</v>
      </c>
    </row>
    <row r="355" spans="1:19" s="19" customFormat="1">
      <c r="A355" s="18" t="s">
        <v>280</v>
      </c>
      <c r="B355" s="19" t="s">
        <v>18</v>
      </c>
      <c r="C355" s="20"/>
      <c r="D355" s="21" t="s">
        <v>158</v>
      </c>
      <c r="E355" s="26"/>
      <c r="F355" s="22">
        <v>20</v>
      </c>
      <c r="G355" s="23" t="s">
        <v>33</v>
      </c>
      <c r="H355" s="22">
        <v>12</v>
      </c>
      <c r="I355" s="23" t="s">
        <v>158</v>
      </c>
      <c r="J355" s="24">
        <v>4000</v>
      </c>
      <c r="K355" s="21" t="s">
        <v>158</v>
      </c>
      <c r="L355" s="25">
        <v>0.4</v>
      </c>
      <c r="M355" s="25">
        <v>0.05</v>
      </c>
      <c r="N355" s="22"/>
      <c r="O355" s="23" t="s">
        <v>158</v>
      </c>
      <c r="P355" s="20">
        <f t="shared" si="49"/>
        <v>0</v>
      </c>
      <c r="Q355" s="23" t="s">
        <v>158</v>
      </c>
      <c r="R355" s="24">
        <f t="shared" si="50"/>
        <v>0</v>
      </c>
      <c r="S355" s="24">
        <f t="shared" si="48"/>
        <v>0</v>
      </c>
    </row>
    <row r="356" spans="1:19" s="19" customFormat="1">
      <c r="A356" s="18" t="s">
        <v>768</v>
      </c>
      <c r="B356" s="19" t="s">
        <v>18</v>
      </c>
      <c r="C356" s="20"/>
      <c r="D356" s="21" t="s">
        <v>158</v>
      </c>
      <c r="E356" s="26"/>
      <c r="F356" s="22">
        <v>12</v>
      </c>
      <c r="G356" s="23" t="s">
        <v>33</v>
      </c>
      <c r="H356" s="22">
        <v>12</v>
      </c>
      <c r="I356" s="23" t="s">
        <v>158</v>
      </c>
      <c r="J356" s="24">
        <v>34500</v>
      </c>
      <c r="K356" s="21" t="s">
        <v>158</v>
      </c>
      <c r="L356" s="25">
        <v>0.125</v>
      </c>
      <c r="M356" s="25">
        <v>0.05</v>
      </c>
      <c r="N356" s="22"/>
      <c r="O356" s="23" t="s">
        <v>158</v>
      </c>
      <c r="P356" s="20">
        <f t="shared" si="49"/>
        <v>0</v>
      </c>
      <c r="Q356" s="23" t="s">
        <v>158</v>
      </c>
      <c r="R356" s="24">
        <f t="shared" si="50"/>
        <v>0</v>
      </c>
      <c r="S356" s="24">
        <f t="shared" si="48"/>
        <v>0</v>
      </c>
    </row>
    <row r="357" spans="1:19" s="19" customFormat="1">
      <c r="A357" s="18"/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19" customFormat="1" ht="15.75">
      <c r="A358" s="44" t="s">
        <v>281</v>
      </c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>
      <c r="A359" s="88" t="s">
        <v>282</v>
      </c>
      <c r="C359" s="20"/>
      <c r="D359" s="21"/>
      <c r="E359" s="26"/>
      <c r="F359" s="22"/>
      <c r="G359" s="23"/>
      <c r="H359" s="22"/>
      <c r="I359" s="23"/>
      <c r="J359" s="24"/>
      <c r="K359" s="21"/>
      <c r="L359" s="25"/>
      <c r="M359" s="25"/>
      <c r="N359" s="22"/>
      <c r="O359" s="23"/>
      <c r="P359" s="20"/>
      <c r="Q359" s="23"/>
      <c r="R359" s="24"/>
      <c r="S359" s="24"/>
    </row>
    <row r="360" spans="1:19" s="19" customFormat="1">
      <c r="A360" s="18" t="s">
        <v>283</v>
      </c>
      <c r="B360" s="19" t="s">
        <v>18</v>
      </c>
      <c r="C360" s="20"/>
      <c r="D360" s="21" t="s">
        <v>284</v>
      </c>
      <c r="E360" s="26"/>
      <c r="F360" s="22">
        <v>100</v>
      </c>
      <c r="G360" s="23" t="s">
        <v>101</v>
      </c>
      <c r="H360" s="22">
        <v>10</v>
      </c>
      <c r="I360" s="23" t="s">
        <v>284</v>
      </c>
      <c r="J360" s="24">
        <v>2050</v>
      </c>
      <c r="K360" s="21" t="s">
        <v>284</v>
      </c>
      <c r="L360" s="25">
        <v>0.125</v>
      </c>
      <c r="M360" s="25">
        <v>0.05</v>
      </c>
      <c r="N360" s="22"/>
      <c r="O360" s="23" t="s">
        <v>284</v>
      </c>
      <c r="P360" s="20">
        <f t="shared" ref="P360:P368" si="51">(C360+(E360*F360*H360))-N360</f>
        <v>0</v>
      </c>
      <c r="Q360" s="23" t="s">
        <v>284</v>
      </c>
      <c r="R360" s="24">
        <f t="shared" ref="R360:R368" si="52">P360*(J360-(J360*L360)-((J360-(J360*L360))*M360))</f>
        <v>0</v>
      </c>
      <c r="S360" s="24">
        <f t="shared" si="48"/>
        <v>0</v>
      </c>
    </row>
    <row r="361" spans="1:19" s="19" customFormat="1">
      <c r="A361" s="18" t="s">
        <v>285</v>
      </c>
      <c r="B361" s="19" t="s">
        <v>18</v>
      </c>
      <c r="C361" s="20"/>
      <c r="D361" s="21" t="s">
        <v>284</v>
      </c>
      <c r="E361" s="26"/>
      <c r="F361" s="22">
        <v>100</v>
      </c>
      <c r="G361" s="23" t="s">
        <v>101</v>
      </c>
      <c r="H361" s="22">
        <v>10</v>
      </c>
      <c r="I361" s="23" t="s">
        <v>284</v>
      </c>
      <c r="J361" s="24">
        <v>3000</v>
      </c>
      <c r="K361" s="21" t="s">
        <v>284</v>
      </c>
      <c r="L361" s="25">
        <v>0.125</v>
      </c>
      <c r="M361" s="25">
        <v>0.05</v>
      </c>
      <c r="N361" s="22"/>
      <c r="O361" s="23" t="s">
        <v>284</v>
      </c>
      <c r="P361" s="20">
        <f t="shared" si="51"/>
        <v>0</v>
      </c>
      <c r="Q361" s="23" t="s">
        <v>284</v>
      </c>
      <c r="R361" s="24">
        <f t="shared" si="52"/>
        <v>0</v>
      </c>
      <c r="S361" s="24">
        <f t="shared" si="48"/>
        <v>0</v>
      </c>
    </row>
    <row r="362" spans="1:19" s="19" customFormat="1">
      <c r="A362" s="18" t="s">
        <v>286</v>
      </c>
      <c r="B362" s="19" t="s">
        <v>18</v>
      </c>
      <c r="C362" s="20"/>
      <c r="D362" s="21" t="s">
        <v>284</v>
      </c>
      <c r="E362" s="26"/>
      <c r="F362" s="22">
        <v>50</v>
      </c>
      <c r="G362" s="23" t="s">
        <v>101</v>
      </c>
      <c r="H362" s="22">
        <v>10</v>
      </c>
      <c r="I362" s="23" t="s">
        <v>284</v>
      </c>
      <c r="J362" s="24">
        <v>3050</v>
      </c>
      <c r="K362" s="21" t="s">
        <v>284</v>
      </c>
      <c r="L362" s="25">
        <v>0.125</v>
      </c>
      <c r="M362" s="25">
        <v>0.05</v>
      </c>
      <c r="N362" s="22"/>
      <c r="O362" s="23" t="s">
        <v>284</v>
      </c>
      <c r="P362" s="20">
        <f t="shared" si="51"/>
        <v>0</v>
      </c>
      <c r="Q362" s="23" t="s">
        <v>284</v>
      </c>
      <c r="R362" s="24">
        <f t="shared" si="52"/>
        <v>0</v>
      </c>
      <c r="S362" s="24">
        <f t="shared" si="48"/>
        <v>0</v>
      </c>
    </row>
    <row r="363" spans="1:19" s="19" customFormat="1">
      <c r="A363" s="18" t="s">
        <v>287</v>
      </c>
      <c r="B363" s="19" t="s">
        <v>18</v>
      </c>
      <c r="C363" s="20"/>
      <c r="D363" s="21" t="s">
        <v>284</v>
      </c>
      <c r="E363" s="26"/>
      <c r="F363" s="22">
        <v>50</v>
      </c>
      <c r="G363" s="23" t="s">
        <v>101</v>
      </c>
      <c r="H363" s="22">
        <v>10</v>
      </c>
      <c r="I363" s="23" t="s">
        <v>284</v>
      </c>
      <c r="J363" s="24">
        <v>4200</v>
      </c>
      <c r="K363" s="21" t="s">
        <v>284</v>
      </c>
      <c r="L363" s="25">
        <v>0.125</v>
      </c>
      <c r="M363" s="25">
        <v>0.05</v>
      </c>
      <c r="N363" s="22"/>
      <c r="O363" s="23" t="s">
        <v>284</v>
      </c>
      <c r="P363" s="20">
        <f t="shared" si="51"/>
        <v>0</v>
      </c>
      <c r="Q363" s="23" t="s">
        <v>284</v>
      </c>
      <c r="R363" s="24">
        <f t="shared" si="52"/>
        <v>0</v>
      </c>
      <c r="S363" s="24">
        <f t="shared" si="48"/>
        <v>0</v>
      </c>
    </row>
    <row r="364" spans="1:19" s="19" customFormat="1">
      <c r="A364" s="68" t="s">
        <v>288</v>
      </c>
      <c r="B364" s="19" t="s">
        <v>18</v>
      </c>
      <c r="C364" s="20"/>
      <c r="D364" s="21" t="s">
        <v>284</v>
      </c>
      <c r="E364" s="26"/>
      <c r="F364" s="22">
        <v>50</v>
      </c>
      <c r="G364" s="23" t="s">
        <v>101</v>
      </c>
      <c r="H364" s="22">
        <v>10</v>
      </c>
      <c r="I364" s="23" t="s">
        <v>284</v>
      </c>
      <c r="J364" s="24">
        <v>4300</v>
      </c>
      <c r="K364" s="21" t="s">
        <v>284</v>
      </c>
      <c r="L364" s="25">
        <v>0.125</v>
      </c>
      <c r="M364" s="25">
        <v>0.05</v>
      </c>
      <c r="N364" s="22"/>
      <c r="O364" s="23" t="s">
        <v>284</v>
      </c>
      <c r="P364" s="20">
        <f t="shared" si="51"/>
        <v>0</v>
      </c>
      <c r="Q364" s="23" t="s">
        <v>284</v>
      </c>
      <c r="R364" s="24">
        <f t="shared" si="52"/>
        <v>0</v>
      </c>
      <c r="S364" s="24">
        <f t="shared" si="48"/>
        <v>0</v>
      </c>
    </row>
    <row r="365" spans="1:19" s="19" customFormat="1">
      <c r="A365" s="68" t="s">
        <v>289</v>
      </c>
      <c r="B365" s="19" t="s">
        <v>18</v>
      </c>
      <c r="C365" s="20"/>
      <c r="D365" s="21" t="s">
        <v>284</v>
      </c>
      <c r="E365" s="26"/>
      <c r="F365" s="22">
        <v>100</v>
      </c>
      <c r="G365" s="23" t="s">
        <v>101</v>
      </c>
      <c r="H365" s="22">
        <v>10</v>
      </c>
      <c r="I365" s="23" t="s">
        <v>284</v>
      </c>
      <c r="J365" s="24">
        <v>3000</v>
      </c>
      <c r="K365" s="21" t="s">
        <v>284</v>
      </c>
      <c r="L365" s="25">
        <v>0.125</v>
      </c>
      <c r="M365" s="25">
        <v>0.05</v>
      </c>
      <c r="N365" s="22"/>
      <c r="O365" s="23" t="s">
        <v>284</v>
      </c>
      <c r="P365" s="20">
        <f t="shared" si="51"/>
        <v>0</v>
      </c>
      <c r="Q365" s="23" t="s">
        <v>284</v>
      </c>
      <c r="R365" s="24">
        <f t="shared" si="52"/>
        <v>0</v>
      </c>
      <c r="S365" s="24">
        <f t="shared" si="48"/>
        <v>0</v>
      </c>
    </row>
    <row r="366" spans="1:19" s="19" customFormat="1">
      <c r="A366" s="68" t="s">
        <v>290</v>
      </c>
      <c r="B366" s="19" t="s">
        <v>18</v>
      </c>
      <c r="C366" s="20"/>
      <c r="D366" s="21" t="s">
        <v>284</v>
      </c>
      <c r="E366" s="26"/>
      <c r="F366" s="22">
        <v>100</v>
      </c>
      <c r="G366" s="23" t="s">
        <v>101</v>
      </c>
      <c r="H366" s="22">
        <v>10</v>
      </c>
      <c r="I366" s="23" t="s">
        <v>284</v>
      </c>
      <c r="J366" s="24">
        <v>3000</v>
      </c>
      <c r="K366" s="21" t="s">
        <v>284</v>
      </c>
      <c r="L366" s="25">
        <v>0.125</v>
      </c>
      <c r="M366" s="25">
        <v>0.05</v>
      </c>
      <c r="N366" s="22"/>
      <c r="O366" s="23" t="s">
        <v>284</v>
      </c>
      <c r="P366" s="20">
        <f t="shared" si="51"/>
        <v>0</v>
      </c>
      <c r="Q366" s="23" t="s">
        <v>284</v>
      </c>
      <c r="R366" s="24">
        <f t="shared" si="52"/>
        <v>0</v>
      </c>
      <c r="S366" s="24">
        <f t="shared" si="48"/>
        <v>0</v>
      </c>
    </row>
    <row r="367" spans="1:19" s="19" customFormat="1">
      <c r="A367" s="68" t="s">
        <v>291</v>
      </c>
      <c r="B367" s="19" t="s">
        <v>18</v>
      </c>
      <c r="C367" s="20"/>
      <c r="D367" s="21" t="s">
        <v>284</v>
      </c>
      <c r="E367" s="26"/>
      <c r="F367" s="22">
        <v>50</v>
      </c>
      <c r="G367" s="23" t="s">
        <v>101</v>
      </c>
      <c r="H367" s="22">
        <v>10</v>
      </c>
      <c r="I367" s="23" t="s">
        <v>284</v>
      </c>
      <c r="J367" s="24">
        <v>4300</v>
      </c>
      <c r="K367" s="21" t="s">
        <v>284</v>
      </c>
      <c r="L367" s="25">
        <v>0.125</v>
      </c>
      <c r="M367" s="25">
        <v>0.05</v>
      </c>
      <c r="N367" s="22"/>
      <c r="O367" s="23" t="s">
        <v>284</v>
      </c>
      <c r="P367" s="20">
        <f t="shared" si="51"/>
        <v>0</v>
      </c>
      <c r="Q367" s="23" t="s">
        <v>284</v>
      </c>
      <c r="R367" s="24">
        <f t="shared" si="52"/>
        <v>0</v>
      </c>
      <c r="S367" s="24">
        <f t="shared" si="48"/>
        <v>0</v>
      </c>
    </row>
    <row r="368" spans="1:19" s="19" customFormat="1">
      <c r="A368" s="68" t="s">
        <v>292</v>
      </c>
      <c r="B368" s="19" t="s">
        <v>18</v>
      </c>
      <c r="C368" s="20"/>
      <c r="D368" s="21" t="s">
        <v>101</v>
      </c>
      <c r="E368" s="26"/>
      <c r="F368" s="22">
        <v>1</v>
      </c>
      <c r="G368" s="23" t="s">
        <v>20</v>
      </c>
      <c r="H368" s="22">
        <v>50</v>
      </c>
      <c r="I368" s="23" t="s">
        <v>101</v>
      </c>
      <c r="J368" s="24">
        <v>15500</v>
      </c>
      <c r="K368" s="21" t="s">
        <v>101</v>
      </c>
      <c r="L368" s="25">
        <v>0.125</v>
      </c>
      <c r="M368" s="25">
        <v>0.05</v>
      </c>
      <c r="N368" s="22"/>
      <c r="O368" s="23" t="s">
        <v>101</v>
      </c>
      <c r="P368" s="20">
        <f t="shared" si="51"/>
        <v>0</v>
      </c>
      <c r="Q368" s="23" t="s">
        <v>101</v>
      </c>
      <c r="R368" s="24">
        <f t="shared" si="52"/>
        <v>0</v>
      </c>
      <c r="S368" s="24">
        <f t="shared" si="48"/>
        <v>0</v>
      </c>
    </row>
    <row r="369" spans="1:19" s="19" customFormat="1">
      <c r="A369" s="58"/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>
      <c r="A370" s="18" t="s">
        <v>293</v>
      </c>
      <c r="B370" s="19" t="s">
        <v>25</v>
      </c>
      <c r="C370" s="20"/>
      <c r="D370" s="21" t="s">
        <v>294</v>
      </c>
      <c r="E370" s="26"/>
      <c r="F370" s="22">
        <v>1</v>
      </c>
      <c r="G370" s="23" t="s">
        <v>20</v>
      </c>
      <c r="H370" s="22">
        <v>50</v>
      </c>
      <c r="I370" s="23" t="s">
        <v>294</v>
      </c>
      <c r="J370" s="24">
        <f>1050000/50</f>
        <v>21000</v>
      </c>
      <c r="K370" s="21" t="s">
        <v>294</v>
      </c>
      <c r="L370" s="25"/>
      <c r="M370" s="25">
        <v>0.17</v>
      </c>
      <c r="N370" s="22"/>
      <c r="O370" s="23" t="s">
        <v>294</v>
      </c>
      <c r="P370" s="20">
        <f>(C370+(E370*F370*H370))-N370</f>
        <v>0</v>
      </c>
      <c r="Q370" s="23" t="s">
        <v>294</v>
      </c>
      <c r="R370" s="24">
        <f>P370*(J370-(J370*L370)-((J370-(J370*L370))*M370))</f>
        <v>0</v>
      </c>
      <c r="S370" s="24">
        <f t="shared" si="48"/>
        <v>0</v>
      </c>
    </row>
    <row r="371" spans="1:19" s="19" customFormat="1">
      <c r="A371" s="18" t="s">
        <v>295</v>
      </c>
      <c r="B371" s="19" t="s">
        <v>25</v>
      </c>
      <c r="C371" s="20"/>
      <c r="D371" s="21" t="s">
        <v>294</v>
      </c>
      <c r="E371" s="26"/>
      <c r="F371" s="22">
        <v>1</v>
      </c>
      <c r="G371" s="23" t="s">
        <v>20</v>
      </c>
      <c r="H371" s="22">
        <v>50</v>
      </c>
      <c r="I371" s="23" t="s">
        <v>294</v>
      </c>
      <c r="J371" s="24">
        <f>1350000/50</f>
        <v>27000</v>
      </c>
      <c r="K371" s="21" t="s">
        <v>294</v>
      </c>
      <c r="L371" s="25"/>
      <c r="M371" s="25">
        <v>0.17</v>
      </c>
      <c r="N371" s="22"/>
      <c r="O371" s="23" t="s">
        <v>294</v>
      </c>
      <c r="P371" s="20">
        <f>(C371+(E371*F371*H371))-N371</f>
        <v>0</v>
      </c>
      <c r="Q371" s="23" t="s">
        <v>294</v>
      </c>
      <c r="R371" s="24">
        <f>P371*(J371-(J371*L371)-((J371-(J371*L371))*M371))</f>
        <v>0</v>
      </c>
      <c r="S371" s="24">
        <f t="shared" si="48"/>
        <v>0</v>
      </c>
    </row>
    <row r="372" spans="1:19" s="19" customFormat="1">
      <c r="A372" s="18"/>
      <c r="C372" s="20"/>
      <c r="D372" s="21"/>
      <c r="E372" s="26"/>
      <c r="F372" s="22"/>
      <c r="G372" s="23"/>
      <c r="H372" s="22"/>
      <c r="I372" s="23"/>
      <c r="J372" s="24"/>
      <c r="K372" s="21"/>
      <c r="L372" s="25"/>
      <c r="M372" s="25"/>
      <c r="N372" s="22"/>
      <c r="O372" s="23"/>
      <c r="P372" s="20"/>
      <c r="Q372" s="23"/>
      <c r="R372" s="24"/>
      <c r="S372" s="24"/>
    </row>
    <row r="373" spans="1:19" s="19" customFormat="1">
      <c r="A373" s="88" t="s">
        <v>296</v>
      </c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>
      <c r="A374" s="18" t="s">
        <v>297</v>
      </c>
      <c r="B374" s="19" t="s">
        <v>18</v>
      </c>
      <c r="C374" s="20"/>
      <c r="D374" s="21" t="s">
        <v>19</v>
      </c>
      <c r="E374" s="26"/>
      <c r="F374" s="22">
        <v>1</v>
      </c>
      <c r="G374" s="23" t="s">
        <v>20</v>
      </c>
      <c r="H374" s="22">
        <v>20</v>
      </c>
      <c r="I374" s="23" t="s">
        <v>19</v>
      </c>
      <c r="J374" s="24">
        <v>40500</v>
      </c>
      <c r="K374" s="21" t="s">
        <v>19</v>
      </c>
      <c r="L374" s="25">
        <v>0.125</v>
      </c>
      <c r="M374" s="25">
        <v>0.05</v>
      </c>
      <c r="N374" s="22"/>
      <c r="O374" s="23" t="s">
        <v>19</v>
      </c>
      <c r="P374" s="20">
        <f>(C374+(E374*F374*H374))-N374</f>
        <v>0</v>
      </c>
      <c r="Q374" s="23" t="s">
        <v>19</v>
      </c>
      <c r="R374" s="24">
        <f>P374*(J374-(J374*L374)-((J374-(J374*L374))*M374))</f>
        <v>0</v>
      </c>
      <c r="S374" s="24">
        <f t="shared" si="48"/>
        <v>0</v>
      </c>
    </row>
    <row r="375" spans="1:19" s="19" customFormat="1">
      <c r="A375" s="18"/>
      <c r="C375" s="20"/>
      <c r="D375" s="21"/>
      <c r="E375" s="26"/>
      <c r="F375" s="22"/>
      <c r="G375" s="23"/>
      <c r="H375" s="22"/>
      <c r="I375" s="23"/>
      <c r="J375" s="24"/>
      <c r="K375" s="21"/>
      <c r="L375" s="25"/>
      <c r="M375" s="25"/>
      <c r="N375" s="22"/>
      <c r="O375" s="23"/>
      <c r="P375" s="20"/>
      <c r="Q375" s="23"/>
      <c r="R375" s="24"/>
      <c r="S375" s="24"/>
    </row>
    <row r="376" spans="1:19" s="19" customFormat="1">
      <c r="A376" s="18" t="s">
        <v>298</v>
      </c>
      <c r="B376" s="19" t="s">
        <v>25</v>
      </c>
      <c r="C376" s="20"/>
      <c r="D376" s="21" t="s">
        <v>19</v>
      </c>
      <c r="E376" s="26"/>
      <c r="F376" s="22">
        <v>1</v>
      </c>
      <c r="G376" s="23" t="s">
        <v>20</v>
      </c>
      <c r="H376" s="22">
        <v>50</v>
      </c>
      <c r="I376" s="23" t="s">
        <v>19</v>
      </c>
      <c r="J376" s="24">
        <f>2250000/50</f>
        <v>45000</v>
      </c>
      <c r="K376" s="21" t="s">
        <v>19</v>
      </c>
      <c r="L376" s="25"/>
      <c r="M376" s="25">
        <v>0.17</v>
      </c>
      <c r="N376" s="22"/>
      <c r="O376" s="23" t="s">
        <v>19</v>
      </c>
      <c r="P376" s="20">
        <f>(C376+(E376*F376*H376))-N376</f>
        <v>0</v>
      </c>
      <c r="Q376" s="23" t="s">
        <v>19</v>
      </c>
      <c r="R376" s="24">
        <f>P376*(J376-(J376*L376)-((J376-(J376*L376))*M376))</f>
        <v>0</v>
      </c>
      <c r="S376" s="24">
        <f t="shared" si="48"/>
        <v>0</v>
      </c>
    </row>
    <row r="377" spans="1:19" s="19" customFormat="1">
      <c r="A377" s="18" t="s">
        <v>299</v>
      </c>
      <c r="B377" s="19" t="s">
        <v>25</v>
      </c>
      <c r="C377" s="20"/>
      <c r="D377" s="21" t="s">
        <v>19</v>
      </c>
      <c r="E377" s="26"/>
      <c r="F377" s="22">
        <v>1</v>
      </c>
      <c r="G377" s="23" t="s">
        <v>20</v>
      </c>
      <c r="H377" s="22">
        <v>50</v>
      </c>
      <c r="I377" s="23" t="s">
        <v>19</v>
      </c>
      <c r="J377" s="24">
        <f>2750000/50</f>
        <v>55000</v>
      </c>
      <c r="K377" s="21" t="s">
        <v>19</v>
      </c>
      <c r="L377" s="25"/>
      <c r="M377" s="25">
        <v>0.17</v>
      </c>
      <c r="N377" s="22"/>
      <c r="O377" s="23" t="s">
        <v>19</v>
      </c>
      <c r="P377" s="20">
        <f>(C377+(E377*F377*H377))-N377</f>
        <v>0</v>
      </c>
      <c r="Q377" s="23" t="s">
        <v>19</v>
      </c>
      <c r="R377" s="24">
        <f>P377*(J377-(J377*L377)-((J377-(J377*L377))*M377))</f>
        <v>0</v>
      </c>
      <c r="S377" s="24">
        <f t="shared" si="48"/>
        <v>0</v>
      </c>
    </row>
    <row r="378" spans="1:19" s="19" customFormat="1">
      <c r="A378" s="59" t="s">
        <v>300</v>
      </c>
      <c r="B378" s="19" t="s">
        <v>25</v>
      </c>
      <c r="C378" s="20"/>
      <c r="D378" s="21" t="s">
        <v>19</v>
      </c>
      <c r="E378" s="26"/>
      <c r="F378" s="22">
        <v>1</v>
      </c>
      <c r="G378" s="23" t="s">
        <v>20</v>
      </c>
      <c r="H378" s="22">
        <v>50</v>
      </c>
      <c r="I378" s="23" t="s">
        <v>19</v>
      </c>
      <c r="J378" s="24">
        <f>4750000/50</f>
        <v>95000</v>
      </c>
      <c r="K378" s="21" t="s">
        <v>19</v>
      </c>
      <c r="L378" s="25"/>
      <c r="M378" s="25">
        <v>0.17</v>
      </c>
      <c r="N378" s="22"/>
      <c r="O378" s="23" t="s">
        <v>19</v>
      </c>
      <c r="P378" s="20">
        <f>(C378+(E378*F378*H378))-N378</f>
        <v>0</v>
      </c>
      <c r="Q378" s="23" t="s">
        <v>19</v>
      </c>
      <c r="R378" s="24">
        <f>P378*(J378-(J378*L378)-((J378-(J378*L378))*M378))</f>
        <v>0</v>
      </c>
      <c r="S378" s="24">
        <f t="shared" si="48"/>
        <v>0</v>
      </c>
    </row>
    <row r="379" spans="1:19" s="19" customFormat="1">
      <c r="A379" s="18"/>
      <c r="C379" s="20"/>
      <c r="D379" s="21"/>
      <c r="E379" s="26"/>
      <c r="F379" s="22"/>
      <c r="G379" s="23"/>
      <c r="H379" s="22"/>
      <c r="I379" s="23"/>
      <c r="J379" s="24"/>
      <c r="K379" s="21"/>
      <c r="L379" s="25"/>
      <c r="M379" s="25"/>
      <c r="N379" s="22"/>
      <c r="O379" s="23"/>
      <c r="P379" s="20"/>
      <c r="Q379" s="23"/>
      <c r="R379" s="24"/>
      <c r="S379" s="24"/>
    </row>
    <row r="380" spans="1:19" s="19" customFormat="1" ht="15.75">
      <c r="A380" s="44" t="s">
        <v>301</v>
      </c>
      <c r="C380" s="20"/>
      <c r="D380" s="21"/>
      <c r="E380" s="26"/>
      <c r="F380" s="22"/>
      <c r="G380" s="23"/>
      <c r="H380" s="22"/>
      <c r="I380" s="23"/>
      <c r="J380" s="24"/>
      <c r="K380" s="21"/>
      <c r="L380" s="25"/>
      <c r="M380" s="25"/>
      <c r="N380" s="22"/>
      <c r="O380" s="23"/>
      <c r="P380" s="20"/>
      <c r="Q380" s="23"/>
      <c r="R380" s="24"/>
      <c r="S380" s="24"/>
    </row>
    <row r="381" spans="1:19" s="19" customFormat="1">
      <c r="A381" s="18" t="s">
        <v>819</v>
      </c>
      <c r="B381" s="19" t="s">
        <v>18</v>
      </c>
      <c r="C381" s="20"/>
      <c r="D381" s="21" t="s">
        <v>101</v>
      </c>
      <c r="E381" s="26"/>
      <c r="F381" s="22">
        <v>1</v>
      </c>
      <c r="G381" s="23" t="s">
        <v>20</v>
      </c>
      <c r="H381" s="22">
        <v>10</v>
      </c>
      <c r="I381" s="23" t="s">
        <v>101</v>
      </c>
      <c r="J381" s="24">
        <v>85000</v>
      </c>
      <c r="K381" s="21" t="s">
        <v>101</v>
      </c>
      <c r="L381" s="25">
        <v>0.125</v>
      </c>
      <c r="M381" s="25">
        <v>0.05</v>
      </c>
      <c r="N381" s="22"/>
      <c r="O381" s="23" t="s">
        <v>101</v>
      </c>
      <c r="P381" s="20">
        <f>(C381+(E381*F381*H381))-N381</f>
        <v>0</v>
      </c>
      <c r="Q381" s="23" t="s">
        <v>101</v>
      </c>
      <c r="R381" s="24">
        <f>P381*(J381-(J381*L381)-((J381-(J381*L381))*M381))</f>
        <v>0</v>
      </c>
      <c r="S381" s="24">
        <f t="shared" ref="S381" si="53">R381/1.11</f>
        <v>0</v>
      </c>
    </row>
    <row r="382" spans="1:19" s="19" customFormat="1">
      <c r="A382" s="18" t="s">
        <v>302</v>
      </c>
      <c r="B382" s="19" t="s">
        <v>18</v>
      </c>
      <c r="C382" s="20"/>
      <c r="D382" s="21" t="s">
        <v>101</v>
      </c>
      <c r="E382" s="26"/>
      <c r="F382" s="22">
        <v>1</v>
      </c>
      <c r="G382" s="23" t="s">
        <v>20</v>
      </c>
      <c r="H382" s="22">
        <v>10</v>
      </c>
      <c r="I382" s="23" t="s">
        <v>101</v>
      </c>
      <c r="J382" s="24">
        <v>104000</v>
      </c>
      <c r="K382" s="21" t="s">
        <v>101</v>
      </c>
      <c r="L382" s="25">
        <v>0.125</v>
      </c>
      <c r="M382" s="25">
        <v>0.05</v>
      </c>
      <c r="N382" s="22"/>
      <c r="O382" s="23" t="s">
        <v>101</v>
      </c>
      <c r="P382" s="20">
        <f>(C382+(E382*F382*H382))-N382</f>
        <v>0</v>
      </c>
      <c r="Q382" s="23" t="s">
        <v>101</v>
      </c>
      <c r="R382" s="24">
        <f>P382*(J382-(J382*L382)-((J382-(J382*L382))*M382))</f>
        <v>0</v>
      </c>
      <c r="S382" s="24">
        <f t="shared" si="48"/>
        <v>0</v>
      </c>
    </row>
    <row r="383" spans="1:19" s="19" customFormat="1">
      <c r="A383" s="18"/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>
      <c r="A384" s="18" t="s">
        <v>303</v>
      </c>
      <c r="B384" s="19" t="s">
        <v>25</v>
      </c>
      <c r="C384" s="20"/>
      <c r="D384" s="21" t="s">
        <v>101</v>
      </c>
      <c r="E384" s="26"/>
      <c r="F384" s="22">
        <v>1</v>
      </c>
      <c r="G384" s="23" t="s">
        <v>20</v>
      </c>
      <c r="H384" s="22">
        <v>10</v>
      </c>
      <c r="I384" s="23" t="s">
        <v>101</v>
      </c>
      <c r="J384" s="24">
        <f>1150000/10</f>
        <v>115000</v>
      </c>
      <c r="K384" s="21" t="s">
        <v>101</v>
      </c>
      <c r="L384" s="25"/>
      <c r="M384" s="25">
        <v>0.17</v>
      </c>
      <c r="N384" s="22"/>
      <c r="O384" s="23" t="s">
        <v>101</v>
      </c>
      <c r="P384" s="20">
        <f>(C384+(E384*F384*H384))-N384</f>
        <v>0</v>
      </c>
      <c r="Q384" s="23" t="s">
        <v>101</v>
      </c>
      <c r="R384" s="24">
        <f>P384*(J384-(J384*L384)-((J384-(J384*L384))*M384))</f>
        <v>0</v>
      </c>
      <c r="S384" s="24">
        <f t="shared" si="48"/>
        <v>0</v>
      </c>
    </row>
    <row r="385" spans="1:19" s="19" customFormat="1">
      <c r="A385" s="18"/>
      <c r="C385" s="20"/>
      <c r="D385" s="21"/>
      <c r="E385" s="26"/>
      <c r="F385" s="22"/>
      <c r="G385" s="23"/>
      <c r="H385" s="22"/>
      <c r="I385" s="23"/>
      <c r="J385" s="24"/>
      <c r="K385" s="21"/>
      <c r="L385" s="25"/>
      <c r="M385" s="25"/>
      <c r="N385" s="22"/>
      <c r="O385" s="23"/>
      <c r="P385" s="20"/>
      <c r="Q385" s="23"/>
      <c r="R385" s="24"/>
      <c r="S385" s="24"/>
    </row>
    <row r="386" spans="1:19" s="19" customFormat="1" ht="15.75">
      <c r="A386" s="44" t="s">
        <v>304</v>
      </c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>
      <c r="A387" s="88" t="s">
        <v>305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>
      <c r="A388" s="18" t="s">
        <v>306</v>
      </c>
      <c r="B388" s="19" t="s">
        <v>18</v>
      </c>
      <c r="C388" s="20"/>
      <c r="D388" s="21" t="s">
        <v>42</v>
      </c>
      <c r="E388" s="26"/>
      <c r="F388" s="22">
        <v>48</v>
      </c>
      <c r="G388" s="23" t="s">
        <v>33</v>
      </c>
      <c r="H388" s="22">
        <v>1</v>
      </c>
      <c r="I388" s="23" t="s">
        <v>42</v>
      </c>
      <c r="J388" s="24">
        <f>1625*12</f>
        <v>19500</v>
      </c>
      <c r="K388" s="21" t="s">
        <v>42</v>
      </c>
      <c r="L388" s="25">
        <v>0.125</v>
      </c>
      <c r="M388" s="25">
        <v>0.05</v>
      </c>
      <c r="N388" s="22"/>
      <c r="O388" s="23" t="s">
        <v>42</v>
      </c>
      <c r="P388" s="20">
        <f>(C388+(E388*F388*H388))-N388</f>
        <v>0</v>
      </c>
      <c r="Q388" s="23" t="s">
        <v>42</v>
      </c>
      <c r="R388" s="24">
        <f>P388*(J388-(J388*L388)-((J388-(J388*L388))*M388))</f>
        <v>0</v>
      </c>
      <c r="S388" s="24">
        <f t="shared" si="48"/>
        <v>0</v>
      </c>
    </row>
    <row r="389" spans="1:19" s="19" customFormat="1">
      <c r="A389" s="18" t="s">
        <v>754</v>
      </c>
      <c r="B389" s="19" t="s">
        <v>18</v>
      </c>
      <c r="C389" s="20"/>
      <c r="D389" s="21" t="s">
        <v>42</v>
      </c>
      <c r="E389" s="26"/>
      <c r="F389" s="22">
        <v>24</v>
      </c>
      <c r="G389" s="23" t="s">
        <v>33</v>
      </c>
      <c r="H389" s="22">
        <v>1</v>
      </c>
      <c r="I389" s="23" t="s">
        <v>42</v>
      </c>
      <c r="J389" s="24">
        <f>2500*12</f>
        <v>30000</v>
      </c>
      <c r="K389" s="21" t="s">
        <v>42</v>
      </c>
      <c r="L389" s="25">
        <v>0.125</v>
      </c>
      <c r="M389" s="25">
        <v>0.05</v>
      </c>
      <c r="N389" s="22"/>
      <c r="O389" s="23" t="s">
        <v>42</v>
      </c>
      <c r="P389" s="20">
        <f>(C389+(E389*F389*H389))-N389</f>
        <v>0</v>
      </c>
      <c r="Q389" s="23" t="s">
        <v>42</v>
      </c>
      <c r="R389" s="24">
        <f>P389*(J389-(J389*L389)-((J389-(J389*L389))*M389))</f>
        <v>0</v>
      </c>
      <c r="S389" s="24">
        <f t="shared" si="48"/>
        <v>0</v>
      </c>
    </row>
    <row r="390" spans="1:19" s="19" customFormat="1">
      <c r="A390" s="58" t="s">
        <v>307</v>
      </c>
      <c r="B390" s="19" t="s">
        <v>18</v>
      </c>
      <c r="C390" s="20"/>
      <c r="D390" s="21" t="s">
        <v>42</v>
      </c>
      <c r="E390" s="26"/>
      <c r="F390" s="22">
        <v>48</v>
      </c>
      <c r="G390" s="23" t="s">
        <v>33</v>
      </c>
      <c r="H390" s="22">
        <v>1</v>
      </c>
      <c r="I390" s="23" t="s">
        <v>42</v>
      </c>
      <c r="J390" s="24">
        <f>1550*12</f>
        <v>18600</v>
      </c>
      <c r="K390" s="21" t="s">
        <v>42</v>
      </c>
      <c r="L390" s="25">
        <v>0.125</v>
      </c>
      <c r="M390" s="25">
        <v>0.05</v>
      </c>
      <c r="N390" s="22"/>
      <c r="O390" s="23" t="s">
        <v>42</v>
      </c>
      <c r="P390" s="20">
        <f>(C390+(E390*F390*H390))-N390</f>
        <v>0</v>
      </c>
      <c r="Q390" s="23" t="s">
        <v>42</v>
      </c>
      <c r="R390" s="24">
        <f>P390*(J390-(J390*L390)-((J390-(J390*L390))*M390))</f>
        <v>0</v>
      </c>
      <c r="S390" s="24">
        <f t="shared" si="48"/>
        <v>0</v>
      </c>
    </row>
    <row r="391" spans="1:19" s="19" customFormat="1">
      <c r="A391" s="58" t="s">
        <v>308</v>
      </c>
      <c r="B391" s="19" t="s">
        <v>18</v>
      </c>
      <c r="C391" s="20"/>
      <c r="D391" s="21" t="s">
        <v>42</v>
      </c>
      <c r="E391" s="26"/>
      <c r="F391" s="22">
        <v>24</v>
      </c>
      <c r="G391" s="23" t="s">
        <v>33</v>
      </c>
      <c r="H391" s="22">
        <v>1</v>
      </c>
      <c r="I391" s="23" t="s">
        <v>42</v>
      </c>
      <c r="J391" s="24">
        <f>2150*12</f>
        <v>25800</v>
      </c>
      <c r="K391" s="21" t="s">
        <v>42</v>
      </c>
      <c r="L391" s="25">
        <v>0.125</v>
      </c>
      <c r="M391" s="25">
        <v>0.05</v>
      </c>
      <c r="N391" s="22"/>
      <c r="O391" s="23" t="s">
        <v>42</v>
      </c>
      <c r="P391" s="20">
        <f>(C391+(E391*F391*H391))-N391</f>
        <v>0</v>
      </c>
      <c r="Q391" s="23" t="s">
        <v>42</v>
      </c>
      <c r="R391" s="24">
        <f>P391*(J391-(J391*L391)-((J391-(J391*L391))*M391))</f>
        <v>0</v>
      </c>
      <c r="S391" s="24">
        <f t="shared" si="48"/>
        <v>0</v>
      </c>
    </row>
    <row r="392" spans="1:19" s="19" customFormat="1">
      <c r="A392" s="18" t="s">
        <v>309</v>
      </c>
      <c r="B392" s="19" t="s">
        <v>18</v>
      </c>
      <c r="C392" s="20"/>
      <c r="D392" s="21" t="s">
        <v>42</v>
      </c>
      <c r="E392" s="26"/>
      <c r="F392" s="22">
        <v>24</v>
      </c>
      <c r="G392" s="23" t="s">
        <v>33</v>
      </c>
      <c r="H392" s="22">
        <v>1</v>
      </c>
      <c r="I392" s="23" t="s">
        <v>42</v>
      </c>
      <c r="J392" s="24">
        <f>3000*12</f>
        <v>36000</v>
      </c>
      <c r="K392" s="21" t="s">
        <v>42</v>
      </c>
      <c r="L392" s="25">
        <v>0.125</v>
      </c>
      <c r="M392" s="25">
        <v>0.05</v>
      </c>
      <c r="N392" s="22"/>
      <c r="O392" s="23" t="s">
        <v>42</v>
      </c>
      <c r="P392" s="20">
        <f>(C392+(E392*F392*H392))-N392</f>
        <v>0</v>
      </c>
      <c r="Q392" s="23" t="s">
        <v>42</v>
      </c>
      <c r="R392" s="24">
        <f>P392*(J392-(J392*L392)-((J392-(J392*L392))*M392))</f>
        <v>0</v>
      </c>
      <c r="S392" s="24">
        <f t="shared" si="48"/>
        <v>0</v>
      </c>
    </row>
    <row r="393" spans="1:19" s="19" customFormat="1">
      <c r="A393" s="18"/>
      <c r="C393" s="20"/>
      <c r="D393" s="21"/>
      <c r="E393" s="26"/>
      <c r="F393" s="22"/>
      <c r="G393" s="23"/>
      <c r="H393" s="22"/>
      <c r="I393" s="23"/>
      <c r="J393" s="24"/>
      <c r="K393" s="21"/>
      <c r="L393" s="25"/>
      <c r="M393" s="25"/>
      <c r="N393" s="22"/>
      <c r="O393" s="23"/>
      <c r="P393" s="20"/>
      <c r="Q393" s="23"/>
      <c r="R393" s="24"/>
      <c r="S393" s="24"/>
    </row>
    <row r="394" spans="1:19" s="19" customFormat="1">
      <c r="A394" s="18" t="s">
        <v>310</v>
      </c>
      <c r="B394" s="19" t="s">
        <v>25</v>
      </c>
      <c r="C394" s="20"/>
      <c r="D394" s="21" t="s">
        <v>42</v>
      </c>
      <c r="E394" s="26"/>
      <c r="F394" s="22">
        <v>1</v>
      </c>
      <c r="G394" s="23" t="s">
        <v>20</v>
      </c>
      <c r="H394" s="22">
        <v>20</v>
      </c>
      <c r="I394" s="23" t="s">
        <v>42</v>
      </c>
      <c r="J394" s="24">
        <f>396000/20</f>
        <v>19800</v>
      </c>
      <c r="K394" s="21" t="s">
        <v>42</v>
      </c>
      <c r="L394" s="25"/>
      <c r="M394" s="25">
        <v>0.17</v>
      </c>
      <c r="N394" s="22"/>
      <c r="O394" s="23" t="s">
        <v>42</v>
      </c>
      <c r="P394" s="20">
        <f>(C394+(E394*F394*H394))-N394</f>
        <v>0</v>
      </c>
      <c r="Q394" s="23" t="s">
        <v>42</v>
      </c>
      <c r="R394" s="24">
        <f>P394*(J394-(J394*L394)-((J394-(J394*L394))*M394))</f>
        <v>0</v>
      </c>
      <c r="S394" s="24">
        <f t="shared" si="48"/>
        <v>0</v>
      </c>
    </row>
    <row r="395" spans="1:19" s="19" customFormat="1">
      <c r="A395" s="18" t="s">
        <v>311</v>
      </c>
      <c r="B395" s="19" t="s">
        <v>25</v>
      </c>
      <c r="C395" s="20"/>
      <c r="D395" s="21" t="s">
        <v>42</v>
      </c>
      <c r="E395" s="26"/>
      <c r="F395" s="22">
        <v>1</v>
      </c>
      <c r="G395" s="23" t="s">
        <v>20</v>
      </c>
      <c r="H395" s="22">
        <v>20</v>
      </c>
      <c r="I395" s="23" t="s">
        <v>42</v>
      </c>
      <c r="J395" s="24">
        <f>504000/20</f>
        <v>25200</v>
      </c>
      <c r="K395" s="21" t="s">
        <v>42</v>
      </c>
      <c r="L395" s="25"/>
      <c r="M395" s="25">
        <v>0.17</v>
      </c>
      <c r="N395" s="22"/>
      <c r="O395" s="23" t="s">
        <v>42</v>
      </c>
      <c r="P395" s="20">
        <f>(C395+(E395*F395*H395))-N395</f>
        <v>0</v>
      </c>
      <c r="Q395" s="23" t="s">
        <v>42</v>
      </c>
      <c r="R395" s="24">
        <f>P395*(J395-(J395*L395)-((J395-(J395*L395))*M395))</f>
        <v>0</v>
      </c>
      <c r="S395" s="24">
        <f t="shared" si="48"/>
        <v>0</v>
      </c>
    </row>
    <row r="396" spans="1:19" s="19" customFormat="1">
      <c r="A396" s="18" t="s">
        <v>312</v>
      </c>
      <c r="B396" s="19" t="s">
        <v>25</v>
      </c>
      <c r="C396" s="20"/>
      <c r="D396" s="21" t="s">
        <v>42</v>
      </c>
      <c r="E396" s="26"/>
      <c r="F396" s="22">
        <v>1</v>
      </c>
      <c r="G396" s="23" t="s">
        <v>20</v>
      </c>
      <c r="H396" s="22">
        <v>20</v>
      </c>
      <c r="I396" s="23" t="s">
        <v>42</v>
      </c>
      <c r="J396" s="24">
        <f>480000/20</f>
        <v>24000</v>
      </c>
      <c r="K396" s="21" t="s">
        <v>42</v>
      </c>
      <c r="L396" s="25"/>
      <c r="M396" s="25">
        <v>0.17</v>
      </c>
      <c r="N396" s="22"/>
      <c r="O396" s="23" t="s">
        <v>42</v>
      </c>
      <c r="P396" s="20">
        <f>(C396+(E396*F396*H396))-N396</f>
        <v>0</v>
      </c>
      <c r="Q396" s="23" t="s">
        <v>42</v>
      </c>
      <c r="R396" s="24">
        <f>P396*(J396-(J396*L396)-((J396-(J396*L396))*M396))</f>
        <v>0</v>
      </c>
      <c r="S396" s="24">
        <f t="shared" si="48"/>
        <v>0</v>
      </c>
    </row>
    <row r="397" spans="1:19" s="19" customFormat="1">
      <c r="A397" s="18"/>
      <c r="C397" s="20"/>
      <c r="D397" s="21"/>
      <c r="E397" s="26"/>
      <c r="F397" s="22"/>
      <c r="G397" s="23"/>
      <c r="H397" s="22"/>
      <c r="I397" s="23"/>
      <c r="J397" s="24"/>
      <c r="K397" s="21"/>
      <c r="L397" s="25"/>
      <c r="M397" s="25"/>
      <c r="N397" s="22"/>
      <c r="O397" s="23"/>
      <c r="P397" s="20"/>
      <c r="Q397" s="23"/>
      <c r="R397" s="24"/>
      <c r="S397" s="24"/>
    </row>
    <row r="398" spans="1:19" s="19" customFormat="1">
      <c r="A398" s="88" t="s">
        <v>313</v>
      </c>
      <c r="C398" s="20"/>
      <c r="D398" s="21"/>
      <c r="E398" s="26"/>
      <c r="F398" s="22"/>
      <c r="G398" s="23"/>
      <c r="H398" s="22"/>
      <c r="I398" s="23"/>
      <c r="J398" s="24"/>
      <c r="K398" s="21"/>
      <c r="L398" s="25"/>
      <c r="M398" s="25"/>
      <c r="N398" s="22"/>
      <c r="O398" s="23"/>
      <c r="P398" s="20"/>
      <c r="Q398" s="23"/>
      <c r="R398" s="24"/>
      <c r="S398" s="24">
        <f t="shared" si="48"/>
        <v>0</v>
      </c>
    </row>
    <row r="399" spans="1:19" s="19" customFormat="1">
      <c r="A399" s="18" t="s">
        <v>314</v>
      </c>
      <c r="B399" s="19" t="s">
        <v>18</v>
      </c>
      <c r="C399" s="20"/>
      <c r="D399" s="21" t="s">
        <v>33</v>
      </c>
      <c r="E399" s="26"/>
      <c r="F399" s="22">
        <v>1</v>
      </c>
      <c r="G399" s="23" t="s">
        <v>20</v>
      </c>
      <c r="H399" s="22">
        <v>64</v>
      </c>
      <c r="I399" s="23" t="s">
        <v>33</v>
      </c>
      <c r="J399" s="24">
        <f>2100*12</f>
        <v>25200</v>
      </c>
      <c r="K399" s="21" t="s">
        <v>33</v>
      </c>
      <c r="L399" s="25">
        <v>0.125</v>
      </c>
      <c r="M399" s="25">
        <v>0.05</v>
      </c>
      <c r="N399" s="22"/>
      <c r="O399" s="23" t="s">
        <v>33</v>
      </c>
      <c r="P399" s="20">
        <f t="shared" ref="P399:P406" si="54">(C399+(E399*F399*H399))-N399</f>
        <v>0</v>
      </c>
      <c r="Q399" s="23" t="s">
        <v>33</v>
      </c>
      <c r="R399" s="24">
        <f t="shared" ref="R399:R406" si="55">P399*(J399-(J399*L399)-((J399-(J399*L399))*M399))</f>
        <v>0</v>
      </c>
      <c r="S399" s="24">
        <f t="shared" si="48"/>
        <v>0</v>
      </c>
    </row>
    <row r="400" spans="1:19" s="19" customFormat="1">
      <c r="A400" s="18" t="s">
        <v>316</v>
      </c>
      <c r="B400" s="19" t="s">
        <v>18</v>
      </c>
      <c r="C400" s="20"/>
      <c r="D400" s="21" t="s">
        <v>33</v>
      </c>
      <c r="E400" s="26"/>
      <c r="F400" s="22">
        <v>1</v>
      </c>
      <c r="G400" s="23" t="s">
        <v>20</v>
      </c>
      <c r="H400" s="22">
        <v>36</v>
      </c>
      <c r="I400" s="23" t="s">
        <v>33</v>
      </c>
      <c r="J400" s="24">
        <f>2100*24</f>
        <v>50400</v>
      </c>
      <c r="K400" s="21" t="s">
        <v>33</v>
      </c>
      <c r="L400" s="25">
        <v>0.125</v>
      </c>
      <c r="M400" s="25">
        <v>0.05</v>
      </c>
      <c r="N400" s="22"/>
      <c r="O400" s="23" t="s">
        <v>33</v>
      </c>
      <c r="P400" s="20">
        <f t="shared" si="54"/>
        <v>0</v>
      </c>
      <c r="Q400" s="23" t="s">
        <v>33</v>
      </c>
      <c r="R400" s="24">
        <f t="shared" si="55"/>
        <v>0</v>
      </c>
      <c r="S400" s="24">
        <f>R400/1.11</f>
        <v>0</v>
      </c>
    </row>
    <row r="401" spans="1:19" s="19" customFormat="1">
      <c r="A401" s="66" t="s">
        <v>753</v>
      </c>
      <c r="B401" s="19" t="s">
        <v>18</v>
      </c>
      <c r="C401" s="20"/>
      <c r="D401" s="21" t="s">
        <v>33</v>
      </c>
      <c r="E401" s="26"/>
      <c r="F401" s="22">
        <v>1</v>
      </c>
      <c r="G401" s="23" t="s">
        <v>20</v>
      </c>
      <c r="H401" s="22">
        <v>36</v>
      </c>
      <c r="I401" s="23" t="s">
        <v>33</v>
      </c>
      <c r="J401" s="24">
        <f>2300*24</f>
        <v>55200</v>
      </c>
      <c r="K401" s="21" t="s">
        <v>33</v>
      </c>
      <c r="L401" s="25">
        <v>0.125</v>
      </c>
      <c r="M401" s="25">
        <v>0.05</v>
      </c>
      <c r="N401" s="22"/>
      <c r="O401" s="23" t="s">
        <v>33</v>
      </c>
      <c r="P401" s="20">
        <f t="shared" si="54"/>
        <v>0</v>
      </c>
      <c r="Q401" s="23" t="s">
        <v>33</v>
      </c>
      <c r="R401" s="24">
        <f t="shared" si="55"/>
        <v>0</v>
      </c>
      <c r="S401" s="24">
        <f>R401/1.11</f>
        <v>0</v>
      </c>
    </row>
    <row r="402" spans="1:19" s="19" customFormat="1">
      <c r="A402" s="18" t="s">
        <v>752</v>
      </c>
      <c r="B402" s="19" t="s">
        <v>18</v>
      </c>
      <c r="C402" s="20"/>
      <c r="D402" s="21" t="s">
        <v>33</v>
      </c>
      <c r="E402" s="26"/>
      <c r="F402" s="22">
        <v>1</v>
      </c>
      <c r="G402" s="23" t="s">
        <v>20</v>
      </c>
      <c r="H402" s="22">
        <v>32</v>
      </c>
      <c r="I402" s="23" t="s">
        <v>33</v>
      </c>
      <c r="J402" s="24">
        <f>1300*12</f>
        <v>15600</v>
      </c>
      <c r="K402" s="21" t="s">
        <v>33</v>
      </c>
      <c r="L402" s="25">
        <v>0.125</v>
      </c>
      <c r="M402" s="25">
        <v>0.05</v>
      </c>
      <c r="N402" s="22"/>
      <c r="O402" s="23" t="s">
        <v>33</v>
      </c>
      <c r="P402" s="20">
        <f t="shared" si="54"/>
        <v>0</v>
      </c>
      <c r="Q402" s="23" t="s">
        <v>33</v>
      </c>
      <c r="R402" s="24">
        <f t="shared" si="55"/>
        <v>0</v>
      </c>
      <c r="S402" s="24">
        <f>R402/1.11</f>
        <v>0</v>
      </c>
    </row>
    <row r="403" spans="1:19" s="19" customFormat="1">
      <c r="A403" s="18" t="s">
        <v>315</v>
      </c>
      <c r="B403" s="19" t="s">
        <v>18</v>
      </c>
      <c r="C403" s="20"/>
      <c r="D403" s="21" t="s">
        <v>33</v>
      </c>
      <c r="E403" s="26"/>
      <c r="F403" s="22">
        <v>1</v>
      </c>
      <c r="G403" s="23" t="s">
        <v>20</v>
      </c>
      <c r="H403" s="22">
        <v>54</v>
      </c>
      <c r="I403" s="23" t="s">
        <v>33</v>
      </c>
      <c r="J403" s="24">
        <f>3400*12</f>
        <v>40800</v>
      </c>
      <c r="K403" s="21" t="s">
        <v>33</v>
      </c>
      <c r="L403" s="25">
        <v>0.125</v>
      </c>
      <c r="M403" s="25">
        <v>0.05</v>
      </c>
      <c r="N403" s="22"/>
      <c r="O403" s="23" t="s">
        <v>33</v>
      </c>
      <c r="P403" s="20">
        <f t="shared" si="54"/>
        <v>0</v>
      </c>
      <c r="Q403" s="23" t="s">
        <v>33</v>
      </c>
      <c r="R403" s="24">
        <f t="shared" si="55"/>
        <v>0</v>
      </c>
      <c r="S403" s="24">
        <f t="shared" si="48"/>
        <v>0</v>
      </c>
    </row>
    <row r="404" spans="1:19" s="19" customFormat="1">
      <c r="A404" s="66" t="s">
        <v>795</v>
      </c>
      <c r="B404" s="19" t="s">
        <v>18</v>
      </c>
      <c r="C404" s="20"/>
      <c r="D404" s="21" t="s">
        <v>33</v>
      </c>
      <c r="E404" s="26"/>
      <c r="F404" s="22">
        <v>1</v>
      </c>
      <c r="G404" s="23" t="s">
        <v>20</v>
      </c>
      <c r="H404" s="22">
        <v>24</v>
      </c>
      <c r="I404" s="23" t="s">
        <v>33</v>
      </c>
      <c r="J404" s="24">
        <f>3300*24</f>
        <v>79200</v>
      </c>
      <c r="K404" s="21" t="s">
        <v>33</v>
      </c>
      <c r="L404" s="25">
        <v>0.125</v>
      </c>
      <c r="M404" s="25">
        <v>0.05</v>
      </c>
      <c r="N404" s="22"/>
      <c r="O404" s="23" t="s">
        <v>33</v>
      </c>
      <c r="P404" s="20">
        <f t="shared" si="54"/>
        <v>0</v>
      </c>
      <c r="Q404" s="23" t="s">
        <v>33</v>
      </c>
      <c r="R404" s="24">
        <f t="shared" si="55"/>
        <v>0</v>
      </c>
      <c r="S404" s="24">
        <f>R404/1.11</f>
        <v>0</v>
      </c>
    </row>
    <row r="405" spans="1:19" s="19" customFormat="1">
      <c r="A405" s="66" t="s">
        <v>317</v>
      </c>
      <c r="B405" s="19" t="s">
        <v>18</v>
      </c>
      <c r="C405" s="20"/>
      <c r="D405" s="21" t="s">
        <v>33</v>
      </c>
      <c r="E405" s="26"/>
      <c r="F405" s="22">
        <v>1</v>
      </c>
      <c r="G405" s="23" t="s">
        <v>20</v>
      </c>
      <c r="H405" s="22">
        <v>36</v>
      </c>
      <c r="I405" s="23" t="s">
        <v>33</v>
      </c>
      <c r="J405" s="24">
        <f>2450*24</f>
        <v>58800</v>
      </c>
      <c r="K405" s="21" t="s">
        <v>33</v>
      </c>
      <c r="L405" s="25">
        <v>0.125</v>
      </c>
      <c r="M405" s="25">
        <v>0.05</v>
      </c>
      <c r="N405" s="22"/>
      <c r="O405" s="23" t="s">
        <v>33</v>
      </c>
      <c r="P405" s="20">
        <f t="shared" si="54"/>
        <v>0</v>
      </c>
      <c r="Q405" s="23" t="s">
        <v>33</v>
      </c>
      <c r="R405" s="24">
        <f t="shared" si="55"/>
        <v>0</v>
      </c>
      <c r="S405" s="24">
        <f>R405/1.11</f>
        <v>0</v>
      </c>
    </row>
    <row r="406" spans="1:19" s="19" customFormat="1">
      <c r="A406" s="18" t="s">
        <v>749</v>
      </c>
      <c r="B406" s="19" t="s">
        <v>18</v>
      </c>
      <c r="C406" s="20"/>
      <c r="D406" s="21" t="s">
        <v>33</v>
      </c>
      <c r="E406" s="26"/>
      <c r="F406" s="22">
        <v>1</v>
      </c>
      <c r="G406" s="23" t="s">
        <v>20</v>
      </c>
      <c r="H406" s="22">
        <v>36</v>
      </c>
      <c r="I406" s="23" t="s">
        <v>33</v>
      </c>
      <c r="J406" s="24">
        <f>4600*12</f>
        <v>55200</v>
      </c>
      <c r="K406" s="21" t="s">
        <v>33</v>
      </c>
      <c r="L406" s="25">
        <v>0.125</v>
      </c>
      <c r="M406" s="25">
        <v>0.05</v>
      </c>
      <c r="N406" s="22"/>
      <c r="O406" s="23" t="s">
        <v>33</v>
      </c>
      <c r="P406" s="20">
        <f t="shared" si="54"/>
        <v>0</v>
      </c>
      <c r="Q406" s="23" t="s">
        <v>33</v>
      </c>
      <c r="R406" s="24">
        <f t="shared" si="55"/>
        <v>0</v>
      </c>
      <c r="S406" s="24">
        <f t="shared" ref="S406" si="56">R406/1.11</f>
        <v>0</v>
      </c>
    </row>
    <row r="407" spans="1:19" s="19" customFormat="1">
      <c r="A407" s="18"/>
      <c r="C407" s="20"/>
      <c r="D407" s="21"/>
      <c r="E407" s="26"/>
      <c r="F407" s="22"/>
      <c r="G407" s="23"/>
      <c r="H407" s="22"/>
      <c r="I407" s="23"/>
      <c r="J407" s="24"/>
      <c r="K407" s="21"/>
      <c r="L407" s="25"/>
      <c r="M407" s="25"/>
      <c r="N407" s="22"/>
      <c r="O407" s="23"/>
      <c r="P407" s="20"/>
      <c r="Q407" s="23"/>
      <c r="R407" s="24"/>
      <c r="S407" s="24"/>
    </row>
    <row r="408" spans="1:19" s="19" customFormat="1">
      <c r="A408" s="18" t="s">
        <v>318</v>
      </c>
      <c r="B408" s="19" t="s">
        <v>25</v>
      </c>
      <c r="C408" s="20"/>
      <c r="D408" s="21" t="s">
        <v>33</v>
      </c>
      <c r="E408" s="26"/>
      <c r="F408" s="22">
        <v>1</v>
      </c>
      <c r="G408" s="23" t="s">
        <v>20</v>
      </c>
      <c r="H408" s="22">
        <v>36</v>
      </c>
      <c r="I408" s="23" t="s">
        <v>33</v>
      </c>
      <c r="J408" s="24">
        <f>2376000/36</f>
        <v>66000</v>
      </c>
      <c r="K408" s="21" t="s">
        <v>33</v>
      </c>
      <c r="L408" s="25"/>
      <c r="M408" s="25">
        <v>0.17</v>
      </c>
      <c r="N408" s="22"/>
      <c r="O408" s="23" t="s">
        <v>33</v>
      </c>
      <c r="P408" s="20">
        <f>(C408+(E408*F408*H408))-N408</f>
        <v>0</v>
      </c>
      <c r="Q408" s="23" t="s">
        <v>33</v>
      </c>
      <c r="R408" s="24">
        <f>P408*(J408-(J408*L408)-((J408-(J408*L408))*M408))</f>
        <v>0</v>
      </c>
      <c r="S408" s="24">
        <f t="shared" si="48"/>
        <v>0</v>
      </c>
    </row>
    <row r="409" spans="1:19" s="19" customFormat="1">
      <c r="A409" s="18" t="s">
        <v>319</v>
      </c>
      <c r="B409" s="19" t="s">
        <v>25</v>
      </c>
      <c r="C409" s="20"/>
      <c r="D409" s="21" t="s">
        <v>33</v>
      </c>
      <c r="E409" s="26"/>
      <c r="F409" s="22">
        <v>1</v>
      </c>
      <c r="G409" s="23" t="s">
        <v>20</v>
      </c>
      <c r="H409" s="22">
        <v>36</v>
      </c>
      <c r="I409" s="23" t="s">
        <v>33</v>
      </c>
      <c r="J409" s="24">
        <f>2592000/36</f>
        <v>72000</v>
      </c>
      <c r="K409" s="21" t="s">
        <v>33</v>
      </c>
      <c r="L409" s="25"/>
      <c r="M409" s="25">
        <v>0.17</v>
      </c>
      <c r="N409" s="22"/>
      <c r="O409" s="23" t="s">
        <v>33</v>
      </c>
      <c r="P409" s="20">
        <f>(C409+(E409*F409*H409))-N409</f>
        <v>0</v>
      </c>
      <c r="Q409" s="23" t="s">
        <v>33</v>
      </c>
      <c r="R409" s="24">
        <f>P409*(J409-(J409*L409)-((J409-(J409*L409))*M409))</f>
        <v>0</v>
      </c>
      <c r="S409" s="24">
        <f t="shared" si="48"/>
        <v>0</v>
      </c>
    </row>
    <row r="410" spans="1:19" s="19" customFormat="1">
      <c r="A410" s="18" t="s">
        <v>320</v>
      </c>
      <c r="B410" s="19" t="s">
        <v>25</v>
      </c>
      <c r="C410" s="20"/>
      <c r="D410" s="21" t="s">
        <v>33</v>
      </c>
      <c r="E410" s="26"/>
      <c r="F410" s="22">
        <v>1</v>
      </c>
      <c r="G410" s="23" t="s">
        <v>20</v>
      </c>
      <c r="H410" s="22">
        <v>36</v>
      </c>
      <c r="I410" s="23" t="s">
        <v>33</v>
      </c>
      <c r="J410" s="24">
        <f>2160000/36</f>
        <v>60000</v>
      </c>
      <c r="K410" s="21" t="s">
        <v>33</v>
      </c>
      <c r="L410" s="25"/>
      <c r="M410" s="25">
        <v>0.17</v>
      </c>
      <c r="N410" s="22"/>
      <c r="O410" s="23" t="s">
        <v>33</v>
      </c>
      <c r="P410" s="20">
        <f>(C410+(E410*F410*H410))-N410</f>
        <v>0</v>
      </c>
      <c r="Q410" s="23" t="s">
        <v>33</v>
      </c>
      <c r="R410" s="24">
        <f>P410*(J410-(J410*L410)-((J410-(J410*L410))*M410))</f>
        <v>0</v>
      </c>
      <c r="S410" s="24">
        <f t="shared" si="48"/>
        <v>0</v>
      </c>
    </row>
    <row r="411" spans="1:19" s="19" customFormat="1">
      <c r="A411" s="18"/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19" customFormat="1">
      <c r="A412" s="88" t="s">
        <v>801</v>
      </c>
      <c r="C412" s="20"/>
      <c r="D412" s="21"/>
      <c r="E412" s="26"/>
      <c r="F412" s="22"/>
      <c r="G412" s="23"/>
      <c r="H412" s="22"/>
      <c r="I412" s="23"/>
      <c r="J412" s="24"/>
      <c r="K412" s="21"/>
      <c r="L412" s="25"/>
      <c r="M412" s="25"/>
      <c r="N412" s="22"/>
      <c r="O412" s="23"/>
      <c r="P412" s="20"/>
      <c r="Q412" s="23"/>
      <c r="R412" s="24"/>
      <c r="S412" s="24"/>
    </row>
    <row r="413" spans="1:19" s="19" customFormat="1">
      <c r="A413" s="18" t="s">
        <v>321</v>
      </c>
      <c r="B413" s="19" t="s">
        <v>25</v>
      </c>
      <c r="C413" s="20"/>
      <c r="D413" s="21" t="s">
        <v>105</v>
      </c>
      <c r="E413" s="26"/>
      <c r="F413" s="22">
        <v>1</v>
      </c>
      <c r="G413" s="23" t="s">
        <v>20</v>
      </c>
      <c r="H413" s="22">
        <v>60</v>
      </c>
      <c r="I413" s="23" t="s">
        <v>105</v>
      </c>
      <c r="J413" s="24">
        <v>18600</v>
      </c>
      <c r="K413" s="21" t="s">
        <v>105</v>
      </c>
      <c r="L413" s="25"/>
      <c r="M413" s="25">
        <v>0.17</v>
      </c>
      <c r="N413" s="22"/>
      <c r="O413" s="23" t="s">
        <v>105</v>
      </c>
      <c r="P413" s="20">
        <f>(C413+(E413*F413*H413))-N413</f>
        <v>0</v>
      </c>
      <c r="Q413" s="23" t="s">
        <v>105</v>
      </c>
      <c r="R413" s="24">
        <f>P413*(J413-(J413*L413)-((J413-(J413*L413))*M413))</f>
        <v>0</v>
      </c>
      <c r="S413" s="24">
        <f t="shared" si="48"/>
        <v>0</v>
      </c>
    </row>
    <row r="414" spans="1:19" s="19" customFormat="1">
      <c r="A414" s="18"/>
      <c r="C414" s="20"/>
      <c r="D414" s="21"/>
      <c r="E414" s="26"/>
      <c r="F414" s="22"/>
      <c r="G414" s="23"/>
      <c r="H414" s="22"/>
      <c r="I414" s="23"/>
      <c r="J414" s="24"/>
      <c r="K414" s="21"/>
      <c r="L414" s="25"/>
      <c r="M414" s="25"/>
      <c r="N414" s="22"/>
      <c r="O414" s="23"/>
      <c r="P414" s="20"/>
      <c r="Q414" s="23"/>
      <c r="R414" s="24"/>
      <c r="S414" s="24"/>
    </row>
    <row r="415" spans="1:19" s="19" customFormat="1">
      <c r="A415" s="18" t="s">
        <v>802</v>
      </c>
      <c r="B415" s="18" t="s">
        <v>178</v>
      </c>
      <c r="C415" s="60"/>
      <c r="D415" s="61" t="s">
        <v>42</v>
      </c>
      <c r="E415" s="62"/>
      <c r="F415" s="63">
        <v>1</v>
      </c>
      <c r="G415" s="58" t="s">
        <v>20</v>
      </c>
      <c r="H415" s="63">
        <v>160</v>
      </c>
      <c r="I415" s="58" t="s">
        <v>42</v>
      </c>
      <c r="J415" s="29">
        <v>7750</v>
      </c>
      <c r="K415" s="61" t="s">
        <v>42</v>
      </c>
      <c r="L415" s="64">
        <v>0.05</v>
      </c>
      <c r="M415" s="64"/>
      <c r="N415" s="63"/>
      <c r="O415" s="58" t="s">
        <v>42</v>
      </c>
      <c r="P415" s="60">
        <f>(C415+(E415*F415*H415))-N415</f>
        <v>0</v>
      </c>
      <c r="Q415" s="58" t="s">
        <v>42</v>
      </c>
      <c r="R415" s="29">
        <f>P415*(J415-(J415*L415)-((J415-(J415*L415))*M415))</f>
        <v>0</v>
      </c>
      <c r="S415" s="29">
        <f t="shared" si="48"/>
        <v>0</v>
      </c>
    </row>
    <row r="416" spans="1:19" s="19" customFormat="1">
      <c r="A416" s="18"/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19" customFormat="1">
      <c r="A417" s="88" t="s">
        <v>322</v>
      </c>
      <c r="C417" s="20"/>
      <c r="D417" s="21"/>
      <c r="E417" s="26"/>
      <c r="F417" s="22"/>
      <c r="G417" s="23"/>
      <c r="H417" s="22"/>
      <c r="I417" s="23"/>
      <c r="J417" s="24"/>
      <c r="K417" s="21"/>
      <c r="L417" s="25"/>
      <c r="M417" s="25"/>
      <c r="N417" s="22"/>
      <c r="O417" s="23"/>
      <c r="P417" s="20"/>
      <c r="Q417" s="23"/>
      <c r="R417" s="24"/>
      <c r="S417" s="24"/>
    </row>
    <row r="418" spans="1:19" s="19" customFormat="1">
      <c r="A418" s="18" t="s">
        <v>323</v>
      </c>
      <c r="B418" s="19" t="s">
        <v>324</v>
      </c>
      <c r="C418" s="20"/>
      <c r="D418" s="21" t="s">
        <v>325</v>
      </c>
      <c r="E418" s="26"/>
      <c r="F418" s="22">
        <v>1</v>
      </c>
      <c r="G418" s="23" t="s">
        <v>20</v>
      </c>
      <c r="H418" s="22">
        <v>25</v>
      </c>
      <c r="I418" s="23" t="s">
        <v>325</v>
      </c>
      <c r="J418" s="24">
        <v>55000</v>
      </c>
      <c r="K418" s="21" t="s">
        <v>325</v>
      </c>
      <c r="L418" s="25"/>
      <c r="M418" s="25"/>
      <c r="N418" s="22"/>
      <c r="O418" s="23" t="s">
        <v>325</v>
      </c>
      <c r="P418" s="20">
        <f>(C418+(E418*F418*H418))-N418</f>
        <v>0</v>
      </c>
      <c r="Q418" s="23" t="s">
        <v>325</v>
      </c>
      <c r="R418" s="24">
        <f>P418*(J418-(J418*L418)-((J418-(J418*L418))*M418))</f>
        <v>0</v>
      </c>
      <c r="S418" s="24">
        <f t="shared" si="48"/>
        <v>0</v>
      </c>
    </row>
    <row r="419" spans="1:19" s="19" customFormat="1">
      <c r="A419" s="18"/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 ht="15.75">
      <c r="A420" s="44" t="s">
        <v>326</v>
      </c>
      <c r="C420" s="20"/>
      <c r="D420" s="21"/>
      <c r="E420" s="26"/>
      <c r="F420" s="22"/>
      <c r="G420" s="23"/>
      <c r="H420" s="22"/>
      <c r="I420" s="23"/>
      <c r="J420" s="24"/>
      <c r="K420" s="21"/>
      <c r="L420" s="25"/>
      <c r="M420" s="25"/>
      <c r="N420" s="22"/>
      <c r="O420" s="23"/>
      <c r="P420" s="20"/>
      <c r="Q420" s="23"/>
      <c r="R420" s="24"/>
      <c r="S420" s="24"/>
    </row>
    <row r="421" spans="1:19" s="19" customFormat="1">
      <c r="A421" s="18" t="s">
        <v>327</v>
      </c>
      <c r="B421" s="19" t="s">
        <v>18</v>
      </c>
      <c r="C421" s="20"/>
      <c r="D421" s="21" t="s">
        <v>101</v>
      </c>
      <c r="E421" s="26"/>
      <c r="F421" s="22">
        <v>1</v>
      </c>
      <c r="G421" s="23" t="s">
        <v>20</v>
      </c>
      <c r="H421" s="22">
        <v>192</v>
      </c>
      <c r="I421" s="23" t="s">
        <v>101</v>
      </c>
      <c r="J421" s="24">
        <v>3450</v>
      </c>
      <c r="K421" s="21" t="s">
        <v>101</v>
      </c>
      <c r="L421" s="25">
        <v>0.125</v>
      </c>
      <c r="M421" s="25">
        <v>0.05</v>
      </c>
      <c r="N421" s="22"/>
      <c r="O421" s="23" t="s">
        <v>101</v>
      </c>
      <c r="P421" s="20">
        <f t="shared" ref="P421:P426" si="57">(C421+(E421*F421*H421))-N421</f>
        <v>0</v>
      </c>
      <c r="Q421" s="23" t="s">
        <v>101</v>
      </c>
      <c r="R421" s="24">
        <f t="shared" ref="R421:R426" si="58">P421*(J421-(J421*L421)-((J421-(J421*L421))*M421))</f>
        <v>0</v>
      </c>
      <c r="S421" s="24">
        <f t="shared" ref="S421:S502" si="59">R421/1.11</f>
        <v>0</v>
      </c>
    </row>
    <row r="422" spans="1:19" s="19" customFormat="1">
      <c r="A422" s="18" t="s">
        <v>328</v>
      </c>
      <c r="B422" s="19" t="s">
        <v>18</v>
      </c>
      <c r="C422" s="20"/>
      <c r="D422" s="21" t="s">
        <v>101</v>
      </c>
      <c r="E422" s="26"/>
      <c r="F422" s="22">
        <v>1</v>
      </c>
      <c r="G422" s="23" t="s">
        <v>20</v>
      </c>
      <c r="H422" s="22">
        <v>160</v>
      </c>
      <c r="I422" s="23" t="s">
        <v>101</v>
      </c>
      <c r="J422" s="24">
        <v>5400</v>
      </c>
      <c r="K422" s="21" t="s">
        <v>101</v>
      </c>
      <c r="L422" s="25">
        <v>0.125</v>
      </c>
      <c r="M422" s="25">
        <v>0.05</v>
      </c>
      <c r="N422" s="22"/>
      <c r="O422" s="23" t="s">
        <v>101</v>
      </c>
      <c r="P422" s="20">
        <f t="shared" si="57"/>
        <v>0</v>
      </c>
      <c r="Q422" s="23" t="s">
        <v>101</v>
      </c>
      <c r="R422" s="24">
        <f t="shared" si="58"/>
        <v>0</v>
      </c>
      <c r="S422" s="24">
        <f t="shared" si="59"/>
        <v>0</v>
      </c>
    </row>
    <row r="423" spans="1:19" s="19" customFormat="1">
      <c r="A423" s="18" t="s">
        <v>329</v>
      </c>
      <c r="B423" s="19" t="s">
        <v>18</v>
      </c>
      <c r="C423" s="20"/>
      <c r="D423" s="21" t="s">
        <v>101</v>
      </c>
      <c r="E423" s="26"/>
      <c r="F423" s="22">
        <v>1</v>
      </c>
      <c r="G423" s="23" t="s">
        <v>20</v>
      </c>
      <c r="H423" s="22">
        <v>192</v>
      </c>
      <c r="I423" s="23" t="s">
        <v>101</v>
      </c>
      <c r="J423" s="24">
        <v>3600</v>
      </c>
      <c r="K423" s="21" t="s">
        <v>101</v>
      </c>
      <c r="L423" s="25">
        <v>0.125</v>
      </c>
      <c r="M423" s="25">
        <v>0.05</v>
      </c>
      <c r="N423" s="22"/>
      <c r="O423" s="23" t="s">
        <v>101</v>
      </c>
      <c r="P423" s="20">
        <f t="shared" si="57"/>
        <v>0</v>
      </c>
      <c r="Q423" s="23" t="s">
        <v>101</v>
      </c>
      <c r="R423" s="24">
        <f t="shared" si="58"/>
        <v>0</v>
      </c>
      <c r="S423" s="24">
        <f t="shared" si="59"/>
        <v>0</v>
      </c>
    </row>
    <row r="424" spans="1:19" s="19" customFormat="1">
      <c r="A424" s="18" t="s">
        <v>330</v>
      </c>
      <c r="B424" s="19" t="s">
        <v>18</v>
      </c>
      <c r="C424" s="20"/>
      <c r="D424" s="21" t="s">
        <v>101</v>
      </c>
      <c r="E424" s="26"/>
      <c r="F424" s="22">
        <v>1</v>
      </c>
      <c r="G424" s="23" t="s">
        <v>20</v>
      </c>
      <c r="H424" s="22">
        <v>96</v>
      </c>
      <c r="I424" s="23" t="s">
        <v>101</v>
      </c>
      <c r="J424" s="24">
        <v>7000</v>
      </c>
      <c r="K424" s="21" t="s">
        <v>101</v>
      </c>
      <c r="L424" s="25">
        <v>0.125</v>
      </c>
      <c r="M424" s="25">
        <v>0.05</v>
      </c>
      <c r="N424" s="22"/>
      <c r="O424" s="23" t="s">
        <v>101</v>
      </c>
      <c r="P424" s="20">
        <f t="shared" si="57"/>
        <v>0</v>
      </c>
      <c r="Q424" s="23" t="s">
        <v>101</v>
      </c>
      <c r="R424" s="24">
        <f t="shared" si="58"/>
        <v>0</v>
      </c>
      <c r="S424" s="24">
        <f t="shared" si="59"/>
        <v>0</v>
      </c>
    </row>
    <row r="425" spans="1:19" s="19" customFormat="1">
      <c r="A425" s="18" t="s">
        <v>786</v>
      </c>
      <c r="B425" s="19" t="s">
        <v>18</v>
      </c>
      <c r="C425" s="20"/>
      <c r="D425" s="21" t="s">
        <v>101</v>
      </c>
      <c r="E425" s="26"/>
      <c r="F425" s="22">
        <v>1</v>
      </c>
      <c r="G425" s="23" t="s">
        <v>20</v>
      </c>
      <c r="H425" s="22">
        <v>160</v>
      </c>
      <c r="I425" s="23" t="s">
        <v>101</v>
      </c>
      <c r="J425" s="24">
        <v>5700</v>
      </c>
      <c r="K425" s="21" t="s">
        <v>101</v>
      </c>
      <c r="L425" s="25">
        <v>0.125</v>
      </c>
      <c r="M425" s="25">
        <v>0.05</v>
      </c>
      <c r="N425" s="22"/>
      <c r="O425" s="23" t="s">
        <v>101</v>
      </c>
      <c r="P425" s="20">
        <f t="shared" si="57"/>
        <v>0</v>
      </c>
      <c r="Q425" s="23" t="s">
        <v>101</v>
      </c>
      <c r="R425" s="24">
        <f t="shared" si="58"/>
        <v>0</v>
      </c>
      <c r="S425" s="24">
        <f t="shared" si="59"/>
        <v>0</v>
      </c>
    </row>
    <row r="426" spans="1:19" s="19" customFormat="1">
      <c r="A426" s="18" t="s">
        <v>331</v>
      </c>
      <c r="B426" s="19" t="s">
        <v>18</v>
      </c>
      <c r="C426" s="20"/>
      <c r="D426" s="21" t="s">
        <v>101</v>
      </c>
      <c r="E426" s="26"/>
      <c r="F426" s="22">
        <v>1</v>
      </c>
      <c r="G426" s="23" t="s">
        <v>20</v>
      </c>
      <c r="H426" s="22">
        <v>80</v>
      </c>
      <c r="I426" s="23" t="s">
        <v>101</v>
      </c>
      <c r="J426" s="24">
        <v>10800</v>
      </c>
      <c r="K426" s="21" t="s">
        <v>101</v>
      </c>
      <c r="L426" s="25">
        <v>0.125</v>
      </c>
      <c r="M426" s="25">
        <v>0.05</v>
      </c>
      <c r="N426" s="22"/>
      <c r="O426" s="23" t="s">
        <v>101</v>
      </c>
      <c r="P426" s="20">
        <f t="shared" si="57"/>
        <v>0</v>
      </c>
      <c r="Q426" s="23" t="s">
        <v>101</v>
      </c>
      <c r="R426" s="24">
        <f t="shared" si="58"/>
        <v>0</v>
      </c>
      <c r="S426" s="24">
        <f t="shared" si="59"/>
        <v>0</v>
      </c>
    </row>
    <row r="427" spans="1:19" s="19" customFormat="1">
      <c r="A427" s="18"/>
      <c r="C427" s="20"/>
      <c r="D427" s="21"/>
      <c r="E427" s="26"/>
      <c r="F427" s="22"/>
      <c r="G427" s="23"/>
      <c r="H427" s="22"/>
      <c r="I427" s="23"/>
      <c r="J427" s="24"/>
      <c r="K427" s="21"/>
      <c r="L427" s="25"/>
      <c r="M427" s="25"/>
      <c r="N427" s="22"/>
      <c r="O427" s="23"/>
      <c r="P427" s="20"/>
      <c r="Q427" s="23"/>
      <c r="R427" s="24"/>
      <c r="S427" s="24"/>
    </row>
    <row r="428" spans="1:19" s="19" customFormat="1">
      <c r="A428" s="18" t="s">
        <v>332</v>
      </c>
      <c r="B428" s="19" t="s">
        <v>25</v>
      </c>
      <c r="C428" s="20"/>
      <c r="D428" s="21" t="s">
        <v>101</v>
      </c>
      <c r="E428" s="26"/>
      <c r="F428" s="22">
        <v>1</v>
      </c>
      <c r="G428" s="23" t="s">
        <v>20</v>
      </c>
      <c r="H428" s="22">
        <v>192</v>
      </c>
      <c r="I428" s="23" t="s">
        <v>101</v>
      </c>
      <c r="J428" s="24">
        <f>844800/192</f>
        <v>4400</v>
      </c>
      <c r="K428" s="21" t="s">
        <v>101</v>
      </c>
      <c r="L428" s="25"/>
      <c r="M428" s="25">
        <v>0.17</v>
      </c>
      <c r="N428" s="22"/>
      <c r="O428" s="23" t="s">
        <v>101</v>
      </c>
      <c r="P428" s="20">
        <f>(C428+(E428*F428*H428))-N428</f>
        <v>0</v>
      </c>
      <c r="Q428" s="23" t="s">
        <v>101</v>
      </c>
      <c r="R428" s="24">
        <f>P428*(J428-(J428*L428)-((J428-(J428*L428))*M428))</f>
        <v>0</v>
      </c>
      <c r="S428" s="24">
        <f t="shared" si="59"/>
        <v>0</v>
      </c>
    </row>
    <row r="429" spans="1:19" s="19" customFormat="1">
      <c r="A429" s="18" t="s">
        <v>333</v>
      </c>
      <c r="B429" s="19" t="s">
        <v>25</v>
      </c>
      <c r="C429" s="20"/>
      <c r="D429" s="21" t="s">
        <v>101</v>
      </c>
      <c r="E429" s="26"/>
      <c r="F429" s="22">
        <v>1</v>
      </c>
      <c r="G429" s="23" t="s">
        <v>20</v>
      </c>
      <c r="H429" s="22">
        <v>96</v>
      </c>
      <c r="I429" s="23" t="s">
        <v>101</v>
      </c>
      <c r="J429" s="24">
        <f>801600/96</f>
        <v>8350</v>
      </c>
      <c r="K429" s="21" t="s">
        <v>101</v>
      </c>
      <c r="L429" s="25"/>
      <c r="M429" s="25">
        <v>0.17</v>
      </c>
      <c r="N429" s="22"/>
      <c r="O429" s="23" t="s">
        <v>101</v>
      </c>
      <c r="P429" s="20">
        <f>(C429+(E429*F429*H429))-N429</f>
        <v>0</v>
      </c>
      <c r="Q429" s="23" t="s">
        <v>101</v>
      </c>
      <c r="R429" s="24">
        <f>P429*(J429-(J429*L429)-((J429-(J429*L429))*M429))</f>
        <v>0</v>
      </c>
      <c r="S429" s="24">
        <f t="shared" si="59"/>
        <v>0</v>
      </c>
    </row>
    <row r="430" spans="1:19" s="19" customFormat="1">
      <c r="A430" s="18" t="s">
        <v>334</v>
      </c>
      <c r="B430" s="19" t="s">
        <v>25</v>
      </c>
      <c r="C430" s="20"/>
      <c r="D430" s="21" t="s">
        <v>101</v>
      </c>
      <c r="E430" s="26"/>
      <c r="F430" s="22">
        <v>1</v>
      </c>
      <c r="G430" s="23" t="s">
        <v>20</v>
      </c>
      <c r="H430" s="22">
        <v>160</v>
      </c>
      <c r="I430" s="23" t="s">
        <v>101</v>
      </c>
      <c r="J430" s="24">
        <f>1104000/160</f>
        <v>6900</v>
      </c>
      <c r="K430" s="21" t="s">
        <v>101</v>
      </c>
      <c r="L430" s="25"/>
      <c r="M430" s="25">
        <v>0.17</v>
      </c>
      <c r="N430" s="22"/>
      <c r="O430" s="23" t="s">
        <v>101</v>
      </c>
      <c r="P430" s="20">
        <f>(C430+(E430*F430*H430))-N430</f>
        <v>0</v>
      </c>
      <c r="Q430" s="23" t="s">
        <v>101</v>
      </c>
      <c r="R430" s="24">
        <f>P430*(J430-(J430*L430)-((J430-(J430*L430))*M430))</f>
        <v>0</v>
      </c>
      <c r="S430" s="24">
        <f t="shared" si="59"/>
        <v>0</v>
      </c>
    </row>
    <row r="431" spans="1:19" s="19" customFormat="1">
      <c r="A431" s="18" t="s">
        <v>335</v>
      </c>
      <c r="B431" s="19" t="s">
        <v>25</v>
      </c>
      <c r="C431" s="20"/>
      <c r="D431" s="21" t="s">
        <v>101</v>
      </c>
      <c r="E431" s="26"/>
      <c r="F431" s="22">
        <v>1</v>
      </c>
      <c r="G431" s="23" t="s">
        <v>20</v>
      </c>
      <c r="H431" s="22">
        <v>80</v>
      </c>
      <c r="I431" s="23" t="s">
        <v>101</v>
      </c>
      <c r="J431" s="24">
        <f>1040000/80</f>
        <v>13000</v>
      </c>
      <c r="K431" s="21" t="s">
        <v>101</v>
      </c>
      <c r="L431" s="25"/>
      <c r="M431" s="25">
        <v>0.17</v>
      </c>
      <c r="N431" s="22"/>
      <c r="O431" s="23" t="s">
        <v>101</v>
      </c>
      <c r="P431" s="20">
        <f>(C431+(E431*F431*H431))-N431</f>
        <v>0</v>
      </c>
      <c r="Q431" s="23" t="s">
        <v>101</v>
      </c>
      <c r="R431" s="24">
        <f>P431*(J431-(J431*L431)-((J431-(J431*L431))*M431))</f>
        <v>0</v>
      </c>
      <c r="S431" s="24">
        <f t="shared" si="59"/>
        <v>0</v>
      </c>
    </row>
    <row r="432" spans="1:19" s="19" customFormat="1">
      <c r="A432" s="18"/>
      <c r="C432" s="20"/>
      <c r="D432" s="21"/>
      <c r="E432" s="26"/>
      <c r="F432" s="22"/>
      <c r="G432" s="23"/>
      <c r="H432" s="22"/>
      <c r="I432" s="23"/>
      <c r="J432" s="24"/>
      <c r="K432" s="21"/>
      <c r="L432" s="25"/>
      <c r="M432" s="25"/>
      <c r="N432" s="22"/>
      <c r="O432" s="23"/>
      <c r="P432" s="20"/>
      <c r="Q432" s="23"/>
      <c r="R432" s="24"/>
      <c r="S432" s="24"/>
    </row>
    <row r="433" spans="1:20" s="19" customFormat="1" ht="15.75">
      <c r="A433" s="44" t="s">
        <v>807</v>
      </c>
      <c r="C433" s="20"/>
      <c r="D433" s="21"/>
      <c r="E433" s="26"/>
      <c r="F433" s="22"/>
      <c r="G433" s="23"/>
      <c r="H433" s="22"/>
      <c r="I433" s="23"/>
      <c r="J433" s="24"/>
      <c r="K433" s="21"/>
      <c r="L433" s="90"/>
      <c r="M433" s="90"/>
      <c r="N433" s="22"/>
      <c r="O433" s="23"/>
      <c r="P433" s="20"/>
      <c r="Q433" s="23"/>
      <c r="R433" s="24"/>
      <c r="S433" s="24"/>
    </row>
    <row r="434" spans="1:20" s="19" customFormat="1">
      <c r="A434" s="18" t="s">
        <v>808</v>
      </c>
      <c r="B434" s="18" t="s">
        <v>178</v>
      </c>
      <c r="C434" s="60"/>
      <c r="D434" s="61" t="s">
        <v>19</v>
      </c>
      <c r="E434" s="62"/>
      <c r="F434" s="63">
        <v>1</v>
      </c>
      <c r="G434" s="58" t="s">
        <v>20</v>
      </c>
      <c r="H434" s="63">
        <v>10</v>
      </c>
      <c r="I434" s="58" t="s">
        <v>19</v>
      </c>
      <c r="J434" s="29">
        <v>55000</v>
      </c>
      <c r="K434" s="61" t="s">
        <v>19</v>
      </c>
      <c r="L434" s="64">
        <v>0.05</v>
      </c>
      <c r="M434" s="64"/>
      <c r="N434" s="63"/>
      <c r="O434" s="58" t="s">
        <v>19</v>
      </c>
      <c r="P434" s="60">
        <f>(C434+(E434*F434*H434))-N434</f>
        <v>0</v>
      </c>
      <c r="Q434" s="58" t="s">
        <v>19</v>
      </c>
      <c r="R434" s="29">
        <f>P434*(J434-(J434*L434)-((J434-(J434*L434))*M434))</f>
        <v>0</v>
      </c>
      <c r="S434" s="29">
        <f t="shared" ref="S434" si="60">R434/1.11</f>
        <v>0</v>
      </c>
    </row>
    <row r="435" spans="1:20" s="19" customFormat="1">
      <c r="A435" s="18"/>
      <c r="C435" s="20"/>
      <c r="D435" s="21"/>
      <c r="E435" s="26"/>
      <c r="F435" s="22"/>
      <c r="G435" s="23"/>
      <c r="H435" s="22"/>
      <c r="I435" s="23"/>
      <c r="J435" s="24"/>
      <c r="K435" s="21"/>
      <c r="L435" s="25"/>
      <c r="M435" s="25"/>
      <c r="N435" s="22"/>
      <c r="O435" s="23"/>
      <c r="P435" s="20"/>
      <c r="Q435" s="23"/>
      <c r="R435" s="24"/>
      <c r="S435" s="24"/>
    </row>
    <row r="436" spans="1:20" s="19" customFormat="1" ht="15.75">
      <c r="A436" s="44" t="s">
        <v>336</v>
      </c>
      <c r="C436" s="20"/>
      <c r="D436" s="21"/>
      <c r="E436" s="26"/>
      <c r="F436" s="22"/>
      <c r="G436" s="23"/>
      <c r="H436" s="22"/>
      <c r="I436" s="23"/>
      <c r="J436" s="24"/>
      <c r="K436" s="21"/>
      <c r="L436" s="90"/>
      <c r="M436" s="90"/>
      <c r="N436" s="22"/>
      <c r="O436" s="23"/>
      <c r="P436" s="20"/>
      <c r="Q436" s="23"/>
      <c r="R436" s="24"/>
      <c r="S436" s="24"/>
    </row>
    <row r="437" spans="1:20" s="19" customFormat="1">
      <c r="A437" s="88" t="s">
        <v>337</v>
      </c>
      <c r="C437" s="20"/>
      <c r="D437" s="21"/>
      <c r="E437" s="26"/>
      <c r="F437" s="22"/>
      <c r="G437" s="23"/>
      <c r="H437" s="22"/>
      <c r="I437" s="23"/>
      <c r="J437" s="24"/>
      <c r="K437" s="21"/>
      <c r="L437" s="90"/>
      <c r="M437" s="90"/>
      <c r="N437" s="22"/>
      <c r="O437" s="23"/>
      <c r="P437" s="20"/>
      <c r="Q437" s="23"/>
      <c r="R437" s="24"/>
      <c r="S437" s="24"/>
    </row>
    <row r="438" spans="1:20" s="19" customFormat="1">
      <c r="A438" s="18" t="s">
        <v>338</v>
      </c>
      <c r="B438" s="19" t="s">
        <v>18</v>
      </c>
      <c r="C438" s="20"/>
      <c r="D438" s="21" t="s">
        <v>19</v>
      </c>
      <c r="E438" s="26"/>
      <c r="F438" s="22">
        <v>1</v>
      </c>
      <c r="G438" s="23" t="s">
        <v>20</v>
      </c>
      <c r="H438" s="22">
        <v>24</v>
      </c>
      <c r="I438" s="23" t="s">
        <v>19</v>
      </c>
      <c r="J438" s="24">
        <v>35000</v>
      </c>
      <c r="K438" s="21" t="s">
        <v>19</v>
      </c>
      <c r="L438" s="25">
        <v>0.125</v>
      </c>
      <c r="M438" s="25">
        <v>0.05</v>
      </c>
      <c r="N438" s="22"/>
      <c r="O438" s="23" t="s">
        <v>19</v>
      </c>
      <c r="P438" s="20">
        <f>(C438+(E438*F438*H438))-N438</f>
        <v>0</v>
      </c>
      <c r="Q438" s="23" t="s">
        <v>19</v>
      </c>
      <c r="R438" s="24">
        <f>P438*(J438-(J438*L438)-((J438-(J438*L438))*M438))</f>
        <v>0</v>
      </c>
      <c r="S438" s="24">
        <f t="shared" si="59"/>
        <v>0</v>
      </c>
    </row>
    <row r="439" spans="1:20" s="19" customFormat="1">
      <c r="A439" s="18" t="s">
        <v>339</v>
      </c>
      <c r="B439" s="19" t="s">
        <v>18</v>
      </c>
      <c r="C439" s="20"/>
      <c r="D439" s="21" t="s">
        <v>19</v>
      </c>
      <c r="E439" s="26"/>
      <c r="F439" s="22">
        <v>1</v>
      </c>
      <c r="G439" s="23" t="s">
        <v>20</v>
      </c>
      <c r="H439" s="22">
        <v>72</v>
      </c>
      <c r="I439" s="23" t="s">
        <v>19</v>
      </c>
      <c r="J439" s="24">
        <v>15800</v>
      </c>
      <c r="K439" s="21" t="s">
        <v>19</v>
      </c>
      <c r="L439" s="25">
        <v>0.125</v>
      </c>
      <c r="M439" s="25">
        <v>0.05</v>
      </c>
      <c r="N439" s="22"/>
      <c r="O439" s="23" t="s">
        <v>19</v>
      </c>
      <c r="P439" s="20">
        <f>(C439+(E439*F439*H439))-N439</f>
        <v>0</v>
      </c>
      <c r="Q439" s="23" t="s">
        <v>19</v>
      </c>
      <c r="R439" s="24">
        <f>P439*(J439-(J439*L439)-((J439-(J439*L439))*M439))</f>
        <v>0</v>
      </c>
      <c r="S439" s="24">
        <f t="shared" si="59"/>
        <v>0</v>
      </c>
      <c r="T439" s="24"/>
    </row>
    <row r="440" spans="1:20" s="19" customFormat="1">
      <c r="A440" s="18" t="s">
        <v>340</v>
      </c>
      <c r="B440" s="19" t="s">
        <v>18</v>
      </c>
      <c r="C440" s="20"/>
      <c r="D440" s="21" t="s">
        <v>19</v>
      </c>
      <c r="E440" s="26"/>
      <c r="F440" s="22">
        <v>1</v>
      </c>
      <c r="G440" s="23" t="s">
        <v>20</v>
      </c>
      <c r="H440" s="22">
        <v>72</v>
      </c>
      <c r="I440" s="23" t="s">
        <v>19</v>
      </c>
      <c r="J440" s="24">
        <v>15800</v>
      </c>
      <c r="K440" s="21" t="s">
        <v>19</v>
      </c>
      <c r="L440" s="25">
        <v>0.125</v>
      </c>
      <c r="M440" s="25">
        <v>0.05</v>
      </c>
      <c r="N440" s="22"/>
      <c r="O440" s="23" t="s">
        <v>19</v>
      </c>
      <c r="P440" s="20">
        <f>(C440+(E440*F440*H440))-N440</f>
        <v>0</v>
      </c>
      <c r="Q440" s="23" t="s">
        <v>19</v>
      </c>
      <c r="R440" s="24">
        <f>P440*(J440-(J440*L440)-((J440-(J440*L440))*M440))</f>
        <v>0</v>
      </c>
      <c r="S440" s="24">
        <f t="shared" si="59"/>
        <v>0</v>
      </c>
      <c r="T440" s="24"/>
    </row>
    <row r="441" spans="1:20" s="19" customFormat="1">
      <c r="A441" s="18" t="s">
        <v>341</v>
      </c>
      <c r="B441" s="19" t="s">
        <v>18</v>
      </c>
      <c r="C441" s="20"/>
      <c r="D441" s="21" t="s">
        <v>19</v>
      </c>
      <c r="E441" s="26"/>
      <c r="F441" s="22">
        <v>1</v>
      </c>
      <c r="G441" s="23" t="s">
        <v>20</v>
      </c>
      <c r="H441" s="22">
        <v>72</v>
      </c>
      <c r="I441" s="23" t="s">
        <v>19</v>
      </c>
      <c r="J441" s="24">
        <v>20700</v>
      </c>
      <c r="K441" s="21" t="s">
        <v>19</v>
      </c>
      <c r="L441" s="25">
        <v>0.125</v>
      </c>
      <c r="M441" s="25">
        <v>0.05</v>
      </c>
      <c r="N441" s="22"/>
      <c r="O441" s="23" t="s">
        <v>19</v>
      </c>
      <c r="P441" s="20">
        <f>(C441+(E441*F441*H441))-N441</f>
        <v>0</v>
      </c>
      <c r="Q441" s="23" t="s">
        <v>19</v>
      </c>
      <c r="R441" s="24">
        <f>P441*(J441-(J441*L441)-((J441-(J441*L441))*M441))</f>
        <v>0</v>
      </c>
      <c r="S441" s="24">
        <f t="shared" si="59"/>
        <v>0</v>
      </c>
    </row>
    <row r="442" spans="1:20" s="19" customFormat="1">
      <c r="A442" s="18" t="s">
        <v>342</v>
      </c>
      <c r="B442" s="19" t="s">
        <v>18</v>
      </c>
      <c r="C442" s="20"/>
      <c r="D442" s="21" t="s">
        <v>19</v>
      </c>
      <c r="E442" s="26"/>
      <c r="F442" s="22">
        <v>1</v>
      </c>
      <c r="G442" s="23" t="s">
        <v>20</v>
      </c>
      <c r="H442" s="22">
        <v>72</v>
      </c>
      <c r="I442" s="23" t="s">
        <v>19</v>
      </c>
      <c r="J442" s="24">
        <v>20700</v>
      </c>
      <c r="K442" s="21" t="s">
        <v>19</v>
      </c>
      <c r="L442" s="25">
        <v>0.125</v>
      </c>
      <c r="M442" s="25">
        <v>0.05</v>
      </c>
      <c r="N442" s="22"/>
      <c r="O442" s="23" t="s">
        <v>19</v>
      </c>
      <c r="P442" s="20">
        <f>(C442+(E442*F442*H442))-N442</f>
        <v>0</v>
      </c>
      <c r="Q442" s="23" t="s">
        <v>19</v>
      </c>
      <c r="R442" s="24">
        <f>P442*(J442-(J442*L442)-((J442-(J442*L442))*M442))</f>
        <v>0</v>
      </c>
      <c r="S442" s="24">
        <f t="shared" si="59"/>
        <v>0</v>
      </c>
    </row>
    <row r="443" spans="1:20" s="19" customFormat="1">
      <c r="A443" s="18"/>
      <c r="C443" s="20"/>
      <c r="D443" s="21"/>
      <c r="E443" s="26"/>
      <c r="F443" s="22"/>
      <c r="G443" s="23"/>
      <c r="H443" s="22"/>
      <c r="I443" s="23"/>
      <c r="J443" s="24"/>
      <c r="K443" s="21"/>
      <c r="L443" s="25"/>
      <c r="M443" s="25"/>
      <c r="N443" s="22"/>
      <c r="O443" s="23"/>
      <c r="P443" s="20"/>
      <c r="Q443" s="23"/>
      <c r="R443" s="24"/>
      <c r="S443" s="24"/>
    </row>
    <row r="444" spans="1:20" s="19" customFormat="1">
      <c r="A444" s="18" t="s">
        <v>343</v>
      </c>
      <c r="B444" s="19" t="s">
        <v>25</v>
      </c>
      <c r="C444" s="20"/>
      <c r="D444" s="21" t="s">
        <v>19</v>
      </c>
      <c r="E444" s="26"/>
      <c r="F444" s="22">
        <v>1</v>
      </c>
      <c r="G444" s="23" t="s">
        <v>20</v>
      </c>
      <c r="H444" s="22">
        <v>72</v>
      </c>
      <c r="I444" s="23" t="s">
        <v>19</v>
      </c>
      <c r="J444" s="24">
        <f>1310400/72</f>
        <v>18200</v>
      </c>
      <c r="K444" s="21" t="s">
        <v>19</v>
      </c>
      <c r="L444" s="25"/>
      <c r="M444" s="25">
        <v>0.17</v>
      </c>
      <c r="N444" s="22"/>
      <c r="O444" s="23" t="s">
        <v>19</v>
      </c>
      <c r="P444" s="20">
        <f>(C444+(E444*F444*H444))-N444</f>
        <v>0</v>
      </c>
      <c r="Q444" s="23" t="s">
        <v>19</v>
      </c>
      <c r="R444" s="24">
        <f>P444*(J444-(J444*L444)-((J444-(J444*L444))*M444))</f>
        <v>0</v>
      </c>
      <c r="S444" s="24">
        <f t="shared" si="59"/>
        <v>0</v>
      </c>
    </row>
    <row r="445" spans="1:20" s="19" customFormat="1">
      <c r="A445" s="18" t="s">
        <v>344</v>
      </c>
      <c r="B445" s="19" t="s">
        <v>25</v>
      </c>
      <c r="C445" s="20"/>
      <c r="D445" s="21" t="s">
        <v>19</v>
      </c>
      <c r="E445" s="26"/>
      <c r="F445" s="22">
        <v>1</v>
      </c>
      <c r="G445" s="23" t="s">
        <v>20</v>
      </c>
      <c r="H445" s="22">
        <v>72</v>
      </c>
      <c r="I445" s="23" t="s">
        <v>19</v>
      </c>
      <c r="J445" s="24">
        <f>1512000/72</f>
        <v>21000</v>
      </c>
      <c r="K445" s="21" t="s">
        <v>19</v>
      </c>
      <c r="L445" s="25">
        <v>0.125</v>
      </c>
      <c r="M445" s="25">
        <v>0.05</v>
      </c>
      <c r="N445" s="22"/>
      <c r="O445" s="23" t="s">
        <v>19</v>
      </c>
      <c r="P445" s="20">
        <f>(C445+(E445*F445*H445))-N445</f>
        <v>0</v>
      </c>
      <c r="Q445" s="23" t="s">
        <v>19</v>
      </c>
      <c r="R445" s="24">
        <f>P445*(J445-(J445*L445)-((J445-(J445*L445))*M445))</f>
        <v>0</v>
      </c>
      <c r="S445" s="24">
        <f t="shared" si="59"/>
        <v>0</v>
      </c>
    </row>
    <row r="446" spans="1:20" s="19" customFormat="1">
      <c r="A446" s="18" t="s">
        <v>814</v>
      </c>
      <c r="B446" s="19" t="s">
        <v>25</v>
      </c>
      <c r="C446" s="20"/>
      <c r="D446" s="21" t="s">
        <v>19</v>
      </c>
      <c r="E446" s="26"/>
      <c r="F446" s="22">
        <v>1</v>
      </c>
      <c r="G446" s="23" t="s">
        <v>20</v>
      </c>
      <c r="H446" s="22">
        <v>72</v>
      </c>
      <c r="I446" s="23" t="s">
        <v>19</v>
      </c>
      <c r="J446" s="24">
        <f>1224000/72</f>
        <v>17000</v>
      </c>
      <c r="K446" s="21" t="s">
        <v>19</v>
      </c>
      <c r="L446" s="25"/>
      <c r="M446" s="25">
        <v>0.17</v>
      </c>
      <c r="N446" s="22"/>
      <c r="O446" s="23" t="s">
        <v>19</v>
      </c>
      <c r="P446" s="20">
        <f>(C446+(E446*F446*H446))-N446</f>
        <v>0</v>
      </c>
      <c r="Q446" s="23" t="s">
        <v>19</v>
      </c>
      <c r="R446" s="24">
        <f>P446*(J446-(J446*L446)-((J446-(J446*L446))*M446))</f>
        <v>0</v>
      </c>
      <c r="S446" s="24">
        <f t="shared" si="59"/>
        <v>0</v>
      </c>
    </row>
    <row r="447" spans="1:20" s="19" customFormat="1">
      <c r="A447" s="18" t="s">
        <v>345</v>
      </c>
      <c r="B447" s="19" t="s">
        <v>25</v>
      </c>
      <c r="C447" s="20"/>
      <c r="D447" s="21" t="s">
        <v>19</v>
      </c>
      <c r="E447" s="26"/>
      <c r="F447" s="22">
        <v>1</v>
      </c>
      <c r="G447" s="23" t="s">
        <v>20</v>
      </c>
      <c r="H447" s="22">
        <v>120</v>
      </c>
      <c r="I447" s="23" t="s">
        <v>19</v>
      </c>
      <c r="J447" s="24">
        <v>9000</v>
      </c>
      <c r="K447" s="21" t="s">
        <v>19</v>
      </c>
      <c r="L447" s="25"/>
      <c r="M447" s="25">
        <v>0.17</v>
      </c>
      <c r="N447" s="22"/>
      <c r="O447" s="23" t="s">
        <v>19</v>
      </c>
      <c r="P447" s="20">
        <f>(C447+(E447*F447*H447))-N447</f>
        <v>0</v>
      </c>
      <c r="Q447" s="23" t="s">
        <v>19</v>
      </c>
      <c r="R447" s="24">
        <f>P447*(J447-(J447*L447)-((J447-(J447*L447))*M447))</f>
        <v>0</v>
      </c>
      <c r="S447" s="24">
        <f t="shared" si="59"/>
        <v>0</v>
      </c>
    </row>
    <row r="448" spans="1:20" s="19" customFormat="1">
      <c r="A448" s="18"/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20" s="19" customFormat="1">
      <c r="A449" s="88" t="s">
        <v>346</v>
      </c>
      <c r="C449" s="20"/>
      <c r="D449" s="21"/>
      <c r="E449" s="26"/>
      <c r="F449" s="22"/>
      <c r="G449" s="23"/>
      <c r="H449" s="22"/>
      <c r="I449" s="23"/>
      <c r="J449" s="24"/>
      <c r="K449" s="21"/>
      <c r="L449" s="25"/>
      <c r="M449" s="25"/>
      <c r="N449" s="22"/>
      <c r="O449" s="23"/>
      <c r="P449" s="20"/>
      <c r="Q449" s="23"/>
      <c r="R449" s="24"/>
      <c r="S449" s="24"/>
    </row>
    <row r="450" spans="1:20" s="19" customFormat="1">
      <c r="A450" s="18" t="s">
        <v>347</v>
      </c>
      <c r="B450" s="19" t="s">
        <v>18</v>
      </c>
      <c r="C450" s="20"/>
      <c r="D450" s="21" t="s">
        <v>19</v>
      </c>
      <c r="E450" s="26"/>
      <c r="F450" s="22">
        <v>2</v>
      </c>
      <c r="G450" s="23" t="s">
        <v>33</v>
      </c>
      <c r="H450" s="22">
        <v>24</v>
      </c>
      <c r="I450" s="23" t="s">
        <v>19</v>
      </c>
      <c r="J450" s="24">
        <v>9200</v>
      </c>
      <c r="K450" s="21" t="s">
        <v>19</v>
      </c>
      <c r="L450" s="25">
        <v>0.125</v>
      </c>
      <c r="M450" s="25">
        <v>0.05</v>
      </c>
      <c r="N450" s="22"/>
      <c r="O450" s="23" t="s">
        <v>19</v>
      </c>
      <c r="P450" s="20">
        <f>(C450+(E450*F450*H450))-N450</f>
        <v>0</v>
      </c>
      <c r="Q450" s="23" t="s">
        <v>19</v>
      </c>
      <c r="R450" s="24">
        <f>P450*(J450-(J450*L450)-((J450-(J450*L450))*M450))</f>
        <v>0</v>
      </c>
      <c r="S450" s="24">
        <f t="shared" si="59"/>
        <v>0</v>
      </c>
    </row>
    <row r="451" spans="1:20" s="19" customFormat="1">
      <c r="A451" s="18" t="s">
        <v>763</v>
      </c>
      <c r="B451" s="19" t="s">
        <v>18</v>
      </c>
      <c r="C451" s="20"/>
      <c r="D451" s="21" t="s">
        <v>19</v>
      </c>
      <c r="E451" s="26"/>
      <c r="F451" s="22">
        <v>4</v>
      </c>
      <c r="G451" s="23" t="s">
        <v>33</v>
      </c>
      <c r="H451" s="22">
        <v>24</v>
      </c>
      <c r="I451" s="23" t="s">
        <v>19</v>
      </c>
      <c r="J451" s="24">
        <v>6300</v>
      </c>
      <c r="K451" s="21" t="s">
        <v>19</v>
      </c>
      <c r="L451" s="25">
        <v>0.125</v>
      </c>
      <c r="M451" s="25">
        <v>0.05</v>
      </c>
      <c r="N451" s="22"/>
      <c r="O451" s="23" t="s">
        <v>19</v>
      </c>
      <c r="P451" s="20">
        <f>(C451+(E451*F451*H451))-N451</f>
        <v>0</v>
      </c>
      <c r="Q451" s="23" t="s">
        <v>19</v>
      </c>
      <c r="R451" s="24">
        <f>P451*(J451-(J451*L451)-((J451-(J451*L451))*M451))</f>
        <v>0</v>
      </c>
      <c r="S451" s="24">
        <f t="shared" si="59"/>
        <v>0</v>
      </c>
    </row>
    <row r="452" spans="1:20" s="19" customFormat="1">
      <c r="A452" s="18"/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20" s="19" customFormat="1">
      <c r="A453" s="18" t="s">
        <v>348</v>
      </c>
      <c r="B453" s="19" t="s">
        <v>25</v>
      </c>
      <c r="C453" s="20"/>
      <c r="D453" s="21" t="s">
        <v>42</v>
      </c>
      <c r="E453" s="26"/>
      <c r="F453" s="22">
        <v>1</v>
      </c>
      <c r="G453" s="23" t="s">
        <v>20</v>
      </c>
      <c r="H453" s="22">
        <v>12</v>
      </c>
      <c r="I453" s="23" t="s">
        <v>42</v>
      </c>
      <c r="J453" s="24">
        <f>741600/12</f>
        <v>61800</v>
      </c>
      <c r="K453" s="21" t="s">
        <v>42</v>
      </c>
      <c r="L453" s="25"/>
      <c r="M453" s="25">
        <v>0.17</v>
      </c>
      <c r="N453" s="22"/>
      <c r="O453" s="23" t="s">
        <v>42</v>
      </c>
      <c r="P453" s="20">
        <f>(C453+(E453*F453*H453))-N453</f>
        <v>0</v>
      </c>
      <c r="Q453" s="23" t="s">
        <v>42</v>
      </c>
      <c r="R453" s="24">
        <f>P453*(J453-(J453*L453)-((J453-(J453*L453))*M453))</f>
        <v>0</v>
      </c>
      <c r="S453" s="24">
        <f t="shared" si="59"/>
        <v>0</v>
      </c>
    </row>
    <row r="454" spans="1:20" s="19" customFormat="1">
      <c r="A454" s="18" t="s">
        <v>349</v>
      </c>
      <c r="B454" s="19" t="s">
        <v>25</v>
      </c>
      <c r="C454" s="20"/>
      <c r="D454" s="21" t="s">
        <v>42</v>
      </c>
      <c r="E454" s="26"/>
      <c r="F454" s="22">
        <v>1</v>
      </c>
      <c r="G454" s="23" t="s">
        <v>20</v>
      </c>
      <c r="H454" s="22">
        <v>20</v>
      </c>
      <c r="I454" s="23" t="s">
        <v>42</v>
      </c>
      <c r="J454" s="24">
        <f>804000/20</f>
        <v>40200</v>
      </c>
      <c r="K454" s="21" t="s">
        <v>42</v>
      </c>
      <c r="L454" s="25"/>
      <c r="M454" s="25">
        <v>0.17</v>
      </c>
      <c r="N454" s="22"/>
      <c r="O454" s="23" t="s">
        <v>42</v>
      </c>
      <c r="P454" s="20">
        <f>(C454+(E454*F454*H454))-N454</f>
        <v>0</v>
      </c>
      <c r="Q454" s="23" t="s">
        <v>42</v>
      </c>
      <c r="R454" s="24">
        <f>P454*(J454-(J454*L454)-((J454-(J454*L454))*M454))</f>
        <v>0</v>
      </c>
      <c r="S454" s="24">
        <f t="shared" si="59"/>
        <v>0</v>
      </c>
    </row>
    <row r="455" spans="1:20" s="19" customFormat="1">
      <c r="A455" s="18" t="s">
        <v>350</v>
      </c>
      <c r="B455" s="19" t="s">
        <v>25</v>
      </c>
      <c r="C455" s="20"/>
      <c r="D455" s="21" t="s">
        <v>42</v>
      </c>
      <c r="E455" s="26"/>
      <c r="F455" s="22">
        <v>1</v>
      </c>
      <c r="G455" s="23" t="s">
        <v>20</v>
      </c>
      <c r="H455" s="22">
        <v>6</v>
      </c>
      <c r="I455" s="23" t="s">
        <v>42</v>
      </c>
      <c r="J455" s="24">
        <f>810000/6</f>
        <v>135000</v>
      </c>
      <c r="K455" s="21" t="s">
        <v>42</v>
      </c>
      <c r="L455" s="25"/>
      <c r="M455" s="25">
        <v>0.17</v>
      </c>
      <c r="N455" s="22"/>
      <c r="O455" s="23" t="s">
        <v>42</v>
      </c>
      <c r="P455" s="20">
        <f>(C455+(E455*F455*H455))-N455</f>
        <v>0</v>
      </c>
      <c r="Q455" s="23" t="s">
        <v>42</v>
      </c>
      <c r="R455" s="24">
        <f>P455*(J455-(J455*L455)-((J455-(J455*L455))*M455))</f>
        <v>0</v>
      </c>
      <c r="S455" s="24">
        <f t="shared" si="59"/>
        <v>0</v>
      </c>
    </row>
    <row r="456" spans="1:20" s="19" customFormat="1">
      <c r="A456" s="18"/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20" s="19" customFormat="1">
      <c r="A457" s="88" t="s">
        <v>351</v>
      </c>
      <c r="C457" s="20"/>
      <c r="D457" s="21"/>
      <c r="E457" s="26"/>
      <c r="F457" s="22"/>
      <c r="G457" s="23"/>
      <c r="H457" s="22"/>
      <c r="I457" s="23"/>
      <c r="J457" s="24"/>
      <c r="K457" s="21"/>
      <c r="L457" s="90"/>
      <c r="M457" s="90"/>
      <c r="N457" s="22"/>
      <c r="O457" s="23"/>
      <c r="P457" s="20"/>
      <c r="Q457" s="23"/>
      <c r="R457" s="24"/>
      <c r="S457" s="24"/>
    </row>
    <row r="458" spans="1:20" s="19" customFormat="1">
      <c r="A458" s="18" t="s">
        <v>352</v>
      </c>
      <c r="B458" s="19" t="s">
        <v>18</v>
      </c>
      <c r="C458" s="20"/>
      <c r="D458" s="21" t="s">
        <v>158</v>
      </c>
      <c r="E458" s="26"/>
      <c r="F458" s="22">
        <v>36</v>
      </c>
      <c r="G458" s="23" t="s">
        <v>33</v>
      </c>
      <c r="H458" s="22">
        <v>30</v>
      </c>
      <c r="I458" s="23" t="s">
        <v>158</v>
      </c>
      <c r="J458" s="24">
        <v>3200</v>
      </c>
      <c r="K458" s="21" t="s">
        <v>158</v>
      </c>
      <c r="L458" s="25">
        <v>0.125</v>
      </c>
      <c r="M458" s="25">
        <v>0.05</v>
      </c>
      <c r="N458" s="22"/>
      <c r="O458" s="23" t="s">
        <v>158</v>
      </c>
      <c r="P458" s="20">
        <f>(C458+(E458*F458*H458))-N458</f>
        <v>0</v>
      </c>
      <c r="Q458" s="23" t="s">
        <v>158</v>
      </c>
      <c r="R458" s="24">
        <f>P458*(J458-(J458*L458)-((J458-(J458*L458))*M458))</f>
        <v>0</v>
      </c>
      <c r="S458" s="24">
        <f t="shared" si="59"/>
        <v>0</v>
      </c>
      <c r="T458" s="24"/>
    </row>
    <row r="459" spans="1:20" s="19" customFormat="1">
      <c r="A459" s="18" t="s">
        <v>353</v>
      </c>
      <c r="B459" s="19" t="s">
        <v>18</v>
      </c>
      <c r="C459" s="20"/>
      <c r="D459" s="21" t="s">
        <v>158</v>
      </c>
      <c r="E459" s="26"/>
      <c r="F459" s="22">
        <v>36</v>
      </c>
      <c r="G459" s="23" t="s">
        <v>33</v>
      </c>
      <c r="H459" s="22">
        <v>30</v>
      </c>
      <c r="I459" s="23" t="s">
        <v>158</v>
      </c>
      <c r="J459" s="24">
        <v>2900</v>
      </c>
      <c r="K459" s="21" t="s">
        <v>158</v>
      </c>
      <c r="L459" s="25">
        <v>0.125</v>
      </c>
      <c r="M459" s="25">
        <v>0.05</v>
      </c>
      <c r="N459" s="22"/>
      <c r="O459" s="23" t="s">
        <v>158</v>
      </c>
      <c r="P459" s="20">
        <f>(C459+(E459*F459*H459))-N459</f>
        <v>0</v>
      </c>
      <c r="Q459" s="23" t="s">
        <v>158</v>
      </c>
      <c r="R459" s="24">
        <f>P459*(J459-(J459*L459)-((J459-(J459*L459))*M459))</f>
        <v>0</v>
      </c>
      <c r="S459" s="24">
        <f t="shared" si="59"/>
        <v>0</v>
      </c>
      <c r="T459" s="24"/>
    </row>
    <row r="460" spans="1:20" s="19" customFormat="1">
      <c r="A460" s="18"/>
      <c r="C460" s="20"/>
      <c r="D460" s="21"/>
      <c r="E460" s="26"/>
      <c r="F460" s="22"/>
      <c r="G460" s="23"/>
      <c r="H460" s="22"/>
      <c r="I460" s="23"/>
      <c r="J460" s="24"/>
      <c r="K460" s="21"/>
      <c r="L460" s="25"/>
      <c r="M460" s="25"/>
      <c r="N460" s="22"/>
      <c r="O460" s="23"/>
      <c r="P460" s="20"/>
      <c r="Q460" s="23"/>
      <c r="R460" s="24"/>
      <c r="S460" s="24"/>
    </row>
    <row r="461" spans="1:20" s="19" customFormat="1" ht="15.75">
      <c r="A461" s="44" t="s">
        <v>354</v>
      </c>
      <c r="C461" s="20"/>
      <c r="D461" s="21"/>
      <c r="E461" s="26"/>
      <c r="F461" s="22"/>
      <c r="G461" s="23"/>
      <c r="H461" s="22"/>
      <c r="I461" s="23"/>
      <c r="J461" s="24"/>
      <c r="K461" s="21"/>
      <c r="L461" s="25"/>
      <c r="M461" s="25"/>
      <c r="N461" s="22"/>
      <c r="O461" s="23"/>
      <c r="P461" s="20"/>
      <c r="Q461" s="23"/>
      <c r="R461" s="24"/>
      <c r="S461" s="24"/>
    </row>
    <row r="462" spans="1:20" s="19" customFormat="1">
      <c r="A462" s="59" t="s">
        <v>357</v>
      </c>
      <c r="B462" s="19" t="s">
        <v>18</v>
      </c>
      <c r="C462" s="20"/>
      <c r="D462" s="21" t="s">
        <v>101</v>
      </c>
      <c r="E462" s="26"/>
      <c r="F462" s="22">
        <v>1</v>
      </c>
      <c r="G462" s="23" t="s">
        <v>20</v>
      </c>
      <c r="H462" s="22">
        <v>100</v>
      </c>
      <c r="I462" s="23" t="s">
        <v>101</v>
      </c>
      <c r="J462" s="24">
        <v>7800</v>
      </c>
      <c r="K462" s="21" t="s">
        <v>101</v>
      </c>
      <c r="L462" s="25">
        <v>0.125</v>
      </c>
      <c r="M462" s="25">
        <v>0.05</v>
      </c>
      <c r="N462" s="22"/>
      <c r="O462" s="23" t="s">
        <v>101</v>
      </c>
      <c r="P462" s="20">
        <f>(C462+(E462*F462*H462))-N462</f>
        <v>0</v>
      </c>
      <c r="Q462" s="23" t="s">
        <v>101</v>
      </c>
      <c r="R462" s="24">
        <f>P462*(J462-(J462*L462)-((J462-(J462*L462))*M462))</f>
        <v>0</v>
      </c>
      <c r="S462" s="24">
        <f>R462/1.11</f>
        <v>0</v>
      </c>
      <c r="T462" s="24"/>
    </row>
    <row r="463" spans="1:20" s="19" customFormat="1">
      <c r="A463" s="59" t="s">
        <v>358</v>
      </c>
      <c r="B463" s="19" t="s">
        <v>18</v>
      </c>
      <c r="C463" s="20"/>
      <c r="D463" s="21" t="s">
        <v>101</v>
      </c>
      <c r="E463" s="26"/>
      <c r="F463" s="22">
        <v>1</v>
      </c>
      <c r="G463" s="23" t="s">
        <v>20</v>
      </c>
      <c r="H463" s="22">
        <v>100</v>
      </c>
      <c r="I463" s="23" t="s">
        <v>101</v>
      </c>
      <c r="J463" s="24">
        <v>7800</v>
      </c>
      <c r="K463" s="21" t="s">
        <v>101</v>
      </c>
      <c r="L463" s="25">
        <v>0.125</v>
      </c>
      <c r="M463" s="25">
        <v>0.05</v>
      </c>
      <c r="N463" s="22"/>
      <c r="O463" s="23" t="s">
        <v>101</v>
      </c>
      <c r="P463" s="20">
        <f>(C463+(E463*F463*H463))-N463</f>
        <v>0</v>
      </c>
      <c r="Q463" s="23" t="s">
        <v>101</v>
      </c>
      <c r="R463" s="24">
        <f>P463*(J463-(J463*L463)-((J463-(J463*L463))*M463))</f>
        <v>0</v>
      </c>
      <c r="S463" s="24">
        <f>R463/1.11</f>
        <v>0</v>
      </c>
      <c r="T463" s="24"/>
    </row>
    <row r="464" spans="1:20" s="19" customFormat="1">
      <c r="A464" s="59"/>
      <c r="C464" s="20"/>
      <c r="D464" s="21"/>
      <c r="E464" s="26"/>
      <c r="F464" s="22"/>
      <c r="G464" s="23"/>
      <c r="H464" s="22"/>
      <c r="I464" s="23"/>
      <c r="J464" s="24"/>
      <c r="K464" s="21"/>
      <c r="L464" s="25"/>
      <c r="M464" s="25"/>
      <c r="N464" s="22"/>
      <c r="O464" s="23"/>
      <c r="P464" s="20"/>
      <c r="Q464" s="23"/>
      <c r="R464" s="24"/>
      <c r="S464" s="24"/>
      <c r="T464" s="24"/>
    </row>
    <row r="465" spans="1:19" s="19" customFormat="1">
      <c r="A465" s="59" t="s">
        <v>355</v>
      </c>
      <c r="B465" s="19" t="s">
        <v>25</v>
      </c>
      <c r="C465" s="20"/>
      <c r="D465" s="21" t="s">
        <v>33</v>
      </c>
      <c r="E465" s="26"/>
      <c r="F465" s="22">
        <v>10</v>
      </c>
      <c r="G465" s="23" t="s">
        <v>101</v>
      </c>
      <c r="H465" s="22">
        <v>10</v>
      </c>
      <c r="I465" s="23" t="s">
        <v>33</v>
      </c>
      <c r="J465" s="24">
        <f>980000/100</f>
        <v>9800</v>
      </c>
      <c r="K465" s="21" t="s">
        <v>33</v>
      </c>
      <c r="L465" s="25"/>
      <c r="M465" s="25">
        <v>0.17</v>
      </c>
      <c r="N465" s="22"/>
      <c r="O465" s="23" t="s">
        <v>33</v>
      </c>
      <c r="P465" s="20">
        <f>(C465+(E465*F465*H465))-N465</f>
        <v>0</v>
      </c>
      <c r="Q465" s="23" t="s">
        <v>33</v>
      </c>
      <c r="R465" s="24">
        <f>P465*(J465-(J465*L465)-((J465-(J465*L465))*M465))</f>
        <v>0</v>
      </c>
      <c r="S465" s="24">
        <f t="shared" si="59"/>
        <v>0</v>
      </c>
    </row>
    <row r="466" spans="1:19" s="19" customFormat="1">
      <c r="A466" s="59" t="s">
        <v>356</v>
      </c>
      <c r="B466" s="19" t="s">
        <v>25</v>
      </c>
      <c r="C466" s="20"/>
      <c r="D466" s="21" t="s">
        <v>33</v>
      </c>
      <c r="E466" s="26"/>
      <c r="F466" s="22">
        <v>10</v>
      </c>
      <c r="G466" s="23" t="s">
        <v>101</v>
      </c>
      <c r="H466" s="22">
        <v>10</v>
      </c>
      <c r="I466" s="23" t="s">
        <v>33</v>
      </c>
      <c r="J466" s="24">
        <f>980000/100</f>
        <v>9800</v>
      </c>
      <c r="K466" s="21" t="s">
        <v>33</v>
      </c>
      <c r="L466" s="25"/>
      <c r="M466" s="25">
        <v>0.17</v>
      </c>
      <c r="N466" s="22"/>
      <c r="O466" s="23" t="s">
        <v>33</v>
      </c>
      <c r="P466" s="20">
        <f>(C466+(E466*F466*H466))-N466</f>
        <v>0</v>
      </c>
      <c r="Q466" s="23" t="s">
        <v>33</v>
      </c>
      <c r="R466" s="24">
        <f>P466*(J466-(J466*L466)-((J466-(J466*L466))*M466))</f>
        <v>0</v>
      </c>
      <c r="S466" s="24">
        <f t="shared" si="59"/>
        <v>0</v>
      </c>
    </row>
    <row r="467" spans="1:19" s="19" customFormat="1">
      <c r="A467" s="18"/>
      <c r="C467" s="20"/>
      <c r="D467" s="21"/>
      <c r="E467" s="26"/>
      <c r="F467" s="22"/>
      <c r="G467" s="23"/>
      <c r="H467" s="22"/>
      <c r="I467" s="23"/>
      <c r="J467" s="24"/>
      <c r="K467" s="21"/>
      <c r="L467" s="25"/>
      <c r="M467" s="25"/>
      <c r="N467" s="22"/>
      <c r="O467" s="23"/>
      <c r="P467" s="20"/>
      <c r="Q467" s="23"/>
      <c r="R467" s="24"/>
      <c r="S467" s="24"/>
    </row>
    <row r="468" spans="1:19" s="19" customFormat="1" ht="15.75">
      <c r="A468" s="44" t="s">
        <v>359</v>
      </c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19" customFormat="1">
      <c r="A469" s="88" t="s">
        <v>360</v>
      </c>
      <c r="C469" s="20"/>
      <c r="D469" s="21"/>
      <c r="E469" s="26"/>
      <c r="F469" s="22"/>
      <c r="G469" s="23"/>
      <c r="H469" s="22"/>
      <c r="I469" s="23"/>
      <c r="J469" s="24"/>
      <c r="K469" s="21"/>
      <c r="L469" s="25"/>
      <c r="M469" s="25"/>
      <c r="N469" s="22"/>
      <c r="O469" s="23"/>
      <c r="P469" s="20"/>
      <c r="Q469" s="23"/>
      <c r="R469" s="24"/>
      <c r="S469" s="24"/>
    </row>
    <row r="470" spans="1:19" s="19" customFormat="1">
      <c r="A470" s="18" t="s">
        <v>361</v>
      </c>
      <c r="B470" s="19" t="s">
        <v>18</v>
      </c>
      <c r="C470" s="20"/>
      <c r="D470" s="21" t="s">
        <v>42</v>
      </c>
      <c r="E470" s="26"/>
      <c r="F470" s="22">
        <v>1</v>
      </c>
      <c r="G470" s="23" t="s">
        <v>20</v>
      </c>
      <c r="H470" s="22">
        <v>144</v>
      </c>
      <c r="I470" s="23" t="s">
        <v>42</v>
      </c>
      <c r="J470" s="24">
        <v>28200</v>
      </c>
      <c r="K470" s="21" t="s">
        <v>42</v>
      </c>
      <c r="L470" s="25">
        <v>0.125</v>
      </c>
      <c r="M470" s="25">
        <v>0.05</v>
      </c>
      <c r="N470" s="22"/>
      <c r="O470" s="23" t="s">
        <v>42</v>
      </c>
      <c r="P470" s="20">
        <f t="shared" ref="P470:P479" si="61">(C470+(E470*F470*H470))-N470</f>
        <v>0</v>
      </c>
      <c r="Q470" s="23" t="s">
        <v>42</v>
      </c>
      <c r="R470" s="24">
        <f t="shared" ref="R470:R479" si="62">P470*(J470-(J470*L470)-((J470-(J470*L470))*M470))</f>
        <v>0</v>
      </c>
      <c r="S470" s="24">
        <f t="shared" si="59"/>
        <v>0</v>
      </c>
    </row>
    <row r="471" spans="1:19" s="19" customFormat="1">
      <c r="A471" s="18" t="s">
        <v>362</v>
      </c>
      <c r="B471" s="19" t="s">
        <v>18</v>
      </c>
      <c r="C471" s="20"/>
      <c r="D471" s="21" t="s">
        <v>42</v>
      </c>
      <c r="E471" s="26"/>
      <c r="F471" s="22">
        <v>1</v>
      </c>
      <c r="G471" s="23" t="s">
        <v>20</v>
      </c>
      <c r="H471" s="22">
        <v>144</v>
      </c>
      <c r="I471" s="23" t="s">
        <v>42</v>
      </c>
      <c r="J471" s="24">
        <v>7800</v>
      </c>
      <c r="K471" s="21" t="s">
        <v>42</v>
      </c>
      <c r="L471" s="25">
        <v>0.1</v>
      </c>
      <c r="M471" s="25">
        <v>0.05</v>
      </c>
      <c r="N471" s="22"/>
      <c r="O471" s="23" t="s">
        <v>42</v>
      </c>
      <c r="P471" s="20">
        <f t="shared" si="61"/>
        <v>0</v>
      </c>
      <c r="Q471" s="23" t="s">
        <v>42</v>
      </c>
      <c r="R471" s="24">
        <f t="shared" si="62"/>
        <v>0</v>
      </c>
      <c r="S471" s="24">
        <f t="shared" si="59"/>
        <v>0</v>
      </c>
    </row>
    <row r="472" spans="1:19" s="19" customFormat="1">
      <c r="A472" s="18" t="s">
        <v>363</v>
      </c>
      <c r="B472" s="19" t="s">
        <v>18</v>
      </c>
      <c r="C472" s="20"/>
      <c r="D472" s="21" t="s">
        <v>42</v>
      </c>
      <c r="E472" s="26"/>
      <c r="F472" s="22">
        <v>1</v>
      </c>
      <c r="G472" s="23" t="s">
        <v>20</v>
      </c>
      <c r="H472" s="22">
        <v>144</v>
      </c>
      <c r="I472" s="23" t="s">
        <v>42</v>
      </c>
      <c r="J472" s="24">
        <v>6900</v>
      </c>
      <c r="K472" s="21" t="s">
        <v>42</v>
      </c>
      <c r="L472" s="25">
        <v>0.125</v>
      </c>
      <c r="M472" s="25">
        <v>0.05</v>
      </c>
      <c r="N472" s="22"/>
      <c r="O472" s="23" t="s">
        <v>42</v>
      </c>
      <c r="P472" s="20">
        <f t="shared" si="61"/>
        <v>0</v>
      </c>
      <c r="Q472" s="23" t="s">
        <v>42</v>
      </c>
      <c r="R472" s="24">
        <f t="shared" si="62"/>
        <v>0</v>
      </c>
      <c r="S472" s="24">
        <f t="shared" si="59"/>
        <v>0</v>
      </c>
    </row>
    <row r="473" spans="1:19" s="19" customFormat="1">
      <c r="A473" s="18" t="s">
        <v>785</v>
      </c>
      <c r="B473" s="19" t="s">
        <v>18</v>
      </c>
      <c r="C473" s="20"/>
      <c r="D473" s="21" t="s">
        <v>42</v>
      </c>
      <c r="E473" s="26"/>
      <c r="F473" s="22">
        <v>1</v>
      </c>
      <c r="G473" s="23" t="s">
        <v>20</v>
      </c>
      <c r="H473" s="22">
        <v>144</v>
      </c>
      <c r="I473" s="23" t="s">
        <v>42</v>
      </c>
      <c r="J473" s="24">
        <v>7020</v>
      </c>
      <c r="K473" s="21" t="s">
        <v>42</v>
      </c>
      <c r="L473" s="25">
        <v>0.125</v>
      </c>
      <c r="M473" s="25">
        <v>0.05</v>
      </c>
      <c r="N473" s="22"/>
      <c r="O473" s="23" t="s">
        <v>42</v>
      </c>
      <c r="P473" s="20">
        <f t="shared" si="61"/>
        <v>0</v>
      </c>
      <c r="Q473" s="23" t="s">
        <v>42</v>
      </c>
      <c r="R473" s="24">
        <f t="shared" si="62"/>
        <v>0</v>
      </c>
      <c r="S473" s="24">
        <f t="shared" si="59"/>
        <v>0</v>
      </c>
    </row>
    <row r="474" spans="1:19" s="19" customFormat="1">
      <c r="A474" s="18" t="s">
        <v>364</v>
      </c>
      <c r="B474" s="19" t="s">
        <v>18</v>
      </c>
      <c r="C474" s="20"/>
      <c r="D474" s="21" t="s">
        <v>42</v>
      </c>
      <c r="E474" s="26"/>
      <c r="F474" s="22">
        <v>1</v>
      </c>
      <c r="G474" s="23" t="s">
        <v>20</v>
      </c>
      <c r="H474" s="22">
        <v>144</v>
      </c>
      <c r="I474" s="23" t="s">
        <v>42</v>
      </c>
      <c r="J474" s="24">
        <v>7020</v>
      </c>
      <c r="K474" s="21" t="s">
        <v>42</v>
      </c>
      <c r="L474" s="25">
        <v>0.125</v>
      </c>
      <c r="M474" s="25">
        <v>0.05</v>
      </c>
      <c r="N474" s="22"/>
      <c r="O474" s="23" t="s">
        <v>42</v>
      </c>
      <c r="P474" s="20">
        <f t="shared" si="61"/>
        <v>0</v>
      </c>
      <c r="Q474" s="23" t="s">
        <v>42</v>
      </c>
      <c r="R474" s="24">
        <f t="shared" si="62"/>
        <v>0</v>
      </c>
      <c r="S474" s="24">
        <f t="shared" si="59"/>
        <v>0</v>
      </c>
    </row>
    <row r="475" spans="1:19" s="19" customFormat="1">
      <c r="A475" s="18" t="s">
        <v>751</v>
      </c>
      <c r="B475" s="19" t="s">
        <v>18</v>
      </c>
      <c r="C475" s="20"/>
      <c r="D475" s="21" t="s">
        <v>42</v>
      </c>
      <c r="E475" s="26"/>
      <c r="F475" s="22">
        <v>1</v>
      </c>
      <c r="G475" s="23" t="s">
        <v>20</v>
      </c>
      <c r="H475" s="22">
        <v>144</v>
      </c>
      <c r="I475" s="23" t="s">
        <v>42</v>
      </c>
      <c r="J475" s="24">
        <v>6600</v>
      </c>
      <c r="K475" s="21" t="s">
        <v>42</v>
      </c>
      <c r="L475" s="25">
        <v>0.125</v>
      </c>
      <c r="M475" s="25">
        <v>0.05</v>
      </c>
      <c r="N475" s="22"/>
      <c r="O475" s="23" t="s">
        <v>42</v>
      </c>
      <c r="P475" s="20">
        <f t="shared" si="61"/>
        <v>0</v>
      </c>
      <c r="Q475" s="23" t="s">
        <v>42</v>
      </c>
      <c r="R475" s="24">
        <f t="shared" si="62"/>
        <v>0</v>
      </c>
      <c r="S475" s="24">
        <f t="shared" si="59"/>
        <v>0</v>
      </c>
    </row>
    <row r="476" spans="1:19" s="19" customFormat="1">
      <c r="A476" s="18" t="s">
        <v>658</v>
      </c>
      <c r="B476" s="19" t="s">
        <v>18</v>
      </c>
      <c r="C476" s="20"/>
      <c r="D476" s="21" t="s">
        <v>42</v>
      </c>
      <c r="E476" s="26"/>
      <c r="F476" s="22">
        <v>1</v>
      </c>
      <c r="G476" s="23" t="s">
        <v>20</v>
      </c>
      <c r="H476" s="22">
        <v>144</v>
      </c>
      <c r="I476" s="23" t="s">
        <v>42</v>
      </c>
      <c r="J476" s="24">
        <v>6000</v>
      </c>
      <c r="K476" s="21" t="s">
        <v>42</v>
      </c>
      <c r="L476" s="25">
        <v>0.125</v>
      </c>
      <c r="M476" s="25">
        <v>0.05</v>
      </c>
      <c r="N476" s="22"/>
      <c r="O476" s="23" t="s">
        <v>42</v>
      </c>
      <c r="P476" s="20">
        <f t="shared" si="61"/>
        <v>0</v>
      </c>
      <c r="Q476" s="23" t="s">
        <v>42</v>
      </c>
      <c r="R476" s="24">
        <f t="shared" si="62"/>
        <v>0</v>
      </c>
      <c r="S476" s="24">
        <f t="shared" si="59"/>
        <v>0</v>
      </c>
    </row>
    <row r="477" spans="1:19" s="19" customFormat="1">
      <c r="A477" s="18" t="s">
        <v>704</v>
      </c>
      <c r="B477" s="19" t="s">
        <v>18</v>
      </c>
      <c r="C477" s="20"/>
      <c r="D477" s="21" t="s">
        <v>42</v>
      </c>
      <c r="E477" s="26"/>
      <c r="F477" s="22">
        <v>1</v>
      </c>
      <c r="G477" s="23" t="s">
        <v>20</v>
      </c>
      <c r="H477" s="22">
        <v>144</v>
      </c>
      <c r="I477" s="23" t="s">
        <v>42</v>
      </c>
      <c r="J477" s="24">
        <v>6000</v>
      </c>
      <c r="K477" s="21" t="s">
        <v>42</v>
      </c>
      <c r="L477" s="25">
        <v>0.125</v>
      </c>
      <c r="M477" s="25">
        <v>0.05</v>
      </c>
      <c r="N477" s="22"/>
      <c r="O477" s="23" t="s">
        <v>42</v>
      </c>
      <c r="P477" s="20">
        <f t="shared" si="61"/>
        <v>0</v>
      </c>
      <c r="Q477" s="23" t="s">
        <v>42</v>
      </c>
      <c r="R477" s="24">
        <f t="shared" si="62"/>
        <v>0</v>
      </c>
      <c r="S477" s="24">
        <f t="shared" si="59"/>
        <v>0</v>
      </c>
    </row>
    <row r="478" spans="1:19" s="19" customFormat="1">
      <c r="A478" s="18" t="s">
        <v>365</v>
      </c>
      <c r="B478" s="19" t="s">
        <v>18</v>
      </c>
      <c r="C478" s="20"/>
      <c r="D478" s="21" t="s">
        <v>42</v>
      </c>
      <c r="E478" s="26"/>
      <c r="F478" s="22">
        <v>1</v>
      </c>
      <c r="G478" s="23" t="s">
        <v>20</v>
      </c>
      <c r="H478" s="22">
        <v>144</v>
      </c>
      <c r="I478" s="23" t="s">
        <v>42</v>
      </c>
      <c r="J478" s="24">
        <v>5100</v>
      </c>
      <c r="K478" s="21" t="s">
        <v>42</v>
      </c>
      <c r="L478" s="25">
        <v>0.125</v>
      </c>
      <c r="M478" s="25">
        <v>0.05</v>
      </c>
      <c r="N478" s="22"/>
      <c r="O478" s="23" t="s">
        <v>42</v>
      </c>
      <c r="P478" s="20">
        <f t="shared" si="61"/>
        <v>0</v>
      </c>
      <c r="Q478" s="23" t="s">
        <v>42</v>
      </c>
      <c r="R478" s="24">
        <f t="shared" si="62"/>
        <v>0</v>
      </c>
      <c r="S478" s="24">
        <f t="shared" si="59"/>
        <v>0</v>
      </c>
    </row>
    <row r="479" spans="1:19" s="19" customFormat="1">
      <c r="A479" s="18" t="s">
        <v>366</v>
      </c>
      <c r="B479" s="19" t="s">
        <v>18</v>
      </c>
      <c r="C479" s="69"/>
      <c r="D479" s="21" t="s">
        <v>42</v>
      </c>
      <c r="E479" s="26"/>
      <c r="F479" s="22">
        <v>1</v>
      </c>
      <c r="G479" s="23" t="s">
        <v>20</v>
      </c>
      <c r="H479" s="22">
        <v>144</v>
      </c>
      <c r="I479" s="23" t="s">
        <v>42</v>
      </c>
      <c r="J479" s="24">
        <v>12600</v>
      </c>
      <c r="K479" s="21" t="s">
        <v>42</v>
      </c>
      <c r="L479" s="25">
        <v>0.125</v>
      </c>
      <c r="M479" s="25">
        <v>0.05</v>
      </c>
      <c r="N479" s="22"/>
      <c r="O479" s="23" t="s">
        <v>42</v>
      </c>
      <c r="P479" s="20">
        <f t="shared" si="61"/>
        <v>0</v>
      </c>
      <c r="Q479" s="23" t="s">
        <v>42</v>
      </c>
      <c r="R479" s="24">
        <f t="shared" si="62"/>
        <v>0</v>
      </c>
      <c r="S479" s="24">
        <f t="shared" si="59"/>
        <v>0</v>
      </c>
    </row>
    <row r="480" spans="1:19" s="19" customFormat="1">
      <c r="A480" s="18"/>
      <c r="C480" s="69"/>
      <c r="D480" s="21"/>
      <c r="E480" s="26"/>
      <c r="F480" s="22"/>
      <c r="G480" s="23"/>
      <c r="H480" s="22"/>
      <c r="I480" s="23"/>
      <c r="J480" s="24"/>
      <c r="K480" s="21"/>
      <c r="L480" s="25"/>
      <c r="M480" s="25"/>
      <c r="N480" s="22"/>
      <c r="O480" s="23"/>
      <c r="P480" s="20"/>
      <c r="Q480" s="23"/>
      <c r="R480" s="24"/>
      <c r="S480" s="24"/>
    </row>
    <row r="481" spans="1:19" s="19" customFormat="1">
      <c r="A481" s="59" t="s">
        <v>367</v>
      </c>
      <c r="B481" s="19" t="s">
        <v>25</v>
      </c>
      <c r="C481" s="20"/>
      <c r="D481" s="21" t="s">
        <v>42</v>
      </c>
      <c r="E481" s="26"/>
      <c r="F481" s="22">
        <v>1</v>
      </c>
      <c r="G481" s="23" t="s">
        <v>20</v>
      </c>
      <c r="H481" s="22">
        <v>144</v>
      </c>
      <c r="I481" s="23" t="s">
        <v>42</v>
      </c>
      <c r="J481" s="24">
        <v>22200</v>
      </c>
      <c r="K481" s="21" t="s">
        <v>42</v>
      </c>
      <c r="L481" s="25"/>
      <c r="M481" s="25">
        <v>0.17</v>
      </c>
      <c r="N481" s="22"/>
      <c r="O481" s="23" t="s">
        <v>42</v>
      </c>
      <c r="P481" s="20">
        <f t="shared" ref="P481:P487" si="63">(C481+(E481*F481*H481))-N481</f>
        <v>0</v>
      </c>
      <c r="Q481" s="23" t="s">
        <v>42</v>
      </c>
      <c r="R481" s="24">
        <f t="shared" ref="R481:R487" si="64">P481*(J481-(J481*L481)-((J481-(J481*L481))*M481))</f>
        <v>0</v>
      </c>
      <c r="S481" s="24">
        <f t="shared" si="59"/>
        <v>0</v>
      </c>
    </row>
    <row r="482" spans="1:19" s="19" customFormat="1">
      <c r="A482" s="59" t="s">
        <v>368</v>
      </c>
      <c r="B482" s="19" t="s">
        <v>25</v>
      </c>
      <c r="C482" s="20"/>
      <c r="D482" s="21" t="s">
        <v>42</v>
      </c>
      <c r="E482" s="26"/>
      <c r="F482" s="22">
        <v>1</v>
      </c>
      <c r="G482" s="23" t="s">
        <v>20</v>
      </c>
      <c r="H482" s="22">
        <v>144</v>
      </c>
      <c r="I482" s="23" t="s">
        <v>42</v>
      </c>
      <c r="J482" s="24">
        <f>1728000/144</f>
        <v>12000</v>
      </c>
      <c r="K482" s="21" t="s">
        <v>42</v>
      </c>
      <c r="L482" s="25"/>
      <c r="M482" s="25">
        <v>0.17</v>
      </c>
      <c r="N482" s="22"/>
      <c r="O482" s="23" t="s">
        <v>42</v>
      </c>
      <c r="P482" s="20">
        <f t="shared" si="63"/>
        <v>0</v>
      </c>
      <c r="Q482" s="23" t="s">
        <v>42</v>
      </c>
      <c r="R482" s="24">
        <f t="shared" si="64"/>
        <v>0</v>
      </c>
      <c r="S482" s="24">
        <f t="shared" si="59"/>
        <v>0</v>
      </c>
    </row>
    <row r="483" spans="1:19" s="19" customFormat="1">
      <c r="A483" s="59" t="s">
        <v>369</v>
      </c>
      <c r="B483" s="19" t="s">
        <v>25</v>
      </c>
      <c r="C483" s="20"/>
      <c r="D483" s="21" t="s">
        <v>42</v>
      </c>
      <c r="E483" s="26"/>
      <c r="F483" s="22">
        <v>1</v>
      </c>
      <c r="G483" s="23" t="s">
        <v>20</v>
      </c>
      <c r="H483" s="22">
        <v>144</v>
      </c>
      <c r="I483" s="23" t="s">
        <v>42</v>
      </c>
      <c r="J483" s="24">
        <v>13800</v>
      </c>
      <c r="K483" s="21" t="s">
        <v>42</v>
      </c>
      <c r="L483" s="25"/>
      <c r="M483" s="25">
        <v>0.17</v>
      </c>
      <c r="N483" s="22"/>
      <c r="O483" s="23" t="s">
        <v>42</v>
      </c>
      <c r="P483" s="20">
        <f t="shared" si="63"/>
        <v>0</v>
      </c>
      <c r="Q483" s="23" t="s">
        <v>42</v>
      </c>
      <c r="R483" s="24">
        <f t="shared" si="64"/>
        <v>0</v>
      </c>
      <c r="S483" s="24">
        <f t="shared" si="59"/>
        <v>0</v>
      </c>
    </row>
    <row r="484" spans="1:19" s="19" customFormat="1">
      <c r="A484" s="59" t="s">
        <v>370</v>
      </c>
      <c r="B484" s="19" t="s">
        <v>25</v>
      </c>
      <c r="C484" s="20"/>
      <c r="D484" s="21" t="s">
        <v>42</v>
      </c>
      <c r="E484" s="26"/>
      <c r="F484" s="22">
        <v>1</v>
      </c>
      <c r="G484" s="23" t="s">
        <v>20</v>
      </c>
      <c r="H484" s="22">
        <v>144</v>
      </c>
      <c r="I484" s="23" t="s">
        <v>42</v>
      </c>
      <c r="J484" s="24">
        <v>13800</v>
      </c>
      <c r="K484" s="21" t="s">
        <v>42</v>
      </c>
      <c r="L484" s="25"/>
      <c r="M484" s="25">
        <v>0.17</v>
      </c>
      <c r="N484" s="22"/>
      <c r="O484" s="23" t="s">
        <v>42</v>
      </c>
      <c r="P484" s="20">
        <f t="shared" si="63"/>
        <v>0</v>
      </c>
      <c r="Q484" s="23" t="s">
        <v>42</v>
      </c>
      <c r="R484" s="24">
        <f t="shared" si="64"/>
        <v>0</v>
      </c>
      <c r="S484" s="24">
        <f t="shared" si="59"/>
        <v>0</v>
      </c>
    </row>
    <row r="485" spans="1:19" s="19" customFormat="1">
      <c r="A485" s="59" t="s">
        <v>371</v>
      </c>
      <c r="B485" s="19" t="s">
        <v>25</v>
      </c>
      <c r="C485" s="20"/>
      <c r="D485" s="21" t="s">
        <v>42</v>
      </c>
      <c r="E485" s="26"/>
      <c r="F485" s="22">
        <v>1</v>
      </c>
      <c r="G485" s="23" t="s">
        <v>20</v>
      </c>
      <c r="H485" s="22">
        <v>144</v>
      </c>
      <c r="I485" s="23" t="s">
        <v>42</v>
      </c>
      <c r="J485" s="24">
        <v>13800</v>
      </c>
      <c r="K485" s="21" t="s">
        <v>42</v>
      </c>
      <c r="L485" s="25"/>
      <c r="M485" s="25">
        <v>0.17</v>
      </c>
      <c r="N485" s="22"/>
      <c r="O485" s="23" t="s">
        <v>42</v>
      </c>
      <c r="P485" s="20">
        <f t="shared" si="63"/>
        <v>0</v>
      </c>
      <c r="Q485" s="23" t="s">
        <v>42</v>
      </c>
      <c r="R485" s="24">
        <f t="shared" si="64"/>
        <v>0</v>
      </c>
      <c r="S485" s="24">
        <f t="shared" si="59"/>
        <v>0</v>
      </c>
    </row>
    <row r="486" spans="1:19" s="19" customFormat="1">
      <c r="A486" s="59" t="s">
        <v>372</v>
      </c>
      <c r="B486" s="19" t="s">
        <v>25</v>
      </c>
      <c r="C486" s="20"/>
      <c r="D486" s="21" t="s">
        <v>42</v>
      </c>
      <c r="E486" s="26"/>
      <c r="F486" s="22">
        <v>1</v>
      </c>
      <c r="G486" s="23" t="s">
        <v>20</v>
      </c>
      <c r="H486" s="22">
        <v>144</v>
      </c>
      <c r="I486" s="23" t="s">
        <v>42</v>
      </c>
      <c r="J486" s="24">
        <f>1987200/144</f>
        <v>13800</v>
      </c>
      <c r="K486" s="21" t="s">
        <v>42</v>
      </c>
      <c r="L486" s="25"/>
      <c r="M486" s="25">
        <v>0.17</v>
      </c>
      <c r="N486" s="22"/>
      <c r="O486" s="23" t="s">
        <v>42</v>
      </c>
      <c r="P486" s="20">
        <f t="shared" si="63"/>
        <v>0</v>
      </c>
      <c r="Q486" s="23" t="s">
        <v>42</v>
      </c>
      <c r="R486" s="24">
        <f t="shared" si="64"/>
        <v>0</v>
      </c>
      <c r="S486" s="24">
        <f t="shared" si="59"/>
        <v>0</v>
      </c>
    </row>
    <row r="487" spans="1:19" s="19" customFormat="1">
      <c r="A487" s="59" t="s">
        <v>373</v>
      </c>
      <c r="B487" s="19" t="s">
        <v>25</v>
      </c>
      <c r="C487" s="20"/>
      <c r="D487" s="21" t="s">
        <v>42</v>
      </c>
      <c r="E487" s="26"/>
      <c r="F487" s="22">
        <v>1</v>
      </c>
      <c r="G487" s="23" t="s">
        <v>20</v>
      </c>
      <c r="H487" s="22">
        <v>144</v>
      </c>
      <c r="I487" s="23" t="s">
        <v>42</v>
      </c>
      <c r="J487" s="24">
        <f>2073600/12/12</f>
        <v>14400</v>
      </c>
      <c r="K487" s="21" t="s">
        <v>42</v>
      </c>
      <c r="L487" s="25"/>
      <c r="M487" s="25">
        <v>0.17</v>
      </c>
      <c r="N487" s="22"/>
      <c r="O487" s="23" t="s">
        <v>42</v>
      </c>
      <c r="P487" s="20">
        <f t="shared" si="63"/>
        <v>0</v>
      </c>
      <c r="Q487" s="23" t="s">
        <v>42</v>
      </c>
      <c r="R487" s="24">
        <f t="shared" si="64"/>
        <v>0</v>
      </c>
      <c r="S487" s="24">
        <f t="shared" si="59"/>
        <v>0</v>
      </c>
    </row>
    <row r="488" spans="1:19" s="19" customFormat="1">
      <c r="A488" s="59"/>
      <c r="C488" s="20"/>
      <c r="D488" s="21"/>
      <c r="E488" s="26"/>
      <c r="F488" s="22"/>
      <c r="G488" s="23"/>
      <c r="H488" s="22"/>
      <c r="I488" s="23"/>
      <c r="J488" s="24"/>
      <c r="K488" s="21"/>
      <c r="L488" s="25"/>
      <c r="M488" s="25"/>
      <c r="N488" s="22"/>
      <c r="O488" s="23"/>
      <c r="P488" s="20"/>
      <c r="Q488" s="23"/>
      <c r="R488" s="24"/>
      <c r="S488" s="24"/>
    </row>
    <row r="489" spans="1:19" s="19" customFormat="1">
      <c r="A489" s="88" t="s">
        <v>374</v>
      </c>
      <c r="C489" s="20"/>
      <c r="D489" s="21"/>
      <c r="E489" s="26"/>
      <c r="F489" s="22"/>
      <c r="G489" s="23"/>
      <c r="H489" s="22"/>
      <c r="I489" s="23"/>
      <c r="J489" s="24"/>
      <c r="K489" s="21"/>
      <c r="L489" s="25"/>
      <c r="M489" s="25"/>
      <c r="N489" s="22"/>
      <c r="O489" s="23"/>
      <c r="P489" s="20"/>
      <c r="Q489" s="23"/>
      <c r="R489" s="24"/>
      <c r="S489" s="24"/>
    </row>
    <row r="490" spans="1:19" s="19" customFormat="1">
      <c r="A490" s="18" t="s">
        <v>375</v>
      </c>
      <c r="B490" s="19" t="s">
        <v>188</v>
      </c>
      <c r="C490" s="20"/>
      <c r="D490" s="21" t="s">
        <v>42</v>
      </c>
      <c r="E490" s="26"/>
      <c r="F490" s="22">
        <v>1</v>
      </c>
      <c r="G490" s="23" t="s">
        <v>20</v>
      </c>
      <c r="H490" s="22">
        <v>240</v>
      </c>
      <c r="I490" s="23" t="s">
        <v>42</v>
      </c>
      <c r="J490" s="24">
        <v>10000</v>
      </c>
      <c r="K490" s="21" t="s">
        <v>42</v>
      </c>
      <c r="L490" s="25"/>
      <c r="M490" s="25"/>
      <c r="N490" s="22"/>
      <c r="O490" s="23" t="s">
        <v>42</v>
      </c>
      <c r="P490" s="20">
        <f>(C490+(E490*F490*H490))-N490</f>
        <v>0</v>
      </c>
      <c r="Q490" s="23" t="s">
        <v>42</v>
      </c>
      <c r="R490" s="24">
        <f>P490*(J490-(J490*L490)-((J490-(J490*L490))*M490))</f>
        <v>0</v>
      </c>
      <c r="S490" s="24">
        <f t="shared" si="59"/>
        <v>0</v>
      </c>
    </row>
    <row r="491" spans="1:19" s="19" customFormat="1">
      <c r="A491" s="18" t="s">
        <v>376</v>
      </c>
      <c r="B491" s="19" t="s">
        <v>188</v>
      </c>
      <c r="C491" s="20"/>
      <c r="D491" s="21" t="s">
        <v>42</v>
      </c>
      <c r="E491" s="26"/>
      <c r="F491" s="22">
        <v>1</v>
      </c>
      <c r="G491" s="23" t="s">
        <v>20</v>
      </c>
      <c r="H491" s="22">
        <v>240</v>
      </c>
      <c r="I491" s="23" t="s">
        <v>42</v>
      </c>
      <c r="J491" s="24">
        <v>10000</v>
      </c>
      <c r="K491" s="21" t="s">
        <v>42</v>
      </c>
      <c r="L491" s="25"/>
      <c r="M491" s="25"/>
      <c r="N491" s="22"/>
      <c r="O491" s="23" t="s">
        <v>42</v>
      </c>
      <c r="P491" s="20">
        <f>(C491+(E491*F491*H491))-N491</f>
        <v>0</v>
      </c>
      <c r="Q491" s="23" t="s">
        <v>42</v>
      </c>
      <c r="R491" s="24">
        <f>P491*(J491-(J491*L491)-((J491-(J491*L491))*M491))</f>
        <v>0</v>
      </c>
      <c r="S491" s="24">
        <f t="shared" si="59"/>
        <v>0</v>
      </c>
    </row>
    <row r="492" spans="1:19" s="19" customFormat="1">
      <c r="A492" s="18" t="s">
        <v>377</v>
      </c>
      <c r="B492" s="19" t="s">
        <v>188</v>
      </c>
      <c r="C492" s="20"/>
      <c r="D492" s="21" t="s">
        <v>42</v>
      </c>
      <c r="E492" s="26"/>
      <c r="F492" s="22">
        <v>1</v>
      </c>
      <c r="G492" s="23" t="s">
        <v>20</v>
      </c>
      <c r="H492" s="22">
        <v>240</v>
      </c>
      <c r="I492" s="23" t="s">
        <v>42</v>
      </c>
      <c r="J492" s="24">
        <v>10000</v>
      </c>
      <c r="K492" s="21" t="s">
        <v>42</v>
      </c>
      <c r="L492" s="25"/>
      <c r="M492" s="25"/>
      <c r="N492" s="22"/>
      <c r="O492" s="23" t="s">
        <v>42</v>
      </c>
      <c r="P492" s="20">
        <f>(C492+(E492*F492*H492))-N492</f>
        <v>0</v>
      </c>
      <c r="Q492" s="23" t="s">
        <v>42</v>
      </c>
      <c r="R492" s="24">
        <f>P492*(J492-(J492*L492)-((J492-(J492*L492))*M492))</f>
        <v>0</v>
      </c>
      <c r="S492" s="24">
        <f t="shared" si="59"/>
        <v>0</v>
      </c>
    </row>
    <row r="493" spans="1:19" s="19" customFormat="1">
      <c r="A493" s="18" t="s">
        <v>378</v>
      </c>
      <c r="B493" s="19" t="s">
        <v>188</v>
      </c>
      <c r="C493" s="20"/>
      <c r="D493" s="21" t="s">
        <v>42</v>
      </c>
      <c r="E493" s="26"/>
      <c r="F493" s="22">
        <v>1</v>
      </c>
      <c r="G493" s="23" t="s">
        <v>20</v>
      </c>
      <c r="H493" s="22">
        <v>240</v>
      </c>
      <c r="I493" s="23" t="s">
        <v>42</v>
      </c>
      <c r="J493" s="24">
        <v>10000</v>
      </c>
      <c r="K493" s="21" t="s">
        <v>42</v>
      </c>
      <c r="L493" s="25"/>
      <c r="M493" s="25"/>
      <c r="N493" s="22"/>
      <c r="O493" s="23" t="s">
        <v>42</v>
      </c>
      <c r="P493" s="20">
        <f>(C493+(E493*F493*H493))-N493</f>
        <v>0</v>
      </c>
      <c r="Q493" s="23" t="s">
        <v>42</v>
      </c>
      <c r="R493" s="24">
        <f>P493*(J493-(J493*L493)-((J493-(J493*L493))*M493))</f>
        <v>0</v>
      </c>
      <c r="S493" s="24">
        <f t="shared" si="59"/>
        <v>0</v>
      </c>
    </row>
    <row r="494" spans="1:19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>
      <c r="A495" s="18" t="s">
        <v>408</v>
      </c>
      <c r="B495" s="19" t="s">
        <v>267</v>
      </c>
      <c r="C495" s="20"/>
      <c r="D495" s="21" t="s">
        <v>42</v>
      </c>
      <c r="E495" s="26"/>
      <c r="F495" s="22">
        <v>1</v>
      </c>
      <c r="G495" s="23" t="s">
        <v>20</v>
      </c>
      <c r="H495" s="22">
        <v>120</v>
      </c>
      <c r="I495" s="23" t="s">
        <v>42</v>
      </c>
      <c r="J495" s="24">
        <v>25500</v>
      </c>
      <c r="K495" s="21" t="s">
        <v>42</v>
      </c>
      <c r="L495" s="25"/>
      <c r="M495" s="25"/>
      <c r="N495" s="22"/>
      <c r="O495" s="23" t="s">
        <v>42</v>
      </c>
      <c r="P495" s="20">
        <f>(C495+(E495*F495*H495))-N495</f>
        <v>0</v>
      </c>
      <c r="Q495" s="23" t="s">
        <v>42</v>
      </c>
      <c r="R495" s="24">
        <f>P495*(J495-(J495*L495)-((J495-(J495*L495))*M495))</f>
        <v>0</v>
      </c>
      <c r="S495" s="24">
        <f>R495/1.11</f>
        <v>0</v>
      </c>
    </row>
    <row r="496" spans="1:19" s="19" customFormat="1">
      <c r="A496" s="18" t="s">
        <v>774</v>
      </c>
      <c r="B496" s="19" t="s">
        <v>267</v>
      </c>
      <c r="C496" s="20"/>
      <c r="D496" s="21" t="s">
        <v>42</v>
      </c>
      <c r="E496" s="26"/>
      <c r="F496" s="22">
        <v>1</v>
      </c>
      <c r="G496" s="23" t="s">
        <v>20</v>
      </c>
      <c r="H496" s="22">
        <v>120</v>
      </c>
      <c r="I496" s="23" t="s">
        <v>42</v>
      </c>
      <c r="J496" s="24">
        <v>19000</v>
      </c>
      <c r="K496" s="21" t="s">
        <v>42</v>
      </c>
      <c r="L496" s="25"/>
      <c r="M496" s="25"/>
      <c r="N496" s="22"/>
      <c r="O496" s="23" t="s">
        <v>42</v>
      </c>
      <c r="P496" s="20">
        <f>(C496+(E496*F496*H496))-N496</f>
        <v>0</v>
      </c>
      <c r="Q496" s="23" t="s">
        <v>42</v>
      </c>
      <c r="R496" s="24">
        <f>P496*(J496-(J496*L496)-((J496-(J496*L496))*M496))</f>
        <v>0</v>
      </c>
      <c r="S496" s="24">
        <f t="shared" ref="S496" si="65">R496/1.11</f>
        <v>0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>
      <c r="A498" s="18" t="s">
        <v>379</v>
      </c>
      <c r="B498" s="19" t="s">
        <v>18</v>
      </c>
      <c r="C498" s="20"/>
      <c r="D498" s="21" t="s">
        <v>42</v>
      </c>
      <c r="E498" s="26"/>
      <c r="F498" s="22">
        <v>1</v>
      </c>
      <c r="G498" s="23" t="s">
        <v>20</v>
      </c>
      <c r="H498" s="22">
        <v>144</v>
      </c>
      <c r="I498" s="23" t="s">
        <v>42</v>
      </c>
      <c r="J498" s="24">
        <v>19800</v>
      </c>
      <c r="K498" s="21" t="s">
        <v>42</v>
      </c>
      <c r="L498" s="25">
        <v>0.125</v>
      </c>
      <c r="M498" s="25">
        <v>0.05</v>
      </c>
      <c r="N498" s="22"/>
      <c r="O498" s="23" t="s">
        <v>42</v>
      </c>
      <c r="P498" s="20">
        <f t="shared" ref="P498:P513" si="66">(C498+(E498*F498*H498))-N498</f>
        <v>0</v>
      </c>
      <c r="Q498" s="23" t="s">
        <v>42</v>
      </c>
      <c r="R498" s="24">
        <f t="shared" ref="R498:R513" si="67">P498*(J498-(J498*L498)-((J498-(J498*L498))*M498))</f>
        <v>0</v>
      </c>
      <c r="S498" s="24">
        <f t="shared" si="59"/>
        <v>0</v>
      </c>
    </row>
    <row r="499" spans="1:19" s="19" customFormat="1">
      <c r="A499" s="18" t="s">
        <v>380</v>
      </c>
      <c r="B499" s="19" t="s">
        <v>18</v>
      </c>
      <c r="C499" s="20"/>
      <c r="D499" s="21" t="s">
        <v>42</v>
      </c>
      <c r="E499" s="26"/>
      <c r="F499" s="22">
        <v>1</v>
      </c>
      <c r="G499" s="23" t="s">
        <v>20</v>
      </c>
      <c r="H499" s="22">
        <v>144</v>
      </c>
      <c r="I499" s="23" t="s">
        <v>42</v>
      </c>
      <c r="J499" s="24">
        <v>20400</v>
      </c>
      <c r="K499" s="21" t="s">
        <v>42</v>
      </c>
      <c r="L499" s="25">
        <v>0.125</v>
      </c>
      <c r="M499" s="25">
        <v>0.05</v>
      </c>
      <c r="N499" s="22"/>
      <c r="O499" s="23" t="s">
        <v>42</v>
      </c>
      <c r="P499" s="20">
        <f t="shared" si="66"/>
        <v>0</v>
      </c>
      <c r="Q499" s="23" t="s">
        <v>42</v>
      </c>
      <c r="R499" s="24">
        <f t="shared" si="67"/>
        <v>0</v>
      </c>
      <c r="S499" s="24">
        <f t="shared" si="59"/>
        <v>0</v>
      </c>
    </row>
    <row r="500" spans="1:19" s="19" customFormat="1">
      <c r="A500" s="59" t="s">
        <v>667</v>
      </c>
      <c r="B500" s="19" t="s">
        <v>18</v>
      </c>
      <c r="C500" s="20"/>
      <c r="D500" s="21" t="s">
        <v>42</v>
      </c>
      <c r="E500" s="26"/>
      <c r="F500" s="22">
        <v>1</v>
      </c>
      <c r="G500" s="23" t="s">
        <v>20</v>
      </c>
      <c r="H500" s="22">
        <v>144</v>
      </c>
      <c r="I500" s="23" t="s">
        <v>42</v>
      </c>
      <c r="J500" s="24">
        <v>69600</v>
      </c>
      <c r="K500" s="21" t="s">
        <v>42</v>
      </c>
      <c r="L500" s="25">
        <v>0.125</v>
      </c>
      <c r="M500" s="25">
        <v>0.05</v>
      </c>
      <c r="N500" s="22"/>
      <c r="O500" s="23" t="s">
        <v>42</v>
      </c>
      <c r="P500" s="20">
        <f t="shared" si="66"/>
        <v>0</v>
      </c>
      <c r="Q500" s="23" t="s">
        <v>42</v>
      </c>
      <c r="R500" s="24">
        <f t="shared" si="67"/>
        <v>0</v>
      </c>
      <c r="S500" s="24">
        <f t="shared" si="59"/>
        <v>0</v>
      </c>
    </row>
    <row r="501" spans="1:19" s="19" customFormat="1">
      <c r="A501" s="59" t="s">
        <v>822</v>
      </c>
      <c r="B501" s="19" t="s">
        <v>18</v>
      </c>
      <c r="C501" s="20"/>
      <c r="D501" s="21" t="s">
        <v>42</v>
      </c>
      <c r="E501" s="26"/>
      <c r="F501" s="22">
        <v>1</v>
      </c>
      <c r="G501" s="23" t="s">
        <v>20</v>
      </c>
      <c r="H501" s="22">
        <v>144</v>
      </c>
      <c r="I501" s="23" t="s">
        <v>42</v>
      </c>
      <c r="J501" s="24">
        <v>32400</v>
      </c>
      <c r="K501" s="21" t="s">
        <v>42</v>
      </c>
      <c r="L501" s="25">
        <v>0.125</v>
      </c>
      <c r="M501" s="25">
        <v>0.05</v>
      </c>
      <c r="N501" s="22"/>
      <c r="O501" s="23" t="s">
        <v>42</v>
      </c>
      <c r="P501" s="20">
        <f t="shared" si="66"/>
        <v>0</v>
      </c>
      <c r="Q501" s="23" t="s">
        <v>42</v>
      </c>
      <c r="R501" s="24">
        <f t="shared" si="67"/>
        <v>0</v>
      </c>
      <c r="S501" s="24">
        <f t="shared" si="59"/>
        <v>0</v>
      </c>
    </row>
    <row r="502" spans="1:19" s="19" customFormat="1">
      <c r="A502" s="59" t="s">
        <v>381</v>
      </c>
      <c r="B502" s="19" t="s">
        <v>18</v>
      </c>
      <c r="C502" s="20"/>
      <c r="D502" s="21" t="s">
        <v>42</v>
      </c>
      <c r="E502" s="26"/>
      <c r="F502" s="22">
        <v>1</v>
      </c>
      <c r="G502" s="23" t="s">
        <v>20</v>
      </c>
      <c r="H502" s="22">
        <v>144</v>
      </c>
      <c r="I502" s="23" t="s">
        <v>42</v>
      </c>
      <c r="J502" s="24">
        <v>27000</v>
      </c>
      <c r="K502" s="21" t="s">
        <v>42</v>
      </c>
      <c r="L502" s="25">
        <v>0.125</v>
      </c>
      <c r="M502" s="25">
        <v>0.05</v>
      </c>
      <c r="N502" s="22"/>
      <c r="O502" s="23" t="s">
        <v>42</v>
      </c>
      <c r="P502" s="20">
        <f t="shared" si="66"/>
        <v>0</v>
      </c>
      <c r="Q502" s="23" t="s">
        <v>42</v>
      </c>
      <c r="R502" s="24">
        <f t="shared" si="67"/>
        <v>0</v>
      </c>
      <c r="S502" s="24">
        <f t="shared" si="59"/>
        <v>0</v>
      </c>
    </row>
    <row r="503" spans="1:19" s="19" customFormat="1">
      <c r="A503" s="59" t="s">
        <v>723</v>
      </c>
      <c r="B503" s="19" t="s">
        <v>18</v>
      </c>
      <c r="C503" s="20"/>
      <c r="D503" s="21" t="s">
        <v>42</v>
      </c>
      <c r="E503" s="26"/>
      <c r="F503" s="22">
        <v>1</v>
      </c>
      <c r="G503" s="23" t="s">
        <v>20</v>
      </c>
      <c r="H503" s="22">
        <v>144</v>
      </c>
      <c r="I503" s="23" t="s">
        <v>42</v>
      </c>
      <c r="J503" s="24">
        <v>21600</v>
      </c>
      <c r="K503" s="21" t="s">
        <v>42</v>
      </c>
      <c r="L503" s="25">
        <v>0.125</v>
      </c>
      <c r="M503" s="25">
        <v>0.05</v>
      </c>
      <c r="N503" s="22"/>
      <c r="O503" s="23" t="s">
        <v>42</v>
      </c>
      <c r="P503" s="20">
        <f t="shared" si="66"/>
        <v>0</v>
      </c>
      <c r="Q503" s="23" t="s">
        <v>42</v>
      </c>
      <c r="R503" s="24">
        <f t="shared" si="67"/>
        <v>0</v>
      </c>
      <c r="S503" s="24">
        <f t="shared" ref="S503:S576" si="68">R503/1.11</f>
        <v>0</v>
      </c>
    </row>
    <row r="504" spans="1:19" s="19" customFormat="1">
      <c r="A504" s="59" t="s">
        <v>382</v>
      </c>
      <c r="B504" s="19" t="s">
        <v>18</v>
      </c>
      <c r="C504" s="20"/>
      <c r="D504" s="21" t="s">
        <v>42</v>
      </c>
      <c r="E504" s="26"/>
      <c r="F504" s="22">
        <v>1</v>
      </c>
      <c r="G504" s="23" t="s">
        <v>20</v>
      </c>
      <c r="H504" s="22">
        <v>144</v>
      </c>
      <c r="I504" s="23" t="s">
        <v>42</v>
      </c>
      <c r="J504" s="24">
        <v>43200</v>
      </c>
      <c r="K504" s="21" t="s">
        <v>42</v>
      </c>
      <c r="L504" s="25">
        <v>0.125</v>
      </c>
      <c r="M504" s="25">
        <v>0.05</v>
      </c>
      <c r="N504" s="22"/>
      <c r="O504" s="23" t="s">
        <v>42</v>
      </c>
      <c r="P504" s="20">
        <f t="shared" si="66"/>
        <v>0</v>
      </c>
      <c r="Q504" s="23" t="s">
        <v>42</v>
      </c>
      <c r="R504" s="24">
        <f t="shared" si="67"/>
        <v>0</v>
      </c>
      <c r="S504" s="24">
        <f t="shared" si="68"/>
        <v>0</v>
      </c>
    </row>
    <row r="505" spans="1:19" s="19" customFormat="1">
      <c r="A505" s="59" t="s">
        <v>383</v>
      </c>
      <c r="B505" s="19" t="s">
        <v>18</v>
      </c>
      <c r="C505" s="20"/>
      <c r="D505" s="21" t="s">
        <v>42</v>
      </c>
      <c r="E505" s="26"/>
      <c r="F505" s="22">
        <v>1</v>
      </c>
      <c r="G505" s="23" t="s">
        <v>20</v>
      </c>
      <c r="H505" s="22">
        <v>144</v>
      </c>
      <c r="I505" s="23" t="s">
        <v>42</v>
      </c>
      <c r="J505" s="24">
        <v>22800</v>
      </c>
      <c r="K505" s="21" t="s">
        <v>42</v>
      </c>
      <c r="L505" s="25">
        <v>0.125</v>
      </c>
      <c r="M505" s="25">
        <v>0.05</v>
      </c>
      <c r="N505" s="22"/>
      <c r="O505" s="23" t="s">
        <v>42</v>
      </c>
      <c r="P505" s="20">
        <f t="shared" si="66"/>
        <v>0</v>
      </c>
      <c r="Q505" s="23" t="s">
        <v>42</v>
      </c>
      <c r="R505" s="24">
        <f t="shared" si="67"/>
        <v>0</v>
      </c>
      <c r="S505" s="24">
        <f t="shared" si="68"/>
        <v>0</v>
      </c>
    </row>
    <row r="506" spans="1:19" s="19" customFormat="1">
      <c r="A506" s="67" t="s">
        <v>384</v>
      </c>
      <c r="B506" s="32" t="s">
        <v>18</v>
      </c>
      <c r="C506" s="33"/>
      <c r="D506" s="34" t="s">
        <v>42</v>
      </c>
      <c r="E506" s="35"/>
      <c r="F506" s="36">
        <v>1</v>
      </c>
      <c r="G506" s="37" t="s">
        <v>20</v>
      </c>
      <c r="H506" s="36">
        <v>144</v>
      </c>
      <c r="I506" s="37" t="s">
        <v>42</v>
      </c>
      <c r="J506" s="38">
        <v>26400</v>
      </c>
      <c r="K506" s="34" t="s">
        <v>42</v>
      </c>
      <c r="L506" s="39">
        <v>0.125</v>
      </c>
      <c r="M506" s="39">
        <v>0.05</v>
      </c>
      <c r="N506" s="36"/>
      <c r="O506" s="70" t="s">
        <v>42</v>
      </c>
      <c r="P506" s="33">
        <f t="shared" si="66"/>
        <v>0</v>
      </c>
      <c r="Q506" s="37" t="s">
        <v>42</v>
      </c>
      <c r="R506" s="38">
        <f t="shared" si="67"/>
        <v>0</v>
      </c>
      <c r="S506" s="38">
        <f t="shared" si="68"/>
        <v>0</v>
      </c>
    </row>
    <row r="507" spans="1:19" s="19" customFormat="1">
      <c r="A507" s="67" t="s">
        <v>839</v>
      </c>
      <c r="B507" s="32" t="s">
        <v>18</v>
      </c>
      <c r="C507" s="33"/>
      <c r="D507" s="34" t="s">
        <v>42</v>
      </c>
      <c r="E507" s="35"/>
      <c r="F507" s="36">
        <v>1</v>
      </c>
      <c r="G507" s="37" t="s">
        <v>20</v>
      </c>
      <c r="H507" s="36">
        <v>144</v>
      </c>
      <c r="I507" s="37" t="s">
        <v>42</v>
      </c>
      <c r="J507" s="38">
        <v>0</v>
      </c>
      <c r="K507" s="34" t="s">
        <v>42</v>
      </c>
      <c r="L507" s="39">
        <v>0</v>
      </c>
      <c r="M507" s="39">
        <v>0</v>
      </c>
      <c r="N507" s="36"/>
      <c r="O507" s="70" t="s">
        <v>42</v>
      </c>
      <c r="P507" s="33">
        <f t="shared" si="66"/>
        <v>0</v>
      </c>
      <c r="Q507" s="37" t="s">
        <v>42</v>
      </c>
      <c r="R507" s="38">
        <f t="shared" si="67"/>
        <v>0</v>
      </c>
      <c r="S507" s="38">
        <f t="shared" si="68"/>
        <v>0</v>
      </c>
    </row>
    <row r="508" spans="1:19" s="19" customFormat="1">
      <c r="A508" s="59" t="s">
        <v>385</v>
      </c>
      <c r="B508" s="19" t="s">
        <v>18</v>
      </c>
      <c r="C508" s="20"/>
      <c r="D508" s="21" t="s">
        <v>42</v>
      </c>
      <c r="E508" s="26"/>
      <c r="F508" s="22">
        <v>1</v>
      </c>
      <c r="G508" s="23" t="s">
        <v>20</v>
      </c>
      <c r="H508" s="22">
        <v>144</v>
      </c>
      <c r="I508" s="23" t="s">
        <v>42</v>
      </c>
      <c r="J508" s="24">
        <v>27600</v>
      </c>
      <c r="K508" s="21" t="s">
        <v>42</v>
      </c>
      <c r="L508" s="25">
        <v>0.125</v>
      </c>
      <c r="M508" s="25">
        <v>0.05</v>
      </c>
      <c r="N508" s="22"/>
      <c r="O508" s="23" t="s">
        <v>42</v>
      </c>
      <c r="P508" s="20">
        <f t="shared" si="66"/>
        <v>0</v>
      </c>
      <c r="Q508" s="23" t="s">
        <v>42</v>
      </c>
      <c r="R508" s="24">
        <f t="shared" si="67"/>
        <v>0</v>
      </c>
      <c r="S508" s="24">
        <f t="shared" si="68"/>
        <v>0</v>
      </c>
    </row>
    <row r="509" spans="1:19">
      <c r="A509" s="59" t="s">
        <v>386</v>
      </c>
      <c r="B509" s="2" t="s">
        <v>18</v>
      </c>
      <c r="D509" s="4" t="s">
        <v>42</v>
      </c>
      <c r="F509" s="6">
        <v>1</v>
      </c>
      <c r="G509" s="7" t="s">
        <v>20</v>
      </c>
      <c r="H509" s="6">
        <v>144</v>
      </c>
      <c r="I509" s="7" t="s">
        <v>42</v>
      </c>
      <c r="J509" s="8">
        <v>25800</v>
      </c>
      <c r="K509" s="4" t="s">
        <v>42</v>
      </c>
      <c r="L509" s="9">
        <v>0.125</v>
      </c>
      <c r="M509" s="9">
        <v>0.05</v>
      </c>
      <c r="O509" s="7" t="s">
        <v>42</v>
      </c>
      <c r="P509" s="3">
        <f t="shared" si="66"/>
        <v>0</v>
      </c>
      <c r="Q509" s="7" t="s">
        <v>42</v>
      </c>
      <c r="R509" s="8">
        <f t="shared" si="67"/>
        <v>0</v>
      </c>
      <c r="S509" s="8">
        <f t="shared" si="68"/>
        <v>0</v>
      </c>
    </row>
    <row r="510" spans="1:19">
      <c r="A510" s="17" t="s">
        <v>387</v>
      </c>
      <c r="B510" s="2" t="s">
        <v>18</v>
      </c>
      <c r="D510" s="4" t="s">
        <v>42</v>
      </c>
      <c r="F510" s="6">
        <v>1</v>
      </c>
      <c r="G510" s="7" t="s">
        <v>20</v>
      </c>
      <c r="H510" s="6">
        <v>144</v>
      </c>
      <c r="I510" s="7" t="s">
        <v>42</v>
      </c>
      <c r="J510" s="8">
        <v>14100</v>
      </c>
      <c r="K510" s="4" t="s">
        <v>42</v>
      </c>
      <c r="L510" s="9">
        <v>0.125</v>
      </c>
      <c r="M510" s="9">
        <v>0.05</v>
      </c>
      <c r="O510" s="7" t="s">
        <v>42</v>
      </c>
      <c r="P510" s="3">
        <f t="shared" si="66"/>
        <v>0</v>
      </c>
      <c r="Q510" s="7" t="s">
        <v>42</v>
      </c>
      <c r="R510" s="8">
        <f t="shared" si="67"/>
        <v>0</v>
      </c>
      <c r="S510" s="8">
        <f t="shared" si="68"/>
        <v>0</v>
      </c>
    </row>
    <row r="511" spans="1:19">
      <c r="A511" s="17" t="s">
        <v>710</v>
      </c>
      <c r="B511" s="2" t="s">
        <v>18</v>
      </c>
      <c r="D511" s="4" t="s">
        <v>42</v>
      </c>
      <c r="F511" s="6">
        <v>1</v>
      </c>
      <c r="G511" s="7" t="s">
        <v>20</v>
      </c>
      <c r="H511" s="6">
        <v>144</v>
      </c>
      <c r="I511" s="7" t="s">
        <v>42</v>
      </c>
      <c r="J511" s="8">
        <v>25800</v>
      </c>
      <c r="K511" s="4" t="s">
        <v>42</v>
      </c>
      <c r="L511" s="9">
        <v>0.125</v>
      </c>
      <c r="M511" s="9">
        <v>0.05</v>
      </c>
      <c r="O511" s="7" t="s">
        <v>42</v>
      </c>
      <c r="P511" s="3">
        <f t="shared" si="66"/>
        <v>0</v>
      </c>
      <c r="Q511" s="7" t="s">
        <v>42</v>
      </c>
      <c r="R511" s="8">
        <f t="shared" si="67"/>
        <v>0</v>
      </c>
      <c r="S511" s="8">
        <f t="shared" si="68"/>
        <v>0</v>
      </c>
    </row>
    <row r="512" spans="1:19">
      <c r="A512" s="17" t="s">
        <v>388</v>
      </c>
      <c r="B512" s="2" t="s">
        <v>18</v>
      </c>
      <c r="D512" s="4" t="s">
        <v>42</v>
      </c>
      <c r="F512" s="6">
        <v>1</v>
      </c>
      <c r="G512" s="7" t="s">
        <v>20</v>
      </c>
      <c r="H512" s="6">
        <v>144</v>
      </c>
      <c r="I512" s="7" t="s">
        <v>42</v>
      </c>
      <c r="J512" s="8">
        <v>20400</v>
      </c>
      <c r="K512" s="4" t="s">
        <v>42</v>
      </c>
      <c r="L512" s="9">
        <v>0.125</v>
      </c>
      <c r="M512" s="9">
        <v>0.05</v>
      </c>
      <c r="O512" s="7" t="s">
        <v>42</v>
      </c>
      <c r="P512" s="3">
        <f t="shared" si="66"/>
        <v>0</v>
      </c>
      <c r="Q512" s="7" t="s">
        <v>42</v>
      </c>
      <c r="R512" s="8">
        <f t="shared" si="67"/>
        <v>0</v>
      </c>
      <c r="S512" s="8">
        <f t="shared" si="68"/>
        <v>0</v>
      </c>
    </row>
    <row r="513" spans="1:19">
      <c r="A513" s="17" t="s">
        <v>831</v>
      </c>
      <c r="B513" s="2" t="s">
        <v>18</v>
      </c>
      <c r="D513" s="4" t="s">
        <v>42</v>
      </c>
      <c r="F513" s="6">
        <v>1</v>
      </c>
      <c r="G513" s="7" t="s">
        <v>20</v>
      </c>
      <c r="H513" s="6">
        <v>144</v>
      </c>
      <c r="I513" s="7" t="s">
        <v>42</v>
      </c>
      <c r="J513" s="8">
        <v>17400</v>
      </c>
      <c r="K513" s="4" t="s">
        <v>42</v>
      </c>
      <c r="L513" s="9">
        <v>0.125</v>
      </c>
      <c r="M513" s="9">
        <v>0.1</v>
      </c>
      <c r="O513" s="7" t="s">
        <v>42</v>
      </c>
      <c r="P513" s="3">
        <f t="shared" si="66"/>
        <v>0</v>
      </c>
      <c r="Q513" s="7" t="s">
        <v>42</v>
      </c>
      <c r="R513" s="8">
        <f t="shared" si="67"/>
        <v>0</v>
      </c>
      <c r="S513" s="8">
        <f t="shared" si="68"/>
        <v>0</v>
      </c>
    </row>
    <row r="515" spans="1:19">
      <c r="A515" s="17" t="s">
        <v>389</v>
      </c>
      <c r="B515" s="2" t="s">
        <v>25</v>
      </c>
      <c r="C515" s="20"/>
      <c r="D515" s="4" t="s">
        <v>42</v>
      </c>
      <c r="F515" s="6">
        <v>1</v>
      </c>
      <c r="G515" s="7" t="s">
        <v>20</v>
      </c>
      <c r="H515" s="6">
        <v>144</v>
      </c>
      <c r="I515" s="7" t="s">
        <v>42</v>
      </c>
      <c r="J515" s="8">
        <v>25200</v>
      </c>
      <c r="K515" s="4" t="s">
        <v>42</v>
      </c>
      <c r="M515" s="9">
        <v>0.17</v>
      </c>
      <c r="O515" s="7" t="s">
        <v>42</v>
      </c>
      <c r="P515" s="3">
        <f t="shared" ref="P515:P539" si="69">(C515+(E515*F515*H515))-N515</f>
        <v>0</v>
      </c>
      <c r="Q515" s="7" t="s">
        <v>42</v>
      </c>
      <c r="R515" s="8">
        <f t="shared" ref="R515:R539" si="70">P515*(J515-(J515*L515)-((J515-(J515*L515))*M515))</f>
        <v>0</v>
      </c>
      <c r="S515" s="8">
        <f t="shared" si="68"/>
        <v>0</v>
      </c>
    </row>
    <row r="516" spans="1:19">
      <c r="A516" s="17" t="s">
        <v>683</v>
      </c>
      <c r="B516" s="2" t="s">
        <v>25</v>
      </c>
      <c r="D516" s="4" t="s">
        <v>42</v>
      </c>
      <c r="F516" s="6">
        <v>1</v>
      </c>
      <c r="G516" s="7" t="s">
        <v>20</v>
      </c>
      <c r="H516" s="6">
        <v>144</v>
      </c>
      <c r="I516" s="7" t="s">
        <v>42</v>
      </c>
      <c r="J516" s="8">
        <f>3758400/144</f>
        <v>26100</v>
      </c>
      <c r="K516" s="4" t="s">
        <v>42</v>
      </c>
      <c r="M516" s="9">
        <v>0.17</v>
      </c>
      <c r="O516" s="7" t="s">
        <v>42</v>
      </c>
      <c r="P516" s="3">
        <f t="shared" si="69"/>
        <v>0</v>
      </c>
      <c r="Q516" s="7" t="s">
        <v>42</v>
      </c>
      <c r="R516" s="8">
        <f t="shared" si="70"/>
        <v>0</v>
      </c>
      <c r="S516" s="8">
        <f t="shared" si="68"/>
        <v>0</v>
      </c>
    </row>
    <row r="517" spans="1:19">
      <c r="A517" s="17" t="s">
        <v>390</v>
      </c>
      <c r="B517" s="2" t="s">
        <v>25</v>
      </c>
      <c r="D517" s="4" t="s">
        <v>42</v>
      </c>
      <c r="F517" s="6">
        <v>1</v>
      </c>
      <c r="G517" s="7" t="s">
        <v>20</v>
      </c>
      <c r="H517" s="6">
        <v>144</v>
      </c>
      <c r="I517" s="7" t="s">
        <v>42</v>
      </c>
      <c r="J517" s="8">
        <f>3715200/144</f>
        <v>25800</v>
      </c>
      <c r="K517" s="4" t="s">
        <v>42</v>
      </c>
      <c r="M517" s="9">
        <v>0.17</v>
      </c>
      <c r="O517" s="7" t="s">
        <v>42</v>
      </c>
      <c r="P517" s="3">
        <f t="shared" si="69"/>
        <v>0</v>
      </c>
      <c r="Q517" s="7" t="s">
        <v>42</v>
      </c>
      <c r="R517" s="8">
        <f t="shared" si="70"/>
        <v>0</v>
      </c>
      <c r="S517" s="8">
        <f t="shared" si="68"/>
        <v>0</v>
      </c>
    </row>
    <row r="518" spans="1:19">
      <c r="A518" s="17" t="s">
        <v>401</v>
      </c>
      <c r="B518" s="2" t="s">
        <v>25</v>
      </c>
      <c r="C518" s="20"/>
      <c r="D518" s="4" t="s">
        <v>42</v>
      </c>
      <c r="F518" s="6">
        <v>1</v>
      </c>
      <c r="G518" s="7" t="s">
        <v>20</v>
      </c>
      <c r="H518" s="6">
        <v>144</v>
      </c>
      <c r="I518" s="7" t="s">
        <v>42</v>
      </c>
      <c r="J518" s="8">
        <v>25800</v>
      </c>
      <c r="K518" s="4" t="s">
        <v>42</v>
      </c>
      <c r="M518" s="9">
        <v>0.17</v>
      </c>
      <c r="O518" s="7" t="s">
        <v>42</v>
      </c>
      <c r="P518" s="3">
        <f t="shared" si="69"/>
        <v>0</v>
      </c>
      <c r="Q518" s="7" t="s">
        <v>42</v>
      </c>
      <c r="R518" s="8">
        <f t="shared" si="70"/>
        <v>0</v>
      </c>
      <c r="S518" s="8">
        <f>R518/1.11</f>
        <v>0</v>
      </c>
    </row>
    <row r="519" spans="1:19">
      <c r="A519" s="59" t="s">
        <v>811</v>
      </c>
      <c r="B519" s="2" t="s">
        <v>25</v>
      </c>
      <c r="D519" s="4" t="s">
        <v>42</v>
      </c>
      <c r="F519" s="6">
        <v>1</v>
      </c>
      <c r="G519" s="7" t="s">
        <v>20</v>
      </c>
      <c r="H519" s="6">
        <v>144</v>
      </c>
      <c r="I519" s="7" t="s">
        <v>42</v>
      </c>
      <c r="J519" s="8">
        <f>3628800/144</f>
        <v>25200</v>
      </c>
      <c r="K519" s="4" t="s">
        <v>42</v>
      </c>
      <c r="M519" s="9">
        <v>0.17</v>
      </c>
      <c r="O519" s="7" t="s">
        <v>42</v>
      </c>
      <c r="P519" s="3">
        <f t="shared" si="69"/>
        <v>0</v>
      </c>
      <c r="Q519" s="7" t="s">
        <v>42</v>
      </c>
      <c r="R519" s="8">
        <f t="shared" si="70"/>
        <v>0</v>
      </c>
      <c r="S519" s="8">
        <f t="shared" ref="S519" si="71">R519/1.11</f>
        <v>0</v>
      </c>
    </row>
    <row r="520" spans="1:19">
      <c r="A520" s="59" t="s">
        <v>391</v>
      </c>
      <c r="B520" s="2" t="s">
        <v>25</v>
      </c>
      <c r="D520" s="4" t="s">
        <v>42</v>
      </c>
      <c r="F520" s="6">
        <v>1</v>
      </c>
      <c r="G520" s="7" t="s">
        <v>20</v>
      </c>
      <c r="H520" s="6">
        <v>144</v>
      </c>
      <c r="I520" s="7" t="s">
        <v>42</v>
      </c>
      <c r="J520" s="8">
        <f>3758400/144</f>
        <v>26100</v>
      </c>
      <c r="K520" s="4" t="s">
        <v>42</v>
      </c>
      <c r="M520" s="9">
        <v>0.17</v>
      </c>
      <c r="O520" s="7" t="s">
        <v>42</v>
      </c>
      <c r="P520" s="3">
        <f t="shared" si="69"/>
        <v>0</v>
      </c>
      <c r="Q520" s="7" t="s">
        <v>42</v>
      </c>
      <c r="R520" s="8">
        <f t="shared" si="70"/>
        <v>0</v>
      </c>
      <c r="S520" s="8">
        <f t="shared" si="68"/>
        <v>0</v>
      </c>
    </row>
    <row r="521" spans="1:19">
      <c r="A521" s="59" t="s">
        <v>392</v>
      </c>
      <c r="B521" s="2" t="s">
        <v>25</v>
      </c>
      <c r="C521" s="20"/>
      <c r="D521" s="4" t="s">
        <v>42</v>
      </c>
      <c r="F521" s="6">
        <v>1</v>
      </c>
      <c r="G521" s="7" t="s">
        <v>20</v>
      </c>
      <c r="H521" s="6">
        <v>144</v>
      </c>
      <c r="I521" s="7" t="s">
        <v>42</v>
      </c>
      <c r="J521" s="8">
        <f>3628800/144</f>
        <v>25200</v>
      </c>
      <c r="K521" s="4" t="s">
        <v>42</v>
      </c>
      <c r="M521" s="9">
        <v>0.17</v>
      </c>
      <c r="O521" s="7" t="s">
        <v>42</v>
      </c>
      <c r="P521" s="3">
        <f t="shared" si="69"/>
        <v>0</v>
      </c>
      <c r="Q521" s="7" t="s">
        <v>42</v>
      </c>
      <c r="R521" s="8">
        <f t="shared" si="70"/>
        <v>0</v>
      </c>
      <c r="S521" s="8">
        <f t="shared" si="68"/>
        <v>0</v>
      </c>
    </row>
    <row r="522" spans="1:19">
      <c r="A522" s="59" t="s">
        <v>393</v>
      </c>
      <c r="B522" s="2" t="s">
        <v>25</v>
      </c>
      <c r="C522" s="20"/>
      <c r="D522" s="4" t="s">
        <v>42</v>
      </c>
      <c r="F522" s="6">
        <v>1</v>
      </c>
      <c r="G522" s="7" t="s">
        <v>20</v>
      </c>
      <c r="H522" s="6">
        <v>144</v>
      </c>
      <c r="I522" s="7" t="s">
        <v>42</v>
      </c>
      <c r="J522" s="8">
        <f>3628800/144</f>
        <v>25200</v>
      </c>
      <c r="K522" s="4" t="s">
        <v>42</v>
      </c>
      <c r="M522" s="9">
        <v>0.17</v>
      </c>
      <c r="O522" s="7" t="s">
        <v>42</v>
      </c>
      <c r="P522" s="3">
        <f t="shared" si="69"/>
        <v>0</v>
      </c>
      <c r="Q522" s="7" t="s">
        <v>42</v>
      </c>
      <c r="R522" s="8">
        <f t="shared" si="70"/>
        <v>0</v>
      </c>
      <c r="S522" s="8">
        <f t="shared" si="68"/>
        <v>0</v>
      </c>
    </row>
    <row r="523" spans="1:19" s="19" customFormat="1">
      <c r="A523" s="18" t="s">
        <v>394</v>
      </c>
      <c r="B523" s="19" t="s">
        <v>25</v>
      </c>
      <c r="C523" s="69"/>
      <c r="D523" s="21" t="s">
        <v>42</v>
      </c>
      <c r="E523" s="26"/>
      <c r="F523" s="22">
        <v>1</v>
      </c>
      <c r="G523" s="23" t="s">
        <v>20</v>
      </c>
      <c r="H523" s="22">
        <v>144</v>
      </c>
      <c r="I523" s="23" t="s">
        <v>42</v>
      </c>
      <c r="J523" s="24">
        <f>5616000/144</f>
        <v>39000</v>
      </c>
      <c r="K523" s="21" t="s">
        <v>42</v>
      </c>
      <c r="L523" s="25"/>
      <c r="M523" s="25">
        <v>0.17</v>
      </c>
      <c r="N523" s="22"/>
      <c r="O523" s="23" t="s">
        <v>42</v>
      </c>
      <c r="P523" s="20">
        <f t="shared" si="69"/>
        <v>0</v>
      </c>
      <c r="Q523" s="23" t="s">
        <v>42</v>
      </c>
      <c r="R523" s="24">
        <f t="shared" si="70"/>
        <v>0</v>
      </c>
      <c r="S523" s="24">
        <f t="shared" si="68"/>
        <v>0</v>
      </c>
    </row>
    <row r="524" spans="1:19">
      <c r="A524" s="17" t="s">
        <v>395</v>
      </c>
      <c r="B524" s="2" t="s">
        <v>25</v>
      </c>
      <c r="C524" s="20"/>
      <c r="D524" s="4" t="s">
        <v>42</v>
      </c>
      <c r="F524" s="6">
        <v>1</v>
      </c>
      <c r="G524" s="7" t="s">
        <v>20</v>
      </c>
      <c r="H524" s="6">
        <v>144</v>
      </c>
      <c r="I524" s="7" t="s">
        <v>42</v>
      </c>
      <c r="J524" s="8">
        <f>5356800/144</f>
        <v>37200</v>
      </c>
      <c r="K524" s="4" t="s">
        <v>42</v>
      </c>
      <c r="M524" s="9">
        <v>0.17</v>
      </c>
      <c r="O524" s="7" t="s">
        <v>42</v>
      </c>
      <c r="P524" s="3">
        <f t="shared" si="69"/>
        <v>0</v>
      </c>
      <c r="Q524" s="7" t="s">
        <v>42</v>
      </c>
      <c r="R524" s="8">
        <f t="shared" si="70"/>
        <v>0</v>
      </c>
      <c r="S524" s="8">
        <f t="shared" si="68"/>
        <v>0</v>
      </c>
    </row>
    <row r="525" spans="1:19" s="19" customFormat="1">
      <c r="A525" s="18" t="s">
        <v>396</v>
      </c>
      <c r="B525" s="19" t="s">
        <v>25</v>
      </c>
      <c r="C525" s="20"/>
      <c r="D525" s="21" t="s">
        <v>42</v>
      </c>
      <c r="E525" s="26"/>
      <c r="F525" s="22">
        <v>1</v>
      </c>
      <c r="G525" s="23" t="s">
        <v>20</v>
      </c>
      <c r="H525" s="22">
        <v>144</v>
      </c>
      <c r="I525" s="23" t="s">
        <v>42</v>
      </c>
      <c r="J525" s="24">
        <f>5356800/144</f>
        <v>37200</v>
      </c>
      <c r="K525" s="21" t="s">
        <v>42</v>
      </c>
      <c r="L525" s="25"/>
      <c r="M525" s="25">
        <v>0.17</v>
      </c>
      <c r="N525" s="22"/>
      <c r="O525" s="23" t="s">
        <v>42</v>
      </c>
      <c r="P525" s="20">
        <f t="shared" si="69"/>
        <v>0</v>
      </c>
      <c r="Q525" s="23" t="s">
        <v>42</v>
      </c>
      <c r="R525" s="24">
        <f t="shared" si="70"/>
        <v>0</v>
      </c>
      <c r="S525" s="24">
        <f t="shared" si="68"/>
        <v>0</v>
      </c>
    </row>
    <row r="526" spans="1:19" s="19" customFormat="1">
      <c r="A526" s="18" t="s">
        <v>778</v>
      </c>
      <c r="B526" s="19" t="s">
        <v>25</v>
      </c>
      <c r="C526" s="69"/>
      <c r="D526" s="21" t="s">
        <v>42</v>
      </c>
      <c r="E526" s="26"/>
      <c r="F526" s="22">
        <v>1</v>
      </c>
      <c r="G526" s="23" t="s">
        <v>20</v>
      </c>
      <c r="H526" s="22">
        <v>144</v>
      </c>
      <c r="I526" s="23" t="s">
        <v>42</v>
      </c>
      <c r="J526" s="24">
        <f>5702400/144</f>
        <v>39600</v>
      </c>
      <c r="K526" s="21" t="s">
        <v>42</v>
      </c>
      <c r="L526" s="25"/>
      <c r="M526" s="25">
        <v>0.17</v>
      </c>
      <c r="N526" s="22"/>
      <c r="O526" s="23" t="s">
        <v>42</v>
      </c>
      <c r="P526" s="20">
        <f t="shared" si="69"/>
        <v>0</v>
      </c>
      <c r="Q526" s="23" t="s">
        <v>42</v>
      </c>
      <c r="R526" s="24">
        <f t="shared" si="70"/>
        <v>0</v>
      </c>
      <c r="S526" s="24">
        <f t="shared" si="68"/>
        <v>0</v>
      </c>
    </row>
    <row r="527" spans="1:19" s="19" customFormat="1">
      <c r="A527" s="18" t="s">
        <v>779</v>
      </c>
      <c r="B527" s="19" t="s">
        <v>25</v>
      </c>
      <c r="C527" s="69"/>
      <c r="D527" s="21" t="s">
        <v>42</v>
      </c>
      <c r="E527" s="26"/>
      <c r="F527" s="22">
        <v>1</v>
      </c>
      <c r="G527" s="23" t="s">
        <v>20</v>
      </c>
      <c r="H527" s="22">
        <v>144</v>
      </c>
      <c r="I527" s="23" t="s">
        <v>42</v>
      </c>
      <c r="J527" s="24">
        <f>5702400/144</f>
        <v>39600</v>
      </c>
      <c r="K527" s="21" t="s">
        <v>42</v>
      </c>
      <c r="L527" s="25"/>
      <c r="M527" s="25">
        <v>0.17</v>
      </c>
      <c r="N527" s="22"/>
      <c r="O527" s="23" t="s">
        <v>42</v>
      </c>
      <c r="P527" s="20">
        <f t="shared" si="69"/>
        <v>0</v>
      </c>
      <c r="Q527" s="23" t="s">
        <v>42</v>
      </c>
      <c r="R527" s="24">
        <f t="shared" si="70"/>
        <v>0</v>
      </c>
      <c r="S527" s="24">
        <f t="shared" si="68"/>
        <v>0</v>
      </c>
    </row>
    <row r="528" spans="1:19" s="19" customFormat="1">
      <c r="A528" s="18" t="s">
        <v>397</v>
      </c>
      <c r="B528" s="19" t="s">
        <v>25</v>
      </c>
      <c r="C528" s="20"/>
      <c r="D528" s="21" t="s">
        <v>42</v>
      </c>
      <c r="E528" s="26"/>
      <c r="F528" s="22">
        <v>1</v>
      </c>
      <c r="G528" s="23" t="s">
        <v>20</v>
      </c>
      <c r="H528" s="22">
        <v>144</v>
      </c>
      <c r="I528" s="23" t="s">
        <v>42</v>
      </c>
      <c r="J528" s="24">
        <f>5702400/144</f>
        <v>39600</v>
      </c>
      <c r="K528" s="21" t="s">
        <v>42</v>
      </c>
      <c r="L528" s="25"/>
      <c r="M528" s="25">
        <v>0.17</v>
      </c>
      <c r="N528" s="22"/>
      <c r="O528" s="23" t="s">
        <v>42</v>
      </c>
      <c r="P528" s="20">
        <f t="shared" si="69"/>
        <v>0</v>
      </c>
      <c r="Q528" s="23" t="s">
        <v>42</v>
      </c>
      <c r="R528" s="24">
        <f t="shared" si="70"/>
        <v>0</v>
      </c>
      <c r="S528" s="24">
        <f t="shared" si="68"/>
        <v>0</v>
      </c>
    </row>
    <row r="529" spans="1:19">
      <c r="A529" s="17" t="s">
        <v>398</v>
      </c>
      <c r="B529" s="2" t="s">
        <v>25</v>
      </c>
      <c r="D529" s="4" t="s">
        <v>42</v>
      </c>
      <c r="F529" s="6">
        <v>1</v>
      </c>
      <c r="G529" s="7" t="s">
        <v>20</v>
      </c>
      <c r="H529" s="6">
        <v>144</v>
      </c>
      <c r="I529" s="7" t="s">
        <v>42</v>
      </c>
      <c r="J529" s="8">
        <f>2764800/144</f>
        <v>19200</v>
      </c>
      <c r="K529" s="4" t="s">
        <v>42</v>
      </c>
      <c r="M529" s="9">
        <v>0.17</v>
      </c>
      <c r="O529" s="7" t="s">
        <v>42</v>
      </c>
      <c r="P529" s="3">
        <f t="shared" si="69"/>
        <v>0</v>
      </c>
      <c r="Q529" s="7" t="s">
        <v>42</v>
      </c>
      <c r="R529" s="8">
        <f t="shared" si="70"/>
        <v>0</v>
      </c>
      <c r="S529" s="8">
        <f t="shared" si="68"/>
        <v>0</v>
      </c>
    </row>
    <row r="530" spans="1:19">
      <c r="A530" s="17" t="s">
        <v>399</v>
      </c>
      <c r="B530" s="2" t="s">
        <v>25</v>
      </c>
      <c r="D530" s="4" t="s">
        <v>42</v>
      </c>
      <c r="F530" s="6">
        <v>1</v>
      </c>
      <c r="G530" s="7" t="s">
        <v>20</v>
      </c>
      <c r="H530" s="6">
        <v>144</v>
      </c>
      <c r="I530" s="7" t="s">
        <v>42</v>
      </c>
      <c r="J530" s="8">
        <f>2764800/144</f>
        <v>19200</v>
      </c>
      <c r="K530" s="4" t="s">
        <v>42</v>
      </c>
      <c r="M530" s="9">
        <v>0.17</v>
      </c>
      <c r="O530" s="7" t="s">
        <v>42</v>
      </c>
      <c r="P530" s="3">
        <f t="shared" si="69"/>
        <v>0</v>
      </c>
      <c r="Q530" s="7" t="s">
        <v>42</v>
      </c>
      <c r="R530" s="8">
        <f t="shared" si="70"/>
        <v>0</v>
      </c>
      <c r="S530" s="8">
        <f t="shared" si="68"/>
        <v>0</v>
      </c>
    </row>
    <row r="531" spans="1:19">
      <c r="A531" s="17" t="s">
        <v>400</v>
      </c>
      <c r="B531" s="2" t="s">
        <v>25</v>
      </c>
      <c r="D531" s="4" t="s">
        <v>42</v>
      </c>
      <c r="F531" s="6">
        <v>1</v>
      </c>
      <c r="G531" s="7" t="s">
        <v>20</v>
      </c>
      <c r="H531" s="6">
        <v>144</v>
      </c>
      <c r="I531" s="7" t="s">
        <v>42</v>
      </c>
      <c r="J531" s="8">
        <v>23400</v>
      </c>
      <c r="K531" s="4" t="s">
        <v>42</v>
      </c>
      <c r="M531" s="9">
        <v>0.17</v>
      </c>
      <c r="O531" s="7" t="s">
        <v>42</v>
      </c>
      <c r="P531" s="3">
        <f t="shared" si="69"/>
        <v>0</v>
      </c>
      <c r="Q531" s="7" t="s">
        <v>42</v>
      </c>
      <c r="R531" s="8">
        <f t="shared" si="70"/>
        <v>0</v>
      </c>
      <c r="S531" s="8">
        <f t="shared" si="68"/>
        <v>0</v>
      </c>
    </row>
    <row r="532" spans="1:19" s="19" customFormat="1">
      <c r="A532" s="18" t="s">
        <v>402</v>
      </c>
      <c r="B532" s="19" t="s">
        <v>25</v>
      </c>
      <c r="C532" s="20"/>
      <c r="D532" s="21" t="s">
        <v>42</v>
      </c>
      <c r="E532" s="26"/>
      <c r="F532" s="22">
        <v>1</v>
      </c>
      <c r="G532" s="23" t="s">
        <v>20</v>
      </c>
      <c r="H532" s="22">
        <v>144</v>
      </c>
      <c r="I532" s="23" t="s">
        <v>42</v>
      </c>
      <c r="J532" s="24">
        <f>3542400/144</f>
        <v>24600</v>
      </c>
      <c r="K532" s="21" t="s">
        <v>42</v>
      </c>
      <c r="L532" s="25"/>
      <c r="M532" s="25">
        <v>0.17</v>
      </c>
      <c r="N532" s="22"/>
      <c r="O532" s="23" t="s">
        <v>42</v>
      </c>
      <c r="P532" s="20">
        <f t="shared" si="69"/>
        <v>0</v>
      </c>
      <c r="Q532" s="23" t="s">
        <v>42</v>
      </c>
      <c r="R532" s="24">
        <f t="shared" si="70"/>
        <v>0</v>
      </c>
      <c r="S532" s="24">
        <f t="shared" si="68"/>
        <v>0</v>
      </c>
    </row>
    <row r="533" spans="1:19" s="19" customFormat="1">
      <c r="A533" s="18" t="s">
        <v>403</v>
      </c>
      <c r="B533" s="19" t="s">
        <v>25</v>
      </c>
      <c r="C533" s="20"/>
      <c r="D533" s="21" t="s">
        <v>42</v>
      </c>
      <c r="E533" s="26"/>
      <c r="F533" s="22">
        <v>1</v>
      </c>
      <c r="G533" s="23" t="s">
        <v>20</v>
      </c>
      <c r="H533" s="22">
        <v>144</v>
      </c>
      <c r="I533" s="23" t="s">
        <v>42</v>
      </c>
      <c r="J533" s="24">
        <f>3110400/144</f>
        <v>21600</v>
      </c>
      <c r="K533" s="21" t="s">
        <v>42</v>
      </c>
      <c r="L533" s="25"/>
      <c r="M533" s="25">
        <v>0.17</v>
      </c>
      <c r="N533" s="22"/>
      <c r="O533" s="23" t="s">
        <v>42</v>
      </c>
      <c r="P533" s="20">
        <f t="shared" si="69"/>
        <v>0</v>
      </c>
      <c r="Q533" s="23" t="s">
        <v>42</v>
      </c>
      <c r="R533" s="24">
        <f t="shared" si="70"/>
        <v>0</v>
      </c>
      <c r="S533" s="24">
        <f t="shared" si="68"/>
        <v>0</v>
      </c>
    </row>
    <row r="534" spans="1:19" s="19" customFormat="1">
      <c r="A534" s="18" t="s">
        <v>813</v>
      </c>
      <c r="B534" s="19" t="s">
        <v>25</v>
      </c>
      <c r="C534" s="20"/>
      <c r="D534" s="21" t="s">
        <v>42</v>
      </c>
      <c r="E534" s="26"/>
      <c r="F534" s="22">
        <v>1</v>
      </c>
      <c r="G534" s="23" t="s">
        <v>20</v>
      </c>
      <c r="H534" s="22">
        <v>144</v>
      </c>
      <c r="I534" s="23" t="s">
        <v>42</v>
      </c>
      <c r="J534" s="24">
        <f>3456000/144</f>
        <v>24000</v>
      </c>
      <c r="K534" s="21" t="s">
        <v>42</v>
      </c>
      <c r="L534" s="25"/>
      <c r="M534" s="25">
        <v>0.17</v>
      </c>
      <c r="N534" s="22"/>
      <c r="O534" s="23" t="s">
        <v>42</v>
      </c>
      <c r="P534" s="20">
        <f t="shared" si="69"/>
        <v>0</v>
      </c>
      <c r="Q534" s="23" t="s">
        <v>42</v>
      </c>
      <c r="R534" s="24">
        <f t="shared" si="70"/>
        <v>0</v>
      </c>
      <c r="S534" s="24">
        <f t="shared" si="68"/>
        <v>0</v>
      </c>
    </row>
    <row r="535" spans="1:19" s="19" customFormat="1">
      <c r="A535" s="18" t="s">
        <v>404</v>
      </c>
      <c r="B535" s="19" t="s">
        <v>25</v>
      </c>
      <c r="C535" s="20"/>
      <c r="D535" s="21" t="s">
        <v>42</v>
      </c>
      <c r="E535" s="26"/>
      <c r="F535" s="22">
        <v>1</v>
      </c>
      <c r="G535" s="23" t="s">
        <v>20</v>
      </c>
      <c r="H535" s="22">
        <v>144</v>
      </c>
      <c r="I535" s="23" t="s">
        <v>42</v>
      </c>
      <c r="J535" s="24">
        <f>3758400/144</f>
        <v>26100</v>
      </c>
      <c r="K535" s="21" t="s">
        <v>42</v>
      </c>
      <c r="L535" s="25"/>
      <c r="M535" s="25">
        <v>0.17</v>
      </c>
      <c r="N535" s="22"/>
      <c r="O535" s="23" t="s">
        <v>42</v>
      </c>
      <c r="P535" s="20">
        <f t="shared" si="69"/>
        <v>0</v>
      </c>
      <c r="Q535" s="23" t="s">
        <v>42</v>
      </c>
      <c r="R535" s="24">
        <f t="shared" si="70"/>
        <v>0</v>
      </c>
      <c r="S535" s="24">
        <f t="shared" si="68"/>
        <v>0</v>
      </c>
    </row>
    <row r="536" spans="1:19" s="19" customFormat="1">
      <c r="A536" s="18" t="s">
        <v>718</v>
      </c>
      <c r="B536" s="19" t="s">
        <v>25</v>
      </c>
      <c r="C536" s="20"/>
      <c r="D536" s="21" t="s">
        <v>42</v>
      </c>
      <c r="E536" s="26"/>
      <c r="F536" s="22">
        <v>1</v>
      </c>
      <c r="G536" s="23" t="s">
        <v>20</v>
      </c>
      <c r="H536" s="22">
        <v>144</v>
      </c>
      <c r="I536" s="23" t="s">
        <v>42</v>
      </c>
      <c r="J536" s="24">
        <f>5616000/144</f>
        <v>39000</v>
      </c>
      <c r="K536" s="21" t="s">
        <v>42</v>
      </c>
      <c r="L536" s="25"/>
      <c r="M536" s="25">
        <v>0.17</v>
      </c>
      <c r="N536" s="22"/>
      <c r="O536" s="23" t="s">
        <v>42</v>
      </c>
      <c r="P536" s="20">
        <f t="shared" si="69"/>
        <v>0</v>
      </c>
      <c r="Q536" s="23" t="s">
        <v>42</v>
      </c>
      <c r="R536" s="24">
        <f t="shared" si="70"/>
        <v>0</v>
      </c>
      <c r="S536" s="24">
        <f t="shared" si="68"/>
        <v>0</v>
      </c>
    </row>
    <row r="537" spans="1:19" s="19" customFormat="1">
      <c r="A537" s="18" t="s">
        <v>405</v>
      </c>
      <c r="B537" s="19" t="s">
        <v>25</v>
      </c>
      <c r="C537" s="20"/>
      <c r="D537" s="21" t="s">
        <v>42</v>
      </c>
      <c r="E537" s="26"/>
      <c r="F537" s="22">
        <v>1</v>
      </c>
      <c r="G537" s="23" t="s">
        <v>20</v>
      </c>
      <c r="H537" s="22">
        <v>144</v>
      </c>
      <c r="I537" s="23" t="s">
        <v>42</v>
      </c>
      <c r="J537" s="24">
        <f>5270400/144</f>
        <v>36600</v>
      </c>
      <c r="K537" s="21" t="s">
        <v>42</v>
      </c>
      <c r="L537" s="25"/>
      <c r="M537" s="25">
        <v>0.17</v>
      </c>
      <c r="N537" s="22"/>
      <c r="O537" s="23" t="s">
        <v>42</v>
      </c>
      <c r="P537" s="20">
        <f t="shared" si="69"/>
        <v>0</v>
      </c>
      <c r="Q537" s="23" t="s">
        <v>42</v>
      </c>
      <c r="R537" s="24">
        <f t="shared" si="70"/>
        <v>0</v>
      </c>
      <c r="S537" s="24">
        <f t="shared" si="68"/>
        <v>0</v>
      </c>
    </row>
    <row r="538" spans="1:19" s="19" customFormat="1">
      <c r="A538" s="18" t="s">
        <v>406</v>
      </c>
      <c r="B538" s="19" t="s">
        <v>25</v>
      </c>
      <c r="C538" s="20"/>
      <c r="D538" s="21" t="s">
        <v>42</v>
      </c>
      <c r="E538" s="26"/>
      <c r="F538" s="22">
        <v>1</v>
      </c>
      <c r="G538" s="23" t="s">
        <v>20</v>
      </c>
      <c r="H538" s="22">
        <v>144</v>
      </c>
      <c r="I538" s="23" t="s">
        <v>42</v>
      </c>
      <c r="J538" s="24">
        <f>5616000/144</f>
        <v>39000</v>
      </c>
      <c r="K538" s="21" t="s">
        <v>42</v>
      </c>
      <c r="L538" s="25"/>
      <c r="M538" s="25">
        <v>0.17</v>
      </c>
      <c r="N538" s="22"/>
      <c r="O538" s="23" t="s">
        <v>42</v>
      </c>
      <c r="P538" s="20">
        <f t="shared" si="69"/>
        <v>0</v>
      </c>
      <c r="Q538" s="23" t="s">
        <v>42</v>
      </c>
      <c r="R538" s="24">
        <f t="shared" si="70"/>
        <v>0</v>
      </c>
      <c r="S538" s="24">
        <f t="shared" si="68"/>
        <v>0</v>
      </c>
    </row>
    <row r="539" spans="1:19">
      <c r="A539" s="17" t="s">
        <v>407</v>
      </c>
      <c r="B539" s="2" t="s">
        <v>25</v>
      </c>
      <c r="D539" s="4" t="s">
        <v>42</v>
      </c>
      <c r="F539" s="6">
        <v>1</v>
      </c>
      <c r="G539" s="7" t="s">
        <v>20</v>
      </c>
      <c r="H539" s="6">
        <v>144</v>
      </c>
      <c r="I539" s="7" t="s">
        <v>42</v>
      </c>
      <c r="J539" s="8">
        <f>5616000/144</f>
        <v>39000</v>
      </c>
      <c r="K539" s="4" t="s">
        <v>42</v>
      </c>
      <c r="M539" s="9">
        <v>0.17</v>
      </c>
      <c r="O539" s="7" t="s">
        <v>42</v>
      </c>
      <c r="P539" s="3">
        <f t="shared" si="69"/>
        <v>0</v>
      </c>
      <c r="Q539" s="7" t="s">
        <v>42</v>
      </c>
      <c r="R539" s="8">
        <f t="shared" si="70"/>
        <v>0</v>
      </c>
      <c r="S539" s="8">
        <f t="shared" si="68"/>
        <v>0</v>
      </c>
    </row>
    <row r="541" spans="1:19" s="19" customFormat="1">
      <c r="A541" s="18" t="s">
        <v>409</v>
      </c>
      <c r="B541" s="19" t="s">
        <v>267</v>
      </c>
      <c r="C541" s="20"/>
      <c r="D541" s="21" t="s">
        <v>42</v>
      </c>
      <c r="E541" s="26"/>
      <c r="F541" s="22">
        <v>1</v>
      </c>
      <c r="G541" s="23" t="s">
        <v>20</v>
      </c>
      <c r="H541" s="22">
        <v>144</v>
      </c>
      <c r="I541" s="23" t="s">
        <v>42</v>
      </c>
      <c r="J541" s="24">
        <v>22500</v>
      </c>
      <c r="K541" s="21" t="s">
        <v>42</v>
      </c>
      <c r="L541" s="25"/>
      <c r="M541" s="25"/>
      <c r="N541" s="22"/>
      <c r="O541" s="23" t="s">
        <v>42</v>
      </c>
      <c r="P541" s="20">
        <f t="shared" ref="P541:P568" si="72">(C541+(E541*F541*H541))-N541</f>
        <v>0</v>
      </c>
      <c r="Q541" s="23" t="s">
        <v>42</v>
      </c>
      <c r="R541" s="24">
        <f t="shared" ref="R541:R568" si="73">P541*(J541-(J541*L541)-((J541-(J541*L541))*M541))</f>
        <v>0</v>
      </c>
      <c r="S541" s="24">
        <f t="shared" si="68"/>
        <v>0</v>
      </c>
    </row>
    <row r="542" spans="1:19">
      <c r="A542" s="17" t="s">
        <v>410</v>
      </c>
      <c r="B542" s="2" t="s">
        <v>267</v>
      </c>
      <c r="D542" s="4" t="s">
        <v>42</v>
      </c>
      <c r="F542" s="6">
        <v>1</v>
      </c>
      <c r="G542" s="7" t="s">
        <v>20</v>
      </c>
      <c r="H542" s="6">
        <v>144</v>
      </c>
      <c r="I542" s="7" t="s">
        <v>42</v>
      </c>
      <c r="J542" s="8">
        <v>26000</v>
      </c>
      <c r="K542" s="4" t="s">
        <v>42</v>
      </c>
      <c r="O542" s="7" t="s">
        <v>42</v>
      </c>
      <c r="P542" s="3">
        <f t="shared" si="72"/>
        <v>0</v>
      </c>
      <c r="Q542" s="7" t="s">
        <v>42</v>
      </c>
      <c r="R542" s="8">
        <f t="shared" si="73"/>
        <v>0</v>
      </c>
      <c r="S542" s="8">
        <f t="shared" si="68"/>
        <v>0</v>
      </c>
    </row>
    <row r="543" spans="1:19" s="19" customFormat="1">
      <c r="A543" s="18" t="s">
        <v>411</v>
      </c>
      <c r="B543" s="19" t="s">
        <v>267</v>
      </c>
      <c r="C543" s="20"/>
      <c r="D543" s="21" t="s">
        <v>42</v>
      </c>
      <c r="E543" s="26"/>
      <c r="F543" s="22">
        <v>1</v>
      </c>
      <c r="G543" s="23" t="s">
        <v>20</v>
      </c>
      <c r="H543" s="22">
        <v>96</v>
      </c>
      <c r="I543" s="23" t="s">
        <v>42</v>
      </c>
      <c r="J543" s="24">
        <v>31500</v>
      </c>
      <c r="K543" s="21" t="s">
        <v>42</v>
      </c>
      <c r="L543" s="25"/>
      <c r="M543" s="25"/>
      <c r="N543" s="22"/>
      <c r="O543" s="23" t="s">
        <v>42</v>
      </c>
      <c r="P543" s="20">
        <f t="shared" si="72"/>
        <v>0</v>
      </c>
      <c r="Q543" s="23" t="s">
        <v>42</v>
      </c>
      <c r="R543" s="24">
        <f t="shared" si="73"/>
        <v>0</v>
      </c>
      <c r="S543" s="24">
        <f t="shared" si="68"/>
        <v>0</v>
      </c>
    </row>
    <row r="544" spans="1:19">
      <c r="A544" s="17" t="s">
        <v>724</v>
      </c>
      <c r="B544" s="2" t="s">
        <v>267</v>
      </c>
      <c r="D544" s="4" t="s">
        <v>42</v>
      </c>
      <c r="F544" s="6">
        <v>1</v>
      </c>
      <c r="G544" s="7" t="s">
        <v>20</v>
      </c>
      <c r="H544" s="6">
        <v>144</v>
      </c>
      <c r="I544" s="7" t="s">
        <v>42</v>
      </c>
      <c r="J544" s="8">
        <f>31818+(31818*10%)</f>
        <v>34999.800000000003</v>
      </c>
      <c r="K544" s="4" t="s">
        <v>42</v>
      </c>
      <c r="O544" s="7" t="s">
        <v>42</v>
      </c>
      <c r="P544" s="3">
        <f t="shared" si="72"/>
        <v>0</v>
      </c>
      <c r="Q544" s="7" t="s">
        <v>42</v>
      </c>
      <c r="R544" s="8">
        <f t="shared" si="73"/>
        <v>0</v>
      </c>
      <c r="S544" s="8">
        <f t="shared" si="68"/>
        <v>0</v>
      </c>
    </row>
    <row r="545" spans="1:19">
      <c r="A545" s="17" t="s">
        <v>725</v>
      </c>
      <c r="B545" s="2" t="s">
        <v>267</v>
      </c>
      <c r="D545" s="4" t="s">
        <v>42</v>
      </c>
      <c r="F545" s="6">
        <v>1</v>
      </c>
      <c r="G545" s="7" t="s">
        <v>20</v>
      </c>
      <c r="H545" s="6">
        <v>144</v>
      </c>
      <c r="I545" s="7" t="s">
        <v>42</v>
      </c>
      <c r="J545" s="8">
        <v>16175</v>
      </c>
      <c r="K545" s="4" t="s">
        <v>42</v>
      </c>
      <c r="O545" s="7" t="s">
        <v>42</v>
      </c>
      <c r="P545" s="3">
        <f t="shared" si="72"/>
        <v>0</v>
      </c>
      <c r="Q545" s="7" t="s">
        <v>42</v>
      </c>
      <c r="R545" s="8">
        <f t="shared" si="73"/>
        <v>0</v>
      </c>
      <c r="S545" s="8">
        <f t="shared" si="68"/>
        <v>0</v>
      </c>
    </row>
    <row r="546" spans="1:19">
      <c r="A546" s="17" t="s">
        <v>726</v>
      </c>
      <c r="B546" s="2" t="s">
        <v>267</v>
      </c>
      <c r="D546" s="4" t="s">
        <v>42</v>
      </c>
      <c r="F546" s="6">
        <v>1</v>
      </c>
      <c r="G546" s="7" t="s">
        <v>20</v>
      </c>
      <c r="H546" s="6">
        <v>144</v>
      </c>
      <c r="I546" s="7" t="s">
        <v>42</v>
      </c>
      <c r="J546" s="8">
        <v>16175</v>
      </c>
      <c r="K546" s="4" t="s">
        <v>42</v>
      </c>
      <c r="O546" s="7" t="s">
        <v>42</v>
      </c>
      <c r="P546" s="3">
        <f t="shared" si="72"/>
        <v>0</v>
      </c>
      <c r="Q546" s="7" t="s">
        <v>42</v>
      </c>
      <c r="R546" s="8">
        <f t="shared" si="73"/>
        <v>0</v>
      </c>
      <c r="S546" s="8">
        <f t="shared" si="68"/>
        <v>0</v>
      </c>
    </row>
    <row r="547" spans="1:19">
      <c r="A547" s="17" t="s">
        <v>727</v>
      </c>
      <c r="B547" s="2" t="s">
        <v>267</v>
      </c>
      <c r="D547" s="4" t="s">
        <v>42</v>
      </c>
      <c r="F547" s="6">
        <v>1</v>
      </c>
      <c r="G547" s="7" t="s">
        <v>20</v>
      </c>
      <c r="H547" s="6">
        <v>144</v>
      </c>
      <c r="I547" s="7" t="s">
        <v>42</v>
      </c>
      <c r="J547" s="8">
        <v>16175</v>
      </c>
      <c r="K547" s="4" t="s">
        <v>42</v>
      </c>
      <c r="O547" s="7" t="s">
        <v>42</v>
      </c>
      <c r="P547" s="3">
        <f t="shared" si="72"/>
        <v>0</v>
      </c>
      <c r="Q547" s="7" t="s">
        <v>42</v>
      </c>
      <c r="R547" s="8">
        <f t="shared" si="73"/>
        <v>0</v>
      </c>
      <c r="S547" s="8">
        <f t="shared" si="68"/>
        <v>0</v>
      </c>
    </row>
    <row r="548" spans="1:19">
      <c r="A548" s="17" t="s">
        <v>728</v>
      </c>
      <c r="B548" s="2" t="s">
        <v>267</v>
      </c>
      <c r="D548" s="4" t="s">
        <v>42</v>
      </c>
      <c r="F548" s="6">
        <v>1</v>
      </c>
      <c r="G548" s="7" t="s">
        <v>20</v>
      </c>
      <c r="H548" s="6">
        <v>144</v>
      </c>
      <c r="I548" s="7" t="s">
        <v>42</v>
      </c>
      <c r="J548" s="8">
        <v>16175</v>
      </c>
      <c r="K548" s="4" t="s">
        <v>42</v>
      </c>
      <c r="O548" s="7" t="s">
        <v>42</v>
      </c>
      <c r="P548" s="3">
        <f t="shared" si="72"/>
        <v>0</v>
      </c>
      <c r="Q548" s="7" t="s">
        <v>42</v>
      </c>
      <c r="R548" s="8">
        <f t="shared" si="73"/>
        <v>0</v>
      </c>
      <c r="S548" s="8">
        <f t="shared" si="68"/>
        <v>0</v>
      </c>
    </row>
    <row r="549" spans="1:19">
      <c r="A549" s="17" t="s">
        <v>729</v>
      </c>
      <c r="B549" s="2" t="s">
        <v>267</v>
      </c>
      <c r="D549" s="4" t="s">
        <v>42</v>
      </c>
      <c r="F549" s="6">
        <v>1</v>
      </c>
      <c r="G549" s="7" t="s">
        <v>20</v>
      </c>
      <c r="H549" s="6">
        <v>144</v>
      </c>
      <c r="I549" s="7" t="s">
        <v>42</v>
      </c>
      <c r="J549" s="8">
        <v>16175</v>
      </c>
      <c r="K549" s="4" t="s">
        <v>42</v>
      </c>
      <c r="O549" s="7" t="s">
        <v>42</v>
      </c>
      <c r="P549" s="3">
        <f t="shared" si="72"/>
        <v>0</v>
      </c>
      <c r="Q549" s="7" t="s">
        <v>42</v>
      </c>
      <c r="R549" s="8">
        <f t="shared" si="73"/>
        <v>0</v>
      </c>
      <c r="S549" s="8">
        <f t="shared" si="68"/>
        <v>0</v>
      </c>
    </row>
    <row r="550" spans="1:19">
      <c r="A550" s="17" t="s">
        <v>730</v>
      </c>
      <c r="B550" s="2" t="s">
        <v>267</v>
      </c>
      <c r="D550" s="4" t="s">
        <v>42</v>
      </c>
      <c r="F550" s="6">
        <v>1</v>
      </c>
      <c r="G550" s="7" t="s">
        <v>20</v>
      </c>
      <c r="H550" s="6">
        <v>144</v>
      </c>
      <c r="I550" s="7" t="s">
        <v>42</v>
      </c>
      <c r="J550" s="8">
        <v>16175</v>
      </c>
      <c r="K550" s="4" t="s">
        <v>42</v>
      </c>
      <c r="O550" s="7" t="s">
        <v>42</v>
      </c>
      <c r="P550" s="3">
        <f t="shared" si="72"/>
        <v>0</v>
      </c>
      <c r="Q550" s="7" t="s">
        <v>42</v>
      </c>
      <c r="R550" s="8">
        <f t="shared" si="73"/>
        <v>0</v>
      </c>
      <c r="S550" s="8">
        <f t="shared" si="68"/>
        <v>0</v>
      </c>
    </row>
    <row r="551" spans="1:19">
      <c r="A551" s="17" t="s">
        <v>731</v>
      </c>
      <c r="B551" s="2" t="s">
        <v>267</v>
      </c>
      <c r="D551" s="4" t="s">
        <v>42</v>
      </c>
      <c r="F551" s="6">
        <v>1</v>
      </c>
      <c r="G551" s="7" t="s">
        <v>20</v>
      </c>
      <c r="H551" s="6">
        <v>144</v>
      </c>
      <c r="I551" s="7" t="s">
        <v>42</v>
      </c>
      <c r="J551" s="8">
        <v>16175</v>
      </c>
      <c r="K551" s="4" t="s">
        <v>42</v>
      </c>
      <c r="O551" s="7" t="s">
        <v>42</v>
      </c>
      <c r="P551" s="3">
        <f t="shared" si="72"/>
        <v>0</v>
      </c>
      <c r="Q551" s="7" t="s">
        <v>42</v>
      </c>
      <c r="R551" s="8">
        <f t="shared" si="73"/>
        <v>0</v>
      </c>
      <c r="S551" s="8">
        <f t="shared" si="68"/>
        <v>0</v>
      </c>
    </row>
    <row r="552" spans="1:19">
      <c r="A552" s="17" t="s">
        <v>732</v>
      </c>
      <c r="B552" s="2" t="s">
        <v>267</v>
      </c>
      <c r="D552" s="4" t="s">
        <v>42</v>
      </c>
      <c r="F552" s="6">
        <v>1</v>
      </c>
      <c r="G552" s="7" t="s">
        <v>20</v>
      </c>
      <c r="H552" s="6">
        <v>144</v>
      </c>
      <c r="I552" s="7" t="s">
        <v>42</v>
      </c>
      <c r="J552" s="8">
        <v>16175</v>
      </c>
      <c r="K552" s="4" t="s">
        <v>42</v>
      </c>
      <c r="O552" s="7" t="s">
        <v>42</v>
      </c>
      <c r="P552" s="3">
        <f t="shared" si="72"/>
        <v>0</v>
      </c>
      <c r="Q552" s="7" t="s">
        <v>42</v>
      </c>
      <c r="R552" s="8">
        <f t="shared" si="73"/>
        <v>0</v>
      </c>
      <c r="S552" s="8">
        <f t="shared" si="68"/>
        <v>0</v>
      </c>
    </row>
    <row r="553" spans="1:19">
      <c r="A553" s="17" t="s">
        <v>733</v>
      </c>
      <c r="B553" s="2" t="s">
        <v>267</v>
      </c>
      <c r="D553" s="4" t="s">
        <v>42</v>
      </c>
      <c r="F553" s="6">
        <v>1</v>
      </c>
      <c r="G553" s="7" t="s">
        <v>20</v>
      </c>
      <c r="H553" s="6">
        <v>144</v>
      </c>
      <c r="I553" s="7" t="s">
        <v>42</v>
      </c>
      <c r="J553" s="8">
        <v>16175</v>
      </c>
      <c r="K553" s="4" t="s">
        <v>42</v>
      </c>
      <c r="O553" s="7" t="s">
        <v>42</v>
      </c>
      <c r="P553" s="3">
        <f t="shared" si="72"/>
        <v>0</v>
      </c>
      <c r="Q553" s="7" t="s">
        <v>42</v>
      </c>
      <c r="R553" s="8">
        <f t="shared" si="73"/>
        <v>0</v>
      </c>
      <c r="S553" s="8">
        <f t="shared" si="68"/>
        <v>0</v>
      </c>
    </row>
    <row r="554" spans="1:19">
      <c r="A554" s="17" t="s">
        <v>734</v>
      </c>
      <c r="B554" s="2" t="s">
        <v>267</v>
      </c>
      <c r="D554" s="4" t="s">
        <v>42</v>
      </c>
      <c r="F554" s="6">
        <v>1</v>
      </c>
      <c r="G554" s="7" t="s">
        <v>20</v>
      </c>
      <c r="H554" s="6">
        <v>144</v>
      </c>
      <c r="I554" s="7" t="s">
        <v>42</v>
      </c>
      <c r="J554" s="8">
        <v>16175</v>
      </c>
      <c r="K554" s="4" t="s">
        <v>42</v>
      </c>
      <c r="O554" s="7" t="s">
        <v>42</v>
      </c>
      <c r="P554" s="3">
        <f t="shared" si="72"/>
        <v>0</v>
      </c>
      <c r="Q554" s="7" t="s">
        <v>42</v>
      </c>
      <c r="R554" s="8">
        <f t="shared" si="73"/>
        <v>0</v>
      </c>
      <c r="S554" s="8">
        <f t="shared" si="68"/>
        <v>0</v>
      </c>
    </row>
    <row r="555" spans="1:19">
      <c r="A555" s="17" t="s">
        <v>735</v>
      </c>
      <c r="B555" s="2" t="s">
        <v>267</v>
      </c>
      <c r="D555" s="4" t="s">
        <v>42</v>
      </c>
      <c r="F555" s="6">
        <v>1</v>
      </c>
      <c r="G555" s="7" t="s">
        <v>20</v>
      </c>
      <c r="H555" s="6">
        <v>144</v>
      </c>
      <c r="I555" s="7" t="s">
        <v>42</v>
      </c>
      <c r="J555" s="8">
        <v>16175</v>
      </c>
      <c r="K555" s="4" t="s">
        <v>42</v>
      </c>
      <c r="O555" s="7" t="s">
        <v>42</v>
      </c>
      <c r="P555" s="3">
        <f t="shared" si="72"/>
        <v>0</v>
      </c>
      <c r="Q555" s="7" t="s">
        <v>42</v>
      </c>
      <c r="R555" s="8">
        <f t="shared" si="73"/>
        <v>0</v>
      </c>
      <c r="S555" s="8">
        <f t="shared" si="68"/>
        <v>0</v>
      </c>
    </row>
    <row r="556" spans="1:19">
      <c r="A556" s="17" t="s">
        <v>736</v>
      </c>
      <c r="B556" s="2" t="s">
        <v>267</v>
      </c>
      <c r="D556" s="4" t="s">
        <v>42</v>
      </c>
      <c r="F556" s="6">
        <v>1</v>
      </c>
      <c r="G556" s="7" t="s">
        <v>20</v>
      </c>
      <c r="H556" s="6">
        <v>144</v>
      </c>
      <c r="I556" s="7" t="s">
        <v>42</v>
      </c>
      <c r="J556" s="8">
        <v>16175</v>
      </c>
      <c r="K556" s="4" t="s">
        <v>42</v>
      </c>
      <c r="O556" s="7" t="s">
        <v>42</v>
      </c>
      <c r="P556" s="3">
        <f t="shared" si="72"/>
        <v>0</v>
      </c>
      <c r="Q556" s="7" t="s">
        <v>42</v>
      </c>
      <c r="R556" s="8">
        <f t="shared" si="73"/>
        <v>0</v>
      </c>
      <c r="S556" s="8">
        <f t="shared" si="68"/>
        <v>0</v>
      </c>
    </row>
    <row r="557" spans="1:19">
      <c r="A557" s="17" t="s">
        <v>737</v>
      </c>
      <c r="B557" s="2" t="s">
        <v>267</v>
      </c>
      <c r="D557" s="4" t="s">
        <v>42</v>
      </c>
      <c r="F557" s="6">
        <v>1</v>
      </c>
      <c r="G557" s="7" t="s">
        <v>20</v>
      </c>
      <c r="H557" s="6">
        <v>144</v>
      </c>
      <c r="I557" s="7" t="s">
        <v>42</v>
      </c>
      <c r="J557" s="8">
        <v>16175</v>
      </c>
      <c r="K557" s="4" t="s">
        <v>42</v>
      </c>
      <c r="O557" s="7" t="s">
        <v>42</v>
      </c>
      <c r="P557" s="3">
        <f t="shared" si="72"/>
        <v>0</v>
      </c>
      <c r="Q557" s="7" t="s">
        <v>42</v>
      </c>
      <c r="R557" s="8">
        <f t="shared" si="73"/>
        <v>0</v>
      </c>
      <c r="S557" s="8">
        <f t="shared" si="68"/>
        <v>0</v>
      </c>
    </row>
    <row r="558" spans="1:19">
      <c r="A558" s="17" t="s">
        <v>738</v>
      </c>
      <c r="B558" s="2" t="s">
        <v>267</v>
      </c>
      <c r="D558" s="4" t="s">
        <v>42</v>
      </c>
      <c r="F558" s="6">
        <v>1</v>
      </c>
      <c r="G558" s="7" t="s">
        <v>20</v>
      </c>
      <c r="H558" s="6">
        <v>144</v>
      </c>
      <c r="I558" s="7" t="s">
        <v>42</v>
      </c>
      <c r="J558" s="8">
        <v>16175</v>
      </c>
      <c r="K558" s="4" t="s">
        <v>42</v>
      </c>
      <c r="O558" s="7" t="s">
        <v>42</v>
      </c>
      <c r="P558" s="3">
        <f t="shared" si="72"/>
        <v>0</v>
      </c>
      <c r="Q558" s="7" t="s">
        <v>42</v>
      </c>
      <c r="R558" s="8">
        <f t="shared" si="73"/>
        <v>0</v>
      </c>
      <c r="S558" s="8">
        <f t="shared" si="68"/>
        <v>0</v>
      </c>
    </row>
    <row r="559" spans="1:19">
      <c r="A559" s="17" t="s">
        <v>739</v>
      </c>
      <c r="B559" s="2" t="s">
        <v>267</v>
      </c>
      <c r="D559" s="4" t="s">
        <v>42</v>
      </c>
      <c r="F559" s="6">
        <v>1</v>
      </c>
      <c r="G559" s="7" t="s">
        <v>20</v>
      </c>
      <c r="H559" s="6">
        <v>144</v>
      </c>
      <c r="I559" s="7" t="s">
        <v>42</v>
      </c>
      <c r="J559" s="8">
        <v>16175</v>
      </c>
      <c r="K559" s="4" t="s">
        <v>42</v>
      </c>
      <c r="O559" s="7" t="s">
        <v>42</v>
      </c>
      <c r="P559" s="3">
        <f t="shared" si="72"/>
        <v>0</v>
      </c>
      <c r="Q559" s="7" t="s">
        <v>42</v>
      </c>
      <c r="R559" s="8">
        <f t="shared" si="73"/>
        <v>0</v>
      </c>
      <c r="S559" s="8">
        <f t="shared" si="68"/>
        <v>0</v>
      </c>
    </row>
    <row r="560" spans="1:19">
      <c r="A560" s="17" t="s">
        <v>740</v>
      </c>
      <c r="B560" s="2" t="s">
        <v>267</v>
      </c>
      <c r="D560" s="4" t="s">
        <v>42</v>
      </c>
      <c r="F560" s="6">
        <v>1</v>
      </c>
      <c r="G560" s="7" t="s">
        <v>20</v>
      </c>
      <c r="H560" s="6">
        <v>144</v>
      </c>
      <c r="I560" s="7" t="s">
        <v>42</v>
      </c>
      <c r="J560" s="8">
        <v>16175</v>
      </c>
      <c r="K560" s="4" t="s">
        <v>42</v>
      </c>
      <c r="O560" s="7" t="s">
        <v>42</v>
      </c>
      <c r="P560" s="3">
        <f t="shared" si="72"/>
        <v>0</v>
      </c>
      <c r="Q560" s="7" t="s">
        <v>42</v>
      </c>
      <c r="R560" s="8">
        <f t="shared" si="73"/>
        <v>0</v>
      </c>
      <c r="S560" s="8">
        <f t="shared" si="68"/>
        <v>0</v>
      </c>
    </row>
    <row r="561" spans="1:19">
      <c r="A561" s="17" t="s">
        <v>741</v>
      </c>
      <c r="B561" s="2" t="s">
        <v>267</v>
      </c>
      <c r="D561" s="4" t="s">
        <v>42</v>
      </c>
      <c r="F561" s="6">
        <v>1</v>
      </c>
      <c r="G561" s="7" t="s">
        <v>20</v>
      </c>
      <c r="H561" s="6">
        <v>144</v>
      </c>
      <c r="I561" s="7" t="s">
        <v>42</v>
      </c>
      <c r="J561" s="8">
        <v>16175</v>
      </c>
      <c r="K561" s="4" t="s">
        <v>42</v>
      </c>
      <c r="O561" s="7" t="s">
        <v>42</v>
      </c>
      <c r="P561" s="3">
        <f t="shared" si="72"/>
        <v>0</v>
      </c>
      <c r="Q561" s="7" t="s">
        <v>42</v>
      </c>
      <c r="R561" s="8">
        <f t="shared" si="73"/>
        <v>0</v>
      </c>
      <c r="S561" s="8">
        <f t="shared" si="68"/>
        <v>0</v>
      </c>
    </row>
    <row r="562" spans="1:19" s="19" customFormat="1">
      <c r="A562" s="18" t="s">
        <v>412</v>
      </c>
      <c r="B562" s="19" t="s">
        <v>267</v>
      </c>
      <c r="C562" s="20"/>
      <c r="D562" s="21" t="s">
        <v>42</v>
      </c>
      <c r="E562" s="26"/>
      <c r="F562" s="22">
        <v>1</v>
      </c>
      <c r="G562" s="23" t="s">
        <v>20</v>
      </c>
      <c r="H562" s="22">
        <v>144</v>
      </c>
      <c r="I562" s="23" t="s">
        <v>42</v>
      </c>
      <c r="J562" s="24">
        <v>16175</v>
      </c>
      <c r="K562" s="21" t="s">
        <v>42</v>
      </c>
      <c r="L562" s="25"/>
      <c r="M562" s="25"/>
      <c r="N562" s="22"/>
      <c r="O562" s="23" t="s">
        <v>42</v>
      </c>
      <c r="P562" s="20">
        <f t="shared" si="72"/>
        <v>0</v>
      </c>
      <c r="Q562" s="23" t="s">
        <v>42</v>
      </c>
      <c r="R562" s="24">
        <f t="shared" si="73"/>
        <v>0</v>
      </c>
      <c r="S562" s="24">
        <f t="shared" si="68"/>
        <v>0</v>
      </c>
    </row>
    <row r="563" spans="1:19">
      <c r="A563" s="17" t="s">
        <v>742</v>
      </c>
      <c r="B563" s="2" t="s">
        <v>267</v>
      </c>
      <c r="D563" s="4" t="s">
        <v>42</v>
      </c>
      <c r="F563" s="6">
        <v>1</v>
      </c>
      <c r="G563" s="7" t="s">
        <v>20</v>
      </c>
      <c r="H563" s="6">
        <v>144</v>
      </c>
      <c r="I563" s="7" t="s">
        <v>42</v>
      </c>
      <c r="J563" s="8">
        <v>16175</v>
      </c>
      <c r="K563" s="4" t="s">
        <v>42</v>
      </c>
      <c r="O563" s="7" t="s">
        <v>42</v>
      </c>
      <c r="P563" s="3">
        <f t="shared" si="72"/>
        <v>0</v>
      </c>
      <c r="Q563" s="7" t="s">
        <v>42</v>
      </c>
      <c r="R563" s="8">
        <f t="shared" si="73"/>
        <v>0</v>
      </c>
      <c r="S563" s="8">
        <f t="shared" si="68"/>
        <v>0</v>
      </c>
    </row>
    <row r="564" spans="1:19">
      <c r="A564" s="17" t="s">
        <v>743</v>
      </c>
      <c r="B564" s="2" t="s">
        <v>267</v>
      </c>
      <c r="D564" s="4" t="s">
        <v>42</v>
      </c>
      <c r="F564" s="6">
        <v>1</v>
      </c>
      <c r="G564" s="7" t="s">
        <v>20</v>
      </c>
      <c r="H564" s="6">
        <v>144</v>
      </c>
      <c r="I564" s="7" t="s">
        <v>42</v>
      </c>
      <c r="J564" s="8">
        <v>16175</v>
      </c>
      <c r="K564" s="4" t="s">
        <v>42</v>
      </c>
      <c r="O564" s="7" t="s">
        <v>42</v>
      </c>
      <c r="P564" s="3">
        <f t="shared" si="72"/>
        <v>0</v>
      </c>
      <c r="Q564" s="7" t="s">
        <v>42</v>
      </c>
      <c r="R564" s="8">
        <f t="shared" si="73"/>
        <v>0</v>
      </c>
      <c r="S564" s="8">
        <f t="shared" si="68"/>
        <v>0</v>
      </c>
    </row>
    <row r="565" spans="1:19">
      <c r="A565" s="17" t="s">
        <v>744</v>
      </c>
      <c r="B565" s="2" t="s">
        <v>267</v>
      </c>
      <c r="D565" s="4" t="s">
        <v>42</v>
      </c>
      <c r="F565" s="6">
        <v>1</v>
      </c>
      <c r="G565" s="7" t="s">
        <v>20</v>
      </c>
      <c r="H565" s="6">
        <v>144</v>
      </c>
      <c r="I565" s="7" t="s">
        <v>42</v>
      </c>
      <c r="J565" s="8">
        <v>16175</v>
      </c>
      <c r="K565" s="4" t="s">
        <v>42</v>
      </c>
      <c r="O565" s="7" t="s">
        <v>42</v>
      </c>
      <c r="P565" s="3">
        <f t="shared" si="72"/>
        <v>0</v>
      </c>
      <c r="Q565" s="7" t="s">
        <v>42</v>
      </c>
      <c r="R565" s="8">
        <f t="shared" si="73"/>
        <v>0</v>
      </c>
      <c r="S565" s="8">
        <f t="shared" si="68"/>
        <v>0</v>
      </c>
    </row>
    <row r="566" spans="1:19">
      <c r="A566" s="17" t="s">
        <v>745</v>
      </c>
      <c r="B566" s="2" t="s">
        <v>267</v>
      </c>
      <c r="D566" s="4" t="s">
        <v>42</v>
      </c>
      <c r="F566" s="6">
        <v>1</v>
      </c>
      <c r="G566" s="7" t="s">
        <v>20</v>
      </c>
      <c r="H566" s="6">
        <v>144</v>
      </c>
      <c r="I566" s="7" t="s">
        <v>42</v>
      </c>
      <c r="J566" s="8">
        <v>16175</v>
      </c>
      <c r="K566" s="4" t="s">
        <v>42</v>
      </c>
      <c r="O566" s="7" t="s">
        <v>42</v>
      </c>
      <c r="P566" s="3">
        <f t="shared" si="72"/>
        <v>0</v>
      </c>
      <c r="Q566" s="7" t="s">
        <v>42</v>
      </c>
      <c r="R566" s="8">
        <f t="shared" si="73"/>
        <v>0</v>
      </c>
      <c r="S566" s="8">
        <f t="shared" si="68"/>
        <v>0</v>
      </c>
    </row>
    <row r="567" spans="1:19">
      <c r="A567" s="17" t="s">
        <v>746</v>
      </c>
      <c r="B567" s="2" t="s">
        <v>267</v>
      </c>
      <c r="D567" s="4" t="s">
        <v>42</v>
      </c>
      <c r="F567" s="6">
        <v>1</v>
      </c>
      <c r="G567" s="7" t="s">
        <v>20</v>
      </c>
      <c r="H567" s="6">
        <v>144</v>
      </c>
      <c r="I567" s="7" t="s">
        <v>42</v>
      </c>
      <c r="J567" s="8">
        <v>16175</v>
      </c>
      <c r="K567" s="4" t="s">
        <v>42</v>
      </c>
      <c r="O567" s="7" t="s">
        <v>42</v>
      </c>
      <c r="P567" s="3">
        <f t="shared" si="72"/>
        <v>0</v>
      </c>
      <c r="Q567" s="7" t="s">
        <v>42</v>
      </c>
      <c r="R567" s="8">
        <f t="shared" si="73"/>
        <v>0</v>
      </c>
      <c r="S567" s="8">
        <f t="shared" si="68"/>
        <v>0</v>
      </c>
    </row>
    <row r="568" spans="1:19">
      <c r="A568" s="17" t="s">
        <v>747</v>
      </c>
      <c r="B568" s="2" t="s">
        <v>267</v>
      </c>
      <c r="D568" s="4" t="s">
        <v>42</v>
      </c>
      <c r="F568" s="6">
        <v>1</v>
      </c>
      <c r="G568" s="7" t="s">
        <v>20</v>
      </c>
      <c r="H568" s="6">
        <v>144</v>
      </c>
      <c r="I568" s="7" t="s">
        <v>42</v>
      </c>
      <c r="J568" s="8">
        <v>16175</v>
      </c>
      <c r="K568" s="4" t="s">
        <v>42</v>
      </c>
      <c r="O568" s="7" t="s">
        <v>42</v>
      </c>
      <c r="P568" s="3">
        <f t="shared" si="72"/>
        <v>0</v>
      </c>
      <c r="Q568" s="7" t="s">
        <v>42</v>
      </c>
      <c r="R568" s="8">
        <f t="shared" si="73"/>
        <v>0</v>
      </c>
      <c r="S568" s="8">
        <f t="shared" si="68"/>
        <v>0</v>
      </c>
    </row>
    <row r="570" spans="1:19">
      <c r="A570" s="17" t="s">
        <v>713</v>
      </c>
      <c r="B570" s="2" t="s">
        <v>699</v>
      </c>
      <c r="D570" s="4" t="s">
        <v>42</v>
      </c>
      <c r="F570" s="6">
        <v>1</v>
      </c>
      <c r="G570" s="7" t="s">
        <v>20</v>
      </c>
      <c r="H570" s="6">
        <v>96</v>
      </c>
      <c r="I570" s="7" t="s">
        <v>42</v>
      </c>
      <c r="J570" s="8">
        <v>26500</v>
      </c>
      <c r="K570" s="4" t="s">
        <v>42</v>
      </c>
      <c r="O570" s="7" t="s">
        <v>42</v>
      </c>
      <c r="P570" s="3">
        <f>(C570+(E570*F570*H570))-N570</f>
        <v>0</v>
      </c>
      <c r="Q570" s="7" t="s">
        <v>42</v>
      </c>
      <c r="R570" s="8">
        <f>P570*(J570-(J570*L570)-((J570-(J570*L570))*M570))</f>
        <v>0</v>
      </c>
      <c r="S570" s="8">
        <f t="shared" si="68"/>
        <v>0</v>
      </c>
    </row>
    <row r="572" spans="1:19">
      <c r="A572" s="17" t="s">
        <v>775</v>
      </c>
      <c r="B572" s="2" t="s">
        <v>178</v>
      </c>
      <c r="D572" s="4" t="s">
        <v>42</v>
      </c>
      <c r="F572" s="6">
        <v>1</v>
      </c>
      <c r="G572" s="7" t="s">
        <v>20</v>
      </c>
      <c r="H572" s="6">
        <v>144</v>
      </c>
      <c r="I572" s="7" t="s">
        <v>42</v>
      </c>
      <c r="J572" s="8">
        <v>19000</v>
      </c>
      <c r="K572" s="4" t="s">
        <v>42</v>
      </c>
      <c r="L572" s="9">
        <v>0.02</v>
      </c>
      <c r="O572" s="7" t="s">
        <v>42</v>
      </c>
      <c r="P572" s="3">
        <f>(C572+(E572*F572*H572))-N572</f>
        <v>0</v>
      </c>
      <c r="Q572" s="7" t="s">
        <v>42</v>
      </c>
      <c r="R572" s="8">
        <f>P572*(J572-(J572*L572)-((J572-(J572*L572))*M572))</f>
        <v>0</v>
      </c>
      <c r="S572" s="8">
        <f t="shared" ref="S572" si="74">R572/1.11</f>
        <v>0</v>
      </c>
    </row>
    <row r="573" spans="1:19">
      <c r="A573" s="17" t="s">
        <v>413</v>
      </c>
      <c r="B573" s="2" t="s">
        <v>178</v>
      </c>
      <c r="D573" s="4" t="s">
        <v>42</v>
      </c>
      <c r="F573" s="6">
        <v>1</v>
      </c>
      <c r="G573" s="7" t="s">
        <v>20</v>
      </c>
      <c r="H573" s="6">
        <v>192</v>
      </c>
      <c r="I573" s="7" t="s">
        <v>42</v>
      </c>
      <c r="J573" s="8">
        <v>12750</v>
      </c>
      <c r="K573" s="4" t="s">
        <v>42</v>
      </c>
      <c r="L573" s="9">
        <v>0.05</v>
      </c>
      <c r="O573" s="7" t="s">
        <v>42</v>
      </c>
      <c r="P573" s="3">
        <f>(C573+(E573*F573*H573))-N573</f>
        <v>0</v>
      </c>
      <c r="Q573" s="7" t="s">
        <v>42</v>
      </c>
      <c r="R573" s="8">
        <f>P573*(J573-(J573*L573)-((J573-(J573*L573))*M573))</f>
        <v>0</v>
      </c>
      <c r="S573" s="8">
        <f t="shared" si="68"/>
        <v>0</v>
      </c>
    </row>
    <row r="575" spans="1:19">
      <c r="A575" s="15" t="s">
        <v>414</v>
      </c>
    </row>
    <row r="576" spans="1:19">
      <c r="A576" s="71" t="s">
        <v>415</v>
      </c>
      <c r="B576" s="32" t="s">
        <v>18</v>
      </c>
      <c r="C576" s="33"/>
      <c r="D576" s="34" t="s">
        <v>158</v>
      </c>
      <c r="E576" s="35"/>
      <c r="F576" s="36">
        <v>8</v>
      </c>
      <c r="G576" s="37" t="s">
        <v>33</v>
      </c>
      <c r="H576" s="36">
        <v>24</v>
      </c>
      <c r="I576" s="37" t="s">
        <v>158</v>
      </c>
      <c r="J576" s="38">
        <v>16500</v>
      </c>
      <c r="K576" s="34" t="s">
        <v>158</v>
      </c>
      <c r="L576" s="39">
        <v>0.125</v>
      </c>
      <c r="M576" s="39">
        <v>0.05</v>
      </c>
      <c r="N576" s="36"/>
      <c r="O576" s="37" t="s">
        <v>158</v>
      </c>
      <c r="P576" s="33">
        <f t="shared" ref="P576:P582" si="75">(C576+(E576*F576*H576))-N576</f>
        <v>0</v>
      </c>
      <c r="Q576" s="37" t="s">
        <v>158</v>
      </c>
      <c r="R576" s="38">
        <f t="shared" ref="R576:R582" si="76">P576*(J576-(J576*L576)-((J576-(J576*L576))*M576))</f>
        <v>0</v>
      </c>
      <c r="S576" s="38">
        <f t="shared" si="68"/>
        <v>0</v>
      </c>
    </row>
    <row r="577" spans="1:19">
      <c r="A577" s="71" t="s">
        <v>809</v>
      </c>
      <c r="B577" s="32" t="s">
        <v>18</v>
      </c>
      <c r="C577" s="33"/>
      <c r="D577" s="34" t="s">
        <v>158</v>
      </c>
      <c r="E577" s="35"/>
      <c r="F577" s="36">
        <v>8</v>
      </c>
      <c r="G577" s="37" t="s">
        <v>33</v>
      </c>
      <c r="H577" s="36">
        <v>24</v>
      </c>
      <c r="I577" s="37" t="s">
        <v>158</v>
      </c>
      <c r="J577" s="38"/>
      <c r="K577" s="34" t="s">
        <v>158</v>
      </c>
      <c r="L577" s="39">
        <v>0.1</v>
      </c>
      <c r="M577" s="39">
        <v>0.05</v>
      </c>
      <c r="N577" s="36"/>
      <c r="O577" s="37" t="s">
        <v>158</v>
      </c>
      <c r="P577" s="33">
        <f t="shared" si="75"/>
        <v>0</v>
      </c>
      <c r="Q577" s="37" t="s">
        <v>158</v>
      </c>
      <c r="R577" s="38">
        <f t="shared" si="76"/>
        <v>0</v>
      </c>
      <c r="S577" s="38">
        <f t="shared" ref="S577:S677" si="77">R577/1.11</f>
        <v>0</v>
      </c>
    </row>
    <row r="578" spans="1:19">
      <c r="A578" s="72" t="s">
        <v>832</v>
      </c>
      <c r="B578" s="2" t="s">
        <v>18</v>
      </c>
      <c r="D578" s="4" t="s">
        <v>158</v>
      </c>
      <c r="F578" s="6">
        <v>12</v>
      </c>
      <c r="G578" s="7" t="s">
        <v>33</v>
      </c>
      <c r="H578" s="6">
        <v>24</v>
      </c>
      <c r="I578" s="7" t="s">
        <v>158</v>
      </c>
      <c r="J578" s="8">
        <v>14400</v>
      </c>
      <c r="K578" s="4" t="s">
        <v>158</v>
      </c>
      <c r="L578" s="9">
        <v>0.125</v>
      </c>
      <c r="M578" s="9">
        <v>0.05</v>
      </c>
      <c r="O578" s="7" t="s">
        <v>158</v>
      </c>
      <c r="P578" s="3">
        <f t="shared" si="75"/>
        <v>0</v>
      </c>
      <c r="Q578" s="7" t="s">
        <v>158</v>
      </c>
      <c r="R578" s="8">
        <f t="shared" si="76"/>
        <v>0</v>
      </c>
      <c r="S578" s="8">
        <f t="shared" si="77"/>
        <v>0</v>
      </c>
    </row>
    <row r="579" spans="1:19">
      <c r="A579" s="72" t="s">
        <v>416</v>
      </c>
      <c r="B579" s="2" t="s">
        <v>18</v>
      </c>
      <c r="D579" s="4" t="s">
        <v>158</v>
      </c>
      <c r="F579" s="6">
        <v>8</v>
      </c>
      <c r="G579" s="7" t="s">
        <v>33</v>
      </c>
      <c r="H579" s="6">
        <v>30</v>
      </c>
      <c r="I579" s="7" t="s">
        <v>158</v>
      </c>
      <c r="K579" s="4" t="s">
        <v>158</v>
      </c>
      <c r="L579" s="9">
        <v>0.1</v>
      </c>
      <c r="M579" s="9">
        <v>0.05</v>
      </c>
      <c r="O579" s="7" t="s">
        <v>158</v>
      </c>
      <c r="P579" s="3">
        <f t="shared" si="75"/>
        <v>0</v>
      </c>
      <c r="Q579" s="7" t="s">
        <v>158</v>
      </c>
      <c r="R579" s="8">
        <f t="shared" si="76"/>
        <v>0</v>
      </c>
      <c r="S579" s="8">
        <f t="shared" si="77"/>
        <v>0</v>
      </c>
    </row>
    <row r="580" spans="1:19">
      <c r="A580" s="72" t="s">
        <v>417</v>
      </c>
      <c r="B580" s="2" t="s">
        <v>18</v>
      </c>
      <c r="D580" s="4" t="s">
        <v>158</v>
      </c>
      <c r="F580" s="6">
        <v>8</v>
      </c>
      <c r="G580" s="7" t="s">
        <v>33</v>
      </c>
      <c r="H580" s="6">
        <v>24</v>
      </c>
      <c r="I580" s="7" t="s">
        <v>158</v>
      </c>
      <c r="J580" s="8">
        <v>21000</v>
      </c>
      <c r="K580" s="4" t="s">
        <v>158</v>
      </c>
      <c r="L580" s="9">
        <v>0.125</v>
      </c>
      <c r="M580" s="9">
        <v>0.05</v>
      </c>
      <c r="O580" s="7" t="s">
        <v>158</v>
      </c>
      <c r="P580" s="3">
        <f t="shared" si="75"/>
        <v>0</v>
      </c>
      <c r="Q580" s="7" t="s">
        <v>158</v>
      </c>
      <c r="R580" s="8">
        <f t="shared" si="76"/>
        <v>0</v>
      </c>
      <c r="S580" s="8">
        <f t="shared" si="77"/>
        <v>0</v>
      </c>
    </row>
    <row r="581" spans="1:19">
      <c r="A581" s="72" t="s">
        <v>418</v>
      </c>
      <c r="B581" s="2" t="s">
        <v>18</v>
      </c>
      <c r="D581" s="4" t="s">
        <v>158</v>
      </c>
      <c r="F581" s="6">
        <v>8</v>
      </c>
      <c r="G581" s="7" t="s">
        <v>33</v>
      </c>
      <c r="H581" s="6">
        <v>24</v>
      </c>
      <c r="I581" s="7" t="s">
        <v>158</v>
      </c>
      <c r="J581" s="8">
        <v>16800</v>
      </c>
      <c r="K581" s="4" t="s">
        <v>158</v>
      </c>
      <c r="L581" s="9">
        <v>0.125</v>
      </c>
      <c r="M581" s="9">
        <v>0.05</v>
      </c>
      <c r="O581" s="7" t="s">
        <v>158</v>
      </c>
      <c r="P581" s="3">
        <f t="shared" si="75"/>
        <v>0</v>
      </c>
      <c r="Q581" s="7" t="s">
        <v>158</v>
      </c>
      <c r="R581" s="8">
        <f t="shared" si="76"/>
        <v>0</v>
      </c>
      <c r="S581" s="8">
        <f t="shared" si="77"/>
        <v>0</v>
      </c>
    </row>
    <row r="582" spans="1:19">
      <c r="A582" s="72" t="s">
        <v>419</v>
      </c>
      <c r="B582" s="2" t="s">
        <v>18</v>
      </c>
      <c r="D582" s="4" t="s">
        <v>158</v>
      </c>
      <c r="F582" s="6">
        <v>6</v>
      </c>
      <c r="G582" s="7" t="s">
        <v>33</v>
      </c>
      <c r="H582" s="6">
        <v>24</v>
      </c>
      <c r="I582" s="7" t="s">
        <v>158</v>
      </c>
      <c r="J582" s="8">
        <v>21000</v>
      </c>
      <c r="K582" s="4" t="s">
        <v>158</v>
      </c>
      <c r="L582" s="9">
        <v>0.125</v>
      </c>
      <c r="M582" s="9">
        <v>0.05</v>
      </c>
      <c r="O582" s="7" t="s">
        <v>158</v>
      </c>
      <c r="P582" s="3">
        <f t="shared" si="75"/>
        <v>0</v>
      </c>
      <c r="Q582" s="7" t="s">
        <v>158</v>
      </c>
      <c r="R582" s="8">
        <f t="shared" si="76"/>
        <v>0</v>
      </c>
      <c r="S582" s="8">
        <f t="shared" si="77"/>
        <v>0</v>
      </c>
    </row>
    <row r="583" spans="1:19">
      <c r="A583" s="73"/>
    </row>
    <row r="584" spans="1:19">
      <c r="A584" s="17" t="s">
        <v>420</v>
      </c>
      <c r="B584" s="2" t="s">
        <v>25</v>
      </c>
      <c r="D584" s="4" t="s">
        <v>158</v>
      </c>
      <c r="F584" s="6">
        <v>8</v>
      </c>
      <c r="G584" s="7" t="s">
        <v>33</v>
      </c>
      <c r="H584" s="6">
        <v>30</v>
      </c>
      <c r="I584" s="7" t="s">
        <v>158</v>
      </c>
      <c r="J584" s="8">
        <f>4800000/8/30</f>
        <v>20000</v>
      </c>
      <c r="K584" s="4" t="s">
        <v>158</v>
      </c>
      <c r="M584" s="9">
        <v>0.17</v>
      </c>
      <c r="O584" s="7" t="s">
        <v>158</v>
      </c>
      <c r="P584" s="3">
        <f>(C584+(E584*F584*H584))-N584</f>
        <v>0</v>
      </c>
      <c r="Q584" s="7" t="s">
        <v>158</v>
      </c>
      <c r="R584" s="8">
        <f>P584*(J584-(J584*L584)-((J584-(J584*L584))*M584))</f>
        <v>0</v>
      </c>
      <c r="S584" s="8">
        <f t="shared" si="77"/>
        <v>0</v>
      </c>
    </row>
    <row r="585" spans="1:19">
      <c r="A585" s="17" t="s">
        <v>684</v>
      </c>
      <c r="B585" s="2" t="s">
        <v>25</v>
      </c>
      <c r="D585" s="4" t="s">
        <v>158</v>
      </c>
      <c r="F585" s="6">
        <v>6</v>
      </c>
      <c r="G585" s="7" t="s">
        <v>33</v>
      </c>
      <c r="H585" s="6">
        <v>30</v>
      </c>
      <c r="I585" s="7" t="s">
        <v>158</v>
      </c>
      <c r="J585" s="8">
        <f>2664000/6/30</f>
        <v>14800</v>
      </c>
      <c r="K585" s="4" t="s">
        <v>158</v>
      </c>
      <c r="M585" s="9">
        <v>0.17</v>
      </c>
      <c r="O585" s="7" t="s">
        <v>158</v>
      </c>
      <c r="P585" s="3">
        <f>(C585+(E585*F585*H585))-N585</f>
        <v>0</v>
      </c>
      <c r="Q585" s="7" t="s">
        <v>158</v>
      </c>
      <c r="R585" s="8">
        <f>P585*(J585-(J585*L585)-((J585-(J585*L585))*M585))</f>
        <v>0</v>
      </c>
      <c r="S585" s="8">
        <f t="shared" si="77"/>
        <v>0</v>
      </c>
    </row>
    <row r="587" spans="1:19">
      <c r="A587" s="15" t="s">
        <v>421</v>
      </c>
    </row>
    <row r="588" spans="1:19">
      <c r="A588" s="17" t="s">
        <v>422</v>
      </c>
      <c r="B588" s="2" t="s">
        <v>18</v>
      </c>
      <c r="D588" s="4" t="s">
        <v>42</v>
      </c>
      <c r="F588" s="6">
        <v>48</v>
      </c>
      <c r="G588" s="7" t="s">
        <v>33</v>
      </c>
      <c r="H588" s="6">
        <v>12</v>
      </c>
      <c r="I588" s="7" t="s">
        <v>19</v>
      </c>
      <c r="J588" s="8">
        <v>5800</v>
      </c>
      <c r="K588" s="4" t="s">
        <v>19</v>
      </c>
      <c r="L588" s="9">
        <v>0.125</v>
      </c>
      <c r="M588" s="9">
        <v>0.05</v>
      </c>
      <c r="O588" s="7" t="s">
        <v>19</v>
      </c>
      <c r="P588" s="3">
        <f>(C588+(E588*F588*H588))-N588</f>
        <v>0</v>
      </c>
      <c r="Q588" s="7" t="s">
        <v>19</v>
      </c>
      <c r="R588" s="8">
        <f>P588*(J588-(J588*L588)-((J588-(J588*L588))*M588))</f>
        <v>0</v>
      </c>
      <c r="S588" s="8">
        <f>R588/1.11</f>
        <v>0</v>
      </c>
    </row>
    <row r="590" spans="1:19">
      <c r="A590" s="72" t="s">
        <v>803</v>
      </c>
      <c r="B590" s="2" t="s">
        <v>25</v>
      </c>
      <c r="D590" s="4" t="s">
        <v>19</v>
      </c>
      <c r="F590" s="6">
        <v>24</v>
      </c>
      <c r="G590" s="7" t="s">
        <v>33</v>
      </c>
      <c r="H590" s="6">
        <v>24</v>
      </c>
      <c r="I590" s="7" t="s">
        <v>19</v>
      </c>
      <c r="J590" s="8">
        <f>2822400/24/24</f>
        <v>4900</v>
      </c>
      <c r="K590" s="4" t="s">
        <v>19</v>
      </c>
      <c r="M590" s="9">
        <v>0.17</v>
      </c>
      <c r="O590" s="7" t="s">
        <v>19</v>
      </c>
      <c r="P590" s="3">
        <f>(C590+(E590*F590*H590))-N590</f>
        <v>0</v>
      </c>
      <c r="Q590" s="7" t="s">
        <v>19</v>
      </c>
      <c r="R590" s="8">
        <f>P590*(J590-(J590*L590)-((J590-(J590*L590))*M590))</f>
        <v>0</v>
      </c>
      <c r="S590" s="8">
        <f t="shared" si="77"/>
        <v>0</v>
      </c>
    </row>
    <row r="591" spans="1:19">
      <c r="A591" s="72" t="s">
        <v>804</v>
      </c>
      <c r="B591" s="2" t="s">
        <v>25</v>
      </c>
      <c r="D591" s="4" t="s">
        <v>42</v>
      </c>
      <c r="F591" s="6">
        <v>24</v>
      </c>
      <c r="G591" s="7" t="s">
        <v>33</v>
      </c>
      <c r="H591" s="6">
        <v>2</v>
      </c>
      <c r="I591" s="7" t="s">
        <v>42</v>
      </c>
      <c r="J591" s="8">
        <f>2592000/24/2</f>
        <v>54000</v>
      </c>
      <c r="K591" s="4" t="s">
        <v>42</v>
      </c>
      <c r="M591" s="9">
        <v>0.17</v>
      </c>
      <c r="O591" s="7" t="s">
        <v>42</v>
      </c>
      <c r="P591" s="3">
        <f>(C591+(E591*F591*H591))-N591</f>
        <v>0</v>
      </c>
      <c r="Q591" s="7" t="s">
        <v>42</v>
      </c>
      <c r="R591" s="8">
        <f>P591*(J591-(J591*L591)-((J591-(J591*L591))*M591))</f>
        <v>0</v>
      </c>
      <c r="S591" s="8">
        <f t="shared" si="77"/>
        <v>0</v>
      </c>
    </row>
    <row r="592" spans="1:19">
      <c r="A592" s="72" t="s">
        <v>805</v>
      </c>
      <c r="B592" s="2" t="s">
        <v>25</v>
      </c>
      <c r="D592" s="4" t="s">
        <v>19</v>
      </c>
      <c r="F592" s="6">
        <v>24</v>
      </c>
      <c r="G592" s="7" t="s">
        <v>33</v>
      </c>
      <c r="H592" s="6">
        <v>24</v>
      </c>
      <c r="I592" s="7" t="s">
        <v>19</v>
      </c>
      <c r="J592" s="8">
        <f>1900800/24/24</f>
        <v>3300</v>
      </c>
      <c r="K592" s="4" t="s">
        <v>19</v>
      </c>
      <c r="M592" s="9">
        <v>0.17</v>
      </c>
      <c r="O592" s="7" t="s">
        <v>19</v>
      </c>
      <c r="P592" s="3">
        <f>(C592+(E592*F592*H592))-N592</f>
        <v>0</v>
      </c>
      <c r="Q592" s="7" t="s">
        <v>19</v>
      </c>
      <c r="R592" s="8">
        <f>P592*(J592-(J592*L592)-((J592-(J592*L592))*M592))</f>
        <v>0</v>
      </c>
      <c r="S592" s="8">
        <f t="shared" si="77"/>
        <v>0</v>
      </c>
    </row>
    <row r="593" spans="1:19">
      <c r="A593" s="73"/>
    </row>
    <row r="594" spans="1:19">
      <c r="A594" s="15" t="s">
        <v>423</v>
      </c>
    </row>
    <row r="595" spans="1:19">
      <c r="A595" s="17" t="s">
        <v>424</v>
      </c>
      <c r="B595" s="2" t="s">
        <v>18</v>
      </c>
      <c r="D595" s="4" t="s">
        <v>101</v>
      </c>
      <c r="F595" s="6">
        <v>18</v>
      </c>
      <c r="G595" s="7" t="s">
        <v>33</v>
      </c>
      <c r="H595" s="6">
        <v>12</v>
      </c>
      <c r="I595" s="7" t="s">
        <v>101</v>
      </c>
      <c r="J595" s="8">
        <f>36000/12</f>
        <v>3000</v>
      </c>
      <c r="K595" s="4" t="s">
        <v>101</v>
      </c>
      <c r="L595" s="9">
        <v>0.125</v>
      </c>
      <c r="M595" s="9">
        <v>0.05</v>
      </c>
      <c r="O595" s="7" t="s">
        <v>101</v>
      </c>
      <c r="P595" s="3">
        <f>(C595+(E595*F595*H595))-N595</f>
        <v>0</v>
      </c>
      <c r="Q595" s="7" t="s">
        <v>101</v>
      </c>
      <c r="R595" s="8">
        <f>P595*(J595-(J595*L595)-((J595-(J595*L595))*M595))</f>
        <v>0</v>
      </c>
      <c r="S595" s="8">
        <f t="shared" si="77"/>
        <v>0</v>
      </c>
    </row>
    <row r="596" spans="1:19">
      <c r="A596" s="17" t="s">
        <v>425</v>
      </c>
      <c r="B596" s="2" t="s">
        <v>18</v>
      </c>
      <c r="D596" s="4" t="s">
        <v>42</v>
      </c>
      <c r="F596" s="6">
        <v>18</v>
      </c>
      <c r="G596" s="7" t="s">
        <v>33</v>
      </c>
      <c r="H596" s="6">
        <v>24</v>
      </c>
      <c r="I596" s="7" t="s">
        <v>42</v>
      </c>
      <c r="J596" s="8">
        <v>27600</v>
      </c>
      <c r="K596" s="4" t="s">
        <v>42</v>
      </c>
      <c r="L596" s="9">
        <v>0.125</v>
      </c>
      <c r="M596" s="9">
        <v>0.05</v>
      </c>
      <c r="O596" s="7" t="s">
        <v>42</v>
      </c>
      <c r="P596" s="3">
        <f>(C596+(E596*F596*H596))-N596</f>
        <v>0</v>
      </c>
      <c r="Q596" s="7" t="s">
        <v>42</v>
      </c>
      <c r="R596" s="8">
        <f>P596*(J596-(J596*L596)-((J596-(J596*L596))*M596))</f>
        <v>0</v>
      </c>
      <c r="S596" s="8">
        <f t="shared" si="77"/>
        <v>0</v>
      </c>
    </row>
    <row r="598" spans="1:19">
      <c r="A598" s="17" t="s">
        <v>426</v>
      </c>
      <c r="B598" s="2" t="s">
        <v>267</v>
      </c>
      <c r="D598" s="4" t="s">
        <v>42</v>
      </c>
      <c r="F598" s="6">
        <v>1</v>
      </c>
      <c r="G598" s="7" t="s">
        <v>20</v>
      </c>
      <c r="H598" s="6">
        <v>96</v>
      </c>
      <c r="I598" s="7" t="s">
        <v>42</v>
      </c>
      <c r="J598" s="8">
        <v>9500</v>
      </c>
      <c r="K598" s="4" t="s">
        <v>42</v>
      </c>
      <c r="O598" s="7" t="s">
        <v>42</v>
      </c>
      <c r="P598" s="3">
        <f>(C598+(E598*F598*H598))-N598</f>
        <v>0</v>
      </c>
      <c r="Q598" s="7" t="s">
        <v>42</v>
      </c>
      <c r="R598" s="8">
        <f>P598*(J598-(J598*L598)-((J598-(J598*L598))*M598))</f>
        <v>0</v>
      </c>
      <c r="S598" s="8">
        <f t="shared" si="77"/>
        <v>0</v>
      </c>
    </row>
    <row r="600" spans="1:19">
      <c r="A600" s="17" t="s">
        <v>427</v>
      </c>
      <c r="B600" s="2" t="s">
        <v>25</v>
      </c>
      <c r="D600" s="4" t="s">
        <v>19</v>
      </c>
      <c r="F600" s="6">
        <v>144</v>
      </c>
      <c r="G600" s="7" t="s">
        <v>33</v>
      </c>
      <c r="H600" s="6">
        <v>2</v>
      </c>
      <c r="I600" s="7" t="s">
        <v>42</v>
      </c>
      <c r="J600" s="8">
        <f>6739200/144/2</f>
        <v>23400</v>
      </c>
      <c r="K600" s="4" t="s">
        <v>42</v>
      </c>
      <c r="M600" s="9">
        <v>0.17</v>
      </c>
      <c r="O600" s="7" t="s">
        <v>42</v>
      </c>
      <c r="P600" s="3">
        <f>(C600+(E600*F600*H600))-N600</f>
        <v>0</v>
      </c>
      <c r="Q600" s="7" t="s">
        <v>42</v>
      </c>
      <c r="R600" s="8">
        <f>P600*(J600-(J600*L600)-((J600-(J600*L600))*M600))</f>
        <v>0</v>
      </c>
      <c r="S600" s="8">
        <f t="shared" si="77"/>
        <v>0</v>
      </c>
    </row>
    <row r="601" spans="1:19">
      <c r="A601" s="17" t="s">
        <v>428</v>
      </c>
      <c r="B601" s="2" t="s">
        <v>25</v>
      </c>
      <c r="D601" s="4" t="s">
        <v>33</v>
      </c>
      <c r="F601" s="6">
        <v>1</v>
      </c>
      <c r="G601" s="7" t="s">
        <v>20</v>
      </c>
      <c r="H601" s="6">
        <v>120</v>
      </c>
      <c r="I601" s="7" t="s">
        <v>33</v>
      </c>
      <c r="J601" s="8">
        <f>2160000/120</f>
        <v>18000</v>
      </c>
      <c r="K601" s="4" t="s">
        <v>33</v>
      </c>
      <c r="M601" s="9">
        <v>0.17</v>
      </c>
      <c r="O601" s="7" t="s">
        <v>33</v>
      </c>
      <c r="P601" s="3">
        <f>(C601+(E601*F601*H601))-N601</f>
        <v>0</v>
      </c>
      <c r="Q601" s="7" t="s">
        <v>33</v>
      </c>
      <c r="R601" s="8">
        <f>P601*(J601-(J601*L601)-((J601-(J601*L601))*M601))</f>
        <v>0</v>
      </c>
      <c r="S601" s="8">
        <f t="shared" si="77"/>
        <v>0</v>
      </c>
    </row>
    <row r="603" spans="1:19">
      <c r="A603" s="17" t="s">
        <v>429</v>
      </c>
      <c r="B603" s="2" t="s">
        <v>188</v>
      </c>
      <c r="D603" s="4" t="s">
        <v>33</v>
      </c>
      <c r="F603" s="6">
        <v>1</v>
      </c>
      <c r="G603" s="7" t="s">
        <v>20</v>
      </c>
      <c r="H603" s="6">
        <v>240</v>
      </c>
      <c r="I603" s="7" t="s">
        <v>33</v>
      </c>
      <c r="J603" s="8">
        <v>5500</v>
      </c>
      <c r="K603" s="4" t="s">
        <v>33</v>
      </c>
      <c r="O603" s="7" t="s">
        <v>33</v>
      </c>
      <c r="P603" s="3">
        <f>(C603+(E603*F603*H603))-N603</f>
        <v>0</v>
      </c>
      <c r="Q603" s="7" t="s">
        <v>33</v>
      </c>
      <c r="R603" s="8">
        <f>P603*(J603-(J603*L603)-((J603-(J603*L603))*M603))</f>
        <v>0</v>
      </c>
      <c r="S603" s="8">
        <f t="shared" si="77"/>
        <v>0</v>
      </c>
    </row>
    <row r="605" spans="1:19">
      <c r="A605" s="15" t="s">
        <v>520</v>
      </c>
    </row>
    <row r="606" spans="1:19" s="19" customFormat="1">
      <c r="A606" s="18" t="s">
        <v>840</v>
      </c>
      <c r="B606" s="19" t="s">
        <v>18</v>
      </c>
      <c r="C606" s="20"/>
      <c r="D606" s="21" t="s">
        <v>19</v>
      </c>
      <c r="E606" s="26"/>
      <c r="F606" s="22">
        <v>48</v>
      </c>
      <c r="G606" s="23" t="s">
        <v>33</v>
      </c>
      <c r="H606" s="22">
        <v>12</v>
      </c>
      <c r="I606" s="23" t="s">
        <v>19</v>
      </c>
      <c r="J606" s="24"/>
      <c r="K606" s="21" t="s">
        <v>19</v>
      </c>
      <c r="L606" s="25">
        <v>0.1</v>
      </c>
      <c r="M606" s="25">
        <v>0.05</v>
      </c>
      <c r="N606" s="22"/>
      <c r="O606" s="23" t="s">
        <v>19</v>
      </c>
      <c r="P606" s="20">
        <f>(C606+(E606*F606*H606))-N606</f>
        <v>0</v>
      </c>
      <c r="Q606" s="23" t="s">
        <v>19</v>
      </c>
      <c r="R606" s="24">
        <f>P606*(J606-(J606*L606)-((J606-(J606*L606))*M606))</f>
        <v>0</v>
      </c>
      <c r="S606" s="8">
        <f>R606/1.11</f>
        <v>0</v>
      </c>
    </row>
    <row r="607" spans="1:19">
      <c r="A607" s="59"/>
    </row>
    <row r="608" spans="1:19">
      <c r="A608" s="66" t="s">
        <v>521</v>
      </c>
      <c r="B608" s="2" t="s">
        <v>25</v>
      </c>
      <c r="D608" s="4" t="s">
        <v>42</v>
      </c>
      <c r="F608" s="6">
        <v>1</v>
      </c>
      <c r="G608" s="7" t="s">
        <v>20</v>
      </c>
      <c r="H608" s="6">
        <v>60</v>
      </c>
      <c r="I608" s="7" t="s">
        <v>42</v>
      </c>
      <c r="J608" s="8">
        <f>2160000/60</f>
        <v>36000</v>
      </c>
      <c r="K608" s="4" t="s">
        <v>42</v>
      </c>
      <c r="M608" s="9">
        <v>0.17</v>
      </c>
      <c r="O608" s="7" t="s">
        <v>42</v>
      </c>
      <c r="P608" s="3">
        <f>(C608+(E608*F608*H608))-N608</f>
        <v>0</v>
      </c>
      <c r="Q608" s="7" t="s">
        <v>42</v>
      </c>
      <c r="R608" s="8">
        <f>P608*(J608-(J608*L608)-((J608-(J608*L608))*M608))</f>
        <v>0</v>
      </c>
      <c r="S608" s="8">
        <f>R608/1.11</f>
        <v>0</v>
      </c>
    </row>
    <row r="609" spans="1:19">
      <c r="A609" s="66" t="s">
        <v>522</v>
      </c>
      <c r="B609" s="2" t="s">
        <v>25</v>
      </c>
      <c r="D609" s="4" t="s">
        <v>42</v>
      </c>
      <c r="F609" s="6">
        <v>12</v>
      </c>
      <c r="G609" s="7" t="s">
        <v>86</v>
      </c>
      <c r="H609" s="6">
        <v>12</v>
      </c>
      <c r="I609" s="7" t="s">
        <v>42</v>
      </c>
      <c r="J609" s="8">
        <f>1555200/144</f>
        <v>10800</v>
      </c>
      <c r="K609" s="4" t="s">
        <v>42</v>
      </c>
      <c r="L609" s="9">
        <v>0.05</v>
      </c>
      <c r="M609" s="9">
        <v>0.17</v>
      </c>
      <c r="O609" s="7" t="s">
        <v>42</v>
      </c>
      <c r="P609" s="3">
        <f>(C609+(E609*F609*H609))-N609</f>
        <v>0</v>
      </c>
      <c r="Q609" s="7" t="s">
        <v>42</v>
      </c>
      <c r="R609" s="8">
        <f>P609*(J609-(J609*L609)-((J609-(J609*L609))*M609))</f>
        <v>0</v>
      </c>
      <c r="S609" s="8">
        <f>R609/1.11</f>
        <v>0</v>
      </c>
    </row>
    <row r="610" spans="1:19">
      <c r="A610" s="59"/>
    </row>
    <row r="611" spans="1:19">
      <c r="A611" s="15" t="s">
        <v>523</v>
      </c>
    </row>
    <row r="612" spans="1:19">
      <c r="A612" s="66" t="s">
        <v>524</v>
      </c>
      <c r="B612" s="2" t="s">
        <v>25</v>
      </c>
      <c r="D612" s="4" t="s">
        <v>42</v>
      </c>
      <c r="F612" s="6">
        <v>1</v>
      </c>
      <c r="G612" s="7" t="s">
        <v>20</v>
      </c>
      <c r="H612" s="6">
        <v>60</v>
      </c>
      <c r="I612" s="7" t="s">
        <v>42</v>
      </c>
      <c r="J612" s="8">
        <f>2268000/60</f>
        <v>37800</v>
      </c>
      <c r="K612" s="4" t="s">
        <v>42</v>
      </c>
      <c r="M612" s="9">
        <v>0.17</v>
      </c>
      <c r="O612" s="7" t="s">
        <v>42</v>
      </c>
      <c r="P612" s="3">
        <f>(C612+(E612*F612*H612))-N612</f>
        <v>0</v>
      </c>
      <c r="Q612" s="7" t="s">
        <v>42</v>
      </c>
      <c r="R612" s="8">
        <f>P612*(J612-(J612*L612)-((J612-(J612*L612))*M612))</f>
        <v>0</v>
      </c>
      <c r="S612" s="8">
        <f>R612/1.11</f>
        <v>0</v>
      </c>
    </row>
    <row r="614" spans="1:19">
      <c r="A614" s="31" t="s">
        <v>771</v>
      </c>
      <c r="B614" s="32" t="s">
        <v>605</v>
      </c>
      <c r="C614" s="33"/>
      <c r="D614" s="34" t="s">
        <v>158</v>
      </c>
      <c r="E614" s="35"/>
      <c r="F614" s="36">
        <v>1</v>
      </c>
      <c r="G614" s="37" t="s">
        <v>158</v>
      </c>
      <c r="H614" s="36">
        <v>1</v>
      </c>
      <c r="I614" s="37" t="s">
        <v>158</v>
      </c>
      <c r="J614" s="38">
        <v>4000</v>
      </c>
      <c r="K614" s="34" t="s">
        <v>19</v>
      </c>
      <c r="L614" s="39"/>
      <c r="M614" s="39">
        <v>1.0999999999999999E-2</v>
      </c>
      <c r="N614" s="36"/>
      <c r="O614" s="37" t="s">
        <v>19</v>
      </c>
      <c r="P614" s="33">
        <f>(C614+(E614*F614*H614))-N614</f>
        <v>0</v>
      </c>
      <c r="Q614" s="37" t="s">
        <v>19</v>
      </c>
      <c r="R614" s="38">
        <f>P614*(J614-(J614*L614)-((J614-(J614*L614))*M614))</f>
        <v>0</v>
      </c>
      <c r="S614" s="38">
        <f t="shared" ref="S614:S615" si="78">R614/1.11</f>
        <v>0</v>
      </c>
    </row>
    <row r="615" spans="1:19">
      <c r="A615" s="31" t="s">
        <v>841</v>
      </c>
      <c r="B615" s="32" t="s">
        <v>605</v>
      </c>
      <c r="C615" s="33"/>
      <c r="D615" s="34" t="s">
        <v>158</v>
      </c>
      <c r="E615" s="35"/>
      <c r="F615" s="36">
        <v>1</v>
      </c>
      <c r="G615" s="37" t="s">
        <v>158</v>
      </c>
      <c r="H615" s="36">
        <v>1</v>
      </c>
      <c r="I615" s="37" t="s">
        <v>158</v>
      </c>
      <c r="J615" s="38"/>
      <c r="K615" s="34" t="s">
        <v>19</v>
      </c>
      <c r="L615" s="39">
        <v>0.17499999999999999</v>
      </c>
      <c r="M615" s="39"/>
      <c r="N615" s="36"/>
      <c r="O615" s="37" t="s">
        <v>19</v>
      </c>
      <c r="P615" s="33">
        <f>(C615+(E615*F615*H615))-N615</f>
        <v>0</v>
      </c>
      <c r="Q615" s="37" t="s">
        <v>19</v>
      </c>
      <c r="R615" s="38">
        <f>P615*(J615-(J615*L615)-((J615-(J615*L615))*M615))</f>
        <v>0</v>
      </c>
      <c r="S615" s="38">
        <f t="shared" si="78"/>
        <v>0</v>
      </c>
    </row>
    <row r="616" spans="1:19">
      <c r="A616" s="59"/>
    </row>
    <row r="617" spans="1:19">
      <c r="A617" s="15" t="s">
        <v>525</v>
      </c>
    </row>
    <row r="618" spans="1:19" s="19" customFormat="1">
      <c r="A618" s="18" t="s">
        <v>526</v>
      </c>
      <c r="B618" s="19" t="s">
        <v>18</v>
      </c>
      <c r="C618" s="20"/>
      <c r="D618" s="21" t="s">
        <v>158</v>
      </c>
      <c r="E618" s="26"/>
      <c r="F618" s="22">
        <v>8</v>
      </c>
      <c r="G618" s="23" t="s">
        <v>33</v>
      </c>
      <c r="H618" s="22">
        <v>12</v>
      </c>
      <c r="I618" s="23" t="s">
        <v>158</v>
      </c>
      <c r="J618" s="24">
        <v>17000</v>
      </c>
      <c r="K618" s="21" t="s">
        <v>158</v>
      </c>
      <c r="L618" s="25">
        <v>0.125</v>
      </c>
      <c r="M618" s="25">
        <v>0.05</v>
      </c>
      <c r="N618" s="22"/>
      <c r="O618" s="23" t="s">
        <v>158</v>
      </c>
      <c r="P618" s="20">
        <f>(C618+(E618*F618*H618))-N618</f>
        <v>0</v>
      </c>
      <c r="Q618" s="23" t="s">
        <v>158</v>
      </c>
      <c r="R618" s="24">
        <f>P618*(J618-(J618*L618)-((J618-(J618*L618))*M618))</f>
        <v>0</v>
      </c>
      <c r="S618" s="8">
        <f>R618/1.11</f>
        <v>0</v>
      </c>
    </row>
    <row r="619" spans="1:19" s="19" customFormat="1">
      <c r="A619" s="18" t="s">
        <v>527</v>
      </c>
      <c r="B619" s="19" t="s">
        <v>18</v>
      </c>
      <c r="C619" s="20"/>
      <c r="D619" s="21" t="s">
        <v>158</v>
      </c>
      <c r="E619" s="26"/>
      <c r="F619" s="22">
        <v>8</v>
      </c>
      <c r="G619" s="23" t="s">
        <v>33</v>
      </c>
      <c r="H619" s="22">
        <v>6</v>
      </c>
      <c r="I619" s="23" t="s">
        <v>158</v>
      </c>
      <c r="J619" s="24">
        <v>34000</v>
      </c>
      <c r="K619" s="21" t="s">
        <v>158</v>
      </c>
      <c r="L619" s="25">
        <v>0.125</v>
      </c>
      <c r="M619" s="25">
        <v>0.05</v>
      </c>
      <c r="N619" s="22"/>
      <c r="O619" s="23" t="s">
        <v>158</v>
      </c>
      <c r="P619" s="20">
        <f>(C619+(E619*F619*H619))-N619</f>
        <v>0</v>
      </c>
      <c r="Q619" s="23" t="s">
        <v>158</v>
      </c>
      <c r="R619" s="24">
        <f>P619*(J619-(J619*L619)-((J619-(J619*L619))*M619))</f>
        <v>0</v>
      </c>
      <c r="S619" s="8">
        <f>R619/1.11</f>
        <v>0</v>
      </c>
    </row>
    <row r="620" spans="1:19" s="19" customFormat="1">
      <c r="A620" s="18" t="s">
        <v>528</v>
      </c>
      <c r="B620" s="19" t="s">
        <v>18</v>
      </c>
      <c r="C620" s="20"/>
      <c r="D620" s="21" t="s">
        <v>158</v>
      </c>
      <c r="E620" s="26"/>
      <c r="F620" s="22">
        <v>6</v>
      </c>
      <c r="G620" s="23" t="s">
        <v>33</v>
      </c>
      <c r="H620" s="22">
        <v>24</v>
      </c>
      <c r="I620" s="23" t="s">
        <v>158</v>
      </c>
      <c r="J620" s="24">
        <v>31500</v>
      </c>
      <c r="K620" s="21" t="s">
        <v>158</v>
      </c>
      <c r="L620" s="25">
        <v>0.125</v>
      </c>
      <c r="M620" s="25">
        <v>0.05</v>
      </c>
      <c r="N620" s="22"/>
      <c r="O620" s="23" t="s">
        <v>158</v>
      </c>
      <c r="P620" s="20">
        <f>(C620+(E620*F620*H620))-N620</f>
        <v>0</v>
      </c>
      <c r="Q620" s="23" t="s">
        <v>158</v>
      </c>
      <c r="R620" s="24">
        <f>P620*(J620-(J620*L620)-((J620-(J620*L620))*M620))</f>
        <v>0</v>
      </c>
      <c r="S620" s="8">
        <f>R620/1.11</f>
        <v>0</v>
      </c>
    </row>
    <row r="621" spans="1:19" s="19" customFormat="1">
      <c r="A621" s="18" t="s">
        <v>529</v>
      </c>
      <c r="B621" s="19" t="s">
        <v>18</v>
      </c>
      <c r="C621" s="20"/>
      <c r="D621" s="21" t="s">
        <v>158</v>
      </c>
      <c r="E621" s="26"/>
      <c r="F621" s="22">
        <v>6</v>
      </c>
      <c r="G621" s="23" t="s">
        <v>33</v>
      </c>
      <c r="H621" s="22">
        <v>12</v>
      </c>
      <c r="I621" s="23" t="s">
        <v>158</v>
      </c>
      <c r="J621" s="24">
        <v>63000</v>
      </c>
      <c r="K621" s="21" t="s">
        <v>158</v>
      </c>
      <c r="L621" s="25">
        <v>0.125</v>
      </c>
      <c r="M621" s="25">
        <v>0.05</v>
      </c>
      <c r="N621" s="22"/>
      <c r="O621" s="23" t="s">
        <v>158</v>
      </c>
      <c r="P621" s="20">
        <f>(C621+(E621*F621*H621))-N621</f>
        <v>0</v>
      </c>
      <c r="Q621" s="23" t="s">
        <v>158</v>
      </c>
      <c r="R621" s="24">
        <f>P621*(J621-(J621*L621)-((J621-(J621*L621))*M621))</f>
        <v>0</v>
      </c>
      <c r="S621" s="8">
        <f>R621/1.11</f>
        <v>0</v>
      </c>
    </row>
    <row r="622" spans="1:19" s="19" customFormat="1">
      <c r="A622" s="18" t="s">
        <v>530</v>
      </c>
      <c r="B622" s="19" t="s">
        <v>18</v>
      </c>
      <c r="C622" s="20"/>
      <c r="D622" s="21" t="s">
        <v>158</v>
      </c>
      <c r="E622" s="26"/>
      <c r="F622" s="22">
        <v>6</v>
      </c>
      <c r="G622" s="23" t="s">
        <v>33</v>
      </c>
      <c r="H622" s="22">
        <v>24</v>
      </c>
      <c r="I622" s="23" t="s">
        <v>158</v>
      </c>
      <c r="J622" s="24"/>
      <c r="K622" s="21" t="s">
        <v>158</v>
      </c>
      <c r="L622" s="25">
        <v>0.1</v>
      </c>
      <c r="M622" s="25">
        <v>0.05</v>
      </c>
      <c r="N622" s="22"/>
      <c r="O622" s="23" t="s">
        <v>158</v>
      </c>
      <c r="P622" s="20">
        <f>(C622+(E622*F622*H622))-N622</f>
        <v>0</v>
      </c>
      <c r="Q622" s="23" t="s">
        <v>158</v>
      </c>
      <c r="R622" s="24">
        <f>P622*(J622-(J622*L622)-((J622-(J622*L622))*M622))</f>
        <v>0</v>
      </c>
      <c r="S622" s="8">
        <f>R622/1.11</f>
        <v>0</v>
      </c>
    </row>
    <row r="624" spans="1:19" ht="15.75">
      <c r="A624" s="14" t="s">
        <v>430</v>
      </c>
    </row>
    <row r="625" spans="1:19" s="19" customFormat="1">
      <c r="A625" s="18" t="s">
        <v>431</v>
      </c>
      <c r="B625" s="19" t="s">
        <v>18</v>
      </c>
      <c r="C625" s="20"/>
      <c r="D625" s="21" t="s">
        <v>86</v>
      </c>
      <c r="E625" s="26"/>
      <c r="F625" s="22">
        <v>1</v>
      </c>
      <c r="G625" s="23" t="s">
        <v>20</v>
      </c>
      <c r="H625" s="22">
        <v>30</v>
      </c>
      <c r="I625" s="23" t="s">
        <v>86</v>
      </c>
      <c r="J625" s="24">
        <v>104400</v>
      </c>
      <c r="K625" s="21" t="s">
        <v>86</v>
      </c>
      <c r="L625" s="25">
        <v>0.125</v>
      </c>
      <c r="M625" s="25">
        <v>0.05</v>
      </c>
      <c r="N625" s="22"/>
      <c r="O625" s="23" t="s">
        <v>86</v>
      </c>
      <c r="P625" s="20">
        <f t="shared" ref="P625:P631" si="79">(C625+(E625*F625*H625))-N625</f>
        <v>0</v>
      </c>
      <c r="Q625" s="23" t="s">
        <v>86</v>
      </c>
      <c r="R625" s="24">
        <f t="shared" ref="R625:R631" si="80">P625*(J625-(J625*L625)-((J625-(J625*L625))*M625))</f>
        <v>0</v>
      </c>
      <c r="S625" s="24">
        <f t="shared" si="77"/>
        <v>0</v>
      </c>
    </row>
    <row r="626" spans="1:19" s="19" customFormat="1">
      <c r="A626" s="18" t="s">
        <v>663</v>
      </c>
      <c r="B626" s="19" t="s">
        <v>18</v>
      </c>
      <c r="C626" s="20"/>
      <c r="D626" s="21" t="s">
        <v>86</v>
      </c>
      <c r="E626" s="26"/>
      <c r="F626" s="22">
        <v>1</v>
      </c>
      <c r="G626" s="23" t="s">
        <v>20</v>
      </c>
      <c r="H626" s="22">
        <v>30</v>
      </c>
      <c r="I626" s="23" t="s">
        <v>86</v>
      </c>
      <c r="J626" s="24">
        <v>102000</v>
      </c>
      <c r="K626" s="21" t="s">
        <v>86</v>
      </c>
      <c r="L626" s="25">
        <v>0.125</v>
      </c>
      <c r="M626" s="25">
        <v>0.05</v>
      </c>
      <c r="N626" s="22"/>
      <c r="O626" s="23" t="s">
        <v>86</v>
      </c>
      <c r="P626" s="20">
        <f t="shared" si="79"/>
        <v>0</v>
      </c>
      <c r="Q626" s="23" t="s">
        <v>86</v>
      </c>
      <c r="R626" s="24">
        <f t="shared" si="80"/>
        <v>0</v>
      </c>
      <c r="S626" s="24">
        <f t="shared" si="77"/>
        <v>0</v>
      </c>
    </row>
    <row r="627" spans="1:19">
      <c r="A627" s="17" t="s">
        <v>432</v>
      </c>
      <c r="B627" s="2" t="s">
        <v>18</v>
      </c>
      <c r="D627" s="4" t="s">
        <v>86</v>
      </c>
      <c r="F627" s="6">
        <v>1</v>
      </c>
      <c r="G627" s="7" t="s">
        <v>20</v>
      </c>
      <c r="H627" s="6">
        <v>30</v>
      </c>
      <c r="I627" s="7" t="s">
        <v>86</v>
      </c>
      <c r="J627" s="8">
        <v>99000</v>
      </c>
      <c r="K627" s="4" t="s">
        <v>86</v>
      </c>
      <c r="L627" s="9">
        <v>0.125</v>
      </c>
      <c r="M627" s="9">
        <v>0.05</v>
      </c>
      <c r="O627" s="7" t="s">
        <v>86</v>
      </c>
      <c r="P627" s="3">
        <f t="shared" si="79"/>
        <v>0</v>
      </c>
      <c r="Q627" s="7" t="s">
        <v>86</v>
      </c>
      <c r="R627" s="8">
        <f t="shared" si="80"/>
        <v>0</v>
      </c>
      <c r="S627" s="8">
        <f t="shared" si="77"/>
        <v>0</v>
      </c>
    </row>
    <row r="628" spans="1:19">
      <c r="A628" s="17" t="s">
        <v>433</v>
      </c>
      <c r="B628" s="2" t="s">
        <v>18</v>
      </c>
      <c r="D628" s="4" t="s">
        <v>86</v>
      </c>
      <c r="F628" s="6">
        <v>1</v>
      </c>
      <c r="G628" s="7" t="s">
        <v>20</v>
      </c>
      <c r="H628" s="6">
        <v>30</v>
      </c>
      <c r="I628" s="7" t="s">
        <v>86</v>
      </c>
      <c r="J628" s="8">
        <v>96000</v>
      </c>
      <c r="K628" s="4" t="s">
        <v>86</v>
      </c>
      <c r="L628" s="9">
        <v>0.125</v>
      </c>
      <c r="M628" s="9">
        <v>0.05</v>
      </c>
      <c r="O628" s="7" t="s">
        <v>86</v>
      </c>
      <c r="P628" s="3">
        <f t="shared" si="79"/>
        <v>0</v>
      </c>
      <c r="Q628" s="7" t="s">
        <v>86</v>
      </c>
      <c r="R628" s="8">
        <f t="shared" si="80"/>
        <v>0</v>
      </c>
      <c r="S628" s="8">
        <f t="shared" si="77"/>
        <v>0</v>
      </c>
    </row>
    <row r="629" spans="1:19">
      <c r="A629" s="17" t="s">
        <v>434</v>
      </c>
      <c r="B629" s="2" t="s">
        <v>18</v>
      </c>
      <c r="D629" s="4" t="s">
        <v>86</v>
      </c>
      <c r="F629" s="6">
        <v>1</v>
      </c>
      <c r="G629" s="7" t="s">
        <v>20</v>
      </c>
      <c r="H629" s="6">
        <v>30</v>
      </c>
      <c r="I629" s="7" t="s">
        <v>86</v>
      </c>
      <c r="J629" s="8">
        <v>109000</v>
      </c>
      <c r="K629" s="4" t="s">
        <v>86</v>
      </c>
      <c r="L629" s="9">
        <v>0.125</v>
      </c>
      <c r="M629" s="9">
        <v>0.05</v>
      </c>
      <c r="O629" s="7" t="s">
        <v>86</v>
      </c>
      <c r="P629" s="3">
        <f t="shared" si="79"/>
        <v>0</v>
      </c>
      <c r="Q629" s="7" t="s">
        <v>86</v>
      </c>
      <c r="R629" s="8">
        <f t="shared" si="80"/>
        <v>0</v>
      </c>
      <c r="S629" s="8">
        <f t="shared" si="77"/>
        <v>0</v>
      </c>
    </row>
    <row r="630" spans="1:19">
      <c r="A630" s="17" t="s">
        <v>830</v>
      </c>
      <c r="B630" s="2" t="s">
        <v>18</v>
      </c>
      <c r="D630" s="4" t="s">
        <v>86</v>
      </c>
      <c r="F630" s="6">
        <v>1</v>
      </c>
      <c r="G630" s="7" t="s">
        <v>20</v>
      </c>
      <c r="H630" s="6">
        <v>30</v>
      </c>
      <c r="I630" s="7" t="s">
        <v>86</v>
      </c>
      <c r="J630" s="8">
        <v>144000</v>
      </c>
      <c r="K630" s="4" t="s">
        <v>86</v>
      </c>
      <c r="L630" s="9">
        <v>0.125</v>
      </c>
      <c r="M630" s="9">
        <v>0.05</v>
      </c>
      <c r="O630" s="7" t="s">
        <v>86</v>
      </c>
      <c r="P630" s="3">
        <f t="shared" si="79"/>
        <v>0</v>
      </c>
      <c r="Q630" s="7" t="s">
        <v>86</v>
      </c>
      <c r="R630" s="8">
        <f t="shared" si="80"/>
        <v>0</v>
      </c>
      <c r="S630" s="8">
        <f t="shared" si="77"/>
        <v>0</v>
      </c>
    </row>
    <row r="631" spans="1:19">
      <c r="A631" s="17" t="s">
        <v>765</v>
      </c>
      <c r="B631" s="2" t="s">
        <v>18</v>
      </c>
      <c r="D631" s="4" t="s">
        <v>86</v>
      </c>
      <c r="F631" s="6">
        <v>1</v>
      </c>
      <c r="G631" s="7" t="s">
        <v>20</v>
      </c>
      <c r="H631" s="6">
        <v>30</v>
      </c>
      <c r="I631" s="7" t="s">
        <v>86</v>
      </c>
      <c r="J631" s="8">
        <v>144000</v>
      </c>
      <c r="K631" s="4" t="s">
        <v>86</v>
      </c>
      <c r="L631" s="9">
        <v>0.125</v>
      </c>
      <c r="M631" s="9">
        <v>0.05</v>
      </c>
      <c r="O631" s="7" t="s">
        <v>86</v>
      </c>
      <c r="P631" s="3">
        <f t="shared" si="79"/>
        <v>0</v>
      </c>
      <c r="Q631" s="7" t="s">
        <v>86</v>
      </c>
      <c r="R631" s="8">
        <f t="shared" si="80"/>
        <v>0</v>
      </c>
      <c r="S631" s="8">
        <f t="shared" si="77"/>
        <v>0</v>
      </c>
    </row>
    <row r="633" spans="1:19" s="17" customFormat="1">
      <c r="A633" s="59" t="s">
        <v>784</v>
      </c>
      <c r="B633" s="17" t="s">
        <v>25</v>
      </c>
      <c r="C633" s="74"/>
      <c r="D633" s="75" t="s">
        <v>86</v>
      </c>
      <c r="E633" s="41"/>
      <c r="F633" s="76">
        <v>1</v>
      </c>
      <c r="G633" s="77" t="s">
        <v>20</v>
      </c>
      <c r="H633" s="76">
        <v>20</v>
      </c>
      <c r="I633" s="77" t="s">
        <v>86</v>
      </c>
      <c r="J633" s="78">
        <f>2448000/20</f>
        <v>122400</v>
      </c>
      <c r="K633" s="75" t="s">
        <v>86</v>
      </c>
      <c r="L633" s="79"/>
      <c r="M633" s="79">
        <v>0.17</v>
      </c>
      <c r="N633" s="76"/>
      <c r="O633" s="77" t="s">
        <v>86</v>
      </c>
      <c r="P633" s="74">
        <f t="shared" ref="P633:P651" si="81">(C633+(E633*F633*H633))-N633</f>
        <v>0</v>
      </c>
      <c r="Q633" s="77" t="s">
        <v>86</v>
      </c>
      <c r="R633" s="78">
        <f t="shared" ref="R633:R651" si="82">P633*(J633-(J633*L633)-((J633-(J633*L633))*M633))</f>
        <v>0</v>
      </c>
      <c r="S633" s="8">
        <f t="shared" ref="S633" si="83">R633/1.11</f>
        <v>0</v>
      </c>
    </row>
    <row r="634" spans="1:19" s="17" customFormat="1">
      <c r="A634" s="59" t="s">
        <v>435</v>
      </c>
      <c r="B634" s="17" t="s">
        <v>25</v>
      </c>
      <c r="C634" s="74"/>
      <c r="D634" s="75" t="s">
        <v>86</v>
      </c>
      <c r="E634" s="41"/>
      <c r="F634" s="76">
        <v>1</v>
      </c>
      <c r="G634" s="77" t="s">
        <v>20</v>
      </c>
      <c r="H634" s="76">
        <v>20</v>
      </c>
      <c r="I634" s="77" t="s">
        <v>86</v>
      </c>
      <c r="J634" s="78">
        <f>2160000/20</f>
        <v>108000</v>
      </c>
      <c r="K634" s="75" t="s">
        <v>86</v>
      </c>
      <c r="L634" s="79"/>
      <c r="M634" s="79">
        <v>0.17</v>
      </c>
      <c r="N634" s="76"/>
      <c r="O634" s="77" t="s">
        <v>86</v>
      </c>
      <c r="P634" s="74">
        <f t="shared" si="81"/>
        <v>0</v>
      </c>
      <c r="Q634" s="77" t="s">
        <v>86</v>
      </c>
      <c r="R634" s="78">
        <f t="shared" si="82"/>
        <v>0</v>
      </c>
      <c r="S634" s="8">
        <f t="shared" si="77"/>
        <v>0</v>
      </c>
    </row>
    <row r="635" spans="1:19" s="17" customFormat="1">
      <c r="A635" s="59" t="s">
        <v>776</v>
      </c>
      <c r="B635" s="17" t="s">
        <v>25</v>
      </c>
      <c r="C635" s="74"/>
      <c r="D635" s="75" t="s">
        <v>86</v>
      </c>
      <c r="E635" s="41"/>
      <c r="F635" s="76">
        <v>1</v>
      </c>
      <c r="G635" s="77" t="s">
        <v>20</v>
      </c>
      <c r="H635" s="76">
        <v>20</v>
      </c>
      <c r="I635" s="77" t="s">
        <v>86</v>
      </c>
      <c r="J635" s="78">
        <f>2880000/20</f>
        <v>144000</v>
      </c>
      <c r="K635" s="75" t="s">
        <v>86</v>
      </c>
      <c r="L635" s="79"/>
      <c r="M635" s="79">
        <v>0.17</v>
      </c>
      <c r="N635" s="76"/>
      <c r="O635" s="77" t="s">
        <v>86</v>
      </c>
      <c r="P635" s="74">
        <f t="shared" si="81"/>
        <v>0</v>
      </c>
      <c r="Q635" s="77" t="s">
        <v>86</v>
      </c>
      <c r="R635" s="78">
        <f t="shared" si="82"/>
        <v>0</v>
      </c>
      <c r="S635" s="8">
        <f t="shared" si="77"/>
        <v>0</v>
      </c>
    </row>
    <row r="636" spans="1:19" s="17" customFormat="1">
      <c r="A636" s="59" t="s">
        <v>666</v>
      </c>
      <c r="B636" s="17" t="s">
        <v>25</v>
      </c>
      <c r="C636" s="74"/>
      <c r="D636" s="75" t="s">
        <v>86</v>
      </c>
      <c r="E636" s="41"/>
      <c r="F636" s="76">
        <v>1</v>
      </c>
      <c r="G636" s="77" t="s">
        <v>20</v>
      </c>
      <c r="H636" s="76">
        <v>20</v>
      </c>
      <c r="I636" s="77" t="s">
        <v>86</v>
      </c>
      <c r="J636" s="78">
        <f>2448000/20</f>
        <v>122400</v>
      </c>
      <c r="K636" s="75" t="s">
        <v>86</v>
      </c>
      <c r="L636" s="79"/>
      <c r="M636" s="79">
        <v>0.17</v>
      </c>
      <c r="N636" s="76"/>
      <c r="O636" s="77" t="s">
        <v>86</v>
      </c>
      <c r="P636" s="74">
        <f t="shared" si="81"/>
        <v>0</v>
      </c>
      <c r="Q636" s="77" t="s">
        <v>86</v>
      </c>
      <c r="R636" s="78">
        <f t="shared" si="82"/>
        <v>0</v>
      </c>
      <c r="S636" s="8">
        <f t="shared" si="77"/>
        <v>0</v>
      </c>
    </row>
    <row r="637" spans="1:19" s="17" customFormat="1">
      <c r="A637" s="59" t="s">
        <v>436</v>
      </c>
      <c r="B637" s="17" t="s">
        <v>25</v>
      </c>
      <c r="C637" s="74"/>
      <c r="D637" s="75" t="s">
        <v>86</v>
      </c>
      <c r="E637" s="41"/>
      <c r="F637" s="76">
        <v>1</v>
      </c>
      <c r="G637" s="77" t="s">
        <v>20</v>
      </c>
      <c r="H637" s="76">
        <v>20</v>
      </c>
      <c r="I637" s="77" t="s">
        <v>86</v>
      </c>
      <c r="J637" s="78">
        <f>2112000/20</f>
        <v>105600</v>
      </c>
      <c r="K637" s="75" t="s">
        <v>86</v>
      </c>
      <c r="L637" s="79"/>
      <c r="M637" s="79">
        <v>0.17</v>
      </c>
      <c r="N637" s="76"/>
      <c r="O637" s="77" t="s">
        <v>86</v>
      </c>
      <c r="P637" s="74">
        <f t="shared" si="81"/>
        <v>0</v>
      </c>
      <c r="Q637" s="77" t="s">
        <v>86</v>
      </c>
      <c r="R637" s="78">
        <f t="shared" si="82"/>
        <v>0</v>
      </c>
      <c r="S637" s="8">
        <f t="shared" si="77"/>
        <v>0</v>
      </c>
    </row>
    <row r="638" spans="1:19" s="17" customFormat="1">
      <c r="A638" s="59" t="s">
        <v>437</v>
      </c>
      <c r="B638" s="17" t="s">
        <v>25</v>
      </c>
      <c r="C638" s="74"/>
      <c r="D638" s="75" t="s">
        <v>86</v>
      </c>
      <c r="E638" s="41"/>
      <c r="F638" s="76">
        <v>1</v>
      </c>
      <c r="G638" s="77" t="s">
        <v>20</v>
      </c>
      <c r="H638" s="76">
        <v>20</v>
      </c>
      <c r="I638" s="77" t="s">
        <v>86</v>
      </c>
      <c r="J638" s="78">
        <f>2448000/20</f>
        <v>122400</v>
      </c>
      <c r="K638" s="75" t="s">
        <v>86</v>
      </c>
      <c r="L638" s="79"/>
      <c r="M638" s="79">
        <v>0.17</v>
      </c>
      <c r="N638" s="76"/>
      <c r="O638" s="77" t="s">
        <v>86</v>
      </c>
      <c r="P638" s="74">
        <f t="shared" si="81"/>
        <v>0</v>
      </c>
      <c r="Q638" s="77" t="s">
        <v>86</v>
      </c>
      <c r="R638" s="78">
        <f t="shared" si="82"/>
        <v>0</v>
      </c>
      <c r="S638" s="8">
        <f t="shared" si="77"/>
        <v>0</v>
      </c>
    </row>
    <row r="639" spans="1:19" s="17" customFormat="1">
      <c r="A639" s="59" t="s">
        <v>438</v>
      </c>
      <c r="B639" s="17" t="s">
        <v>25</v>
      </c>
      <c r="C639" s="74"/>
      <c r="D639" s="75" t="s">
        <v>86</v>
      </c>
      <c r="E639" s="41"/>
      <c r="F639" s="76">
        <v>1</v>
      </c>
      <c r="G639" s="77" t="s">
        <v>20</v>
      </c>
      <c r="H639" s="76">
        <v>20</v>
      </c>
      <c r="I639" s="77" t="s">
        <v>86</v>
      </c>
      <c r="J639" s="78">
        <f>2256000/20</f>
        <v>112800</v>
      </c>
      <c r="K639" s="75" t="s">
        <v>86</v>
      </c>
      <c r="L639" s="79"/>
      <c r="M639" s="79">
        <v>0.17</v>
      </c>
      <c r="N639" s="76"/>
      <c r="O639" s="77" t="s">
        <v>86</v>
      </c>
      <c r="P639" s="74">
        <f t="shared" si="81"/>
        <v>0</v>
      </c>
      <c r="Q639" s="77" t="s">
        <v>86</v>
      </c>
      <c r="R639" s="78">
        <f t="shared" si="82"/>
        <v>0</v>
      </c>
      <c r="S639" s="8">
        <f t="shared" si="77"/>
        <v>0</v>
      </c>
    </row>
    <row r="640" spans="1:19" s="17" customFormat="1">
      <c r="A640" s="59" t="s">
        <v>439</v>
      </c>
      <c r="B640" s="17" t="s">
        <v>25</v>
      </c>
      <c r="C640" s="60"/>
      <c r="D640" s="75" t="s">
        <v>86</v>
      </c>
      <c r="E640" s="41"/>
      <c r="F640" s="76">
        <v>1</v>
      </c>
      <c r="G640" s="77" t="s">
        <v>20</v>
      </c>
      <c r="H640" s="76">
        <v>20</v>
      </c>
      <c r="I640" s="77" t="s">
        <v>86</v>
      </c>
      <c r="J640" s="78">
        <f>8500*12</f>
        <v>102000</v>
      </c>
      <c r="K640" s="75" t="s">
        <v>86</v>
      </c>
      <c r="L640" s="79"/>
      <c r="M640" s="79">
        <v>0.17</v>
      </c>
      <c r="N640" s="80"/>
      <c r="O640" s="77" t="s">
        <v>86</v>
      </c>
      <c r="P640" s="74">
        <f t="shared" si="81"/>
        <v>0</v>
      </c>
      <c r="Q640" s="77" t="s">
        <v>86</v>
      </c>
      <c r="R640" s="78">
        <f t="shared" si="82"/>
        <v>0</v>
      </c>
      <c r="S640" s="8">
        <f t="shared" si="77"/>
        <v>0</v>
      </c>
    </row>
    <row r="641" spans="1:19" s="17" customFormat="1">
      <c r="A641" s="59" t="s">
        <v>440</v>
      </c>
      <c r="B641" s="17" t="s">
        <v>25</v>
      </c>
      <c r="C641" s="60"/>
      <c r="D641" s="75" t="s">
        <v>86</v>
      </c>
      <c r="E641" s="41"/>
      <c r="F641" s="76">
        <v>1</v>
      </c>
      <c r="G641" s="77" t="s">
        <v>20</v>
      </c>
      <c r="H641" s="76">
        <v>20</v>
      </c>
      <c r="I641" s="77" t="s">
        <v>86</v>
      </c>
      <c r="J641" s="78">
        <v>103200</v>
      </c>
      <c r="K641" s="75" t="s">
        <v>86</v>
      </c>
      <c r="L641" s="79"/>
      <c r="M641" s="79">
        <v>0.17</v>
      </c>
      <c r="N641" s="76"/>
      <c r="O641" s="77" t="s">
        <v>86</v>
      </c>
      <c r="P641" s="74">
        <f t="shared" si="81"/>
        <v>0</v>
      </c>
      <c r="Q641" s="77" t="s">
        <v>86</v>
      </c>
      <c r="R641" s="78">
        <f t="shared" si="82"/>
        <v>0</v>
      </c>
      <c r="S641" s="8">
        <f t="shared" si="77"/>
        <v>0</v>
      </c>
    </row>
    <row r="642" spans="1:19">
      <c r="A642" s="17" t="s">
        <v>441</v>
      </c>
      <c r="B642" s="2" t="s">
        <v>25</v>
      </c>
      <c r="C642" s="20"/>
      <c r="D642" s="4" t="s">
        <v>86</v>
      </c>
      <c r="F642" s="6">
        <v>1</v>
      </c>
      <c r="G642" s="7" t="s">
        <v>20</v>
      </c>
      <c r="H642" s="6">
        <v>20</v>
      </c>
      <c r="I642" s="7" t="s">
        <v>86</v>
      </c>
      <c r="J642" s="8">
        <f>1980000/20</f>
        <v>99000</v>
      </c>
      <c r="K642" s="4" t="s">
        <v>86</v>
      </c>
      <c r="M642" s="9">
        <v>0.17</v>
      </c>
      <c r="O642" s="7" t="s">
        <v>86</v>
      </c>
      <c r="P642" s="3">
        <f t="shared" si="81"/>
        <v>0</v>
      </c>
      <c r="Q642" s="7" t="s">
        <v>86</v>
      </c>
      <c r="R642" s="8">
        <f t="shared" si="82"/>
        <v>0</v>
      </c>
      <c r="S642" s="8">
        <f t="shared" si="77"/>
        <v>0</v>
      </c>
    </row>
    <row r="643" spans="1:19" s="18" customFormat="1">
      <c r="A643" s="59" t="s">
        <v>442</v>
      </c>
      <c r="B643" s="18" t="s">
        <v>25</v>
      </c>
      <c r="C643" s="60"/>
      <c r="D643" s="61" t="s">
        <v>86</v>
      </c>
      <c r="E643" s="62"/>
      <c r="F643" s="63">
        <v>1</v>
      </c>
      <c r="G643" s="58" t="s">
        <v>20</v>
      </c>
      <c r="H643" s="63">
        <v>20</v>
      </c>
      <c r="I643" s="58" t="s">
        <v>86</v>
      </c>
      <c r="J643" s="29">
        <f>2208000/20</f>
        <v>110400</v>
      </c>
      <c r="K643" s="61" t="s">
        <v>86</v>
      </c>
      <c r="L643" s="64"/>
      <c r="M643" s="64">
        <v>0.17</v>
      </c>
      <c r="N643" s="63"/>
      <c r="O643" s="58" t="s">
        <v>86</v>
      </c>
      <c r="P643" s="60">
        <f t="shared" si="81"/>
        <v>0</v>
      </c>
      <c r="Q643" s="58" t="s">
        <v>86</v>
      </c>
      <c r="R643" s="29">
        <f t="shared" si="82"/>
        <v>0</v>
      </c>
      <c r="S643" s="24">
        <f t="shared" si="77"/>
        <v>0</v>
      </c>
    </row>
    <row r="644" spans="1:19" s="18" customFormat="1">
      <c r="A644" s="59" t="s">
        <v>443</v>
      </c>
      <c r="B644" s="18" t="s">
        <v>25</v>
      </c>
      <c r="C644" s="60"/>
      <c r="D644" s="61" t="s">
        <v>86</v>
      </c>
      <c r="E644" s="62"/>
      <c r="F644" s="63">
        <v>1</v>
      </c>
      <c r="G644" s="58" t="s">
        <v>20</v>
      </c>
      <c r="H644" s="63">
        <v>20</v>
      </c>
      <c r="I644" s="58" t="s">
        <v>86</v>
      </c>
      <c r="J644" s="29">
        <f>2208000/20</f>
        <v>110400</v>
      </c>
      <c r="K644" s="61" t="s">
        <v>86</v>
      </c>
      <c r="L644" s="64"/>
      <c r="M644" s="64">
        <v>0.17</v>
      </c>
      <c r="N644" s="63"/>
      <c r="O644" s="58" t="s">
        <v>86</v>
      </c>
      <c r="P644" s="60">
        <f t="shared" si="81"/>
        <v>0</v>
      </c>
      <c r="Q644" s="58" t="s">
        <v>86</v>
      </c>
      <c r="R644" s="29">
        <f t="shared" si="82"/>
        <v>0</v>
      </c>
      <c r="S644" s="24">
        <f t="shared" si="77"/>
        <v>0</v>
      </c>
    </row>
    <row r="645" spans="1:19" s="17" customFormat="1">
      <c r="A645" s="59" t="s">
        <v>444</v>
      </c>
      <c r="B645" s="17" t="s">
        <v>25</v>
      </c>
      <c r="C645" s="74"/>
      <c r="D645" s="75" t="s">
        <v>86</v>
      </c>
      <c r="E645" s="41"/>
      <c r="F645" s="76">
        <v>1</v>
      </c>
      <c r="G645" s="77" t="s">
        <v>20</v>
      </c>
      <c r="H645" s="76">
        <v>20</v>
      </c>
      <c r="I645" s="77" t="s">
        <v>86</v>
      </c>
      <c r="J645" s="78">
        <f>2112000/20</f>
        <v>105600</v>
      </c>
      <c r="K645" s="75" t="s">
        <v>86</v>
      </c>
      <c r="L645" s="79"/>
      <c r="M645" s="79">
        <v>0.17</v>
      </c>
      <c r="N645" s="76"/>
      <c r="O645" s="77" t="s">
        <v>86</v>
      </c>
      <c r="P645" s="74">
        <f t="shared" si="81"/>
        <v>0</v>
      </c>
      <c r="Q645" s="77" t="s">
        <v>86</v>
      </c>
      <c r="R645" s="78">
        <f t="shared" si="82"/>
        <v>0</v>
      </c>
      <c r="S645" s="8">
        <f t="shared" si="77"/>
        <v>0</v>
      </c>
    </row>
    <row r="646" spans="1:19" s="17" customFormat="1">
      <c r="A646" s="59" t="s">
        <v>445</v>
      </c>
      <c r="B646" s="17" t="s">
        <v>25</v>
      </c>
      <c r="C646" s="74"/>
      <c r="D646" s="75" t="s">
        <v>86</v>
      </c>
      <c r="E646" s="41"/>
      <c r="F646" s="76">
        <v>1</v>
      </c>
      <c r="G646" s="77" t="s">
        <v>20</v>
      </c>
      <c r="H646" s="76">
        <v>20</v>
      </c>
      <c r="I646" s="77" t="s">
        <v>86</v>
      </c>
      <c r="J646" s="78">
        <f>2160000/20</f>
        <v>108000</v>
      </c>
      <c r="K646" s="75" t="s">
        <v>86</v>
      </c>
      <c r="L646" s="79"/>
      <c r="M646" s="79">
        <v>0.17</v>
      </c>
      <c r="N646" s="76"/>
      <c r="O646" s="77" t="s">
        <v>86</v>
      </c>
      <c r="P646" s="74">
        <f t="shared" si="81"/>
        <v>0</v>
      </c>
      <c r="Q646" s="77" t="s">
        <v>86</v>
      </c>
      <c r="R646" s="78">
        <f t="shared" si="82"/>
        <v>0</v>
      </c>
      <c r="S646" s="8">
        <f t="shared" si="77"/>
        <v>0</v>
      </c>
    </row>
    <row r="647" spans="1:19" s="17" customFormat="1">
      <c r="A647" s="59" t="s">
        <v>446</v>
      </c>
      <c r="B647" s="17" t="s">
        <v>25</v>
      </c>
      <c r="C647" s="74"/>
      <c r="D647" s="75" t="s">
        <v>86</v>
      </c>
      <c r="E647" s="41"/>
      <c r="F647" s="76">
        <v>1</v>
      </c>
      <c r="G647" s="77" t="s">
        <v>20</v>
      </c>
      <c r="H647" s="76">
        <v>20</v>
      </c>
      <c r="I647" s="77" t="s">
        <v>86</v>
      </c>
      <c r="J647" s="78">
        <f>2160000/20</f>
        <v>108000</v>
      </c>
      <c r="K647" s="75" t="s">
        <v>86</v>
      </c>
      <c r="L647" s="79"/>
      <c r="M647" s="79">
        <v>0.17</v>
      </c>
      <c r="N647" s="76"/>
      <c r="O647" s="77" t="s">
        <v>86</v>
      </c>
      <c r="P647" s="74">
        <f t="shared" si="81"/>
        <v>0</v>
      </c>
      <c r="Q647" s="77" t="s">
        <v>86</v>
      </c>
      <c r="R647" s="78">
        <f t="shared" si="82"/>
        <v>0</v>
      </c>
      <c r="S647" s="8">
        <f t="shared" si="77"/>
        <v>0</v>
      </c>
    </row>
    <row r="648" spans="1:19" s="17" customFormat="1">
      <c r="A648" s="59" t="s">
        <v>719</v>
      </c>
      <c r="B648" s="17" t="s">
        <v>25</v>
      </c>
      <c r="C648" s="74"/>
      <c r="D648" s="75" t="s">
        <v>86</v>
      </c>
      <c r="E648" s="41"/>
      <c r="F648" s="76">
        <v>1</v>
      </c>
      <c r="G648" s="77" t="s">
        <v>20</v>
      </c>
      <c r="H648" s="76">
        <v>20</v>
      </c>
      <c r="I648" s="77" t="s">
        <v>86</v>
      </c>
      <c r="J648" s="78">
        <f>2256000/20</f>
        <v>112800</v>
      </c>
      <c r="K648" s="75" t="s">
        <v>86</v>
      </c>
      <c r="L648" s="79"/>
      <c r="M648" s="79">
        <v>0.17</v>
      </c>
      <c r="N648" s="76"/>
      <c r="O648" s="77" t="s">
        <v>86</v>
      </c>
      <c r="P648" s="74">
        <f t="shared" si="81"/>
        <v>0</v>
      </c>
      <c r="Q648" s="77" t="s">
        <v>86</v>
      </c>
      <c r="R648" s="78">
        <f t="shared" si="82"/>
        <v>0</v>
      </c>
      <c r="S648" s="8">
        <f t="shared" si="77"/>
        <v>0</v>
      </c>
    </row>
    <row r="649" spans="1:19" s="17" customFormat="1">
      <c r="A649" s="59" t="s">
        <v>447</v>
      </c>
      <c r="B649" s="17" t="s">
        <v>25</v>
      </c>
      <c r="C649" s="74"/>
      <c r="D649" s="75" t="s">
        <v>86</v>
      </c>
      <c r="E649" s="41"/>
      <c r="F649" s="76">
        <v>1</v>
      </c>
      <c r="G649" s="77" t="s">
        <v>20</v>
      </c>
      <c r="H649" s="76">
        <v>20</v>
      </c>
      <c r="I649" s="77" t="s">
        <v>86</v>
      </c>
      <c r="J649" s="78">
        <f>2112000/20</f>
        <v>105600</v>
      </c>
      <c r="K649" s="75" t="s">
        <v>86</v>
      </c>
      <c r="L649" s="79"/>
      <c r="M649" s="79">
        <v>0.17</v>
      </c>
      <c r="N649" s="76"/>
      <c r="O649" s="77" t="s">
        <v>86</v>
      </c>
      <c r="P649" s="74">
        <f t="shared" si="81"/>
        <v>0</v>
      </c>
      <c r="Q649" s="77" t="s">
        <v>86</v>
      </c>
      <c r="R649" s="78">
        <f t="shared" si="82"/>
        <v>0</v>
      </c>
      <c r="S649" s="8">
        <f t="shared" si="77"/>
        <v>0</v>
      </c>
    </row>
    <row r="650" spans="1:19" s="17" customFormat="1">
      <c r="A650" s="59" t="s">
        <v>448</v>
      </c>
      <c r="B650" s="17" t="s">
        <v>25</v>
      </c>
      <c r="C650" s="74"/>
      <c r="D650" s="75" t="s">
        <v>86</v>
      </c>
      <c r="E650" s="41"/>
      <c r="F650" s="76">
        <v>1</v>
      </c>
      <c r="G650" s="77" t="s">
        <v>20</v>
      </c>
      <c r="H650" s="76">
        <v>20</v>
      </c>
      <c r="I650" s="77" t="s">
        <v>86</v>
      </c>
      <c r="J650" s="78">
        <f>2352000/20</f>
        <v>117600</v>
      </c>
      <c r="K650" s="75" t="s">
        <v>86</v>
      </c>
      <c r="L650" s="79"/>
      <c r="M650" s="79">
        <v>0.17</v>
      </c>
      <c r="N650" s="76"/>
      <c r="O650" s="77" t="s">
        <v>86</v>
      </c>
      <c r="P650" s="74">
        <f t="shared" si="81"/>
        <v>0</v>
      </c>
      <c r="Q650" s="77" t="s">
        <v>86</v>
      </c>
      <c r="R650" s="78">
        <f t="shared" si="82"/>
        <v>0</v>
      </c>
      <c r="S650" s="8">
        <f t="shared" si="77"/>
        <v>0</v>
      </c>
    </row>
    <row r="651" spans="1:19" s="17" customFormat="1">
      <c r="A651" s="59" t="s">
        <v>777</v>
      </c>
      <c r="B651" s="17" t="s">
        <v>25</v>
      </c>
      <c r="C651" s="74"/>
      <c r="D651" s="75" t="s">
        <v>86</v>
      </c>
      <c r="E651" s="41"/>
      <c r="F651" s="76">
        <v>1</v>
      </c>
      <c r="G651" s="77" t="s">
        <v>20</v>
      </c>
      <c r="H651" s="76">
        <v>20</v>
      </c>
      <c r="I651" s="77" t="s">
        <v>86</v>
      </c>
      <c r="J651" s="78">
        <f>2256000/20</f>
        <v>112800</v>
      </c>
      <c r="K651" s="75" t="s">
        <v>86</v>
      </c>
      <c r="L651" s="79"/>
      <c r="M651" s="79">
        <v>0.17</v>
      </c>
      <c r="N651" s="76"/>
      <c r="O651" s="77" t="s">
        <v>86</v>
      </c>
      <c r="P651" s="74">
        <f t="shared" si="81"/>
        <v>0</v>
      </c>
      <c r="Q651" s="77" t="s">
        <v>86</v>
      </c>
      <c r="R651" s="78">
        <f t="shared" si="82"/>
        <v>0</v>
      </c>
      <c r="S651" s="8">
        <f t="shared" si="77"/>
        <v>0</v>
      </c>
    </row>
    <row r="652" spans="1:19" s="17" customFormat="1">
      <c r="A652" s="59"/>
      <c r="C652" s="74"/>
      <c r="D652" s="75"/>
      <c r="E652" s="41"/>
      <c r="F652" s="76"/>
      <c r="G652" s="77"/>
      <c r="H652" s="76"/>
      <c r="I652" s="77"/>
      <c r="J652" s="78"/>
      <c r="K652" s="75"/>
      <c r="L652" s="79"/>
      <c r="M652" s="79"/>
      <c r="N652" s="76"/>
      <c r="O652" s="77"/>
      <c r="P652" s="74"/>
      <c r="Q652" s="77"/>
      <c r="R652" s="78"/>
      <c r="S652" s="8"/>
    </row>
    <row r="653" spans="1:19" s="17" customFormat="1">
      <c r="A653" s="59" t="s">
        <v>449</v>
      </c>
      <c r="B653" s="17" t="s">
        <v>188</v>
      </c>
      <c r="C653" s="74"/>
      <c r="D653" s="75" t="s">
        <v>86</v>
      </c>
      <c r="E653" s="41"/>
      <c r="F653" s="76">
        <v>1</v>
      </c>
      <c r="G653" s="77" t="s">
        <v>20</v>
      </c>
      <c r="H653" s="76">
        <v>30</v>
      </c>
      <c r="I653" s="77" t="s">
        <v>86</v>
      </c>
      <c r="J653" s="78">
        <v>155000</v>
      </c>
      <c r="K653" s="75" t="s">
        <v>86</v>
      </c>
      <c r="L653" s="79"/>
      <c r="M653" s="79"/>
      <c r="N653" s="76"/>
      <c r="O653" s="77" t="s">
        <v>86</v>
      </c>
      <c r="P653" s="74">
        <f>(C653+(E653*F653*H653))-N653</f>
        <v>0</v>
      </c>
      <c r="Q653" s="77" t="s">
        <v>86</v>
      </c>
      <c r="R653" s="78">
        <f>P653*(J653-(J653*L653)-((J653-(J653*L653))*M653))</f>
        <v>0</v>
      </c>
      <c r="S653" s="8">
        <f t="shared" si="77"/>
        <v>0</v>
      </c>
    </row>
    <row r="654" spans="1:19" s="17" customFormat="1">
      <c r="A654" s="59"/>
      <c r="C654" s="74"/>
      <c r="D654" s="75"/>
      <c r="E654" s="41"/>
      <c r="F654" s="76"/>
      <c r="G654" s="77"/>
      <c r="H654" s="76"/>
      <c r="I654" s="77"/>
      <c r="J654" s="78"/>
      <c r="K654" s="75"/>
      <c r="L654" s="79"/>
      <c r="M654" s="79"/>
      <c r="N654" s="76"/>
      <c r="O654" s="77"/>
      <c r="P654" s="74"/>
      <c r="Q654" s="77"/>
      <c r="R654" s="78"/>
      <c r="S654" s="8"/>
    </row>
    <row r="655" spans="1:19">
      <c r="A655" s="15" t="s">
        <v>450</v>
      </c>
    </row>
    <row r="656" spans="1:19">
      <c r="A656" s="17" t="s">
        <v>451</v>
      </c>
      <c r="B656" s="2" t="s">
        <v>188</v>
      </c>
      <c r="D656" s="4" t="s">
        <v>33</v>
      </c>
      <c r="F656" s="6">
        <v>1</v>
      </c>
      <c r="G656" s="7" t="s">
        <v>20</v>
      </c>
      <c r="H656" s="6">
        <v>40</v>
      </c>
      <c r="I656" s="7" t="s">
        <v>33</v>
      </c>
      <c r="J656" s="8">
        <v>33600</v>
      </c>
      <c r="K656" s="4" t="s">
        <v>33</v>
      </c>
      <c r="O656" s="7" t="s">
        <v>33</v>
      </c>
      <c r="P656" s="3">
        <f>(C656+(E656*F656*H656))-N656</f>
        <v>0</v>
      </c>
      <c r="Q656" s="7" t="s">
        <v>33</v>
      </c>
      <c r="R656" s="8">
        <f>P656*(J656-(J656*L656)-((J656-(J656*L656))*M656))</f>
        <v>0</v>
      </c>
      <c r="S656" s="8">
        <f t="shared" si="77"/>
        <v>0</v>
      </c>
    </row>
    <row r="657" spans="1:19">
      <c r="A657" s="17" t="s">
        <v>452</v>
      </c>
      <c r="B657" s="2" t="s">
        <v>188</v>
      </c>
      <c r="D657" s="4" t="s">
        <v>33</v>
      </c>
      <c r="F657" s="6">
        <v>1</v>
      </c>
      <c r="G657" s="7" t="s">
        <v>20</v>
      </c>
      <c r="H657" s="6">
        <v>40</v>
      </c>
      <c r="I657" s="7" t="s">
        <v>33</v>
      </c>
      <c r="J657" s="8">
        <v>33600</v>
      </c>
      <c r="K657" s="4" t="s">
        <v>33</v>
      </c>
      <c r="O657" s="7" t="s">
        <v>33</v>
      </c>
      <c r="P657" s="3">
        <f>(C657+(E657*F657*H657))-N657</f>
        <v>0</v>
      </c>
      <c r="Q657" s="7" t="s">
        <v>33</v>
      </c>
      <c r="R657" s="8">
        <f>P657*(J657-(J657*L657)-((J657-(J657*L657))*M657))</f>
        <v>0</v>
      </c>
      <c r="S657" s="8">
        <f t="shared" si="77"/>
        <v>0</v>
      </c>
    </row>
    <row r="658" spans="1:19">
      <c r="A658" s="17" t="s">
        <v>453</v>
      </c>
      <c r="B658" s="2" t="s">
        <v>188</v>
      </c>
      <c r="D658" s="4" t="s">
        <v>33</v>
      </c>
      <c r="F658" s="6">
        <v>1</v>
      </c>
      <c r="G658" s="7" t="s">
        <v>20</v>
      </c>
      <c r="H658" s="6">
        <v>40</v>
      </c>
      <c r="I658" s="7" t="s">
        <v>33</v>
      </c>
      <c r="J658" s="8">
        <v>33600</v>
      </c>
      <c r="K658" s="4" t="s">
        <v>33</v>
      </c>
      <c r="O658" s="7" t="s">
        <v>33</v>
      </c>
      <c r="P658" s="3">
        <f>(C658+(E658*F658*H658))-N658</f>
        <v>0</v>
      </c>
      <c r="Q658" s="7" t="s">
        <v>33</v>
      </c>
      <c r="R658" s="8">
        <f>P658*(J658-(J658*L658)-((J658-(J658*L658))*M658))</f>
        <v>0</v>
      </c>
      <c r="S658" s="8">
        <f t="shared" si="77"/>
        <v>0</v>
      </c>
    </row>
    <row r="659" spans="1:19">
      <c r="A659" s="17" t="s">
        <v>454</v>
      </c>
      <c r="B659" s="2" t="s">
        <v>188</v>
      </c>
      <c r="C659" s="20"/>
      <c r="D659" s="4" t="s">
        <v>33</v>
      </c>
      <c r="F659" s="6">
        <v>1</v>
      </c>
      <c r="G659" s="7" t="s">
        <v>20</v>
      </c>
      <c r="H659" s="6">
        <v>40</v>
      </c>
      <c r="I659" s="7" t="s">
        <v>33</v>
      </c>
      <c r="J659" s="8">
        <v>33600</v>
      </c>
      <c r="K659" s="4" t="s">
        <v>33</v>
      </c>
      <c r="O659" s="7" t="s">
        <v>33</v>
      </c>
      <c r="P659" s="3">
        <f>(C659+(E659*F659*H659))-N659</f>
        <v>0</v>
      </c>
      <c r="Q659" s="7" t="s">
        <v>33</v>
      </c>
      <c r="R659" s="8">
        <f>P659*(J659-(J659*L659)-((J659-(J659*L659))*M659))</f>
        <v>0</v>
      </c>
      <c r="S659" s="8">
        <f t="shared" si="77"/>
        <v>0</v>
      </c>
    </row>
    <row r="660" spans="1:19">
      <c r="A660" s="17" t="s">
        <v>455</v>
      </c>
      <c r="B660" s="2" t="s">
        <v>188</v>
      </c>
      <c r="C660" s="20"/>
      <c r="D660" s="4" t="s">
        <v>33</v>
      </c>
      <c r="F660" s="6">
        <v>1</v>
      </c>
      <c r="G660" s="7" t="s">
        <v>20</v>
      </c>
      <c r="H660" s="6">
        <v>24</v>
      </c>
      <c r="I660" s="7" t="s">
        <v>33</v>
      </c>
      <c r="J660" s="8">
        <v>38400</v>
      </c>
      <c r="K660" s="4" t="s">
        <v>33</v>
      </c>
      <c r="O660" s="7" t="s">
        <v>33</v>
      </c>
      <c r="P660" s="3">
        <f>(C660+(E660*F660*H660))-N660</f>
        <v>0</v>
      </c>
      <c r="Q660" s="7" t="s">
        <v>33</v>
      </c>
      <c r="R660" s="8">
        <f>P660*(J660-(J660*L660)-((J660-(J660*L660))*M660))</f>
        <v>0</v>
      </c>
      <c r="S660" s="8">
        <f t="shared" si="77"/>
        <v>0</v>
      </c>
    </row>
    <row r="661" spans="1:19">
      <c r="C661" s="20"/>
    </row>
    <row r="662" spans="1:19">
      <c r="A662" s="15" t="s">
        <v>456</v>
      </c>
      <c r="C662" s="20"/>
    </row>
    <row r="663" spans="1:19">
      <c r="A663" s="73" t="s">
        <v>457</v>
      </c>
      <c r="B663" s="2" t="s">
        <v>18</v>
      </c>
      <c r="C663" s="20"/>
      <c r="D663" s="4" t="s">
        <v>86</v>
      </c>
      <c r="F663" s="6">
        <v>1</v>
      </c>
      <c r="G663" s="7" t="s">
        <v>20</v>
      </c>
      <c r="H663" s="6">
        <v>12</v>
      </c>
      <c r="I663" s="7" t="s">
        <v>86</v>
      </c>
      <c r="J663" s="8">
        <v>255600</v>
      </c>
      <c r="K663" s="4" t="s">
        <v>86</v>
      </c>
      <c r="L663" s="9">
        <v>0.125</v>
      </c>
      <c r="M663" s="9">
        <v>0.05</v>
      </c>
      <c r="O663" s="7" t="s">
        <v>86</v>
      </c>
      <c r="P663" s="3">
        <f>(C663+(E663*F663*H663))-N663</f>
        <v>0</v>
      </c>
      <c r="Q663" s="7" t="s">
        <v>86</v>
      </c>
      <c r="R663" s="8">
        <f>P663*(J663-(J663*L663)-((J663-(J663*L663))*M663))</f>
        <v>0</v>
      </c>
      <c r="S663" s="8">
        <f t="shared" ref="S663:S664" si="84">R663/1.11</f>
        <v>0</v>
      </c>
    </row>
    <row r="664" spans="1:19">
      <c r="A664" s="73" t="s">
        <v>458</v>
      </c>
      <c r="B664" s="2" t="s">
        <v>25</v>
      </c>
      <c r="C664" s="20"/>
      <c r="D664" s="4" t="s">
        <v>42</v>
      </c>
      <c r="F664" s="6">
        <v>12</v>
      </c>
      <c r="G664" s="7" t="s">
        <v>33</v>
      </c>
      <c r="H664" s="6">
        <v>6</v>
      </c>
      <c r="I664" s="7" t="s">
        <v>42</v>
      </c>
      <c r="J664" s="8">
        <v>21000</v>
      </c>
      <c r="K664" s="4" t="s">
        <v>42</v>
      </c>
      <c r="M664" s="9">
        <v>0.17</v>
      </c>
      <c r="O664" s="7" t="s">
        <v>42</v>
      </c>
      <c r="P664" s="3">
        <f>(C664+(E664*F664*H664))-N664</f>
        <v>0</v>
      </c>
      <c r="Q664" s="7" t="s">
        <v>42</v>
      </c>
      <c r="R664" s="8">
        <f>P664*(J664-(J664*L664)-((J664-(J664*L664))*M664))</f>
        <v>0</v>
      </c>
      <c r="S664" s="8">
        <f t="shared" si="84"/>
        <v>0</v>
      </c>
    </row>
    <row r="665" spans="1:19">
      <c r="A665" s="73"/>
      <c r="C665" s="20"/>
    </row>
    <row r="666" spans="1:19">
      <c r="A666" s="15" t="s">
        <v>459</v>
      </c>
      <c r="C666" s="20"/>
    </row>
    <row r="667" spans="1:19">
      <c r="A667" s="73" t="s">
        <v>460</v>
      </c>
      <c r="B667" s="2" t="s">
        <v>18</v>
      </c>
      <c r="C667" s="20"/>
      <c r="D667" s="4" t="s">
        <v>42</v>
      </c>
      <c r="F667" s="6">
        <v>1</v>
      </c>
      <c r="G667" s="7" t="s">
        <v>20</v>
      </c>
      <c r="H667" s="6">
        <v>144</v>
      </c>
      <c r="I667" s="7" t="s">
        <v>42</v>
      </c>
      <c r="J667" s="8">
        <v>49200</v>
      </c>
      <c r="K667" s="4" t="s">
        <v>42</v>
      </c>
      <c r="L667" s="9">
        <v>0.125</v>
      </c>
      <c r="M667" s="9">
        <v>0.05</v>
      </c>
      <c r="O667" s="7" t="s">
        <v>42</v>
      </c>
      <c r="P667" s="3">
        <f t="shared" ref="P667:P673" si="85">(C667+(E667*F667*H667))-N667</f>
        <v>0</v>
      </c>
      <c r="Q667" s="7" t="s">
        <v>42</v>
      </c>
      <c r="R667" s="8">
        <f t="shared" ref="R667:R673" si="86">P667*(J667-(J667*L667)-((J667-(J667*L667))*M667))</f>
        <v>0</v>
      </c>
      <c r="S667" s="8">
        <f t="shared" si="77"/>
        <v>0</v>
      </c>
    </row>
    <row r="668" spans="1:19" s="19" customFormat="1">
      <c r="A668" s="73" t="s">
        <v>461</v>
      </c>
      <c r="B668" s="19" t="s">
        <v>18</v>
      </c>
      <c r="C668" s="20"/>
      <c r="D668" s="21" t="s">
        <v>42</v>
      </c>
      <c r="E668" s="26"/>
      <c r="F668" s="22">
        <v>1</v>
      </c>
      <c r="G668" s="23" t="s">
        <v>20</v>
      </c>
      <c r="H668" s="22">
        <v>120</v>
      </c>
      <c r="I668" s="23" t="s">
        <v>42</v>
      </c>
      <c r="J668" s="24">
        <v>30600</v>
      </c>
      <c r="K668" s="21" t="s">
        <v>42</v>
      </c>
      <c r="L668" s="25">
        <v>0.125</v>
      </c>
      <c r="M668" s="25">
        <v>0.05</v>
      </c>
      <c r="N668" s="22"/>
      <c r="O668" s="23" t="s">
        <v>42</v>
      </c>
      <c r="P668" s="20">
        <f t="shared" si="85"/>
        <v>0</v>
      </c>
      <c r="Q668" s="23" t="s">
        <v>42</v>
      </c>
      <c r="R668" s="24">
        <f t="shared" si="86"/>
        <v>0</v>
      </c>
      <c r="S668" s="24">
        <f t="shared" si="77"/>
        <v>0</v>
      </c>
    </row>
    <row r="669" spans="1:19">
      <c r="A669" s="73" t="s">
        <v>462</v>
      </c>
      <c r="B669" s="2" t="s">
        <v>18</v>
      </c>
      <c r="D669" s="4" t="s">
        <v>42</v>
      </c>
      <c r="F669" s="6">
        <v>1</v>
      </c>
      <c r="G669" s="7" t="s">
        <v>20</v>
      </c>
      <c r="H669" s="6">
        <v>144</v>
      </c>
      <c r="I669" s="7" t="s">
        <v>42</v>
      </c>
      <c r="J669" s="8">
        <v>23400</v>
      </c>
      <c r="K669" s="4" t="s">
        <v>42</v>
      </c>
      <c r="L669" s="9">
        <v>0.125</v>
      </c>
      <c r="M669" s="9">
        <v>0.05</v>
      </c>
      <c r="O669" s="7" t="s">
        <v>42</v>
      </c>
      <c r="P669" s="3">
        <f t="shared" si="85"/>
        <v>0</v>
      </c>
      <c r="Q669" s="7" t="s">
        <v>42</v>
      </c>
      <c r="R669" s="8">
        <f t="shared" si="86"/>
        <v>0</v>
      </c>
      <c r="S669" s="8">
        <f t="shared" si="77"/>
        <v>0</v>
      </c>
    </row>
    <row r="670" spans="1:19">
      <c r="A670" s="73" t="s">
        <v>463</v>
      </c>
      <c r="B670" s="2" t="s">
        <v>18</v>
      </c>
      <c r="D670" s="4" t="s">
        <v>42</v>
      </c>
      <c r="F670" s="6">
        <v>1</v>
      </c>
      <c r="G670" s="7" t="s">
        <v>20</v>
      </c>
      <c r="H670" s="6">
        <v>144</v>
      </c>
      <c r="I670" s="7" t="s">
        <v>42</v>
      </c>
      <c r="J670" s="8">
        <v>40800</v>
      </c>
      <c r="K670" s="4" t="s">
        <v>42</v>
      </c>
      <c r="L670" s="9">
        <v>0.125</v>
      </c>
      <c r="M670" s="9">
        <v>0.05</v>
      </c>
      <c r="O670" s="7" t="s">
        <v>42</v>
      </c>
      <c r="P670" s="3">
        <f t="shared" si="85"/>
        <v>0</v>
      </c>
      <c r="Q670" s="7" t="s">
        <v>42</v>
      </c>
      <c r="R670" s="8">
        <f t="shared" si="86"/>
        <v>0</v>
      </c>
      <c r="S670" s="8">
        <f t="shared" si="77"/>
        <v>0</v>
      </c>
    </row>
    <row r="671" spans="1:19">
      <c r="A671" s="73" t="s">
        <v>766</v>
      </c>
      <c r="B671" s="2" t="s">
        <v>18</v>
      </c>
      <c r="D671" s="4" t="s">
        <v>42</v>
      </c>
      <c r="F671" s="6">
        <v>1</v>
      </c>
      <c r="G671" s="7" t="s">
        <v>20</v>
      </c>
      <c r="H671" s="6">
        <v>144</v>
      </c>
      <c r="I671" s="7" t="s">
        <v>42</v>
      </c>
      <c r="J671" s="8">
        <v>40800</v>
      </c>
      <c r="K671" s="4" t="s">
        <v>42</v>
      </c>
      <c r="L671" s="9">
        <v>0.125</v>
      </c>
      <c r="M671" s="9">
        <v>0.05</v>
      </c>
      <c r="O671" s="7" t="s">
        <v>42</v>
      </c>
      <c r="P671" s="3">
        <f t="shared" si="85"/>
        <v>0</v>
      </c>
      <c r="Q671" s="7" t="s">
        <v>42</v>
      </c>
      <c r="R671" s="8">
        <f t="shared" si="86"/>
        <v>0</v>
      </c>
      <c r="S671" s="8">
        <f t="shared" si="77"/>
        <v>0</v>
      </c>
    </row>
    <row r="672" spans="1:19">
      <c r="A672" s="73" t="s">
        <v>464</v>
      </c>
      <c r="B672" s="2" t="s">
        <v>18</v>
      </c>
      <c r="D672" s="4" t="s">
        <v>42</v>
      </c>
      <c r="F672" s="6">
        <v>1</v>
      </c>
      <c r="G672" s="7" t="s">
        <v>20</v>
      </c>
      <c r="H672" s="6">
        <v>144</v>
      </c>
      <c r="I672" s="7" t="s">
        <v>42</v>
      </c>
      <c r="J672" s="8">
        <v>36000</v>
      </c>
      <c r="K672" s="4" t="s">
        <v>42</v>
      </c>
      <c r="L672" s="9">
        <v>0.125</v>
      </c>
      <c r="M672" s="9">
        <v>0.05</v>
      </c>
      <c r="O672" s="7" t="s">
        <v>42</v>
      </c>
      <c r="P672" s="3">
        <f t="shared" si="85"/>
        <v>0</v>
      </c>
      <c r="Q672" s="7" t="s">
        <v>42</v>
      </c>
      <c r="R672" s="8">
        <f t="shared" si="86"/>
        <v>0</v>
      </c>
      <c r="S672" s="8">
        <f t="shared" si="77"/>
        <v>0</v>
      </c>
    </row>
    <row r="673" spans="1:19">
      <c r="A673" s="73" t="s">
        <v>827</v>
      </c>
      <c r="B673" s="2" t="s">
        <v>18</v>
      </c>
      <c r="D673" s="4" t="s">
        <v>42</v>
      </c>
      <c r="F673" s="6">
        <v>1</v>
      </c>
      <c r="G673" s="7" t="s">
        <v>20</v>
      </c>
      <c r="H673" s="6">
        <v>144</v>
      </c>
      <c r="I673" s="7" t="s">
        <v>42</v>
      </c>
      <c r="J673" s="8">
        <v>25200</v>
      </c>
      <c r="K673" s="4" t="s">
        <v>42</v>
      </c>
      <c r="L673" s="9">
        <v>0.125</v>
      </c>
      <c r="M673" s="9">
        <v>0.05</v>
      </c>
      <c r="O673" s="7" t="s">
        <v>42</v>
      </c>
      <c r="P673" s="3">
        <f t="shared" si="85"/>
        <v>0</v>
      </c>
      <c r="Q673" s="7" t="s">
        <v>42</v>
      </c>
      <c r="R673" s="8">
        <f t="shared" si="86"/>
        <v>0</v>
      </c>
      <c r="S673" s="8">
        <f t="shared" si="77"/>
        <v>0</v>
      </c>
    </row>
    <row r="674" spans="1:19">
      <c r="A674" s="73"/>
    </row>
    <row r="675" spans="1:19">
      <c r="A675" s="17" t="s">
        <v>465</v>
      </c>
      <c r="B675" s="2" t="s">
        <v>25</v>
      </c>
      <c r="D675" s="4" t="s">
        <v>42</v>
      </c>
      <c r="F675" s="6">
        <v>1</v>
      </c>
      <c r="G675" s="7" t="s">
        <v>20</v>
      </c>
      <c r="H675" s="6">
        <v>144</v>
      </c>
      <c r="I675" s="7" t="s">
        <v>42</v>
      </c>
      <c r="J675" s="8">
        <f>6739200/144</f>
        <v>46800</v>
      </c>
      <c r="K675" s="4" t="s">
        <v>42</v>
      </c>
      <c r="M675" s="9">
        <v>0.17</v>
      </c>
      <c r="O675" s="7" t="s">
        <v>42</v>
      </c>
      <c r="P675" s="3">
        <f>(C675+(E675*F675*H675))-N675</f>
        <v>0</v>
      </c>
      <c r="Q675" s="7" t="s">
        <v>42</v>
      </c>
      <c r="R675" s="8">
        <f>P675*(J675-(J675*L675)-((J675-(J675*L675))*M675))</f>
        <v>0</v>
      </c>
      <c r="S675" s="8">
        <f t="shared" si="77"/>
        <v>0</v>
      </c>
    </row>
    <row r="676" spans="1:19">
      <c r="A676" s="17" t="s">
        <v>466</v>
      </c>
      <c r="B676" s="2" t="s">
        <v>25</v>
      </c>
      <c r="C676" s="20"/>
      <c r="D676" s="4" t="s">
        <v>42</v>
      </c>
      <c r="F676" s="6">
        <v>1</v>
      </c>
      <c r="G676" s="7" t="s">
        <v>20</v>
      </c>
      <c r="H676" s="6">
        <v>144</v>
      </c>
      <c r="I676" s="7" t="s">
        <v>42</v>
      </c>
      <c r="J676" s="8">
        <f>4492800/144</f>
        <v>31200</v>
      </c>
      <c r="K676" s="4" t="s">
        <v>42</v>
      </c>
      <c r="M676" s="9">
        <v>0.17</v>
      </c>
      <c r="O676" s="7" t="s">
        <v>42</v>
      </c>
      <c r="P676" s="3">
        <f>(C676+(E676*F676*H676))-N676</f>
        <v>0</v>
      </c>
      <c r="Q676" s="7" t="s">
        <v>42</v>
      </c>
      <c r="R676" s="8">
        <f>P676*(J676-(J676*L676)-((J676-(J676*L676))*M676))</f>
        <v>0</v>
      </c>
      <c r="S676" s="8">
        <f t="shared" si="77"/>
        <v>0</v>
      </c>
    </row>
    <row r="677" spans="1:19">
      <c r="A677" s="17" t="s">
        <v>467</v>
      </c>
      <c r="B677" s="2" t="s">
        <v>25</v>
      </c>
      <c r="C677" s="20"/>
      <c r="D677" s="4" t="s">
        <v>42</v>
      </c>
      <c r="F677" s="6">
        <v>1</v>
      </c>
      <c r="G677" s="7" t="s">
        <v>20</v>
      </c>
      <c r="H677" s="6">
        <v>144</v>
      </c>
      <c r="I677" s="7" t="s">
        <v>42</v>
      </c>
      <c r="J677" s="8">
        <v>29400</v>
      </c>
      <c r="K677" s="4" t="s">
        <v>42</v>
      </c>
      <c r="M677" s="9">
        <v>0.17</v>
      </c>
      <c r="O677" s="7" t="s">
        <v>42</v>
      </c>
      <c r="P677" s="3">
        <f>(C677+(E677*F677*H677))-N677</f>
        <v>0</v>
      </c>
      <c r="Q677" s="7" t="s">
        <v>42</v>
      </c>
      <c r="R677" s="8">
        <f>P677*(J677-(J677*L677)-((J677-(J677*L677))*M677))</f>
        <v>0</v>
      </c>
      <c r="S677" s="8">
        <f t="shared" si="77"/>
        <v>0</v>
      </c>
    </row>
    <row r="678" spans="1:19">
      <c r="A678" s="17" t="s">
        <v>468</v>
      </c>
      <c r="B678" s="2" t="s">
        <v>25</v>
      </c>
      <c r="C678" s="20"/>
      <c r="D678" s="4" t="s">
        <v>42</v>
      </c>
      <c r="F678" s="6">
        <v>1</v>
      </c>
      <c r="G678" s="7" t="s">
        <v>20</v>
      </c>
      <c r="H678" s="6">
        <v>144</v>
      </c>
      <c r="I678" s="7" t="s">
        <v>42</v>
      </c>
      <c r="J678" s="8">
        <f>2764800/144</f>
        <v>19200</v>
      </c>
      <c r="K678" s="4" t="s">
        <v>42</v>
      </c>
      <c r="M678" s="9">
        <v>0.17</v>
      </c>
      <c r="O678" s="7" t="s">
        <v>42</v>
      </c>
      <c r="P678" s="3">
        <f>(C678+(E678*F678*H678))-N678</f>
        <v>0</v>
      </c>
      <c r="Q678" s="7" t="s">
        <v>42</v>
      </c>
      <c r="R678" s="8">
        <f>P678*(J678-(J678*L678)-((J678-(J678*L678))*M678))</f>
        <v>0</v>
      </c>
      <c r="S678" s="8">
        <f t="shared" ref="S678:S770" si="87">R678/1.11</f>
        <v>0</v>
      </c>
    </row>
    <row r="679" spans="1:19">
      <c r="A679" s="17" t="s">
        <v>469</v>
      </c>
      <c r="B679" s="2" t="s">
        <v>25</v>
      </c>
      <c r="C679" s="20"/>
      <c r="D679" s="4" t="s">
        <v>42</v>
      </c>
      <c r="F679" s="6">
        <v>1</v>
      </c>
      <c r="G679" s="7" t="s">
        <v>20</v>
      </c>
      <c r="H679" s="6">
        <v>144</v>
      </c>
      <c r="I679" s="7" t="s">
        <v>42</v>
      </c>
      <c r="J679" s="8">
        <f>3369600/144</f>
        <v>23400</v>
      </c>
      <c r="K679" s="4" t="s">
        <v>42</v>
      </c>
      <c r="M679" s="9">
        <v>0.17</v>
      </c>
      <c r="O679" s="7" t="s">
        <v>42</v>
      </c>
      <c r="P679" s="3">
        <f>(C679+(E679*F679*H679))-N679</f>
        <v>0</v>
      </c>
      <c r="Q679" s="7" t="s">
        <v>42</v>
      </c>
      <c r="R679" s="8">
        <f>P679*(J679-(J679*L679)-((J679-(J679*L679))*M679))</f>
        <v>0</v>
      </c>
      <c r="S679" s="8">
        <f t="shared" si="87"/>
        <v>0</v>
      </c>
    </row>
    <row r="680" spans="1:19">
      <c r="C680" s="20"/>
    </row>
    <row r="681" spans="1:19">
      <c r="A681" s="17" t="s">
        <v>470</v>
      </c>
      <c r="B681" s="2" t="s">
        <v>267</v>
      </c>
      <c r="C681" s="20"/>
      <c r="D681" s="4" t="s">
        <v>42</v>
      </c>
      <c r="F681" s="6">
        <v>1</v>
      </c>
      <c r="G681" s="7" t="s">
        <v>20</v>
      </c>
      <c r="H681" s="6">
        <v>144</v>
      </c>
      <c r="I681" s="7" t="s">
        <v>42</v>
      </c>
      <c r="J681" s="8">
        <v>12500</v>
      </c>
      <c r="K681" s="4" t="s">
        <v>42</v>
      </c>
      <c r="O681" s="7" t="s">
        <v>42</v>
      </c>
      <c r="P681" s="3">
        <f>(C681+(E681*F681*H681))-N681</f>
        <v>0</v>
      </c>
      <c r="Q681" s="7" t="s">
        <v>42</v>
      </c>
      <c r="R681" s="8">
        <f>P681*(J681-(J681*L681)-((J681-(J681*L681))*M681))</f>
        <v>0</v>
      </c>
      <c r="S681" s="8">
        <f>R681/1.11</f>
        <v>0</v>
      </c>
    </row>
    <row r="682" spans="1:19">
      <c r="A682" s="17" t="s">
        <v>471</v>
      </c>
      <c r="B682" s="2" t="s">
        <v>267</v>
      </c>
      <c r="C682" s="20"/>
      <c r="D682" s="4" t="s">
        <v>42</v>
      </c>
      <c r="F682" s="6">
        <v>1</v>
      </c>
      <c r="G682" s="7" t="s">
        <v>20</v>
      </c>
      <c r="H682" s="6">
        <v>144</v>
      </c>
      <c r="I682" s="7" t="s">
        <v>42</v>
      </c>
      <c r="J682" s="8">
        <v>12500</v>
      </c>
      <c r="K682" s="4" t="s">
        <v>42</v>
      </c>
      <c r="O682" s="7" t="s">
        <v>42</v>
      </c>
      <c r="P682" s="3">
        <f>(C682+(E682*F682*H682))-N682</f>
        <v>0</v>
      </c>
      <c r="Q682" s="7" t="s">
        <v>42</v>
      </c>
      <c r="R682" s="8">
        <f>P682*(J682-(J682*L682)-((J682-(J682*L682))*M682))</f>
        <v>0</v>
      </c>
      <c r="S682" s="8">
        <f>R682/1.11</f>
        <v>0</v>
      </c>
    </row>
    <row r="683" spans="1:19">
      <c r="A683" s="17" t="s">
        <v>472</v>
      </c>
      <c r="B683" s="2" t="s">
        <v>267</v>
      </c>
      <c r="D683" s="4" t="s">
        <v>42</v>
      </c>
      <c r="F683" s="6">
        <v>1</v>
      </c>
      <c r="G683" s="7" t="s">
        <v>20</v>
      </c>
      <c r="H683" s="6">
        <v>96</v>
      </c>
      <c r="I683" s="7" t="s">
        <v>42</v>
      </c>
      <c r="J683" s="8">
        <v>27500</v>
      </c>
      <c r="K683" s="4" t="s">
        <v>42</v>
      </c>
      <c r="O683" s="7" t="s">
        <v>42</v>
      </c>
      <c r="P683" s="3">
        <f>(C683+(E683*F683*H683))-N683</f>
        <v>0</v>
      </c>
      <c r="Q683" s="7" t="s">
        <v>42</v>
      </c>
      <c r="R683" s="8">
        <f>P683*(J683-(J683*L683)-((J683-(J683*L683))*M683))</f>
        <v>0</v>
      </c>
      <c r="S683" s="8">
        <f>R683/1.11</f>
        <v>0</v>
      </c>
    </row>
    <row r="685" spans="1:19">
      <c r="A685" s="15" t="s">
        <v>674</v>
      </c>
    </row>
    <row r="686" spans="1:19">
      <c r="A686" s="73" t="s">
        <v>675</v>
      </c>
      <c r="B686" s="2" t="s">
        <v>18</v>
      </c>
      <c r="D686" s="4" t="s">
        <v>86</v>
      </c>
      <c r="F686" s="6">
        <v>1</v>
      </c>
      <c r="G686" s="7" t="s">
        <v>20</v>
      </c>
      <c r="H686" s="6">
        <v>12</v>
      </c>
      <c r="I686" s="7" t="s">
        <v>86</v>
      </c>
      <c r="J686" s="8">
        <v>176400</v>
      </c>
      <c r="K686" s="4" t="s">
        <v>86</v>
      </c>
      <c r="L686" s="9">
        <v>0.125</v>
      </c>
      <c r="M686" s="9">
        <v>0.05</v>
      </c>
      <c r="O686" s="7" t="s">
        <v>86</v>
      </c>
      <c r="P686" s="3">
        <f t="shared" ref="P686:P691" si="88">(C686+(E686*F686*H686))-N686</f>
        <v>0</v>
      </c>
      <c r="Q686" s="7" t="s">
        <v>86</v>
      </c>
      <c r="R686" s="8">
        <f t="shared" ref="R686:R691" si="89">P686*(J686-(J686*L686)-((J686-(J686*L686))*M686))</f>
        <v>0</v>
      </c>
      <c r="S686" s="8">
        <f t="shared" si="87"/>
        <v>0</v>
      </c>
    </row>
    <row r="687" spans="1:19">
      <c r="A687" s="73" t="s">
        <v>676</v>
      </c>
      <c r="B687" s="2" t="s">
        <v>18</v>
      </c>
      <c r="D687" s="4" t="s">
        <v>86</v>
      </c>
      <c r="F687" s="6">
        <v>12</v>
      </c>
      <c r="G687" s="7" t="s">
        <v>33</v>
      </c>
      <c r="H687" s="6">
        <v>1</v>
      </c>
      <c r="I687" s="7" t="s">
        <v>86</v>
      </c>
      <c r="J687" s="8">
        <v>183600</v>
      </c>
      <c r="K687" s="4" t="s">
        <v>86</v>
      </c>
      <c r="L687" s="9">
        <v>0.125</v>
      </c>
      <c r="M687" s="9">
        <v>0.05</v>
      </c>
      <c r="O687" s="7" t="s">
        <v>86</v>
      </c>
      <c r="P687" s="3">
        <f t="shared" si="88"/>
        <v>0</v>
      </c>
      <c r="Q687" s="7" t="s">
        <v>86</v>
      </c>
      <c r="R687" s="8">
        <f t="shared" si="89"/>
        <v>0</v>
      </c>
      <c r="S687" s="8">
        <f t="shared" si="87"/>
        <v>0</v>
      </c>
    </row>
    <row r="688" spans="1:19">
      <c r="A688" s="73" t="s">
        <v>677</v>
      </c>
      <c r="B688" s="2" t="s">
        <v>18</v>
      </c>
      <c r="D688" s="4" t="s">
        <v>42</v>
      </c>
      <c r="F688" s="6">
        <v>12</v>
      </c>
      <c r="G688" s="7" t="s">
        <v>86</v>
      </c>
      <c r="H688" s="6">
        <v>12</v>
      </c>
      <c r="I688" s="7" t="s">
        <v>42</v>
      </c>
      <c r="J688" s="8">
        <v>17100</v>
      </c>
      <c r="K688" s="4" t="s">
        <v>42</v>
      </c>
      <c r="L688" s="9">
        <v>0.125</v>
      </c>
      <c r="M688" s="9">
        <v>0.05</v>
      </c>
      <c r="O688" s="7" t="s">
        <v>42</v>
      </c>
      <c r="P688" s="3">
        <f t="shared" si="88"/>
        <v>0</v>
      </c>
      <c r="Q688" s="7" t="s">
        <v>42</v>
      </c>
      <c r="R688" s="8">
        <f t="shared" si="89"/>
        <v>0</v>
      </c>
      <c r="S688" s="8">
        <f t="shared" si="87"/>
        <v>0</v>
      </c>
    </row>
    <row r="689" spans="1:19">
      <c r="A689" s="73" t="s">
        <v>678</v>
      </c>
      <c r="B689" s="2" t="s">
        <v>18</v>
      </c>
      <c r="D689" s="4" t="s">
        <v>42</v>
      </c>
      <c r="F689" s="6">
        <v>12</v>
      </c>
      <c r="G689" s="7" t="s">
        <v>86</v>
      </c>
      <c r="H689" s="6">
        <v>6</v>
      </c>
      <c r="I689" s="7" t="s">
        <v>42</v>
      </c>
      <c r="J689" s="8">
        <v>34500</v>
      </c>
      <c r="K689" s="4" t="s">
        <v>42</v>
      </c>
      <c r="L689" s="9">
        <v>0.125</v>
      </c>
      <c r="M689" s="9">
        <v>0.05</v>
      </c>
      <c r="O689" s="7" t="s">
        <v>42</v>
      </c>
      <c r="P689" s="3">
        <f t="shared" si="88"/>
        <v>0</v>
      </c>
      <c r="Q689" s="7" t="s">
        <v>42</v>
      </c>
      <c r="R689" s="8">
        <f t="shared" si="89"/>
        <v>0</v>
      </c>
      <c r="S689" s="8">
        <f t="shared" si="87"/>
        <v>0</v>
      </c>
    </row>
    <row r="690" spans="1:19">
      <c r="A690" s="73" t="s">
        <v>679</v>
      </c>
      <c r="B690" s="2" t="s">
        <v>18</v>
      </c>
      <c r="D690" s="4" t="s">
        <v>86</v>
      </c>
      <c r="F690" s="6">
        <v>1</v>
      </c>
      <c r="G690" s="7" t="s">
        <v>20</v>
      </c>
      <c r="H690" s="6">
        <v>12</v>
      </c>
      <c r="I690" s="7" t="s">
        <v>86</v>
      </c>
      <c r="J690" s="8">
        <v>183600</v>
      </c>
      <c r="K690" s="4" t="s">
        <v>86</v>
      </c>
      <c r="L690" s="9">
        <v>0.125</v>
      </c>
      <c r="M690" s="9">
        <v>0.05</v>
      </c>
      <c r="O690" s="7" t="s">
        <v>86</v>
      </c>
      <c r="P690" s="3">
        <f t="shared" si="88"/>
        <v>0</v>
      </c>
      <c r="Q690" s="7" t="s">
        <v>86</v>
      </c>
      <c r="R690" s="8">
        <f t="shared" si="89"/>
        <v>0</v>
      </c>
      <c r="S690" s="8">
        <f t="shared" si="87"/>
        <v>0</v>
      </c>
    </row>
    <row r="691" spans="1:19">
      <c r="A691" s="73" t="s">
        <v>767</v>
      </c>
      <c r="B691" s="2" t="s">
        <v>18</v>
      </c>
      <c r="D691" s="4" t="s">
        <v>42</v>
      </c>
      <c r="F691" s="6">
        <v>1</v>
      </c>
      <c r="G691" s="7" t="s">
        <v>20</v>
      </c>
      <c r="H691" s="6">
        <v>17</v>
      </c>
      <c r="I691" s="7" t="s">
        <v>42</v>
      </c>
      <c r="J691" s="8">
        <v>39600</v>
      </c>
      <c r="K691" s="4" t="s">
        <v>42</v>
      </c>
      <c r="L691" s="9">
        <v>0.125</v>
      </c>
      <c r="M691" s="9">
        <v>0.05</v>
      </c>
      <c r="O691" s="7" t="s">
        <v>86</v>
      </c>
      <c r="P691" s="3">
        <f t="shared" si="88"/>
        <v>0</v>
      </c>
      <c r="Q691" s="7" t="s">
        <v>86</v>
      </c>
      <c r="R691" s="8">
        <f t="shared" si="89"/>
        <v>0</v>
      </c>
      <c r="S691" s="8">
        <f t="shared" si="87"/>
        <v>0</v>
      </c>
    </row>
    <row r="692" spans="1:19">
      <c r="A692" s="73"/>
    </row>
    <row r="693" spans="1:19">
      <c r="A693" s="73" t="s">
        <v>680</v>
      </c>
      <c r="B693" s="2" t="s">
        <v>25</v>
      </c>
      <c r="D693" s="4" t="s">
        <v>86</v>
      </c>
      <c r="F693" s="6">
        <v>1</v>
      </c>
      <c r="G693" s="7" t="s">
        <v>20</v>
      </c>
      <c r="H693" s="6">
        <v>18</v>
      </c>
      <c r="I693" s="7" t="s">
        <v>86</v>
      </c>
      <c r="J693" s="8">
        <f>3240000/18</f>
        <v>180000</v>
      </c>
      <c r="K693" s="4" t="s">
        <v>86</v>
      </c>
      <c r="M693" s="9">
        <v>0.17</v>
      </c>
      <c r="O693" s="7" t="s">
        <v>86</v>
      </c>
      <c r="P693" s="3">
        <f>(C693+(E693*F693*H693))-N693</f>
        <v>0</v>
      </c>
      <c r="Q693" s="7" t="s">
        <v>86</v>
      </c>
      <c r="R693" s="8">
        <f>P693*(J693-(J693*L693)-((J693-(J693*L693))*M693))</f>
        <v>0</v>
      </c>
      <c r="S693" s="8">
        <f t="shared" si="87"/>
        <v>0</v>
      </c>
    </row>
    <row r="694" spans="1:19">
      <c r="A694" s="17" t="s">
        <v>681</v>
      </c>
      <c r="B694" s="2" t="s">
        <v>25</v>
      </c>
      <c r="D694" s="4" t="s">
        <v>42</v>
      </c>
      <c r="F694" s="6">
        <v>12</v>
      </c>
      <c r="G694" s="7" t="s">
        <v>86</v>
      </c>
      <c r="H694" s="6">
        <v>12</v>
      </c>
      <c r="I694" s="7" t="s">
        <v>42</v>
      </c>
      <c r="J694" s="8">
        <v>14400</v>
      </c>
      <c r="K694" s="4" t="s">
        <v>42</v>
      </c>
      <c r="M694" s="9">
        <v>0.17</v>
      </c>
      <c r="O694" s="7" t="s">
        <v>42</v>
      </c>
      <c r="P694" s="3">
        <f>(C694+(E694*F694*H694))-N694</f>
        <v>0</v>
      </c>
      <c r="Q694" s="7" t="s">
        <v>42</v>
      </c>
      <c r="R694" s="8">
        <f>P694*(J694-(J694*L694)-((J694-(J694*L694))*M694))</f>
        <v>0</v>
      </c>
      <c r="S694" s="8">
        <f t="shared" si="87"/>
        <v>0</v>
      </c>
    </row>
    <row r="695" spans="1:19">
      <c r="A695" s="17" t="s">
        <v>682</v>
      </c>
      <c r="B695" s="2" t="s">
        <v>25</v>
      </c>
      <c r="D695" s="4" t="s">
        <v>42</v>
      </c>
      <c r="F695" s="6">
        <v>12</v>
      </c>
      <c r="G695" s="7" t="s">
        <v>86</v>
      </c>
      <c r="H695" s="6">
        <v>12</v>
      </c>
      <c r="I695" s="7" t="s">
        <v>42</v>
      </c>
      <c r="J695" s="8">
        <f>2937600/12/12</f>
        <v>20400</v>
      </c>
      <c r="K695" s="4" t="s">
        <v>42</v>
      </c>
      <c r="M695" s="9">
        <v>0.17</v>
      </c>
      <c r="O695" s="7" t="s">
        <v>42</v>
      </c>
      <c r="P695" s="3">
        <f>(C695+(E695*F695*H695))-N695</f>
        <v>0</v>
      </c>
      <c r="Q695" s="7" t="s">
        <v>42</v>
      </c>
      <c r="R695" s="8">
        <f>P695*(J695-(J695*L695)-((J695-(J695*L695))*M695))</f>
        <v>0</v>
      </c>
      <c r="S695" s="8">
        <f t="shared" si="87"/>
        <v>0</v>
      </c>
    </row>
    <row r="697" spans="1:19">
      <c r="A697" s="17" t="s">
        <v>810</v>
      </c>
      <c r="B697" s="2" t="s">
        <v>188</v>
      </c>
      <c r="C697" s="20"/>
      <c r="D697" s="4" t="s">
        <v>158</v>
      </c>
      <c r="F697" s="6">
        <v>40</v>
      </c>
      <c r="G697" s="7" t="s">
        <v>33</v>
      </c>
      <c r="H697" s="6">
        <f>1600/40</f>
        <v>40</v>
      </c>
      <c r="I697" s="7" t="s">
        <v>158</v>
      </c>
      <c r="J697" s="8">
        <v>1532</v>
      </c>
      <c r="K697" s="4" t="s">
        <v>158</v>
      </c>
      <c r="O697" s="7" t="s">
        <v>158</v>
      </c>
      <c r="P697" s="3">
        <f>(C697+(E697*F697*H697))-N697</f>
        <v>0</v>
      </c>
      <c r="Q697" s="7" t="s">
        <v>158</v>
      </c>
      <c r="R697" s="8">
        <f>P697*(J697-(J697*L697)-((J697-(J697*L697))*M697))</f>
        <v>0</v>
      </c>
      <c r="S697" s="8">
        <f t="shared" si="87"/>
        <v>0</v>
      </c>
    </row>
    <row r="699" spans="1:19">
      <c r="A699" s="15" t="s">
        <v>473</v>
      </c>
    </row>
    <row r="700" spans="1:19" s="19" customFormat="1">
      <c r="A700" s="18" t="s">
        <v>474</v>
      </c>
      <c r="B700" s="19" t="s">
        <v>18</v>
      </c>
      <c r="C700" s="20"/>
      <c r="D700" s="21" t="s">
        <v>158</v>
      </c>
      <c r="E700" s="26"/>
      <c r="F700" s="22">
        <v>12</v>
      </c>
      <c r="G700" s="23" t="s">
        <v>33</v>
      </c>
      <c r="H700" s="22">
        <v>24</v>
      </c>
      <c r="I700" s="23" t="s">
        <v>158</v>
      </c>
      <c r="J700" s="24">
        <v>6700</v>
      </c>
      <c r="K700" s="21" t="s">
        <v>158</v>
      </c>
      <c r="L700" s="25">
        <v>0.125</v>
      </c>
      <c r="M700" s="25">
        <v>0.05</v>
      </c>
      <c r="N700" s="22"/>
      <c r="O700" s="23" t="s">
        <v>158</v>
      </c>
      <c r="P700" s="20">
        <f t="shared" ref="P700:P713" si="90">(C700+(E700*F700*H700))-N700</f>
        <v>0</v>
      </c>
      <c r="Q700" s="23" t="s">
        <v>158</v>
      </c>
      <c r="R700" s="24">
        <f t="shared" ref="R700:R713" si="91">P700*(J700-(J700*L700)-((J700-(J700*L700))*M700))</f>
        <v>0</v>
      </c>
      <c r="S700" s="24">
        <f t="shared" si="87"/>
        <v>0</v>
      </c>
    </row>
    <row r="701" spans="1:19" s="19" customFormat="1">
      <c r="A701" s="18" t="s">
        <v>475</v>
      </c>
      <c r="B701" s="19" t="s">
        <v>18</v>
      </c>
      <c r="C701" s="20"/>
      <c r="D701" s="21" t="s">
        <v>158</v>
      </c>
      <c r="E701" s="26"/>
      <c r="F701" s="22">
        <v>12</v>
      </c>
      <c r="G701" s="23" t="s">
        <v>33</v>
      </c>
      <c r="H701" s="22">
        <v>12</v>
      </c>
      <c r="I701" s="23" t="s">
        <v>158</v>
      </c>
      <c r="J701" s="24">
        <v>13800</v>
      </c>
      <c r="K701" s="21" t="s">
        <v>158</v>
      </c>
      <c r="L701" s="25">
        <v>0.125</v>
      </c>
      <c r="M701" s="25">
        <v>0.05</v>
      </c>
      <c r="N701" s="22"/>
      <c r="O701" s="23" t="s">
        <v>158</v>
      </c>
      <c r="P701" s="20">
        <f t="shared" si="90"/>
        <v>0</v>
      </c>
      <c r="Q701" s="23" t="s">
        <v>158</v>
      </c>
      <c r="R701" s="24">
        <f t="shared" si="91"/>
        <v>0</v>
      </c>
      <c r="S701" s="8">
        <f t="shared" si="87"/>
        <v>0</v>
      </c>
    </row>
    <row r="702" spans="1:19" s="19" customFormat="1">
      <c r="A702" s="18" t="s">
        <v>476</v>
      </c>
      <c r="B702" s="19" t="s">
        <v>18</v>
      </c>
      <c r="C702" s="20"/>
      <c r="D702" s="21" t="s">
        <v>158</v>
      </c>
      <c r="E702" s="26"/>
      <c r="F702" s="22">
        <v>12</v>
      </c>
      <c r="G702" s="23" t="s">
        <v>33</v>
      </c>
      <c r="H702" s="22">
        <v>12</v>
      </c>
      <c r="I702" s="23" t="s">
        <v>158</v>
      </c>
      <c r="J702" s="24">
        <v>10600</v>
      </c>
      <c r="K702" s="21" t="s">
        <v>158</v>
      </c>
      <c r="L702" s="25">
        <v>0.125</v>
      </c>
      <c r="M702" s="25">
        <v>0.05</v>
      </c>
      <c r="N702" s="22"/>
      <c r="O702" s="23" t="s">
        <v>158</v>
      </c>
      <c r="P702" s="20">
        <f t="shared" si="90"/>
        <v>0</v>
      </c>
      <c r="Q702" s="23" t="s">
        <v>158</v>
      </c>
      <c r="R702" s="24">
        <f t="shared" si="91"/>
        <v>0</v>
      </c>
      <c r="S702" s="24">
        <f t="shared" si="87"/>
        <v>0</v>
      </c>
    </row>
    <row r="703" spans="1:19" s="19" customFormat="1">
      <c r="A703" s="18" t="s">
        <v>477</v>
      </c>
      <c r="B703" s="19" t="s">
        <v>18</v>
      </c>
      <c r="C703" s="20"/>
      <c r="D703" s="21" t="s">
        <v>158</v>
      </c>
      <c r="E703" s="26"/>
      <c r="F703" s="22">
        <v>12</v>
      </c>
      <c r="G703" s="23" t="s">
        <v>33</v>
      </c>
      <c r="H703" s="22">
        <v>6</v>
      </c>
      <c r="I703" s="23" t="s">
        <v>158</v>
      </c>
      <c r="J703" s="24">
        <v>21200</v>
      </c>
      <c r="K703" s="21" t="s">
        <v>158</v>
      </c>
      <c r="L703" s="25">
        <v>0.125</v>
      </c>
      <c r="M703" s="25">
        <v>0.05</v>
      </c>
      <c r="N703" s="22"/>
      <c r="O703" s="23" t="s">
        <v>158</v>
      </c>
      <c r="P703" s="20">
        <f t="shared" si="90"/>
        <v>0</v>
      </c>
      <c r="Q703" s="23" t="s">
        <v>158</v>
      </c>
      <c r="R703" s="24">
        <f t="shared" si="91"/>
        <v>0</v>
      </c>
      <c r="S703" s="8">
        <f t="shared" si="87"/>
        <v>0</v>
      </c>
    </row>
    <row r="704" spans="1:19" s="19" customFormat="1">
      <c r="A704" s="18" t="s">
        <v>478</v>
      </c>
      <c r="B704" s="19" t="s">
        <v>18</v>
      </c>
      <c r="C704" s="20"/>
      <c r="D704" s="21" t="s">
        <v>158</v>
      </c>
      <c r="E704" s="26"/>
      <c r="F704" s="22">
        <v>8</v>
      </c>
      <c r="G704" s="23" t="s">
        <v>33</v>
      </c>
      <c r="H704" s="22">
        <v>6</v>
      </c>
      <c r="I704" s="23" t="s">
        <v>158</v>
      </c>
      <c r="J704" s="24">
        <v>35000</v>
      </c>
      <c r="K704" s="21" t="s">
        <v>158</v>
      </c>
      <c r="L704" s="25">
        <v>0.125</v>
      </c>
      <c r="M704" s="25">
        <v>0.05</v>
      </c>
      <c r="N704" s="22"/>
      <c r="O704" s="23" t="s">
        <v>158</v>
      </c>
      <c r="P704" s="20">
        <f t="shared" si="90"/>
        <v>0</v>
      </c>
      <c r="Q704" s="23" t="s">
        <v>158</v>
      </c>
      <c r="R704" s="24">
        <f t="shared" si="91"/>
        <v>0</v>
      </c>
      <c r="S704" s="8">
        <f t="shared" si="87"/>
        <v>0</v>
      </c>
    </row>
    <row r="705" spans="1:19" s="19" customFormat="1">
      <c r="A705" s="18" t="s">
        <v>479</v>
      </c>
      <c r="B705" s="19" t="s">
        <v>18</v>
      </c>
      <c r="C705" s="20"/>
      <c r="D705" s="21" t="s">
        <v>158</v>
      </c>
      <c r="E705" s="26"/>
      <c r="F705" s="22">
        <v>12</v>
      </c>
      <c r="G705" s="23" t="s">
        <v>33</v>
      </c>
      <c r="H705" s="22">
        <v>12</v>
      </c>
      <c r="I705" s="23" t="s">
        <v>158</v>
      </c>
      <c r="J705" s="24">
        <v>9600</v>
      </c>
      <c r="K705" s="21" t="s">
        <v>158</v>
      </c>
      <c r="L705" s="25">
        <v>0.125</v>
      </c>
      <c r="M705" s="25">
        <v>0.05</v>
      </c>
      <c r="N705" s="22"/>
      <c r="O705" s="23" t="s">
        <v>158</v>
      </c>
      <c r="P705" s="20">
        <f t="shared" si="90"/>
        <v>0</v>
      </c>
      <c r="Q705" s="23" t="s">
        <v>158</v>
      </c>
      <c r="R705" s="24">
        <f t="shared" si="91"/>
        <v>0</v>
      </c>
      <c r="S705" s="24">
        <f t="shared" si="87"/>
        <v>0</v>
      </c>
    </row>
    <row r="706" spans="1:19">
      <c r="A706" s="17" t="s">
        <v>480</v>
      </c>
      <c r="B706" s="2" t="s">
        <v>18</v>
      </c>
      <c r="D706" s="4" t="s">
        <v>158</v>
      </c>
      <c r="F706" s="6">
        <v>12</v>
      </c>
      <c r="G706" s="7" t="s">
        <v>33</v>
      </c>
      <c r="H706" s="6">
        <v>6</v>
      </c>
      <c r="I706" s="7" t="s">
        <v>158</v>
      </c>
      <c r="J706" s="8">
        <v>19200</v>
      </c>
      <c r="K706" s="4" t="s">
        <v>158</v>
      </c>
      <c r="L706" s="9">
        <v>0.125</v>
      </c>
      <c r="M706" s="9">
        <v>0.05</v>
      </c>
      <c r="O706" s="7" t="s">
        <v>158</v>
      </c>
      <c r="P706" s="3">
        <f t="shared" si="90"/>
        <v>0</v>
      </c>
      <c r="Q706" s="7" t="s">
        <v>158</v>
      </c>
      <c r="R706" s="8">
        <f t="shared" si="91"/>
        <v>0</v>
      </c>
      <c r="S706" s="8">
        <f t="shared" si="87"/>
        <v>0</v>
      </c>
    </row>
    <row r="707" spans="1:19">
      <c r="A707" s="17" t="s">
        <v>481</v>
      </c>
      <c r="B707" s="2" t="s">
        <v>18</v>
      </c>
      <c r="D707" s="4" t="s">
        <v>158</v>
      </c>
      <c r="F707" s="6">
        <v>12</v>
      </c>
      <c r="G707" s="7" t="s">
        <v>33</v>
      </c>
      <c r="H707" s="6">
        <v>24</v>
      </c>
      <c r="I707" s="7" t="s">
        <v>158</v>
      </c>
      <c r="J707" s="8">
        <v>5800</v>
      </c>
      <c r="K707" s="4" t="s">
        <v>158</v>
      </c>
      <c r="L707" s="9">
        <v>0.125</v>
      </c>
      <c r="M707" s="9">
        <v>0.05</v>
      </c>
      <c r="O707" s="7" t="s">
        <v>158</v>
      </c>
      <c r="P707" s="3">
        <f t="shared" si="90"/>
        <v>0</v>
      </c>
      <c r="Q707" s="7" t="s">
        <v>158</v>
      </c>
      <c r="R707" s="8">
        <f t="shared" si="91"/>
        <v>0</v>
      </c>
      <c r="S707" s="8">
        <f t="shared" si="87"/>
        <v>0</v>
      </c>
    </row>
    <row r="708" spans="1:19" s="19" customFormat="1">
      <c r="A708" s="18" t="s">
        <v>482</v>
      </c>
      <c r="B708" s="19" t="s">
        <v>18</v>
      </c>
      <c r="C708" s="20"/>
      <c r="D708" s="21" t="s">
        <v>158</v>
      </c>
      <c r="E708" s="26"/>
      <c r="F708" s="22">
        <v>12</v>
      </c>
      <c r="G708" s="23" t="s">
        <v>33</v>
      </c>
      <c r="H708" s="22">
        <v>12</v>
      </c>
      <c r="I708" s="23" t="s">
        <v>158</v>
      </c>
      <c r="J708" s="24">
        <v>8400</v>
      </c>
      <c r="K708" s="21" t="s">
        <v>158</v>
      </c>
      <c r="L708" s="25">
        <v>0.125</v>
      </c>
      <c r="M708" s="25">
        <v>0.05</v>
      </c>
      <c r="N708" s="22"/>
      <c r="O708" s="23" t="s">
        <v>158</v>
      </c>
      <c r="P708" s="20">
        <f t="shared" si="90"/>
        <v>0</v>
      </c>
      <c r="Q708" s="23" t="s">
        <v>158</v>
      </c>
      <c r="R708" s="24">
        <f t="shared" si="91"/>
        <v>0</v>
      </c>
      <c r="S708" s="8">
        <f t="shared" si="87"/>
        <v>0</v>
      </c>
    </row>
    <row r="709" spans="1:19" s="19" customFormat="1">
      <c r="A709" s="18" t="s">
        <v>837</v>
      </c>
      <c r="B709" s="19" t="s">
        <v>18</v>
      </c>
      <c r="C709" s="20"/>
      <c r="D709" s="21" t="s">
        <v>158</v>
      </c>
      <c r="E709" s="26"/>
      <c r="F709" s="22">
        <v>12</v>
      </c>
      <c r="G709" s="23" t="s">
        <v>33</v>
      </c>
      <c r="H709" s="22">
        <v>6</v>
      </c>
      <c r="I709" s="23" t="s">
        <v>158</v>
      </c>
      <c r="J709" s="24">
        <v>16800</v>
      </c>
      <c r="K709" s="21" t="s">
        <v>158</v>
      </c>
      <c r="L709" s="25">
        <v>0.125</v>
      </c>
      <c r="M709" s="25">
        <v>0.05</v>
      </c>
      <c r="N709" s="22"/>
      <c r="O709" s="23" t="s">
        <v>158</v>
      </c>
      <c r="P709" s="20">
        <f t="shared" si="90"/>
        <v>0</v>
      </c>
      <c r="Q709" s="23" t="s">
        <v>158</v>
      </c>
      <c r="R709" s="24">
        <f t="shared" si="91"/>
        <v>0</v>
      </c>
      <c r="S709" s="8">
        <f t="shared" si="87"/>
        <v>0</v>
      </c>
    </row>
    <row r="710" spans="1:19" s="19" customFormat="1">
      <c r="A710" s="18" t="s">
        <v>483</v>
      </c>
      <c r="B710" s="19" t="s">
        <v>18</v>
      </c>
      <c r="C710" s="20"/>
      <c r="D710" s="21" t="s">
        <v>158</v>
      </c>
      <c r="E710" s="26"/>
      <c r="F710" s="22">
        <v>12</v>
      </c>
      <c r="G710" s="23" t="s">
        <v>33</v>
      </c>
      <c r="H710" s="22">
        <v>12</v>
      </c>
      <c r="I710" s="23" t="s">
        <v>158</v>
      </c>
      <c r="J710" s="24">
        <v>11000</v>
      </c>
      <c r="K710" s="21" t="s">
        <v>158</v>
      </c>
      <c r="L710" s="25">
        <v>0.125</v>
      </c>
      <c r="M710" s="25">
        <v>0.05</v>
      </c>
      <c r="N710" s="22"/>
      <c r="O710" s="23" t="s">
        <v>158</v>
      </c>
      <c r="P710" s="20">
        <f t="shared" si="90"/>
        <v>0</v>
      </c>
      <c r="Q710" s="23" t="s">
        <v>158</v>
      </c>
      <c r="R710" s="24">
        <f t="shared" si="91"/>
        <v>0</v>
      </c>
      <c r="S710" s="8">
        <f t="shared" si="87"/>
        <v>0</v>
      </c>
    </row>
    <row r="711" spans="1:19" s="19" customFormat="1">
      <c r="A711" s="18" t="s">
        <v>484</v>
      </c>
      <c r="B711" s="19" t="s">
        <v>18</v>
      </c>
      <c r="C711" s="20"/>
      <c r="D711" s="21" t="s">
        <v>158</v>
      </c>
      <c r="E711" s="26"/>
      <c r="F711" s="22">
        <v>12</v>
      </c>
      <c r="G711" s="23" t="s">
        <v>33</v>
      </c>
      <c r="H711" s="22">
        <v>24</v>
      </c>
      <c r="I711" s="23" t="s">
        <v>158</v>
      </c>
      <c r="J711" s="24">
        <v>5400</v>
      </c>
      <c r="K711" s="21" t="s">
        <v>158</v>
      </c>
      <c r="L711" s="25">
        <v>0.125</v>
      </c>
      <c r="M711" s="25">
        <v>0.05</v>
      </c>
      <c r="N711" s="22"/>
      <c r="O711" s="23" t="s">
        <v>158</v>
      </c>
      <c r="P711" s="20">
        <f t="shared" si="90"/>
        <v>0</v>
      </c>
      <c r="Q711" s="23" t="s">
        <v>158</v>
      </c>
      <c r="R711" s="24">
        <f t="shared" si="91"/>
        <v>0</v>
      </c>
      <c r="S711" s="8">
        <f t="shared" si="87"/>
        <v>0</v>
      </c>
    </row>
    <row r="712" spans="1:19" s="19" customFormat="1">
      <c r="A712" s="18" t="s">
        <v>485</v>
      </c>
      <c r="B712" s="19" t="s">
        <v>18</v>
      </c>
      <c r="C712" s="20"/>
      <c r="D712" s="21" t="s">
        <v>158</v>
      </c>
      <c r="E712" s="26"/>
      <c r="F712" s="22">
        <v>12</v>
      </c>
      <c r="G712" s="23" t="s">
        <v>33</v>
      </c>
      <c r="H712" s="22">
        <v>12</v>
      </c>
      <c r="I712" s="23" t="s">
        <v>158</v>
      </c>
      <c r="J712" s="24">
        <v>16900</v>
      </c>
      <c r="K712" s="21" t="s">
        <v>158</v>
      </c>
      <c r="L712" s="25">
        <v>0.125</v>
      </c>
      <c r="M712" s="25">
        <v>0.05</v>
      </c>
      <c r="N712" s="22"/>
      <c r="O712" s="23" t="s">
        <v>158</v>
      </c>
      <c r="P712" s="20">
        <f t="shared" si="90"/>
        <v>0</v>
      </c>
      <c r="Q712" s="23" t="s">
        <v>158</v>
      </c>
      <c r="R712" s="24">
        <f t="shared" si="91"/>
        <v>0</v>
      </c>
      <c r="S712" s="8">
        <f t="shared" si="87"/>
        <v>0</v>
      </c>
    </row>
    <row r="713" spans="1:19" s="19" customFormat="1">
      <c r="A713" s="18" t="s">
        <v>486</v>
      </c>
      <c r="B713" s="19" t="s">
        <v>18</v>
      </c>
      <c r="C713" s="20"/>
      <c r="D713" s="21" t="s">
        <v>158</v>
      </c>
      <c r="E713" s="26"/>
      <c r="F713" s="22">
        <v>12</v>
      </c>
      <c r="G713" s="23" t="s">
        <v>33</v>
      </c>
      <c r="H713" s="22">
        <v>6</v>
      </c>
      <c r="I713" s="23" t="s">
        <v>158</v>
      </c>
      <c r="J713" s="24">
        <v>33800</v>
      </c>
      <c r="K713" s="21" t="s">
        <v>158</v>
      </c>
      <c r="L713" s="25">
        <v>0.125</v>
      </c>
      <c r="M713" s="25">
        <v>0.05</v>
      </c>
      <c r="N713" s="22"/>
      <c r="O713" s="23" t="s">
        <v>158</v>
      </c>
      <c r="P713" s="20">
        <f t="shared" si="90"/>
        <v>0</v>
      </c>
      <c r="Q713" s="23" t="s">
        <v>158</v>
      </c>
      <c r="R713" s="24">
        <f t="shared" si="91"/>
        <v>0</v>
      </c>
      <c r="S713" s="8">
        <f t="shared" si="87"/>
        <v>0</v>
      </c>
    </row>
    <row r="714" spans="1:19" s="19" customFormat="1">
      <c r="A714" s="18"/>
      <c r="C714" s="20"/>
      <c r="D714" s="21"/>
      <c r="E714" s="26"/>
      <c r="F714" s="22"/>
      <c r="G714" s="23"/>
      <c r="H714" s="22"/>
      <c r="I714" s="23"/>
      <c r="J714" s="24"/>
      <c r="K714" s="21"/>
      <c r="L714" s="25"/>
      <c r="M714" s="25"/>
      <c r="N714" s="22"/>
      <c r="O714" s="23"/>
      <c r="P714" s="20"/>
      <c r="Q714" s="23"/>
      <c r="R714" s="24"/>
      <c r="S714" s="8"/>
    </row>
    <row r="715" spans="1:19" s="19" customFormat="1">
      <c r="A715" s="18" t="s">
        <v>487</v>
      </c>
      <c r="B715" s="19" t="s">
        <v>25</v>
      </c>
      <c r="C715" s="20"/>
      <c r="D715" s="21" t="s">
        <v>42</v>
      </c>
      <c r="E715" s="26"/>
      <c r="F715" s="22">
        <v>24</v>
      </c>
      <c r="G715" s="23" t="s">
        <v>33</v>
      </c>
      <c r="H715" s="22">
        <v>2</v>
      </c>
      <c r="I715" s="23" t="s">
        <v>42</v>
      </c>
      <c r="J715" s="24">
        <f>3801600/24/2</f>
        <v>79200</v>
      </c>
      <c r="K715" s="21" t="s">
        <v>42</v>
      </c>
      <c r="L715" s="25"/>
      <c r="M715" s="25">
        <v>0.17</v>
      </c>
      <c r="N715" s="22"/>
      <c r="O715" s="23" t="s">
        <v>42</v>
      </c>
      <c r="P715" s="20">
        <f t="shared" ref="P715:P726" si="92">(C715+(E715*F715*H715))-N715</f>
        <v>0</v>
      </c>
      <c r="Q715" s="23" t="s">
        <v>42</v>
      </c>
      <c r="R715" s="24">
        <f t="shared" ref="R715:R726" si="93">P715*(J715-(J715*L715)-((J715-(J715*L715))*M715))</f>
        <v>0</v>
      </c>
      <c r="S715" s="24">
        <f t="shared" si="87"/>
        <v>0</v>
      </c>
    </row>
    <row r="716" spans="1:19" s="19" customFormat="1">
      <c r="A716" s="18" t="s">
        <v>488</v>
      </c>
      <c r="B716" s="19" t="s">
        <v>25</v>
      </c>
      <c r="C716" s="20"/>
      <c r="D716" s="21" t="s">
        <v>42</v>
      </c>
      <c r="E716" s="26"/>
      <c r="F716" s="22">
        <v>1</v>
      </c>
      <c r="G716" s="23" t="s">
        <v>20</v>
      </c>
      <c r="H716" s="22">
        <v>24</v>
      </c>
      <c r="I716" s="23" t="s">
        <v>42</v>
      </c>
      <c r="J716" s="24">
        <f>2980800/24</f>
        <v>124200</v>
      </c>
      <c r="K716" s="21" t="s">
        <v>42</v>
      </c>
      <c r="L716" s="25"/>
      <c r="M716" s="25">
        <v>0.17</v>
      </c>
      <c r="N716" s="22"/>
      <c r="O716" s="23" t="s">
        <v>42</v>
      </c>
      <c r="P716" s="20">
        <f t="shared" si="92"/>
        <v>0</v>
      </c>
      <c r="Q716" s="23" t="s">
        <v>42</v>
      </c>
      <c r="R716" s="24">
        <f t="shared" si="93"/>
        <v>0</v>
      </c>
      <c r="S716" s="24">
        <f t="shared" si="87"/>
        <v>0</v>
      </c>
    </row>
    <row r="717" spans="1:19">
      <c r="A717" s="17" t="s">
        <v>489</v>
      </c>
      <c r="B717" s="2" t="s">
        <v>25</v>
      </c>
      <c r="D717" s="4" t="s">
        <v>42</v>
      </c>
      <c r="F717" s="6">
        <v>1</v>
      </c>
      <c r="G717" s="7" t="s">
        <v>20</v>
      </c>
      <c r="H717" s="6">
        <v>12</v>
      </c>
      <c r="I717" s="7" t="s">
        <v>42</v>
      </c>
      <c r="J717" s="8">
        <f>2980800/12</f>
        <v>248400</v>
      </c>
      <c r="K717" s="4" t="s">
        <v>42</v>
      </c>
      <c r="M717" s="9">
        <v>0.17</v>
      </c>
      <c r="O717" s="7" t="s">
        <v>42</v>
      </c>
      <c r="P717" s="3">
        <f t="shared" si="92"/>
        <v>0</v>
      </c>
      <c r="Q717" s="7" t="s">
        <v>42</v>
      </c>
      <c r="R717" s="8">
        <f t="shared" si="93"/>
        <v>0</v>
      </c>
      <c r="S717" s="8">
        <f t="shared" si="87"/>
        <v>0</v>
      </c>
    </row>
    <row r="718" spans="1:19">
      <c r="A718" s="17" t="s">
        <v>686</v>
      </c>
      <c r="B718" s="2" t="s">
        <v>25</v>
      </c>
      <c r="D718" s="4" t="s">
        <v>158</v>
      </c>
      <c r="F718" s="6">
        <v>20</v>
      </c>
      <c r="G718" s="7" t="s">
        <v>33</v>
      </c>
      <c r="H718" s="6">
        <v>4</v>
      </c>
      <c r="I718" s="7" t="s">
        <v>158</v>
      </c>
      <c r="J718" s="8">
        <f>2640000/20/4</f>
        <v>33000</v>
      </c>
      <c r="K718" s="4" t="s">
        <v>158</v>
      </c>
      <c r="M718" s="9">
        <v>0.17</v>
      </c>
      <c r="O718" s="7" t="s">
        <v>158</v>
      </c>
      <c r="P718" s="3">
        <f t="shared" si="92"/>
        <v>0</v>
      </c>
      <c r="Q718" s="7" t="s">
        <v>158</v>
      </c>
      <c r="R718" s="8">
        <f t="shared" si="93"/>
        <v>0</v>
      </c>
      <c r="S718" s="8">
        <f>R718/1.11</f>
        <v>0</v>
      </c>
    </row>
    <row r="719" spans="1:19">
      <c r="A719" s="17" t="s">
        <v>490</v>
      </c>
      <c r="B719" s="2" t="s">
        <v>25</v>
      </c>
      <c r="D719" s="4" t="s">
        <v>42</v>
      </c>
      <c r="F719" s="6">
        <v>1</v>
      </c>
      <c r="G719" s="7" t="s">
        <v>20</v>
      </c>
      <c r="H719" s="6">
        <v>24</v>
      </c>
      <c r="I719" s="7" t="s">
        <v>42</v>
      </c>
      <c r="J719" s="8">
        <f>2448000/24</f>
        <v>102000</v>
      </c>
      <c r="K719" s="4" t="s">
        <v>42</v>
      </c>
      <c r="M719" s="9">
        <v>0.17</v>
      </c>
      <c r="O719" s="7" t="s">
        <v>42</v>
      </c>
      <c r="P719" s="3">
        <f t="shared" si="92"/>
        <v>0</v>
      </c>
      <c r="Q719" s="7" t="s">
        <v>42</v>
      </c>
      <c r="R719" s="8">
        <f t="shared" si="93"/>
        <v>0</v>
      </c>
      <c r="S719" s="8">
        <f t="shared" si="87"/>
        <v>0</v>
      </c>
    </row>
    <row r="720" spans="1:19">
      <c r="A720" s="17" t="s">
        <v>491</v>
      </c>
      <c r="B720" s="2" t="s">
        <v>25</v>
      </c>
      <c r="D720" s="4" t="s">
        <v>42</v>
      </c>
      <c r="F720" s="6">
        <v>1</v>
      </c>
      <c r="G720" s="7" t="s">
        <v>20</v>
      </c>
      <c r="H720" s="6">
        <v>16</v>
      </c>
      <c r="I720" s="7" t="s">
        <v>42</v>
      </c>
      <c r="J720" s="8">
        <f>1824000/16</f>
        <v>114000</v>
      </c>
      <c r="K720" s="4" t="s">
        <v>42</v>
      </c>
      <c r="M720" s="9">
        <v>0.17</v>
      </c>
      <c r="O720" s="7" t="s">
        <v>42</v>
      </c>
      <c r="P720" s="3">
        <f t="shared" si="92"/>
        <v>0</v>
      </c>
      <c r="Q720" s="7" t="s">
        <v>42</v>
      </c>
      <c r="R720" s="8">
        <f t="shared" si="93"/>
        <v>0</v>
      </c>
      <c r="S720" s="8">
        <f t="shared" si="87"/>
        <v>0</v>
      </c>
    </row>
    <row r="721" spans="1:19">
      <c r="A721" s="17" t="s">
        <v>689</v>
      </c>
      <c r="B721" s="2" t="s">
        <v>25</v>
      </c>
      <c r="D721" s="4" t="s">
        <v>158</v>
      </c>
      <c r="F721" s="6">
        <v>24</v>
      </c>
      <c r="G721" s="7" t="s">
        <v>33</v>
      </c>
      <c r="H721" s="6">
        <v>6</v>
      </c>
      <c r="I721" s="7" t="s">
        <v>158</v>
      </c>
      <c r="J721" s="8">
        <f>2448000/24/6</f>
        <v>17000</v>
      </c>
      <c r="K721" s="4" t="s">
        <v>158</v>
      </c>
      <c r="M721" s="9">
        <v>0.17</v>
      </c>
      <c r="O721" s="7" t="s">
        <v>158</v>
      </c>
      <c r="P721" s="3">
        <f t="shared" si="92"/>
        <v>0</v>
      </c>
      <c r="Q721" s="7" t="s">
        <v>158</v>
      </c>
      <c r="R721" s="8">
        <f t="shared" si="93"/>
        <v>0</v>
      </c>
      <c r="S721" s="8">
        <f t="shared" si="87"/>
        <v>0</v>
      </c>
    </row>
    <row r="722" spans="1:19">
      <c r="A722" s="17" t="s">
        <v>492</v>
      </c>
      <c r="B722" s="2" t="s">
        <v>25</v>
      </c>
      <c r="D722" s="4" t="s">
        <v>158</v>
      </c>
      <c r="F722" s="6">
        <v>10</v>
      </c>
      <c r="G722" s="7" t="s">
        <v>42</v>
      </c>
      <c r="H722" s="6">
        <v>12</v>
      </c>
      <c r="I722" s="7" t="s">
        <v>158</v>
      </c>
      <c r="J722" s="8">
        <f>2040000/10/12</f>
        <v>17000</v>
      </c>
      <c r="K722" s="4" t="s">
        <v>158</v>
      </c>
      <c r="M722" s="9">
        <v>0.17</v>
      </c>
      <c r="O722" s="7" t="s">
        <v>158</v>
      </c>
      <c r="P722" s="3">
        <f t="shared" si="92"/>
        <v>0</v>
      </c>
      <c r="Q722" s="7" t="s">
        <v>158</v>
      </c>
      <c r="R722" s="8">
        <f t="shared" si="93"/>
        <v>0</v>
      </c>
      <c r="S722" s="8">
        <f t="shared" si="87"/>
        <v>0</v>
      </c>
    </row>
    <row r="723" spans="1:19">
      <c r="A723" s="17" t="s">
        <v>493</v>
      </c>
      <c r="B723" s="2" t="s">
        <v>25</v>
      </c>
      <c r="D723" s="4" t="s">
        <v>158</v>
      </c>
      <c r="F723" s="6">
        <v>10</v>
      </c>
      <c r="G723" s="7" t="s">
        <v>33</v>
      </c>
      <c r="H723" s="6">
        <v>6</v>
      </c>
      <c r="I723" s="7" t="s">
        <v>158</v>
      </c>
      <c r="J723" s="8">
        <f>2040000/10/6</f>
        <v>34000</v>
      </c>
      <c r="K723" s="4" t="s">
        <v>158</v>
      </c>
      <c r="M723" s="9">
        <v>0.17</v>
      </c>
      <c r="O723" s="7" t="s">
        <v>158</v>
      </c>
      <c r="P723" s="3">
        <f t="shared" si="92"/>
        <v>0</v>
      </c>
      <c r="Q723" s="7" t="s">
        <v>158</v>
      </c>
      <c r="R723" s="8">
        <f t="shared" si="93"/>
        <v>0</v>
      </c>
      <c r="S723" s="8">
        <f t="shared" si="87"/>
        <v>0</v>
      </c>
    </row>
    <row r="724" spans="1:19" s="19" customFormat="1">
      <c r="A724" s="18" t="s">
        <v>494</v>
      </c>
      <c r="B724" s="19" t="s">
        <v>25</v>
      </c>
      <c r="C724" s="20"/>
      <c r="D724" s="21" t="s">
        <v>158</v>
      </c>
      <c r="E724" s="26"/>
      <c r="F724" s="22">
        <v>24</v>
      </c>
      <c r="G724" s="23" t="s">
        <v>42</v>
      </c>
      <c r="H724" s="22">
        <v>12</v>
      </c>
      <c r="I724" s="23" t="s">
        <v>158</v>
      </c>
      <c r="J724" s="24">
        <f>3571200/24/12</f>
        <v>12400</v>
      </c>
      <c r="K724" s="21" t="s">
        <v>158</v>
      </c>
      <c r="L724" s="25"/>
      <c r="M724" s="25">
        <v>0.17</v>
      </c>
      <c r="N724" s="22"/>
      <c r="O724" s="23" t="s">
        <v>158</v>
      </c>
      <c r="P724" s="20">
        <f t="shared" si="92"/>
        <v>0</v>
      </c>
      <c r="Q724" s="23" t="s">
        <v>158</v>
      </c>
      <c r="R724" s="24">
        <f t="shared" si="93"/>
        <v>0</v>
      </c>
      <c r="S724" s="8">
        <f t="shared" si="87"/>
        <v>0</v>
      </c>
    </row>
    <row r="725" spans="1:19" s="19" customFormat="1">
      <c r="A725" s="18" t="s">
        <v>495</v>
      </c>
      <c r="B725" s="19" t="s">
        <v>25</v>
      </c>
      <c r="C725" s="20"/>
      <c r="D725" s="21" t="s">
        <v>158</v>
      </c>
      <c r="E725" s="26"/>
      <c r="F725" s="22">
        <v>16</v>
      </c>
      <c r="G725" s="23" t="s">
        <v>42</v>
      </c>
      <c r="H725" s="22">
        <v>12</v>
      </c>
      <c r="I725" s="23" t="s">
        <v>158</v>
      </c>
      <c r="J725" s="24">
        <f>3648000/16/12</f>
        <v>19000</v>
      </c>
      <c r="K725" s="21" t="s">
        <v>158</v>
      </c>
      <c r="L725" s="25"/>
      <c r="M725" s="25">
        <v>0.17</v>
      </c>
      <c r="N725" s="22"/>
      <c r="O725" s="23" t="s">
        <v>158</v>
      </c>
      <c r="P725" s="20">
        <f t="shared" si="92"/>
        <v>0</v>
      </c>
      <c r="Q725" s="23" t="s">
        <v>158</v>
      </c>
      <c r="R725" s="24">
        <f t="shared" si="93"/>
        <v>0</v>
      </c>
      <c r="S725" s="8">
        <f t="shared" si="87"/>
        <v>0</v>
      </c>
    </row>
    <row r="726" spans="1:19">
      <c r="A726" s="17" t="s">
        <v>496</v>
      </c>
      <c r="B726" s="2" t="s">
        <v>25</v>
      </c>
      <c r="D726" s="4" t="s">
        <v>158</v>
      </c>
      <c r="F726" s="6">
        <v>24</v>
      </c>
      <c r="G726" s="7" t="s">
        <v>33</v>
      </c>
      <c r="H726" s="6">
        <v>6</v>
      </c>
      <c r="I726" s="7" t="s">
        <v>158</v>
      </c>
      <c r="J726" s="8">
        <v>22000</v>
      </c>
      <c r="K726" s="4" t="s">
        <v>158</v>
      </c>
      <c r="M726" s="9">
        <v>0.17</v>
      </c>
      <c r="O726" s="7" t="s">
        <v>158</v>
      </c>
      <c r="P726" s="3">
        <f t="shared" si="92"/>
        <v>0</v>
      </c>
      <c r="Q726" s="7" t="s">
        <v>158</v>
      </c>
      <c r="R726" s="8">
        <f t="shared" si="93"/>
        <v>0</v>
      </c>
      <c r="S726" s="8">
        <f t="shared" si="87"/>
        <v>0</v>
      </c>
    </row>
    <row r="728" spans="1:19" ht="15.75">
      <c r="A728" s="14" t="s">
        <v>497</v>
      </c>
    </row>
    <row r="729" spans="1:19">
      <c r="A729" s="17" t="s">
        <v>498</v>
      </c>
      <c r="B729" s="2" t="s">
        <v>18</v>
      </c>
      <c r="D729" s="4" t="s">
        <v>19</v>
      </c>
      <c r="F729" s="6">
        <v>12</v>
      </c>
      <c r="G729" s="7" t="s">
        <v>33</v>
      </c>
      <c r="H729" s="6">
        <v>24</v>
      </c>
      <c r="I729" s="7" t="s">
        <v>19</v>
      </c>
      <c r="J729" s="8">
        <v>3550</v>
      </c>
      <c r="K729" s="4" t="s">
        <v>19</v>
      </c>
      <c r="L729" s="9">
        <v>0.125</v>
      </c>
      <c r="M729" s="9">
        <v>0.05</v>
      </c>
      <c r="O729" s="7" t="s">
        <v>19</v>
      </c>
      <c r="P729" s="3">
        <f>(C729+(E729*F729*H729))-N729</f>
        <v>0</v>
      </c>
      <c r="Q729" s="7" t="s">
        <v>19</v>
      </c>
      <c r="R729" s="8">
        <f>P729*(J729-(J729*L729)-((J729-(J729*L729))*M729))</f>
        <v>0</v>
      </c>
      <c r="S729" s="8">
        <f t="shared" si="87"/>
        <v>0</v>
      </c>
    </row>
    <row r="730" spans="1:19">
      <c r="A730" s="17" t="s">
        <v>499</v>
      </c>
      <c r="B730" s="2" t="s">
        <v>18</v>
      </c>
      <c r="D730" s="4" t="s">
        <v>19</v>
      </c>
      <c r="F730" s="6">
        <v>1</v>
      </c>
      <c r="G730" s="7" t="s">
        <v>20</v>
      </c>
      <c r="H730" s="6">
        <v>288</v>
      </c>
      <c r="I730" s="7" t="s">
        <v>19</v>
      </c>
      <c r="J730" s="8">
        <v>3550</v>
      </c>
      <c r="K730" s="4" t="s">
        <v>19</v>
      </c>
      <c r="L730" s="9">
        <v>0.125</v>
      </c>
      <c r="M730" s="9">
        <v>0.05</v>
      </c>
      <c r="O730" s="7" t="s">
        <v>19</v>
      </c>
      <c r="P730" s="3">
        <f>(C730+(E730*F730*H730))-N730</f>
        <v>0</v>
      </c>
      <c r="Q730" s="7" t="s">
        <v>19</v>
      </c>
      <c r="R730" s="8">
        <f>P730*(J730-(J730*L730)-((J730-(J730*L730))*M730))</f>
        <v>0</v>
      </c>
      <c r="S730" s="8">
        <f t="shared" si="87"/>
        <v>0</v>
      </c>
    </row>
    <row r="731" spans="1:19" s="19" customFormat="1">
      <c r="A731" s="18" t="s">
        <v>500</v>
      </c>
      <c r="B731" s="19" t="s">
        <v>18</v>
      </c>
      <c r="C731" s="20"/>
      <c r="D731" s="21" t="s">
        <v>19</v>
      </c>
      <c r="E731" s="26"/>
      <c r="F731" s="22">
        <v>1</v>
      </c>
      <c r="G731" s="23" t="s">
        <v>20</v>
      </c>
      <c r="H731" s="22">
        <v>288</v>
      </c>
      <c r="I731" s="23" t="s">
        <v>19</v>
      </c>
      <c r="J731" s="24">
        <v>4800</v>
      </c>
      <c r="K731" s="21" t="s">
        <v>19</v>
      </c>
      <c r="L731" s="25">
        <v>0.125</v>
      </c>
      <c r="M731" s="25">
        <v>0.05</v>
      </c>
      <c r="N731" s="22"/>
      <c r="O731" s="23" t="s">
        <v>19</v>
      </c>
      <c r="P731" s="20">
        <f>(C731+(E731*F731*H731))-N731</f>
        <v>0</v>
      </c>
      <c r="Q731" s="23" t="s">
        <v>19</v>
      </c>
      <c r="R731" s="24">
        <f>P731*(J731-(J731*L731)-((J731-(J731*L731))*M731))</f>
        <v>0</v>
      </c>
      <c r="S731" s="24">
        <f t="shared" si="87"/>
        <v>0</v>
      </c>
    </row>
    <row r="732" spans="1:19" s="19" customFormat="1">
      <c r="A732" s="18"/>
      <c r="C732" s="20"/>
      <c r="D732" s="21"/>
      <c r="E732" s="26"/>
      <c r="F732" s="22"/>
      <c r="G732" s="23"/>
      <c r="H732" s="22"/>
      <c r="I732" s="23"/>
      <c r="J732" s="24"/>
      <c r="K732" s="21"/>
      <c r="L732" s="25"/>
      <c r="M732" s="25"/>
      <c r="N732" s="22"/>
      <c r="O732" s="23"/>
      <c r="P732" s="20"/>
      <c r="Q732" s="23"/>
      <c r="R732" s="24"/>
      <c r="S732" s="24"/>
    </row>
    <row r="733" spans="1:19" s="19" customFormat="1">
      <c r="A733" s="18" t="s">
        <v>501</v>
      </c>
      <c r="B733" s="19" t="s">
        <v>25</v>
      </c>
      <c r="C733" s="20"/>
      <c r="D733" s="21" t="s">
        <v>42</v>
      </c>
      <c r="E733" s="26"/>
      <c r="F733" s="22">
        <v>1</v>
      </c>
      <c r="G733" s="23" t="s">
        <v>20</v>
      </c>
      <c r="H733" s="22">
        <v>24</v>
      </c>
      <c r="I733" s="23" t="s">
        <v>42</v>
      </c>
      <c r="J733" s="24">
        <f>1497600/24</f>
        <v>62400</v>
      </c>
      <c r="K733" s="21" t="s">
        <v>42</v>
      </c>
      <c r="L733" s="25"/>
      <c r="M733" s="25">
        <v>0.17</v>
      </c>
      <c r="N733" s="22"/>
      <c r="O733" s="23" t="s">
        <v>42</v>
      </c>
      <c r="P733" s="20">
        <f>(C733+(E733*F733*H733))-N733</f>
        <v>0</v>
      </c>
      <c r="Q733" s="23" t="s">
        <v>42</v>
      </c>
      <c r="R733" s="24">
        <f>P733*(J733-(J733*L733)-((J733-(J733*L733))*M733))</f>
        <v>0</v>
      </c>
      <c r="S733" s="24">
        <f t="shared" si="87"/>
        <v>0</v>
      </c>
    </row>
    <row r="734" spans="1:19" s="19" customFormat="1">
      <c r="A734" s="18"/>
      <c r="C734" s="20"/>
      <c r="D734" s="21"/>
      <c r="E734" s="26"/>
      <c r="F734" s="22"/>
      <c r="G734" s="23"/>
      <c r="H734" s="22"/>
      <c r="I734" s="23"/>
      <c r="J734" s="24"/>
      <c r="K734" s="21"/>
      <c r="L734" s="25"/>
      <c r="M734" s="25"/>
      <c r="N734" s="22"/>
      <c r="O734" s="23"/>
      <c r="P734" s="20"/>
      <c r="Q734" s="23"/>
      <c r="R734" s="24"/>
      <c r="S734" s="8"/>
    </row>
    <row r="735" spans="1:19">
      <c r="A735" s="68" t="s">
        <v>502</v>
      </c>
      <c r="B735" s="2" t="s">
        <v>178</v>
      </c>
      <c r="D735" s="4" t="s">
        <v>19</v>
      </c>
      <c r="F735" s="6">
        <v>1</v>
      </c>
      <c r="G735" s="7" t="s">
        <v>20</v>
      </c>
      <c r="H735" s="6">
        <v>120</v>
      </c>
      <c r="I735" s="7" t="s">
        <v>19</v>
      </c>
      <c r="J735" s="8">
        <v>11500</v>
      </c>
      <c r="K735" s="4" t="s">
        <v>19</v>
      </c>
      <c r="O735" s="7" t="s">
        <v>19</v>
      </c>
      <c r="P735" s="3">
        <f t="shared" ref="P735:P740" si="94">(C735+(E735*F735*H735))-N735</f>
        <v>0</v>
      </c>
      <c r="Q735" s="7" t="s">
        <v>19</v>
      </c>
      <c r="R735" s="8">
        <f t="shared" ref="R735:R740" si="95">P735*(J735-(J735*L735)-((J735-(J735*L735))*M735))</f>
        <v>0</v>
      </c>
      <c r="S735" s="8">
        <f t="shared" si="87"/>
        <v>0</v>
      </c>
    </row>
    <row r="736" spans="1:19">
      <c r="A736" s="68" t="s">
        <v>748</v>
      </c>
      <c r="B736" s="2" t="s">
        <v>178</v>
      </c>
      <c r="D736" s="4" t="s">
        <v>19</v>
      </c>
      <c r="F736" s="6">
        <v>1</v>
      </c>
      <c r="G736" s="7" t="s">
        <v>20</v>
      </c>
      <c r="H736" s="6">
        <v>100</v>
      </c>
      <c r="I736" s="7" t="s">
        <v>19</v>
      </c>
      <c r="J736" s="8">
        <v>13500</v>
      </c>
      <c r="K736" s="4" t="s">
        <v>19</v>
      </c>
      <c r="L736" s="9">
        <v>0.05</v>
      </c>
      <c r="O736" s="7" t="s">
        <v>19</v>
      </c>
      <c r="P736" s="3">
        <f t="shared" si="94"/>
        <v>0</v>
      </c>
      <c r="Q736" s="7" t="s">
        <v>19</v>
      </c>
      <c r="R736" s="8">
        <f t="shared" si="95"/>
        <v>0</v>
      </c>
      <c r="S736" s="8">
        <f t="shared" si="87"/>
        <v>0</v>
      </c>
    </row>
    <row r="737" spans="1:19">
      <c r="A737" s="68" t="s">
        <v>503</v>
      </c>
      <c r="B737" s="2" t="s">
        <v>178</v>
      </c>
      <c r="D737" s="4" t="s">
        <v>19</v>
      </c>
      <c r="F737" s="6">
        <v>1</v>
      </c>
      <c r="G737" s="7" t="s">
        <v>20</v>
      </c>
      <c r="H737" s="6">
        <v>96</v>
      </c>
      <c r="I737" s="7" t="s">
        <v>19</v>
      </c>
      <c r="J737" s="8">
        <v>21000</v>
      </c>
      <c r="K737" s="4" t="s">
        <v>19</v>
      </c>
      <c r="O737" s="7" t="s">
        <v>19</v>
      </c>
      <c r="P737" s="3">
        <f t="shared" si="94"/>
        <v>0</v>
      </c>
      <c r="Q737" s="7" t="s">
        <v>19</v>
      </c>
      <c r="R737" s="8">
        <f t="shared" si="95"/>
        <v>0</v>
      </c>
      <c r="S737" s="8">
        <f t="shared" si="87"/>
        <v>0</v>
      </c>
    </row>
    <row r="738" spans="1:19">
      <c r="A738" s="68" t="s">
        <v>696</v>
      </c>
      <c r="B738" s="2" t="s">
        <v>178</v>
      </c>
      <c r="D738" s="4" t="s">
        <v>19</v>
      </c>
      <c r="F738" s="6">
        <v>1</v>
      </c>
      <c r="G738" s="7" t="s">
        <v>20</v>
      </c>
      <c r="H738" s="6">
        <v>144</v>
      </c>
      <c r="I738" s="7" t="s">
        <v>19</v>
      </c>
      <c r="J738" s="8">
        <v>8750</v>
      </c>
      <c r="K738" s="4" t="s">
        <v>19</v>
      </c>
      <c r="O738" s="7" t="s">
        <v>19</v>
      </c>
      <c r="P738" s="3">
        <f t="shared" si="94"/>
        <v>0</v>
      </c>
      <c r="Q738" s="7" t="s">
        <v>19</v>
      </c>
      <c r="R738" s="8">
        <f t="shared" si="95"/>
        <v>0</v>
      </c>
      <c r="S738" s="8">
        <f t="shared" si="87"/>
        <v>0</v>
      </c>
    </row>
    <row r="739" spans="1:19">
      <c r="A739" s="68" t="s">
        <v>697</v>
      </c>
      <c r="B739" s="2" t="s">
        <v>178</v>
      </c>
      <c r="D739" s="4" t="s">
        <v>19</v>
      </c>
      <c r="F739" s="6">
        <v>1</v>
      </c>
      <c r="G739" s="7" t="s">
        <v>20</v>
      </c>
      <c r="H739" s="6">
        <v>144</v>
      </c>
      <c r="I739" s="7" t="s">
        <v>19</v>
      </c>
      <c r="J739" s="8">
        <v>8750</v>
      </c>
      <c r="K739" s="4" t="s">
        <v>19</v>
      </c>
      <c r="O739" s="7" t="s">
        <v>19</v>
      </c>
      <c r="P739" s="3">
        <f t="shared" si="94"/>
        <v>0</v>
      </c>
      <c r="Q739" s="7" t="s">
        <v>19</v>
      </c>
      <c r="R739" s="8">
        <f t="shared" si="95"/>
        <v>0</v>
      </c>
      <c r="S739" s="8">
        <f t="shared" si="87"/>
        <v>0</v>
      </c>
    </row>
    <row r="740" spans="1:19">
      <c r="A740" s="68" t="s">
        <v>698</v>
      </c>
      <c r="B740" s="2" t="s">
        <v>178</v>
      </c>
      <c r="D740" s="4" t="s">
        <v>19</v>
      </c>
      <c r="F740" s="6">
        <v>1</v>
      </c>
      <c r="G740" s="7" t="s">
        <v>20</v>
      </c>
      <c r="H740" s="6">
        <v>160</v>
      </c>
      <c r="I740" s="7" t="s">
        <v>19</v>
      </c>
      <c r="J740" s="8">
        <v>8750</v>
      </c>
      <c r="K740" s="4" t="s">
        <v>19</v>
      </c>
      <c r="O740" s="7" t="s">
        <v>19</v>
      </c>
      <c r="P740" s="3">
        <f t="shared" si="94"/>
        <v>0</v>
      </c>
      <c r="Q740" s="7" t="s">
        <v>19</v>
      </c>
      <c r="R740" s="8">
        <f t="shared" si="95"/>
        <v>0</v>
      </c>
      <c r="S740" s="8">
        <f t="shared" si="87"/>
        <v>0</v>
      </c>
    </row>
    <row r="741" spans="1:19">
      <c r="A741" s="58"/>
    </row>
    <row r="742" spans="1:19">
      <c r="A742" s="17" t="s">
        <v>692</v>
      </c>
      <c r="B742" s="2" t="s">
        <v>267</v>
      </c>
      <c r="D742" s="4" t="s">
        <v>19</v>
      </c>
      <c r="E742" s="41"/>
      <c r="F742" s="6">
        <v>1</v>
      </c>
      <c r="G742" s="7" t="s">
        <v>20</v>
      </c>
      <c r="H742" s="42">
        <v>480</v>
      </c>
      <c r="I742" s="7" t="s">
        <v>19</v>
      </c>
      <c r="J742" s="8">
        <v>26000</v>
      </c>
      <c r="K742" s="4" t="s">
        <v>19</v>
      </c>
      <c r="L742" s="40">
        <v>0.2</v>
      </c>
      <c r="O742" s="7" t="s">
        <v>19</v>
      </c>
      <c r="P742" s="3">
        <f>(C742+(E742*F742*H742))-N742</f>
        <v>0</v>
      </c>
      <c r="Q742" s="7" t="s">
        <v>19</v>
      </c>
      <c r="R742" s="8">
        <f>P742*(J742-(J742*L742)-((J742-(J742*L742))*M742))</f>
        <v>0</v>
      </c>
      <c r="S742" s="8">
        <f>R742/1.11</f>
        <v>0</v>
      </c>
    </row>
    <row r="743" spans="1:19">
      <c r="A743" s="17" t="s">
        <v>694</v>
      </c>
      <c r="B743" s="2" t="s">
        <v>267</v>
      </c>
      <c r="D743" s="4" t="s">
        <v>19</v>
      </c>
      <c r="E743" s="41"/>
      <c r="F743" s="6">
        <v>1</v>
      </c>
      <c r="G743" s="7" t="s">
        <v>20</v>
      </c>
      <c r="H743" s="42">
        <v>480</v>
      </c>
      <c r="I743" s="7" t="s">
        <v>19</v>
      </c>
      <c r="J743" s="8">
        <v>20800</v>
      </c>
      <c r="K743" s="4" t="s">
        <v>19</v>
      </c>
      <c r="L743" s="40">
        <v>0.3</v>
      </c>
      <c r="O743" s="7" t="s">
        <v>19</v>
      </c>
      <c r="P743" s="3">
        <f>(C743+(E743*F743*H743))-N743</f>
        <v>0</v>
      </c>
      <c r="Q743" s="7" t="s">
        <v>19</v>
      </c>
      <c r="R743" s="8">
        <f>P743*(J743-(J743*L743)-((J743-(J743*L743))*M743))</f>
        <v>0</v>
      </c>
      <c r="S743" s="8">
        <f>R743/1.11</f>
        <v>0</v>
      </c>
    </row>
    <row r="744" spans="1:19">
      <c r="A744" s="17" t="s">
        <v>690</v>
      </c>
      <c r="B744" s="2" t="s">
        <v>267</v>
      </c>
      <c r="D744" s="4" t="s">
        <v>19</v>
      </c>
      <c r="E744" s="41"/>
      <c r="F744" s="6">
        <v>1</v>
      </c>
      <c r="G744" s="7" t="s">
        <v>20</v>
      </c>
      <c r="H744" s="42">
        <v>480</v>
      </c>
      <c r="I744" s="7" t="s">
        <v>19</v>
      </c>
      <c r="J744" s="8">
        <v>15000</v>
      </c>
      <c r="K744" s="4" t="s">
        <v>19</v>
      </c>
      <c r="L744" s="40">
        <v>0.2</v>
      </c>
      <c r="O744" s="7" t="s">
        <v>19</v>
      </c>
      <c r="P744" s="3">
        <f>(C744+(E744*F744*H744))-N744</f>
        <v>0</v>
      </c>
      <c r="Q744" s="7" t="s">
        <v>19</v>
      </c>
      <c r="R744" s="8">
        <f>P744*(J744-(J744*L744)-((J744-(J744*L744))*M744))</f>
        <v>0</v>
      </c>
      <c r="S744" s="8">
        <f>R744/1.11</f>
        <v>0</v>
      </c>
    </row>
    <row r="745" spans="1:19">
      <c r="A745" s="17" t="s">
        <v>693</v>
      </c>
      <c r="B745" s="2" t="s">
        <v>267</v>
      </c>
      <c r="D745" s="4" t="s">
        <v>19</v>
      </c>
      <c r="E745" s="41"/>
      <c r="F745" s="6">
        <v>1</v>
      </c>
      <c r="G745" s="7" t="s">
        <v>20</v>
      </c>
      <c r="H745" s="42">
        <v>480</v>
      </c>
      <c r="I745" s="7" t="s">
        <v>19</v>
      </c>
      <c r="J745" s="8">
        <v>29900</v>
      </c>
      <c r="K745" s="4" t="s">
        <v>19</v>
      </c>
      <c r="L745" s="40">
        <v>0.25</v>
      </c>
      <c r="O745" s="7" t="s">
        <v>19</v>
      </c>
      <c r="P745" s="3">
        <f>(C745+(E745*F745*H745))-N745</f>
        <v>0</v>
      </c>
      <c r="Q745" s="7" t="s">
        <v>19</v>
      </c>
      <c r="R745" s="8">
        <f>P745*(J745-(J745*L745)-((J745-(J745*L745))*M745))</f>
        <v>0</v>
      </c>
      <c r="S745" s="8">
        <f>R745/1.11</f>
        <v>0</v>
      </c>
    </row>
    <row r="746" spans="1:19">
      <c r="A746" s="17" t="s">
        <v>691</v>
      </c>
      <c r="B746" s="2" t="s">
        <v>267</v>
      </c>
      <c r="D746" s="4" t="s">
        <v>19</v>
      </c>
      <c r="E746" s="41"/>
      <c r="F746" s="6">
        <v>1</v>
      </c>
      <c r="G746" s="7" t="s">
        <v>20</v>
      </c>
      <c r="H746" s="42">
        <v>384</v>
      </c>
      <c r="I746" s="7" t="s">
        <v>19</v>
      </c>
      <c r="J746" s="8">
        <v>16000</v>
      </c>
      <c r="K746" s="4" t="s">
        <v>19</v>
      </c>
      <c r="L746" s="40">
        <v>0.25</v>
      </c>
      <c r="O746" s="7" t="s">
        <v>19</v>
      </c>
      <c r="P746" s="3">
        <f>(C746+(E746*F746*H746))-N746</f>
        <v>0</v>
      </c>
      <c r="Q746" s="7" t="s">
        <v>19</v>
      </c>
      <c r="R746" s="8">
        <f>P746*(J746-(J746*L746)-((J746-(J746*L746))*M746))</f>
        <v>0</v>
      </c>
      <c r="S746" s="8">
        <f>R746/1.11</f>
        <v>0</v>
      </c>
    </row>
    <row r="748" spans="1:19" ht="15.75">
      <c r="A748" s="14" t="s">
        <v>504</v>
      </c>
    </row>
    <row r="749" spans="1:19">
      <c r="A749" s="15" t="s">
        <v>505</v>
      </c>
    </row>
    <row r="750" spans="1:19">
      <c r="A750" s="17" t="s">
        <v>796</v>
      </c>
      <c r="B750" s="2" t="s">
        <v>18</v>
      </c>
      <c r="D750" s="4" t="s">
        <v>33</v>
      </c>
      <c r="F750" s="6">
        <v>1</v>
      </c>
      <c r="G750" s="7" t="s">
        <v>20</v>
      </c>
      <c r="H750" s="6">
        <v>48</v>
      </c>
      <c r="I750" s="7" t="s">
        <v>33</v>
      </c>
      <c r="J750" s="8">
        <v>31200</v>
      </c>
      <c r="K750" s="4" t="s">
        <v>33</v>
      </c>
      <c r="L750" s="9">
        <v>0.125</v>
      </c>
      <c r="M750" s="9">
        <v>0.05</v>
      </c>
      <c r="O750" s="7" t="s">
        <v>33</v>
      </c>
      <c r="P750" s="3">
        <f>(C750+(E750*F750*H750))-N750</f>
        <v>0</v>
      </c>
      <c r="Q750" s="7" t="s">
        <v>33</v>
      </c>
      <c r="R750" s="8">
        <f>P750*(J750-(J750*L750)-((J750-(J750*L750))*M750))</f>
        <v>0</v>
      </c>
      <c r="S750" s="8">
        <f t="shared" si="87"/>
        <v>0</v>
      </c>
    </row>
    <row r="752" spans="1:19" s="19" customFormat="1">
      <c r="A752" s="59" t="s">
        <v>797</v>
      </c>
      <c r="B752" s="19" t="s">
        <v>25</v>
      </c>
      <c r="C752" s="20"/>
      <c r="D752" s="21" t="s">
        <v>42</v>
      </c>
      <c r="E752" s="26"/>
      <c r="F752" s="22">
        <v>1</v>
      </c>
      <c r="G752" s="23" t="s">
        <v>20</v>
      </c>
      <c r="H752" s="22">
        <v>48</v>
      </c>
      <c r="I752" s="23" t="s">
        <v>42</v>
      </c>
      <c r="J752" s="24">
        <f>1584000/48</f>
        <v>33000</v>
      </c>
      <c r="K752" s="21" t="s">
        <v>42</v>
      </c>
      <c r="L752" s="25"/>
      <c r="M752" s="25">
        <v>0.17</v>
      </c>
      <c r="N752" s="22"/>
      <c r="O752" s="23" t="s">
        <v>42</v>
      </c>
      <c r="P752" s="20">
        <f>(C752+(E752*F752*H752))-N752</f>
        <v>0</v>
      </c>
      <c r="Q752" s="23" t="s">
        <v>42</v>
      </c>
      <c r="R752" s="24">
        <f>P752*(J752-(J752*L752)-((J752-(J752*L752))*M752))</f>
        <v>0</v>
      </c>
      <c r="S752" s="24">
        <f t="shared" si="87"/>
        <v>0</v>
      </c>
    </row>
    <row r="754" spans="1:19" ht="15.75">
      <c r="A754" s="14" t="s">
        <v>506</v>
      </c>
    </row>
    <row r="755" spans="1:19" s="19" customFormat="1">
      <c r="A755" s="18" t="s">
        <v>668</v>
      </c>
      <c r="B755" s="19" t="s">
        <v>18</v>
      </c>
      <c r="C755" s="20"/>
      <c r="D755" s="21" t="s">
        <v>19</v>
      </c>
      <c r="E755" s="26"/>
      <c r="F755" s="22">
        <v>10</v>
      </c>
      <c r="G755" s="23" t="s">
        <v>33</v>
      </c>
      <c r="H755" s="22">
        <v>12</v>
      </c>
      <c r="I755" s="23" t="s">
        <v>19</v>
      </c>
      <c r="J755" s="24">
        <v>11200</v>
      </c>
      <c r="K755" s="21" t="s">
        <v>19</v>
      </c>
      <c r="L755" s="25">
        <v>0.125</v>
      </c>
      <c r="M755" s="25">
        <v>0.05</v>
      </c>
      <c r="N755" s="22"/>
      <c r="O755" s="23" t="s">
        <v>19</v>
      </c>
      <c r="P755" s="20">
        <f t="shared" ref="P755:P760" si="96">(C755+(E755*F755*H755))-N755</f>
        <v>0</v>
      </c>
      <c r="Q755" s="23" t="s">
        <v>19</v>
      </c>
      <c r="R755" s="24">
        <f t="shared" ref="R755:R760" si="97">P755*(J755-(J755*L755)-((J755-(J755*L755))*M755))</f>
        <v>0</v>
      </c>
      <c r="S755" s="24">
        <f t="shared" ref="S755:S756" si="98">R755/1.11</f>
        <v>0</v>
      </c>
    </row>
    <row r="756" spans="1:19" s="19" customFormat="1">
      <c r="A756" s="18" t="s">
        <v>669</v>
      </c>
      <c r="B756" s="19" t="s">
        <v>18</v>
      </c>
      <c r="C756" s="20"/>
      <c r="D756" s="21" t="s">
        <v>19</v>
      </c>
      <c r="E756" s="26"/>
      <c r="F756" s="22">
        <v>10</v>
      </c>
      <c r="G756" s="23" t="s">
        <v>33</v>
      </c>
      <c r="H756" s="22">
        <v>12</v>
      </c>
      <c r="I756" s="23" t="s">
        <v>19</v>
      </c>
      <c r="J756" s="24">
        <v>12400</v>
      </c>
      <c r="K756" s="21" t="s">
        <v>19</v>
      </c>
      <c r="L756" s="25">
        <v>0.125</v>
      </c>
      <c r="M756" s="25">
        <v>0.05</v>
      </c>
      <c r="N756" s="22"/>
      <c r="O756" s="23" t="s">
        <v>19</v>
      </c>
      <c r="P756" s="20">
        <f t="shared" si="96"/>
        <v>0</v>
      </c>
      <c r="Q756" s="23" t="s">
        <v>19</v>
      </c>
      <c r="R756" s="24">
        <f t="shared" si="97"/>
        <v>0</v>
      </c>
      <c r="S756" s="24">
        <f t="shared" si="98"/>
        <v>0</v>
      </c>
    </row>
    <row r="757" spans="1:19" s="19" customFormat="1">
      <c r="A757" s="18" t="s">
        <v>507</v>
      </c>
      <c r="B757" s="19" t="s">
        <v>18</v>
      </c>
      <c r="C757" s="20"/>
      <c r="D757" s="21" t="s">
        <v>19</v>
      </c>
      <c r="E757" s="26"/>
      <c r="F757" s="22">
        <v>10</v>
      </c>
      <c r="G757" s="23" t="s">
        <v>33</v>
      </c>
      <c r="H757" s="22">
        <v>12</v>
      </c>
      <c r="I757" s="23" t="s">
        <v>19</v>
      </c>
      <c r="J757" s="24">
        <v>12950</v>
      </c>
      <c r="K757" s="21" t="s">
        <v>19</v>
      </c>
      <c r="L757" s="25">
        <v>0.125</v>
      </c>
      <c r="M757" s="25">
        <v>0.05</v>
      </c>
      <c r="N757" s="22"/>
      <c r="O757" s="23" t="s">
        <v>19</v>
      </c>
      <c r="P757" s="20">
        <f t="shared" si="96"/>
        <v>0</v>
      </c>
      <c r="Q757" s="23" t="s">
        <v>19</v>
      </c>
      <c r="R757" s="24">
        <f t="shared" si="97"/>
        <v>0</v>
      </c>
      <c r="S757" s="24">
        <f t="shared" si="87"/>
        <v>0</v>
      </c>
    </row>
    <row r="758" spans="1:19">
      <c r="A758" s="17" t="s">
        <v>508</v>
      </c>
      <c r="B758" s="2" t="s">
        <v>18</v>
      </c>
      <c r="D758" s="4" t="s">
        <v>19</v>
      </c>
      <c r="F758" s="6">
        <v>5</v>
      </c>
      <c r="G758" s="7" t="s">
        <v>33</v>
      </c>
      <c r="H758" s="6">
        <v>12</v>
      </c>
      <c r="I758" s="7" t="s">
        <v>19</v>
      </c>
      <c r="J758" s="8">
        <v>27000</v>
      </c>
      <c r="K758" s="4" t="s">
        <v>19</v>
      </c>
      <c r="L758" s="9">
        <v>0.125</v>
      </c>
      <c r="M758" s="9">
        <v>0.05</v>
      </c>
      <c r="O758" s="7" t="s">
        <v>19</v>
      </c>
      <c r="P758" s="3">
        <f t="shared" si="96"/>
        <v>0</v>
      </c>
      <c r="Q758" s="7" t="s">
        <v>19</v>
      </c>
      <c r="R758" s="8">
        <f t="shared" si="97"/>
        <v>0</v>
      </c>
      <c r="S758" s="8">
        <f t="shared" si="87"/>
        <v>0</v>
      </c>
    </row>
    <row r="759" spans="1:19">
      <c r="A759" s="17" t="s">
        <v>509</v>
      </c>
      <c r="B759" s="2" t="s">
        <v>18</v>
      </c>
      <c r="D759" s="4" t="s">
        <v>19</v>
      </c>
      <c r="F759" s="6">
        <v>1</v>
      </c>
      <c r="G759" s="7" t="s">
        <v>20</v>
      </c>
      <c r="H759" s="6">
        <v>24</v>
      </c>
      <c r="I759" s="7" t="s">
        <v>19</v>
      </c>
      <c r="J759" s="8">
        <v>40000</v>
      </c>
      <c r="K759" s="4" t="s">
        <v>19</v>
      </c>
      <c r="L759" s="9">
        <v>0.125</v>
      </c>
      <c r="M759" s="9">
        <v>0.05</v>
      </c>
      <c r="O759" s="7" t="s">
        <v>19</v>
      </c>
      <c r="P759" s="3">
        <f t="shared" si="96"/>
        <v>0</v>
      </c>
      <c r="Q759" s="7" t="s">
        <v>19</v>
      </c>
      <c r="R759" s="8">
        <f t="shared" si="97"/>
        <v>0</v>
      </c>
      <c r="S759" s="8">
        <f t="shared" si="87"/>
        <v>0</v>
      </c>
    </row>
    <row r="760" spans="1:19">
      <c r="A760" s="17" t="s">
        <v>510</v>
      </c>
      <c r="B760" s="2" t="s">
        <v>18</v>
      </c>
      <c r="D760" s="4" t="s">
        <v>19</v>
      </c>
      <c r="F760" s="6">
        <v>1</v>
      </c>
      <c r="G760" s="7" t="s">
        <v>20</v>
      </c>
      <c r="H760" s="6">
        <v>24</v>
      </c>
      <c r="I760" s="7" t="s">
        <v>19</v>
      </c>
      <c r="J760" s="8">
        <v>45500</v>
      </c>
      <c r="K760" s="4" t="s">
        <v>19</v>
      </c>
      <c r="L760" s="9">
        <v>0.125</v>
      </c>
      <c r="M760" s="9">
        <v>0.05</v>
      </c>
      <c r="O760" s="7" t="s">
        <v>19</v>
      </c>
      <c r="P760" s="3">
        <f t="shared" si="96"/>
        <v>0</v>
      </c>
      <c r="Q760" s="7" t="s">
        <v>19</v>
      </c>
      <c r="R760" s="8">
        <f t="shared" si="97"/>
        <v>0</v>
      </c>
      <c r="S760" s="8">
        <f t="shared" si="87"/>
        <v>0</v>
      </c>
    </row>
    <row r="762" spans="1:19">
      <c r="A762" s="17" t="s">
        <v>511</v>
      </c>
      <c r="B762" s="2" t="s">
        <v>25</v>
      </c>
      <c r="D762" s="4" t="s">
        <v>19</v>
      </c>
      <c r="F762" s="6">
        <v>10</v>
      </c>
      <c r="G762" s="7" t="s">
        <v>42</v>
      </c>
      <c r="H762" s="6">
        <v>12</v>
      </c>
      <c r="I762" s="7" t="s">
        <v>19</v>
      </c>
      <c r="J762" s="8">
        <f>1500000/10/12</f>
        <v>12500</v>
      </c>
      <c r="K762" s="4" t="s">
        <v>19</v>
      </c>
      <c r="M762" s="9">
        <v>0.17</v>
      </c>
      <c r="O762" s="7" t="s">
        <v>19</v>
      </c>
      <c r="P762" s="3">
        <f t="shared" ref="P762:P770" si="99">(C762+(E762*F762*H762))-N762</f>
        <v>0</v>
      </c>
      <c r="Q762" s="7" t="s">
        <v>19</v>
      </c>
      <c r="R762" s="8">
        <f t="shared" ref="R762:R770" si="100">P762*(J762-(J762*L762)-((J762-(J762*L762))*M762))</f>
        <v>0</v>
      </c>
      <c r="S762" s="8">
        <f t="shared" si="87"/>
        <v>0</v>
      </c>
    </row>
    <row r="763" spans="1:19" s="19" customFormat="1">
      <c r="A763" s="18" t="s">
        <v>512</v>
      </c>
      <c r="B763" s="19" t="s">
        <v>25</v>
      </c>
      <c r="C763" s="20"/>
      <c r="D763" s="21" t="s">
        <v>42</v>
      </c>
      <c r="E763" s="26"/>
      <c r="F763" s="22">
        <v>1</v>
      </c>
      <c r="G763" s="23" t="s">
        <v>20</v>
      </c>
      <c r="H763" s="22">
        <v>10</v>
      </c>
      <c r="I763" s="23" t="s">
        <v>42</v>
      </c>
      <c r="J763" s="24">
        <f>1560000/10</f>
        <v>156000</v>
      </c>
      <c r="K763" s="21" t="s">
        <v>42</v>
      </c>
      <c r="L763" s="25"/>
      <c r="M763" s="25">
        <v>0.17</v>
      </c>
      <c r="N763" s="22"/>
      <c r="O763" s="23" t="s">
        <v>42</v>
      </c>
      <c r="P763" s="20">
        <f t="shared" si="99"/>
        <v>0</v>
      </c>
      <c r="Q763" s="23" t="s">
        <v>42</v>
      </c>
      <c r="R763" s="24">
        <f t="shared" si="100"/>
        <v>0</v>
      </c>
      <c r="S763" s="24">
        <f t="shared" si="87"/>
        <v>0</v>
      </c>
    </row>
    <row r="764" spans="1:19" s="19" customFormat="1">
      <c r="A764" s="18" t="s">
        <v>513</v>
      </c>
      <c r="B764" s="19" t="s">
        <v>25</v>
      </c>
      <c r="C764" s="20"/>
      <c r="D764" s="21" t="s">
        <v>19</v>
      </c>
      <c r="E764" s="26"/>
      <c r="F764" s="22">
        <v>10</v>
      </c>
      <c r="G764" s="23" t="s">
        <v>42</v>
      </c>
      <c r="H764" s="22">
        <v>12</v>
      </c>
      <c r="I764" s="23" t="s">
        <v>19</v>
      </c>
      <c r="J764" s="24">
        <f>13000</f>
        <v>13000</v>
      </c>
      <c r="K764" s="21" t="s">
        <v>19</v>
      </c>
      <c r="L764" s="25"/>
      <c r="M764" s="25">
        <v>0.17</v>
      </c>
      <c r="N764" s="22"/>
      <c r="O764" s="23" t="s">
        <v>19</v>
      </c>
      <c r="P764" s="20">
        <f t="shared" si="99"/>
        <v>0</v>
      </c>
      <c r="Q764" s="23" t="s">
        <v>19</v>
      </c>
      <c r="R764" s="24">
        <f t="shared" si="100"/>
        <v>0</v>
      </c>
      <c r="S764" s="8">
        <f t="shared" si="87"/>
        <v>0</v>
      </c>
    </row>
    <row r="765" spans="1:19" s="19" customFormat="1">
      <c r="A765" s="18" t="s">
        <v>514</v>
      </c>
      <c r="B765" s="19" t="s">
        <v>25</v>
      </c>
      <c r="C765" s="20"/>
      <c r="D765" s="21" t="s">
        <v>42</v>
      </c>
      <c r="E765" s="26"/>
      <c r="F765" s="22">
        <v>4</v>
      </c>
      <c r="G765" s="23" t="s">
        <v>33</v>
      </c>
      <c r="H765" s="22">
        <v>2</v>
      </c>
      <c r="I765" s="23" t="s">
        <v>42</v>
      </c>
      <c r="J765" s="24">
        <f>1440000/4/2</f>
        <v>180000</v>
      </c>
      <c r="K765" s="21" t="s">
        <v>42</v>
      </c>
      <c r="L765" s="25"/>
      <c r="M765" s="25">
        <v>0.17</v>
      </c>
      <c r="N765" s="22"/>
      <c r="O765" s="23" t="s">
        <v>42</v>
      </c>
      <c r="P765" s="20">
        <f t="shared" si="99"/>
        <v>0</v>
      </c>
      <c r="Q765" s="23" t="s">
        <v>42</v>
      </c>
      <c r="R765" s="24">
        <f t="shared" si="100"/>
        <v>0</v>
      </c>
      <c r="S765" s="24">
        <f t="shared" si="87"/>
        <v>0</v>
      </c>
    </row>
    <row r="766" spans="1:19" s="19" customFormat="1">
      <c r="A766" s="18" t="s">
        <v>515</v>
      </c>
      <c r="B766" s="19" t="s">
        <v>25</v>
      </c>
      <c r="C766" s="20"/>
      <c r="D766" s="21" t="s">
        <v>42</v>
      </c>
      <c r="E766" s="26"/>
      <c r="F766" s="22">
        <v>1</v>
      </c>
      <c r="G766" s="23" t="s">
        <v>20</v>
      </c>
      <c r="H766" s="22">
        <v>5</v>
      </c>
      <c r="I766" s="23" t="s">
        <v>42</v>
      </c>
      <c r="J766" s="24">
        <f>1410000/5</f>
        <v>282000</v>
      </c>
      <c r="K766" s="21" t="s">
        <v>19</v>
      </c>
      <c r="L766" s="25"/>
      <c r="M766" s="25">
        <v>0.17</v>
      </c>
      <c r="N766" s="22"/>
      <c r="O766" s="23" t="s">
        <v>42</v>
      </c>
      <c r="P766" s="20">
        <f t="shared" si="99"/>
        <v>0</v>
      </c>
      <c r="Q766" s="23" t="s">
        <v>42</v>
      </c>
      <c r="R766" s="24">
        <f t="shared" si="100"/>
        <v>0</v>
      </c>
      <c r="S766" s="24">
        <f t="shared" si="87"/>
        <v>0</v>
      </c>
    </row>
    <row r="767" spans="1:19" s="19" customFormat="1">
      <c r="A767" s="18" t="s">
        <v>516</v>
      </c>
      <c r="B767" s="19" t="s">
        <v>25</v>
      </c>
      <c r="C767" s="20"/>
      <c r="D767" s="21" t="s">
        <v>42</v>
      </c>
      <c r="E767" s="26"/>
      <c r="F767" s="22">
        <v>1</v>
      </c>
      <c r="G767" s="23" t="s">
        <v>20</v>
      </c>
      <c r="H767" s="22">
        <v>4</v>
      </c>
      <c r="I767" s="23" t="s">
        <v>42</v>
      </c>
      <c r="J767" s="24">
        <f>1410000/4</f>
        <v>352500</v>
      </c>
      <c r="K767" s="21" t="s">
        <v>42</v>
      </c>
      <c r="L767" s="25"/>
      <c r="M767" s="25">
        <v>0.17</v>
      </c>
      <c r="N767" s="22"/>
      <c r="O767" s="23" t="s">
        <v>42</v>
      </c>
      <c r="P767" s="20">
        <f t="shared" si="99"/>
        <v>0</v>
      </c>
      <c r="Q767" s="23" t="s">
        <v>42</v>
      </c>
      <c r="R767" s="24">
        <f t="shared" si="100"/>
        <v>0</v>
      </c>
      <c r="S767" s="24">
        <f t="shared" si="87"/>
        <v>0</v>
      </c>
    </row>
    <row r="768" spans="1:19">
      <c r="A768" s="17" t="s">
        <v>517</v>
      </c>
      <c r="B768" s="2" t="s">
        <v>25</v>
      </c>
      <c r="D768" s="4" t="s">
        <v>19</v>
      </c>
      <c r="F768" s="6">
        <v>1</v>
      </c>
      <c r="G768" s="7" t="s">
        <v>20</v>
      </c>
      <c r="H768" s="6">
        <v>24</v>
      </c>
      <c r="I768" s="7" t="s">
        <v>19</v>
      </c>
      <c r="J768" s="8">
        <f>1164000/24</f>
        <v>48500</v>
      </c>
      <c r="K768" s="4" t="s">
        <v>19</v>
      </c>
      <c r="M768" s="9">
        <v>0.17</v>
      </c>
      <c r="O768" s="7" t="s">
        <v>19</v>
      </c>
      <c r="P768" s="3">
        <f t="shared" si="99"/>
        <v>0</v>
      </c>
      <c r="Q768" s="7" t="s">
        <v>19</v>
      </c>
      <c r="R768" s="8">
        <f t="shared" si="100"/>
        <v>0</v>
      </c>
      <c r="S768" s="8">
        <f t="shared" si="87"/>
        <v>0</v>
      </c>
    </row>
    <row r="769" spans="1:19">
      <c r="A769" s="17" t="s">
        <v>518</v>
      </c>
      <c r="B769" s="2" t="s">
        <v>25</v>
      </c>
      <c r="D769" s="4" t="s">
        <v>19</v>
      </c>
      <c r="F769" s="6">
        <v>1</v>
      </c>
      <c r="G769" s="7" t="s">
        <v>20</v>
      </c>
      <c r="H769" s="6">
        <v>24</v>
      </c>
      <c r="I769" s="7" t="s">
        <v>19</v>
      </c>
      <c r="J769" s="8">
        <f>1020000/24</f>
        <v>42500</v>
      </c>
      <c r="K769" s="4" t="s">
        <v>19</v>
      </c>
      <c r="M769" s="9">
        <v>0.17</v>
      </c>
      <c r="O769" s="7" t="s">
        <v>19</v>
      </c>
      <c r="P769" s="3">
        <f t="shared" si="99"/>
        <v>0</v>
      </c>
      <c r="Q769" s="7" t="s">
        <v>19</v>
      </c>
      <c r="R769" s="8">
        <f t="shared" si="100"/>
        <v>0</v>
      </c>
      <c r="S769" s="8">
        <f t="shared" si="87"/>
        <v>0</v>
      </c>
    </row>
    <row r="770" spans="1:19">
      <c r="A770" s="17" t="s">
        <v>519</v>
      </c>
      <c r="B770" s="2" t="s">
        <v>25</v>
      </c>
      <c r="D770" s="4" t="s">
        <v>19</v>
      </c>
      <c r="F770" s="6">
        <v>1</v>
      </c>
      <c r="G770" s="7" t="s">
        <v>20</v>
      </c>
      <c r="H770" s="6">
        <v>24</v>
      </c>
      <c r="I770" s="7" t="s">
        <v>19</v>
      </c>
      <c r="J770" s="8">
        <f>1416000/24</f>
        <v>59000</v>
      </c>
      <c r="K770" s="4" t="s">
        <v>19</v>
      </c>
      <c r="M770" s="9">
        <v>0.17</v>
      </c>
      <c r="O770" s="7" t="s">
        <v>19</v>
      </c>
      <c r="P770" s="3">
        <f t="shared" si="99"/>
        <v>0</v>
      </c>
      <c r="Q770" s="7" t="s">
        <v>19</v>
      </c>
      <c r="R770" s="8">
        <f t="shared" si="100"/>
        <v>0</v>
      </c>
      <c r="S770" s="8">
        <f t="shared" si="87"/>
        <v>0</v>
      </c>
    </row>
    <row r="773" spans="1:19" ht="15.75">
      <c r="A773" s="14" t="s">
        <v>531</v>
      </c>
    </row>
    <row r="774" spans="1:19" s="19" customFormat="1">
      <c r="A774" s="18" t="s">
        <v>532</v>
      </c>
      <c r="B774" s="19" t="s">
        <v>18</v>
      </c>
      <c r="C774" s="20"/>
      <c r="D774" s="21" t="s">
        <v>19</v>
      </c>
      <c r="E774" s="26"/>
      <c r="F774" s="22">
        <v>72</v>
      </c>
      <c r="G774" s="23" t="s">
        <v>33</v>
      </c>
      <c r="H774" s="22">
        <v>10</v>
      </c>
      <c r="I774" s="23" t="s">
        <v>19</v>
      </c>
      <c r="J774" s="24">
        <v>3700</v>
      </c>
      <c r="K774" s="21" t="s">
        <v>19</v>
      </c>
      <c r="L774" s="25">
        <v>0.125</v>
      </c>
      <c r="M774" s="25">
        <v>0.05</v>
      </c>
      <c r="N774" s="22"/>
      <c r="O774" s="23" t="s">
        <v>19</v>
      </c>
      <c r="P774" s="20">
        <f>(C774+(E774*F774*H774))-N774</f>
        <v>0</v>
      </c>
      <c r="Q774" s="23" t="s">
        <v>19</v>
      </c>
      <c r="R774" s="24">
        <f>P774*(J774-(J774*L774)-((J774-(J774*L774))*M774))</f>
        <v>0</v>
      </c>
      <c r="S774" s="24">
        <f t="shared" ref="S774:S846" si="101">R774/1.11</f>
        <v>0</v>
      </c>
    </row>
    <row r="775" spans="1:19" s="19" customFormat="1">
      <c r="A775" s="18" t="s">
        <v>533</v>
      </c>
      <c r="B775" s="19" t="s">
        <v>18</v>
      </c>
      <c r="C775" s="20"/>
      <c r="D775" s="21" t="s">
        <v>158</v>
      </c>
      <c r="E775" s="26"/>
      <c r="F775" s="22">
        <v>12</v>
      </c>
      <c r="G775" s="23" t="s">
        <v>33</v>
      </c>
      <c r="H775" s="22">
        <v>24</v>
      </c>
      <c r="I775" s="23" t="s">
        <v>158</v>
      </c>
      <c r="J775" s="24">
        <v>16500</v>
      </c>
      <c r="K775" s="21" t="s">
        <v>158</v>
      </c>
      <c r="L775" s="25">
        <v>0.125</v>
      </c>
      <c r="M775" s="25">
        <v>0.05</v>
      </c>
      <c r="N775" s="22"/>
      <c r="O775" s="23" t="s">
        <v>158</v>
      </c>
      <c r="P775" s="20">
        <f>(C775+(E775*F775*H775))-N775</f>
        <v>0</v>
      </c>
      <c r="Q775" s="23" t="s">
        <v>158</v>
      </c>
      <c r="R775" s="24">
        <f>P775*(J775-(J775*L775)-((J775-(J775*L775))*M775))</f>
        <v>0</v>
      </c>
      <c r="S775" s="8">
        <f t="shared" si="101"/>
        <v>0</v>
      </c>
    </row>
    <row r="776" spans="1:19" s="19" customFormat="1">
      <c r="A776" s="18"/>
      <c r="C776" s="20"/>
      <c r="D776" s="21"/>
      <c r="E776" s="26"/>
      <c r="F776" s="22"/>
      <c r="G776" s="23"/>
      <c r="H776" s="22"/>
      <c r="I776" s="23"/>
      <c r="J776" s="24"/>
      <c r="K776" s="21"/>
      <c r="L776" s="25"/>
      <c r="M776" s="25"/>
      <c r="N776" s="22"/>
      <c r="O776" s="23"/>
      <c r="P776" s="20"/>
      <c r="Q776" s="23"/>
      <c r="R776" s="24"/>
      <c r="S776" s="8"/>
    </row>
    <row r="777" spans="1:19">
      <c r="A777" s="17" t="s">
        <v>534</v>
      </c>
      <c r="B777" s="2" t="s">
        <v>25</v>
      </c>
      <c r="D777" s="4" t="s">
        <v>19</v>
      </c>
      <c r="F777" s="6">
        <v>48</v>
      </c>
      <c r="G777" s="7" t="s">
        <v>33</v>
      </c>
      <c r="H777" s="6">
        <v>10</v>
      </c>
      <c r="I777" s="7" t="s">
        <v>19</v>
      </c>
      <c r="J777" s="8">
        <f>30500/10</f>
        <v>3050</v>
      </c>
      <c r="K777" s="4" t="s">
        <v>19</v>
      </c>
      <c r="M777" s="9">
        <v>0.17</v>
      </c>
      <c r="O777" s="7" t="s">
        <v>19</v>
      </c>
      <c r="P777" s="3">
        <f>(C777+(E777*F777*H777))-N777</f>
        <v>0</v>
      </c>
      <c r="Q777" s="7" t="s">
        <v>19</v>
      </c>
      <c r="R777" s="8">
        <f>P777*(J777-(J777*L777)-((J777-(J777*L777))*M777))</f>
        <v>0</v>
      </c>
      <c r="S777" s="8">
        <f t="shared" si="101"/>
        <v>0</v>
      </c>
    </row>
    <row r="778" spans="1:19">
      <c r="A778" s="17" t="s">
        <v>535</v>
      </c>
      <c r="B778" s="2" t="s">
        <v>25</v>
      </c>
      <c r="D778" s="4" t="s">
        <v>19</v>
      </c>
      <c r="F778" s="6">
        <v>48</v>
      </c>
      <c r="G778" s="7" t="s">
        <v>33</v>
      </c>
      <c r="H778" s="6">
        <v>10</v>
      </c>
      <c r="I778" s="7" t="s">
        <v>19</v>
      </c>
      <c r="J778" s="8">
        <f>30500/10</f>
        <v>3050</v>
      </c>
      <c r="K778" s="4" t="s">
        <v>19</v>
      </c>
      <c r="M778" s="9">
        <v>0.17</v>
      </c>
      <c r="O778" s="7" t="s">
        <v>19</v>
      </c>
      <c r="P778" s="3">
        <f>(C778+(E778*F778*H778))-N778</f>
        <v>0</v>
      </c>
      <c r="Q778" s="7" t="s">
        <v>19</v>
      </c>
      <c r="R778" s="8">
        <f>P778*(J778-(J778*L778)-((J778-(J778*L778))*M778))</f>
        <v>0</v>
      </c>
      <c r="S778" s="8">
        <f t="shared" si="101"/>
        <v>0</v>
      </c>
    </row>
    <row r="779" spans="1:19">
      <c r="A779" s="17" t="s">
        <v>536</v>
      </c>
      <c r="B779" s="2" t="s">
        <v>25</v>
      </c>
      <c r="D779" s="4" t="s">
        <v>42</v>
      </c>
      <c r="F779" s="6">
        <v>12</v>
      </c>
      <c r="G779" s="7" t="s">
        <v>33</v>
      </c>
      <c r="H779" s="6">
        <v>12</v>
      </c>
      <c r="I779" s="7" t="s">
        <v>42</v>
      </c>
      <c r="J779" s="8">
        <v>25800</v>
      </c>
      <c r="K779" s="4" t="s">
        <v>42</v>
      </c>
      <c r="M779" s="9">
        <v>0.17</v>
      </c>
      <c r="O779" s="7" t="s">
        <v>42</v>
      </c>
      <c r="P779" s="3">
        <f>(C779+(E779*F779*H779))-N779</f>
        <v>0</v>
      </c>
      <c r="Q779" s="7" t="s">
        <v>42</v>
      </c>
      <c r="R779" s="8">
        <f>P779*(J779-(J779*L779)-((J779-(J779*L779))*M779))</f>
        <v>0</v>
      </c>
      <c r="S779" s="8">
        <f t="shared" si="101"/>
        <v>0</v>
      </c>
    </row>
    <row r="781" spans="1:19" s="19" customFormat="1">
      <c r="A781" s="18" t="s">
        <v>537</v>
      </c>
      <c r="B781" s="19" t="s">
        <v>267</v>
      </c>
      <c r="C781" s="20"/>
      <c r="D781" s="21" t="s">
        <v>101</v>
      </c>
      <c r="E781" s="26"/>
      <c r="F781" s="22">
        <v>1</v>
      </c>
      <c r="G781" s="23" t="s">
        <v>20</v>
      </c>
      <c r="H781" s="22">
        <v>24</v>
      </c>
      <c r="I781" s="23" t="s">
        <v>101</v>
      </c>
      <c r="J781" s="24">
        <v>94000</v>
      </c>
      <c r="K781" s="21" t="s">
        <v>101</v>
      </c>
      <c r="L781" s="25"/>
      <c r="M781" s="25"/>
      <c r="N781" s="22"/>
      <c r="O781" s="23" t="s">
        <v>101</v>
      </c>
      <c r="P781" s="20">
        <f>(C781+(E781*F781*H781))-N781</f>
        <v>0</v>
      </c>
      <c r="Q781" s="23" t="s">
        <v>101</v>
      </c>
      <c r="R781" s="24">
        <f>P781*(J781-(J781*L781)-((J781-(J781*L781))*M781))</f>
        <v>0</v>
      </c>
      <c r="S781" s="8">
        <f t="shared" si="101"/>
        <v>0</v>
      </c>
    </row>
    <row r="782" spans="1:19" s="19" customFormat="1">
      <c r="A782" s="18"/>
      <c r="C782" s="20"/>
      <c r="D782" s="21"/>
      <c r="E782" s="26"/>
      <c r="F782" s="22"/>
      <c r="G782" s="23"/>
      <c r="H782" s="22"/>
      <c r="I782" s="23"/>
      <c r="J782" s="24"/>
      <c r="K782" s="21"/>
      <c r="L782" s="25"/>
      <c r="M782" s="25"/>
      <c r="N782" s="22"/>
      <c r="O782" s="23"/>
      <c r="P782" s="20"/>
      <c r="Q782" s="23"/>
      <c r="R782" s="24"/>
      <c r="S782" s="8"/>
    </row>
    <row r="783" spans="1:19">
      <c r="A783" s="17" t="s">
        <v>538</v>
      </c>
      <c r="B783" s="2" t="s">
        <v>178</v>
      </c>
      <c r="D783" s="4" t="s">
        <v>42</v>
      </c>
      <c r="F783" s="6">
        <v>1</v>
      </c>
      <c r="G783" s="7" t="s">
        <v>20</v>
      </c>
      <c r="H783" s="6">
        <v>108</v>
      </c>
      <c r="I783" s="7" t="s">
        <v>42</v>
      </c>
      <c r="J783" s="8">
        <v>18000</v>
      </c>
      <c r="K783" s="4" t="s">
        <v>42</v>
      </c>
      <c r="L783" s="9">
        <v>0.05</v>
      </c>
      <c r="O783" s="7" t="s">
        <v>42</v>
      </c>
      <c r="P783" s="3">
        <f>(C783+(E783*F783*H783))-N783</f>
        <v>0</v>
      </c>
      <c r="Q783" s="7" t="s">
        <v>42</v>
      </c>
      <c r="R783" s="8">
        <f>P783*(J783-(J783*L783)-((J783-(J783*L783))*M783))</f>
        <v>0</v>
      </c>
      <c r="S783" s="8">
        <f t="shared" si="101"/>
        <v>0</v>
      </c>
    </row>
    <row r="785" spans="1:19">
      <c r="A785" s="17" t="s">
        <v>672</v>
      </c>
      <c r="B785" s="2" t="s">
        <v>605</v>
      </c>
      <c r="D785" s="4" t="s">
        <v>19</v>
      </c>
      <c r="F785" s="6">
        <v>1</v>
      </c>
      <c r="G785" s="7" t="s">
        <v>20</v>
      </c>
      <c r="H785" s="6">
        <v>600</v>
      </c>
      <c r="I785" s="7" t="s">
        <v>19</v>
      </c>
      <c r="J785" s="8">
        <v>2700</v>
      </c>
      <c r="K785" s="4" t="s">
        <v>19</v>
      </c>
      <c r="L785" s="9">
        <v>0.35</v>
      </c>
      <c r="O785" s="7" t="s">
        <v>19</v>
      </c>
      <c r="P785" s="3">
        <f>(C785+(E785*F785*H785))-N785</f>
        <v>0</v>
      </c>
      <c r="Q785" s="7" t="s">
        <v>19</v>
      </c>
      <c r="R785" s="8">
        <f>P785*(J785-(J785*L785)-((J785-(J785*L785))*M785))</f>
        <v>0</v>
      </c>
      <c r="S785" s="8">
        <f t="shared" si="101"/>
        <v>0</v>
      </c>
    </row>
    <row r="787" spans="1:19" ht="15.75">
      <c r="A787" s="14" t="s">
        <v>539</v>
      </c>
    </row>
    <row r="788" spans="1:19">
      <c r="A788" s="15" t="s">
        <v>540</v>
      </c>
    </row>
    <row r="789" spans="1:19" s="19" customFormat="1">
      <c r="A789" s="18" t="s">
        <v>541</v>
      </c>
      <c r="B789" s="19" t="s">
        <v>18</v>
      </c>
      <c r="C789" s="20"/>
      <c r="D789" s="21" t="s">
        <v>19</v>
      </c>
      <c r="E789" s="26"/>
      <c r="F789" s="22">
        <v>40</v>
      </c>
      <c r="G789" s="23" t="s">
        <v>101</v>
      </c>
      <c r="H789" s="22">
        <v>12</v>
      </c>
      <c r="I789" s="23" t="s">
        <v>19</v>
      </c>
      <c r="J789" s="24">
        <v>6700</v>
      </c>
      <c r="K789" s="21" t="s">
        <v>19</v>
      </c>
      <c r="L789" s="25">
        <v>0.125</v>
      </c>
      <c r="M789" s="25">
        <v>0.05</v>
      </c>
      <c r="N789" s="22"/>
      <c r="O789" s="23" t="s">
        <v>19</v>
      </c>
      <c r="P789" s="20">
        <f>(C789+(E789*F789*H789))-N789</f>
        <v>0</v>
      </c>
      <c r="Q789" s="23" t="s">
        <v>19</v>
      </c>
      <c r="R789" s="24">
        <f>P789*(J789-(J789*L789)-((J789-(J789*L789))*M789))</f>
        <v>0</v>
      </c>
      <c r="S789" s="8">
        <f t="shared" si="101"/>
        <v>0</v>
      </c>
    </row>
    <row r="790" spans="1:19" s="19" customFormat="1">
      <c r="A790" s="18" t="s">
        <v>542</v>
      </c>
      <c r="B790" s="19" t="s">
        <v>18</v>
      </c>
      <c r="C790" s="20"/>
      <c r="D790" s="21" t="s">
        <v>19</v>
      </c>
      <c r="E790" s="26"/>
      <c r="F790" s="22">
        <v>20</v>
      </c>
      <c r="G790" s="23" t="s">
        <v>101</v>
      </c>
      <c r="H790" s="22">
        <v>12</v>
      </c>
      <c r="I790" s="23" t="s">
        <v>19</v>
      </c>
      <c r="J790" s="24">
        <v>8400</v>
      </c>
      <c r="K790" s="21" t="s">
        <v>19</v>
      </c>
      <c r="L790" s="25">
        <v>0.125</v>
      </c>
      <c r="M790" s="25">
        <v>0.05</v>
      </c>
      <c r="N790" s="22"/>
      <c r="O790" s="23" t="s">
        <v>19</v>
      </c>
      <c r="P790" s="20">
        <f>(C790+(E790*F790*H790))-N790</f>
        <v>0</v>
      </c>
      <c r="Q790" s="23" t="s">
        <v>19</v>
      </c>
      <c r="R790" s="24">
        <f>P790*(J790-(J790*L790)-((J790-(J790*L790))*M790))</f>
        <v>0</v>
      </c>
      <c r="S790" s="8">
        <f t="shared" si="101"/>
        <v>0</v>
      </c>
    </row>
    <row r="791" spans="1:19" s="19" customFormat="1">
      <c r="A791" s="18"/>
      <c r="C791" s="20"/>
      <c r="D791" s="21"/>
      <c r="E791" s="26"/>
      <c r="F791" s="22"/>
      <c r="G791" s="23"/>
      <c r="H791" s="22"/>
      <c r="I791" s="23"/>
      <c r="J791" s="24"/>
      <c r="K791" s="21"/>
      <c r="L791" s="25"/>
      <c r="M791" s="25"/>
      <c r="N791" s="22"/>
      <c r="O791" s="23"/>
      <c r="P791" s="20"/>
      <c r="Q791" s="23"/>
      <c r="R791" s="24"/>
      <c r="S791" s="8"/>
    </row>
    <row r="792" spans="1:19">
      <c r="A792" s="59" t="s">
        <v>543</v>
      </c>
      <c r="B792" s="2" t="s">
        <v>25</v>
      </c>
      <c r="D792" s="4" t="s">
        <v>42</v>
      </c>
      <c r="F792" s="6">
        <v>1</v>
      </c>
      <c r="G792" s="7" t="s">
        <v>20</v>
      </c>
      <c r="H792" s="6">
        <v>40</v>
      </c>
      <c r="I792" s="7" t="s">
        <v>42</v>
      </c>
      <c r="J792" s="8">
        <f>3096000/40</f>
        <v>77400</v>
      </c>
      <c r="K792" s="4" t="s">
        <v>42</v>
      </c>
      <c r="M792" s="9">
        <v>0.17</v>
      </c>
      <c r="O792" s="7" t="s">
        <v>42</v>
      </c>
      <c r="P792" s="3">
        <f t="shared" ref="P792:P797" si="102">(C792+(E792*F792*H792))-N792</f>
        <v>0</v>
      </c>
      <c r="Q792" s="7" t="s">
        <v>42</v>
      </c>
      <c r="R792" s="8">
        <f t="shared" ref="R792:R797" si="103">P792*(J792-(J792*L792)-((J792-(J792*L792))*M792))</f>
        <v>0</v>
      </c>
      <c r="S792" s="8">
        <f t="shared" si="101"/>
        <v>0</v>
      </c>
    </row>
    <row r="793" spans="1:19">
      <c r="A793" s="59" t="s">
        <v>544</v>
      </c>
      <c r="B793" s="2" t="s">
        <v>25</v>
      </c>
      <c r="D793" s="4" t="s">
        <v>42</v>
      </c>
      <c r="F793" s="6">
        <v>1</v>
      </c>
      <c r="G793" s="7" t="s">
        <v>20</v>
      </c>
      <c r="H793" s="6">
        <v>40</v>
      </c>
      <c r="I793" s="7" t="s">
        <v>42</v>
      </c>
      <c r="J793" s="8">
        <f>2976000/40</f>
        <v>74400</v>
      </c>
      <c r="K793" s="4" t="s">
        <v>42</v>
      </c>
      <c r="M793" s="9">
        <v>0.17</v>
      </c>
      <c r="O793" s="7" t="s">
        <v>42</v>
      </c>
      <c r="P793" s="3">
        <f t="shared" si="102"/>
        <v>0</v>
      </c>
      <c r="Q793" s="7" t="s">
        <v>42</v>
      </c>
      <c r="R793" s="8">
        <f t="shared" si="103"/>
        <v>0</v>
      </c>
      <c r="S793" s="8">
        <f t="shared" si="101"/>
        <v>0</v>
      </c>
    </row>
    <row r="794" spans="1:19">
      <c r="A794" s="59" t="s">
        <v>545</v>
      </c>
      <c r="B794" s="2" t="s">
        <v>25</v>
      </c>
      <c r="D794" s="4" t="s">
        <v>19</v>
      </c>
      <c r="F794" s="6">
        <v>1</v>
      </c>
      <c r="G794" s="7" t="s">
        <v>20</v>
      </c>
      <c r="H794" s="6">
        <v>20</v>
      </c>
      <c r="I794" s="7" t="s">
        <v>19</v>
      </c>
      <c r="J794" s="8">
        <v>90000</v>
      </c>
      <c r="K794" s="4" t="s">
        <v>19</v>
      </c>
      <c r="M794" s="9">
        <v>0.17</v>
      </c>
      <c r="O794" s="7" t="s">
        <v>19</v>
      </c>
      <c r="P794" s="3">
        <f t="shared" si="102"/>
        <v>0</v>
      </c>
      <c r="Q794" s="7" t="s">
        <v>19</v>
      </c>
      <c r="R794" s="8">
        <f t="shared" si="103"/>
        <v>0</v>
      </c>
      <c r="S794" s="8">
        <f t="shared" si="101"/>
        <v>0</v>
      </c>
    </row>
    <row r="795" spans="1:19">
      <c r="A795" s="59" t="s">
        <v>546</v>
      </c>
      <c r="B795" s="2" t="s">
        <v>25</v>
      </c>
      <c r="D795" s="4" t="s">
        <v>19</v>
      </c>
      <c r="F795" s="6">
        <v>1</v>
      </c>
      <c r="G795" s="7" t="s">
        <v>20</v>
      </c>
      <c r="H795" s="6">
        <v>20</v>
      </c>
      <c r="I795" s="7" t="s">
        <v>19</v>
      </c>
      <c r="J795" s="8">
        <v>87500</v>
      </c>
      <c r="K795" s="4" t="s">
        <v>19</v>
      </c>
      <c r="M795" s="9">
        <v>0.17</v>
      </c>
      <c r="O795" s="7" t="s">
        <v>19</v>
      </c>
      <c r="P795" s="3">
        <f t="shared" si="102"/>
        <v>0</v>
      </c>
      <c r="Q795" s="7" t="s">
        <v>19</v>
      </c>
      <c r="R795" s="8">
        <f t="shared" si="103"/>
        <v>0</v>
      </c>
      <c r="S795" s="8">
        <f t="shared" si="101"/>
        <v>0</v>
      </c>
    </row>
    <row r="796" spans="1:19">
      <c r="A796" s="59" t="s">
        <v>547</v>
      </c>
      <c r="B796" s="2" t="s">
        <v>25</v>
      </c>
      <c r="D796" s="4" t="s">
        <v>42</v>
      </c>
      <c r="F796" s="6">
        <v>1</v>
      </c>
      <c r="G796" s="7" t="s">
        <v>20</v>
      </c>
      <c r="H796" s="6">
        <v>40</v>
      </c>
      <c r="I796" s="7" t="s">
        <v>42</v>
      </c>
      <c r="J796" s="8">
        <f>3360000/40</f>
        <v>84000</v>
      </c>
      <c r="K796" s="4" t="s">
        <v>42</v>
      </c>
      <c r="M796" s="9">
        <v>0.17</v>
      </c>
      <c r="O796" s="7" t="s">
        <v>42</v>
      </c>
      <c r="P796" s="3">
        <f t="shared" si="102"/>
        <v>0</v>
      </c>
      <c r="Q796" s="7" t="s">
        <v>42</v>
      </c>
      <c r="R796" s="8">
        <f t="shared" si="103"/>
        <v>0</v>
      </c>
      <c r="S796" s="8">
        <f t="shared" si="101"/>
        <v>0</v>
      </c>
    </row>
    <row r="797" spans="1:19">
      <c r="A797" s="59" t="s">
        <v>548</v>
      </c>
      <c r="B797" s="2" t="s">
        <v>25</v>
      </c>
      <c r="D797" s="4" t="s">
        <v>42</v>
      </c>
      <c r="F797" s="6">
        <v>1</v>
      </c>
      <c r="G797" s="7" t="s">
        <v>20</v>
      </c>
      <c r="H797" s="6">
        <v>20</v>
      </c>
      <c r="I797" s="7" t="s">
        <v>42</v>
      </c>
      <c r="J797" s="8">
        <f>1992000/20</f>
        <v>99600</v>
      </c>
      <c r="K797" s="4" t="s">
        <v>42</v>
      </c>
      <c r="M797" s="9">
        <v>0.17</v>
      </c>
      <c r="O797" s="7" t="s">
        <v>42</v>
      </c>
      <c r="P797" s="3">
        <f t="shared" si="102"/>
        <v>0</v>
      </c>
      <c r="Q797" s="7" t="s">
        <v>42</v>
      </c>
      <c r="R797" s="8">
        <f t="shared" si="103"/>
        <v>0</v>
      </c>
      <c r="S797" s="8">
        <f t="shared" si="101"/>
        <v>0</v>
      </c>
    </row>
    <row r="798" spans="1:19">
      <c r="A798" s="59"/>
    </row>
    <row r="799" spans="1:19">
      <c r="A799" s="15" t="s">
        <v>549</v>
      </c>
    </row>
    <row r="800" spans="1:19" s="19" customFormat="1">
      <c r="A800" s="18" t="s">
        <v>550</v>
      </c>
      <c r="B800" s="19" t="s">
        <v>18</v>
      </c>
      <c r="C800" s="20"/>
      <c r="D800" s="21" t="s">
        <v>42</v>
      </c>
      <c r="E800" s="26"/>
      <c r="F800" s="22">
        <v>18</v>
      </c>
      <c r="G800" s="23" t="s">
        <v>101</v>
      </c>
      <c r="H800" s="22">
        <v>1</v>
      </c>
      <c r="I800" s="23" t="s">
        <v>42</v>
      </c>
      <c r="J800" s="24">
        <f>4900*12</f>
        <v>58800</v>
      </c>
      <c r="K800" s="21" t="s">
        <v>42</v>
      </c>
      <c r="L800" s="25">
        <v>0.125</v>
      </c>
      <c r="M800" s="25">
        <v>0.05</v>
      </c>
      <c r="N800" s="22"/>
      <c r="O800" s="23" t="s">
        <v>42</v>
      </c>
      <c r="P800" s="20">
        <f>(C800+(E800*F800*H800))-N800</f>
        <v>0</v>
      </c>
      <c r="Q800" s="23" t="s">
        <v>42</v>
      </c>
      <c r="R800" s="24">
        <f>P800*(J800-(J800*L800)-((J800-(J800*L800))*M800))</f>
        <v>0</v>
      </c>
      <c r="S800" s="8">
        <f t="shared" si="101"/>
        <v>0</v>
      </c>
    </row>
    <row r="801" spans="1:19" s="19" customFormat="1">
      <c r="A801" s="18" t="s">
        <v>551</v>
      </c>
      <c r="B801" s="19" t="s">
        <v>18</v>
      </c>
      <c r="C801" s="20"/>
      <c r="D801" s="21" t="s">
        <v>42</v>
      </c>
      <c r="E801" s="26"/>
      <c r="F801" s="22">
        <v>24</v>
      </c>
      <c r="G801" s="23" t="s">
        <v>101</v>
      </c>
      <c r="H801" s="22">
        <v>2</v>
      </c>
      <c r="I801" s="23" t="s">
        <v>42</v>
      </c>
      <c r="J801" s="24">
        <f>4900*12</f>
        <v>58800</v>
      </c>
      <c r="K801" s="21" t="s">
        <v>42</v>
      </c>
      <c r="L801" s="25">
        <v>0.125</v>
      </c>
      <c r="M801" s="25">
        <v>0.05</v>
      </c>
      <c r="N801" s="22"/>
      <c r="O801" s="23" t="s">
        <v>42</v>
      </c>
      <c r="P801" s="20">
        <f>(C801+(E801*F801*H801))-N801</f>
        <v>0</v>
      </c>
      <c r="Q801" s="23" t="s">
        <v>42</v>
      </c>
      <c r="R801" s="24">
        <f>P801*(J801-(J801*L801)-((J801-(J801*L801))*M801))</f>
        <v>0</v>
      </c>
      <c r="S801" s="8">
        <f t="shared" si="101"/>
        <v>0</v>
      </c>
    </row>
    <row r="802" spans="1:19" s="19" customFormat="1">
      <c r="A802" s="18" t="s">
        <v>552</v>
      </c>
      <c r="B802" s="19" t="s">
        <v>18</v>
      </c>
      <c r="C802" s="20"/>
      <c r="D802" s="21" t="s">
        <v>42</v>
      </c>
      <c r="E802" s="26"/>
      <c r="F802" s="22">
        <v>18</v>
      </c>
      <c r="G802" s="23" t="s">
        <v>101</v>
      </c>
      <c r="H802" s="22">
        <v>1</v>
      </c>
      <c r="I802" s="23" t="s">
        <v>42</v>
      </c>
      <c r="J802" s="24">
        <f>6100*12</f>
        <v>73200</v>
      </c>
      <c r="K802" s="21" t="s">
        <v>42</v>
      </c>
      <c r="L802" s="25">
        <v>0.125</v>
      </c>
      <c r="M802" s="25">
        <v>0.05</v>
      </c>
      <c r="N802" s="22"/>
      <c r="O802" s="23" t="s">
        <v>42</v>
      </c>
      <c r="P802" s="20">
        <f>(C802+(E802*F802*H802))-N802</f>
        <v>0</v>
      </c>
      <c r="Q802" s="23" t="s">
        <v>42</v>
      </c>
      <c r="R802" s="24">
        <f>P802*(J802-(J802*L802)-((J802-(J802*L802))*M802))</f>
        <v>0</v>
      </c>
      <c r="S802" s="8">
        <f t="shared" si="101"/>
        <v>0</v>
      </c>
    </row>
    <row r="803" spans="1:19" s="19" customFormat="1">
      <c r="A803" s="18" t="s">
        <v>553</v>
      </c>
      <c r="B803" s="19" t="s">
        <v>18</v>
      </c>
      <c r="C803" s="20"/>
      <c r="D803" s="21" t="s">
        <v>42</v>
      </c>
      <c r="E803" s="26"/>
      <c r="F803" s="22">
        <v>24</v>
      </c>
      <c r="G803" s="23" t="s">
        <v>101</v>
      </c>
      <c r="H803" s="22">
        <v>6</v>
      </c>
      <c r="I803" s="23" t="s">
        <v>19</v>
      </c>
      <c r="J803" s="24">
        <v>12600</v>
      </c>
      <c r="K803" s="21" t="s">
        <v>19</v>
      </c>
      <c r="L803" s="25">
        <v>0.125</v>
      </c>
      <c r="M803" s="25">
        <v>0.05</v>
      </c>
      <c r="N803" s="22"/>
      <c r="O803" s="23" t="s">
        <v>19</v>
      </c>
      <c r="P803" s="20">
        <f>(C803+(E803*F803*H803))-N803</f>
        <v>0</v>
      </c>
      <c r="Q803" s="23" t="s">
        <v>19</v>
      </c>
      <c r="R803" s="24">
        <f>P803*(J803-(J803*L803)-((J803-(J803*L803))*M803))</f>
        <v>0</v>
      </c>
      <c r="S803" s="8">
        <f t="shared" si="101"/>
        <v>0</v>
      </c>
    </row>
    <row r="804" spans="1:19" s="19" customFormat="1">
      <c r="A804" s="18"/>
      <c r="C804" s="20"/>
      <c r="D804" s="21"/>
      <c r="E804" s="26"/>
      <c r="F804" s="22"/>
      <c r="G804" s="23"/>
      <c r="H804" s="22"/>
      <c r="I804" s="23"/>
      <c r="J804" s="24"/>
      <c r="K804" s="21"/>
      <c r="L804" s="25"/>
      <c r="M804" s="25"/>
      <c r="N804" s="22"/>
      <c r="O804" s="23"/>
      <c r="P804" s="20"/>
      <c r="Q804" s="23"/>
      <c r="R804" s="24"/>
      <c r="S804" s="8"/>
    </row>
    <row r="805" spans="1:19" s="19" customFormat="1">
      <c r="A805" s="18" t="s">
        <v>554</v>
      </c>
      <c r="B805" s="19" t="s">
        <v>25</v>
      </c>
      <c r="C805" s="20"/>
      <c r="D805" s="21" t="s">
        <v>42</v>
      </c>
      <c r="E805" s="26"/>
      <c r="F805" s="22">
        <v>1</v>
      </c>
      <c r="G805" s="23" t="s">
        <v>20</v>
      </c>
      <c r="H805" s="22">
        <v>18</v>
      </c>
      <c r="I805" s="23" t="s">
        <v>42</v>
      </c>
      <c r="J805" s="24">
        <f>1069200/18</f>
        <v>59400</v>
      </c>
      <c r="K805" s="21" t="s">
        <v>42</v>
      </c>
      <c r="L805" s="25"/>
      <c r="M805" s="25">
        <v>0.17</v>
      </c>
      <c r="N805" s="22"/>
      <c r="O805" s="23" t="s">
        <v>42</v>
      </c>
      <c r="P805" s="20">
        <f>(C805+(E805*F805*H805))-N805</f>
        <v>0</v>
      </c>
      <c r="Q805" s="23" t="s">
        <v>42</v>
      </c>
      <c r="R805" s="24">
        <f>P805*(J805-(J805*L805)-((J805-(J805*L805))*M805))</f>
        <v>0</v>
      </c>
      <c r="S805" s="24">
        <f t="shared" si="101"/>
        <v>0</v>
      </c>
    </row>
    <row r="806" spans="1:19">
      <c r="A806" s="17" t="s">
        <v>555</v>
      </c>
      <c r="B806" s="2" t="s">
        <v>25</v>
      </c>
      <c r="D806" s="4" t="s">
        <v>42</v>
      </c>
      <c r="F806" s="6">
        <v>1</v>
      </c>
      <c r="G806" s="7" t="s">
        <v>20</v>
      </c>
      <c r="H806" s="6">
        <v>18</v>
      </c>
      <c r="I806" s="7" t="s">
        <v>42</v>
      </c>
      <c r="J806" s="8">
        <f>1274400/18</f>
        <v>70800</v>
      </c>
      <c r="K806" s="4" t="s">
        <v>42</v>
      </c>
      <c r="M806" s="9">
        <v>0.17</v>
      </c>
      <c r="O806" s="7" t="s">
        <v>42</v>
      </c>
      <c r="P806" s="3">
        <f>(C806+(E806*F806*H806))-N806</f>
        <v>0</v>
      </c>
      <c r="Q806" s="7" t="s">
        <v>42</v>
      </c>
      <c r="R806" s="8">
        <f>P806*(J806-(J806*L806)-((J806-(J806*L806))*M806))</f>
        <v>0</v>
      </c>
      <c r="S806" s="8">
        <f t="shared" si="101"/>
        <v>0</v>
      </c>
    </row>
    <row r="808" spans="1:19" ht="15.75">
      <c r="A808" s="14" t="s">
        <v>556</v>
      </c>
    </row>
    <row r="809" spans="1:19">
      <c r="A809" s="15" t="s">
        <v>557</v>
      </c>
    </row>
    <row r="810" spans="1:19">
      <c r="A810" s="17" t="s">
        <v>712</v>
      </c>
      <c r="B810" s="19" t="s">
        <v>18</v>
      </c>
      <c r="D810" s="4" t="s">
        <v>19</v>
      </c>
      <c r="F810" s="6">
        <v>1</v>
      </c>
      <c r="G810" s="7" t="s">
        <v>20</v>
      </c>
      <c r="H810" s="6">
        <v>72</v>
      </c>
      <c r="I810" s="7" t="s">
        <v>19</v>
      </c>
      <c r="J810" s="8">
        <v>34500</v>
      </c>
      <c r="K810" s="4" t="s">
        <v>19</v>
      </c>
      <c r="L810" s="9">
        <v>0.125</v>
      </c>
      <c r="M810" s="9">
        <v>0.05</v>
      </c>
      <c r="O810" s="7" t="s">
        <v>19</v>
      </c>
      <c r="P810" s="3">
        <f>(C810+(E810*F810*H810))-N810</f>
        <v>0</v>
      </c>
      <c r="Q810" s="7" t="s">
        <v>19</v>
      </c>
      <c r="R810" s="8">
        <f>P810*(J810-(J810*L810)-((J810-(J810*L810))*M810))</f>
        <v>0</v>
      </c>
      <c r="S810" s="8">
        <f t="shared" ref="S810" si="104">R810/1.11</f>
        <v>0</v>
      </c>
    </row>
    <row r="811" spans="1:19">
      <c r="A811" s="17" t="s">
        <v>558</v>
      </c>
      <c r="B811" s="19" t="s">
        <v>18</v>
      </c>
      <c r="D811" s="4" t="s">
        <v>19</v>
      </c>
      <c r="F811" s="6">
        <v>1</v>
      </c>
      <c r="G811" s="7" t="s">
        <v>20</v>
      </c>
      <c r="H811" s="6">
        <v>24</v>
      </c>
      <c r="I811" s="7" t="s">
        <v>19</v>
      </c>
      <c r="J811" s="8">
        <v>97000</v>
      </c>
      <c r="K811" s="4" t="s">
        <v>19</v>
      </c>
      <c r="L811" s="9">
        <v>0.125</v>
      </c>
      <c r="M811" s="9">
        <v>0.05</v>
      </c>
      <c r="O811" s="7" t="s">
        <v>19</v>
      </c>
      <c r="P811" s="3">
        <f>(C811+(E811*F811*H811))-N811</f>
        <v>0</v>
      </c>
      <c r="Q811" s="7" t="s">
        <v>19</v>
      </c>
      <c r="R811" s="8">
        <f>P811*(J811-(J811*L811)-((J811-(J811*L811))*M811))</f>
        <v>0</v>
      </c>
      <c r="S811" s="8">
        <f t="shared" si="101"/>
        <v>0</v>
      </c>
    </row>
    <row r="812" spans="1:19">
      <c r="B812" s="19"/>
    </row>
    <row r="813" spans="1:19">
      <c r="A813" s="17" t="s">
        <v>559</v>
      </c>
      <c r="B813" s="2" t="s">
        <v>25</v>
      </c>
      <c r="D813" s="4" t="s">
        <v>42</v>
      </c>
      <c r="F813" s="6">
        <v>1</v>
      </c>
      <c r="G813" s="7" t="s">
        <v>20</v>
      </c>
      <c r="H813" s="6">
        <v>48</v>
      </c>
      <c r="I813" s="7" t="s">
        <v>19</v>
      </c>
      <c r="J813" s="8">
        <f>2400000/48</f>
        <v>50000</v>
      </c>
      <c r="K813" s="4" t="s">
        <v>19</v>
      </c>
      <c r="M813" s="9">
        <v>0.17</v>
      </c>
      <c r="O813" s="7" t="s">
        <v>19</v>
      </c>
      <c r="P813" s="3">
        <f>(C813+(E813*F813*H813))-N813</f>
        <v>0</v>
      </c>
      <c r="Q813" s="7" t="s">
        <v>19</v>
      </c>
      <c r="R813" s="8">
        <f>P813*(J813-(J813*L813)-((J813-(J813*L813))*M813))</f>
        <v>0</v>
      </c>
      <c r="S813" s="8">
        <f t="shared" si="101"/>
        <v>0</v>
      </c>
    </row>
    <row r="815" spans="1:19">
      <c r="A815" s="15" t="s">
        <v>560</v>
      </c>
    </row>
    <row r="816" spans="1:19" s="19" customFormat="1">
      <c r="A816" s="18" t="s">
        <v>561</v>
      </c>
      <c r="B816" s="19" t="s">
        <v>18</v>
      </c>
      <c r="C816" s="20"/>
      <c r="D816" s="21" t="s">
        <v>42</v>
      </c>
      <c r="E816" s="26"/>
      <c r="F816" s="22">
        <v>1</v>
      </c>
      <c r="G816" s="23" t="s">
        <v>20</v>
      </c>
      <c r="H816" s="22">
        <v>20</v>
      </c>
      <c r="I816" s="23" t="s">
        <v>42</v>
      </c>
      <c r="J816" s="24">
        <v>85200</v>
      </c>
      <c r="K816" s="21" t="s">
        <v>42</v>
      </c>
      <c r="L816" s="25">
        <v>0.125</v>
      </c>
      <c r="M816" s="25">
        <v>0.05</v>
      </c>
      <c r="N816" s="22"/>
      <c r="O816" s="23" t="s">
        <v>42</v>
      </c>
      <c r="P816" s="20">
        <f t="shared" ref="P816:P828" si="105">(C816+(E816*F816*H816))-N816</f>
        <v>0</v>
      </c>
      <c r="Q816" s="23" t="s">
        <v>42</v>
      </c>
      <c r="R816" s="24">
        <f t="shared" ref="R816:R828" si="106">P816*(J816-(J816*L816)-((J816-(J816*L816))*M816))</f>
        <v>0</v>
      </c>
      <c r="S816" s="24">
        <f t="shared" si="101"/>
        <v>0</v>
      </c>
    </row>
    <row r="817" spans="1:19">
      <c r="A817" s="17" t="s">
        <v>562</v>
      </c>
      <c r="B817" s="2" t="s">
        <v>18</v>
      </c>
      <c r="D817" s="4" t="s">
        <v>19</v>
      </c>
      <c r="F817" s="6">
        <v>24</v>
      </c>
      <c r="G817" s="7" t="s">
        <v>33</v>
      </c>
      <c r="H817" s="6">
        <v>10</v>
      </c>
      <c r="I817" s="7" t="s">
        <v>19</v>
      </c>
      <c r="J817" s="8">
        <v>9750</v>
      </c>
      <c r="K817" s="4" t="s">
        <v>19</v>
      </c>
      <c r="L817" s="9">
        <v>0.125</v>
      </c>
      <c r="M817" s="9">
        <v>0.05</v>
      </c>
      <c r="O817" s="7" t="s">
        <v>19</v>
      </c>
      <c r="P817" s="3">
        <f t="shared" si="105"/>
        <v>0</v>
      </c>
      <c r="Q817" s="7" t="s">
        <v>19</v>
      </c>
      <c r="R817" s="8">
        <f t="shared" si="106"/>
        <v>0</v>
      </c>
      <c r="S817" s="8">
        <f t="shared" si="101"/>
        <v>0</v>
      </c>
    </row>
    <row r="818" spans="1:19">
      <c r="A818" s="17" t="s">
        <v>563</v>
      </c>
      <c r="B818" s="2" t="s">
        <v>18</v>
      </c>
      <c r="D818" s="4" t="s">
        <v>42</v>
      </c>
      <c r="F818" s="6">
        <v>1</v>
      </c>
      <c r="G818" s="7" t="s">
        <v>20</v>
      </c>
      <c r="H818" s="6">
        <v>25</v>
      </c>
      <c r="I818" s="7" t="s">
        <v>42</v>
      </c>
      <c r="J818" s="8">
        <v>70800</v>
      </c>
      <c r="K818" s="4" t="s">
        <v>42</v>
      </c>
      <c r="L818" s="9">
        <v>0.125</v>
      </c>
      <c r="M818" s="9">
        <v>0.05</v>
      </c>
      <c r="O818" s="7" t="s">
        <v>42</v>
      </c>
      <c r="P818" s="3">
        <f t="shared" si="105"/>
        <v>0</v>
      </c>
      <c r="Q818" s="7" t="s">
        <v>42</v>
      </c>
      <c r="R818" s="8">
        <f t="shared" si="106"/>
        <v>0</v>
      </c>
      <c r="S818" s="8">
        <f t="shared" si="101"/>
        <v>0</v>
      </c>
    </row>
    <row r="819" spans="1:19" s="19" customFormat="1">
      <c r="A819" s="18" t="s">
        <v>564</v>
      </c>
      <c r="B819" s="19" t="s">
        <v>18</v>
      </c>
      <c r="C819" s="20"/>
      <c r="D819" s="21" t="s">
        <v>42</v>
      </c>
      <c r="E819" s="26"/>
      <c r="F819" s="22">
        <v>20</v>
      </c>
      <c r="G819" s="23" t="s">
        <v>33</v>
      </c>
      <c r="H819" s="22">
        <v>1</v>
      </c>
      <c r="I819" s="23" t="s">
        <v>42</v>
      </c>
      <c r="J819" s="24">
        <f>6800*12</f>
        <v>81600</v>
      </c>
      <c r="K819" s="21" t="s">
        <v>42</v>
      </c>
      <c r="L819" s="25">
        <v>0.125</v>
      </c>
      <c r="M819" s="25">
        <v>0.05</v>
      </c>
      <c r="N819" s="22"/>
      <c r="O819" s="23" t="s">
        <v>42</v>
      </c>
      <c r="P819" s="20">
        <f t="shared" si="105"/>
        <v>0</v>
      </c>
      <c r="Q819" s="23" t="s">
        <v>42</v>
      </c>
      <c r="R819" s="24">
        <f t="shared" si="106"/>
        <v>0</v>
      </c>
      <c r="S819" s="24">
        <f t="shared" si="101"/>
        <v>0</v>
      </c>
    </row>
    <row r="820" spans="1:19" s="19" customFormat="1">
      <c r="A820" s="18" t="s">
        <v>565</v>
      </c>
      <c r="B820" s="19" t="s">
        <v>18</v>
      </c>
      <c r="C820" s="20"/>
      <c r="D820" s="21" t="s">
        <v>19</v>
      </c>
      <c r="E820" s="26"/>
      <c r="F820" s="22">
        <v>20</v>
      </c>
      <c r="G820" s="23" t="s">
        <v>33</v>
      </c>
      <c r="H820" s="22">
        <v>6</v>
      </c>
      <c r="I820" s="23" t="s">
        <v>19</v>
      </c>
      <c r="J820" s="24">
        <v>18700</v>
      </c>
      <c r="K820" s="21" t="s">
        <v>19</v>
      </c>
      <c r="L820" s="25">
        <v>0.125</v>
      </c>
      <c r="M820" s="25">
        <v>0.05</v>
      </c>
      <c r="N820" s="22"/>
      <c r="O820" s="23" t="s">
        <v>19</v>
      </c>
      <c r="P820" s="20">
        <f t="shared" si="105"/>
        <v>0</v>
      </c>
      <c r="Q820" s="23" t="s">
        <v>19</v>
      </c>
      <c r="R820" s="24">
        <f t="shared" si="106"/>
        <v>0</v>
      </c>
      <c r="S820" s="24">
        <f t="shared" si="101"/>
        <v>0</v>
      </c>
    </row>
    <row r="821" spans="1:19" s="19" customFormat="1">
      <c r="A821" s="18" t="s">
        <v>566</v>
      </c>
      <c r="B821" s="19" t="s">
        <v>18</v>
      </c>
      <c r="C821" s="20"/>
      <c r="D821" s="21" t="s">
        <v>19</v>
      </c>
      <c r="E821" s="26"/>
      <c r="F821" s="22">
        <v>20</v>
      </c>
      <c r="G821" s="23" t="s">
        <v>33</v>
      </c>
      <c r="H821" s="22">
        <v>6</v>
      </c>
      <c r="I821" s="23" t="s">
        <v>19</v>
      </c>
      <c r="J821" s="24">
        <v>18000</v>
      </c>
      <c r="K821" s="21" t="s">
        <v>19</v>
      </c>
      <c r="L821" s="25">
        <v>0.125</v>
      </c>
      <c r="M821" s="25">
        <v>0.05</v>
      </c>
      <c r="N821" s="22"/>
      <c r="O821" s="23" t="s">
        <v>19</v>
      </c>
      <c r="P821" s="20">
        <f t="shared" si="105"/>
        <v>0</v>
      </c>
      <c r="Q821" s="23" t="s">
        <v>19</v>
      </c>
      <c r="R821" s="24">
        <f t="shared" si="106"/>
        <v>0</v>
      </c>
      <c r="S821" s="24">
        <f t="shared" si="101"/>
        <v>0</v>
      </c>
    </row>
    <row r="822" spans="1:19">
      <c r="A822" s="17" t="s">
        <v>567</v>
      </c>
      <c r="B822" s="2" t="s">
        <v>18</v>
      </c>
      <c r="D822" s="4" t="s">
        <v>19</v>
      </c>
      <c r="F822" s="6">
        <v>1</v>
      </c>
      <c r="G822" s="7" t="s">
        <v>20</v>
      </c>
      <c r="H822" s="6">
        <v>12</v>
      </c>
      <c r="I822" s="7" t="s">
        <v>19</v>
      </c>
      <c r="J822" s="8">
        <v>162000</v>
      </c>
      <c r="K822" s="4" t="s">
        <v>19</v>
      </c>
      <c r="L822" s="9">
        <v>0.125</v>
      </c>
      <c r="M822" s="9">
        <v>0.05</v>
      </c>
      <c r="O822" s="7" t="s">
        <v>19</v>
      </c>
      <c r="P822" s="3">
        <f t="shared" si="105"/>
        <v>0</v>
      </c>
      <c r="Q822" s="7" t="s">
        <v>19</v>
      </c>
      <c r="R822" s="8">
        <f t="shared" si="106"/>
        <v>0</v>
      </c>
      <c r="S822" s="8">
        <f t="shared" si="101"/>
        <v>0</v>
      </c>
    </row>
    <row r="823" spans="1:19">
      <c r="A823" s="17" t="s">
        <v>787</v>
      </c>
      <c r="B823" s="2" t="s">
        <v>18</v>
      </c>
      <c r="D823" s="4" t="s">
        <v>19</v>
      </c>
      <c r="F823" s="6">
        <v>1</v>
      </c>
      <c r="G823" s="7" t="s">
        <v>20</v>
      </c>
      <c r="H823" s="6">
        <v>12</v>
      </c>
      <c r="I823" s="7" t="s">
        <v>19</v>
      </c>
      <c r="J823" s="8">
        <v>200000</v>
      </c>
      <c r="K823" s="4" t="s">
        <v>19</v>
      </c>
      <c r="L823" s="9">
        <v>0.125</v>
      </c>
      <c r="M823" s="9">
        <v>0.05</v>
      </c>
      <c r="O823" s="7" t="s">
        <v>19</v>
      </c>
      <c r="P823" s="3">
        <f t="shared" si="105"/>
        <v>0</v>
      </c>
      <c r="Q823" s="7" t="s">
        <v>19</v>
      </c>
      <c r="R823" s="8">
        <f t="shared" si="106"/>
        <v>0</v>
      </c>
      <c r="S823" s="8">
        <f t="shared" si="101"/>
        <v>0</v>
      </c>
    </row>
    <row r="824" spans="1:19">
      <c r="A824" s="17" t="s">
        <v>568</v>
      </c>
      <c r="B824" s="2" t="s">
        <v>18</v>
      </c>
      <c r="D824" s="4" t="s">
        <v>19</v>
      </c>
      <c r="F824" s="6">
        <v>1</v>
      </c>
      <c r="G824" s="7" t="s">
        <v>20</v>
      </c>
      <c r="H824" s="6">
        <v>36</v>
      </c>
      <c r="I824" s="7" t="s">
        <v>19</v>
      </c>
      <c r="J824" s="8">
        <v>58000</v>
      </c>
      <c r="K824" s="4" t="s">
        <v>19</v>
      </c>
      <c r="L824" s="9">
        <v>0.125</v>
      </c>
      <c r="M824" s="9">
        <v>0.05</v>
      </c>
      <c r="O824" s="7" t="s">
        <v>19</v>
      </c>
      <c r="P824" s="3">
        <f t="shared" si="105"/>
        <v>0</v>
      </c>
      <c r="Q824" s="7" t="s">
        <v>19</v>
      </c>
      <c r="R824" s="8">
        <f t="shared" si="106"/>
        <v>0</v>
      </c>
      <c r="S824" s="8">
        <f t="shared" si="101"/>
        <v>0</v>
      </c>
    </row>
    <row r="825" spans="1:19">
      <c r="A825" s="17" t="s">
        <v>569</v>
      </c>
      <c r="B825" s="2" t="s">
        <v>18</v>
      </c>
      <c r="D825" s="4" t="s">
        <v>19</v>
      </c>
      <c r="F825" s="6">
        <v>1</v>
      </c>
      <c r="G825" s="7" t="s">
        <v>20</v>
      </c>
      <c r="H825" s="6">
        <v>12</v>
      </c>
      <c r="I825" s="7" t="s">
        <v>19</v>
      </c>
      <c r="J825" s="8">
        <v>97000</v>
      </c>
      <c r="K825" s="4" t="s">
        <v>19</v>
      </c>
      <c r="L825" s="9">
        <v>0.125</v>
      </c>
      <c r="M825" s="9">
        <v>0.05</v>
      </c>
      <c r="O825" s="7" t="s">
        <v>19</v>
      </c>
      <c r="P825" s="3">
        <f t="shared" si="105"/>
        <v>0</v>
      </c>
      <c r="Q825" s="7" t="s">
        <v>19</v>
      </c>
      <c r="R825" s="8">
        <f t="shared" si="106"/>
        <v>0</v>
      </c>
      <c r="S825" s="8">
        <f t="shared" si="101"/>
        <v>0</v>
      </c>
    </row>
    <row r="826" spans="1:19" s="19" customFormat="1">
      <c r="A826" s="18" t="s">
        <v>570</v>
      </c>
      <c r="B826" s="19" t="s">
        <v>18</v>
      </c>
      <c r="C826" s="20"/>
      <c r="D826" s="21" t="s">
        <v>19</v>
      </c>
      <c r="E826" s="26"/>
      <c r="F826" s="22">
        <v>1</v>
      </c>
      <c r="G826" s="23" t="s">
        <v>20</v>
      </c>
      <c r="H826" s="22">
        <v>12</v>
      </c>
      <c r="I826" s="23" t="s">
        <v>19</v>
      </c>
      <c r="J826" s="24">
        <v>97000</v>
      </c>
      <c r="K826" s="21" t="s">
        <v>19</v>
      </c>
      <c r="L826" s="25">
        <v>0.125</v>
      </c>
      <c r="M826" s="25">
        <v>0.05</v>
      </c>
      <c r="N826" s="22"/>
      <c r="O826" s="23" t="s">
        <v>19</v>
      </c>
      <c r="P826" s="20">
        <f t="shared" si="105"/>
        <v>0</v>
      </c>
      <c r="Q826" s="23" t="s">
        <v>19</v>
      </c>
      <c r="R826" s="24">
        <f t="shared" si="106"/>
        <v>0</v>
      </c>
      <c r="S826" s="24">
        <f t="shared" si="101"/>
        <v>0</v>
      </c>
    </row>
    <row r="827" spans="1:19">
      <c r="A827" s="17" t="s">
        <v>571</v>
      </c>
      <c r="B827" s="2" t="s">
        <v>18</v>
      </c>
      <c r="D827" s="4" t="s">
        <v>19</v>
      </c>
      <c r="F827" s="6">
        <v>1</v>
      </c>
      <c r="G827" s="7" t="s">
        <v>20</v>
      </c>
      <c r="H827" s="6">
        <v>6</v>
      </c>
      <c r="I827" s="7" t="s">
        <v>19</v>
      </c>
      <c r="J827" s="8">
        <v>187000</v>
      </c>
      <c r="K827" s="4" t="s">
        <v>19</v>
      </c>
      <c r="L827" s="9">
        <v>0.125</v>
      </c>
      <c r="M827" s="9">
        <v>0.05</v>
      </c>
      <c r="O827" s="7" t="s">
        <v>19</v>
      </c>
      <c r="P827" s="3">
        <f t="shared" si="105"/>
        <v>0</v>
      </c>
      <c r="Q827" s="7" t="s">
        <v>19</v>
      </c>
      <c r="R827" s="8">
        <f t="shared" si="106"/>
        <v>0</v>
      </c>
      <c r="S827" s="8">
        <f t="shared" si="101"/>
        <v>0</v>
      </c>
    </row>
    <row r="828" spans="1:19">
      <c r="A828" s="17" t="s">
        <v>572</v>
      </c>
      <c r="B828" s="2" t="s">
        <v>18</v>
      </c>
      <c r="D828" s="4" t="s">
        <v>19</v>
      </c>
      <c r="F828" s="6">
        <v>1</v>
      </c>
      <c r="G828" s="7" t="s">
        <v>20</v>
      </c>
      <c r="H828" s="6">
        <v>6</v>
      </c>
      <c r="I828" s="7" t="s">
        <v>19</v>
      </c>
      <c r="J828" s="8">
        <v>420000</v>
      </c>
      <c r="K828" s="4" t="s">
        <v>19</v>
      </c>
      <c r="L828" s="9">
        <v>0.125</v>
      </c>
      <c r="M828" s="9">
        <v>0.05</v>
      </c>
      <c r="O828" s="7" t="s">
        <v>19</v>
      </c>
      <c r="P828" s="3">
        <f t="shared" si="105"/>
        <v>0</v>
      </c>
      <c r="Q828" s="7" t="s">
        <v>19</v>
      </c>
      <c r="R828" s="8">
        <f t="shared" si="106"/>
        <v>0</v>
      </c>
      <c r="S828" s="8">
        <f t="shared" si="101"/>
        <v>0</v>
      </c>
    </row>
    <row r="830" spans="1:19" s="19" customFormat="1">
      <c r="A830" s="31" t="s">
        <v>573</v>
      </c>
      <c r="B830" s="32" t="s">
        <v>25</v>
      </c>
      <c r="C830" s="33"/>
      <c r="D830" s="34" t="s">
        <v>42</v>
      </c>
      <c r="E830" s="35"/>
      <c r="F830" s="36">
        <v>1</v>
      </c>
      <c r="G830" s="37" t="s">
        <v>20</v>
      </c>
      <c r="H830" s="36">
        <v>20</v>
      </c>
      <c r="I830" s="37" t="s">
        <v>42</v>
      </c>
      <c r="J830" s="38">
        <f>1860000/20</f>
        <v>93000</v>
      </c>
      <c r="K830" s="34" t="s">
        <v>42</v>
      </c>
      <c r="L830" s="39"/>
      <c r="M830" s="39">
        <v>0.17</v>
      </c>
      <c r="N830" s="36"/>
      <c r="O830" s="37" t="s">
        <v>42</v>
      </c>
      <c r="P830" s="33">
        <f t="shared" ref="P830:P848" si="107">(C830+(E830*F830*H830))-N830</f>
        <v>0</v>
      </c>
      <c r="Q830" s="37" t="s">
        <v>42</v>
      </c>
      <c r="R830" s="38">
        <f t="shared" ref="R830:R848" si="108">P830*(J830-(J830*L830)-((J830-(J830*L830))*M830))</f>
        <v>0</v>
      </c>
      <c r="S830" s="38">
        <f t="shared" si="101"/>
        <v>0</v>
      </c>
    </row>
    <row r="831" spans="1:19">
      <c r="A831" s="31" t="s">
        <v>574</v>
      </c>
      <c r="B831" s="32" t="s">
        <v>25</v>
      </c>
      <c r="C831" s="33"/>
      <c r="D831" s="34" t="s">
        <v>42</v>
      </c>
      <c r="E831" s="35"/>
      <c r="F831" s="36">
        <v>1</v>
      </c>
      <c r="G831" s="37" t="s">
        <v>20</v>
      </c>
      <c r="H831" s="36">
        <v>20</v>
      </c>
      <c r="I831" s="37" t="s">
        <v>42</v>
      </c>
      <c r="J831" s="38">
        <f>1740000/20</f>
        <v>87000</v>
      </c>
      <c r="K831" s="34" t="s">
        <v>42</v>
      </c>
      <c r="L831" s="39"/>
      <c r="M831" s="39">
        <v>0.17</v>
      </c>
      <c r="N831" s="36"/>
      <c r="O831" s="37" t="s">
        <v>42</v>
      </c>
      <c r="P831" s="33">
        <f t="shared" si="107"/>
        <v>0</v>
      </c>
      <c r="Q831" s="37" t="s">
        <v>42</v>
      </c>
      <c r="R831" s="38">
        <f t="shared" si="108"/>
        <v>0</v>
      </c>
      <c r="S831" s="38">
        <f t="shared" si="101"/>
        <v>0</v>
      </c>
    </row>
    <row r="832" spans="1:19" s="19" customFormat="1">
      <c r="A832" s="31" t="s">
        <v>575</v>
      </c>
      <c r="B832" s="32" t="s">
        <v>25</v>
      </c>
      <c r="C832" s="33"/>
      <c r="D832" s="34" t="s">
        <v>42</v>
      </c>
      <c r="E832" s="35"/>
      <c r="F832" s="36">
        <v>1</v>
      </c>
      <c r="G832" s="37" t="s">
        <v>20</v>
      </c>
      <c r="H832" s="36">
        <v>20</v>
      </c>
      <c r="I832" s="37" t="s">
        <v>42</v>
      </c>
      <c r="J832" s="38">
        <f>1740000/20</f>
        <v>87000</v>
      </c>
      <c r="K832" s="34" t="s">
        <v>42</v>
      </c>
      <c r="L832" s="39"/>
      <c r="M832" s="39">
        <v>0.17</v>
      </c>
      <c r="N832" s="36"/>
      <c r="O832" s="37" t="s">
        <v>42</v>
      </c>
      <c r="P832" s="33">
        <f t="shared" si="107"/>
        <v>0</v>
      </c>
      <c r="Q832" s="37" t="s">
        <v>42</v>
      </c>
      <c r="R832" s="38">
        <f t="shared" si="108"/>
        <v>0</v>
      </c>
      <c r="S832" s="38">
        <f t="shared" si="101"/>
        <v>0</v>
      </c>
    </row>
    <row r="833" spans="1:19" s="19" customFormat="1">
      <c r="A833" s="47" t="s">
        <v>576</v>
      </c>
      <c r="B833" s="48" t="s">
        <v>25</v>
      </c>
      <c r="C833" s="49"/>
      <c r="D833" s="50" t="s">
        <v>42</v>
      </c>
      <c r="E833" s="51"/>
      <c r="F833" s="52">
        <v>1</v>
      </c>
      <c r="G833" s="53" t="s">
        <v>20</v>
      </c>
      <c r="H833" s="52">
        <v>20</v>
      </c>
      <c r="I833" s="53" t="s">
        <v>42</v>
      </c>
      <c r="J833" s="54">
        <f>2352000/20</f>
        <v>117600</v>
      </c>
      <c r="K833" s="50" t="s">
        <v>42</v>
      </c>
      <c r="L833" s="55"/>
      <c r="M833" s="55">
        <v>0.17</v>
      </c>
      <c r="N833" s="52"/>
      <c r="O833" s="81" t="s">
        <v>42</v>
      </c>
      <c r="P833" s="49">
        <f t="shared" si="107"/>
        <v>0</v>
      </c>
      <c r="Q833" s="53" t="s">
        <v>42</v>
      </c>
      <c r="R833" s="54">
        <f t="shared" si="108"/>
        <v>0</v>
      </c>
      <c r="S833" s="54">
        <f t="shared" si="101"/>
        <v>0</v>
      </c>
    </row>
    <row r="834" spans="1:19" s="19" customFormat="1">
      <c r="A834" s="47" t="s">
        <v>661</v>
      </c>
      <c r="B834" s="48" t="s">
        <v>25</v>
      </c>
      <c r="C834" s="49"/>
      <c r="D834" s="50" t="s">
        <v>42</v>
      </c>
      <c r="E834" s="51"/>
      <c r="F834" s="52">
        <v>1</v>
      </c>
      <c r="G834" s="53" t="s">
        <v>20</v>
      </c>
      <c r="H834" s="52">
        <v>20</v>
      </c>
      <c r="I834" s="53" t="s">
        <v>42</v>
      </c>
      <c r="J834" s="54">
        <f>2352000/20</f>
        <v>117600</v>
      </c>
      <c r="K834" s="50" t="s">
        <v>42</v>
      </c>
      <c r="L834" s="55"/>
      <c r="M834" s="55">
        <v>0.17</v>
      </c>
      <c r="N834" s="52"/>
      <c r="O834" s="82" t="s">
        <v>42</v>
      </c>
      <c r="P834" s="49">
        <f t="shared" si="107"/>
        <v>0</v>
      </c>
      <c r="Q834" s="53" t="s">
        <v>42</v>
      </c>
      <c r="R834" s="54">
        <f t="shared" si="108"/>
        <v>0</v>
      </c>
      <c r="S834" s="54">
        <f t="shared" si="101"/>
        <v>0</v>
      </c>
    </row>
    <row r="835" spans="1:19" s="19" customFormat="1">
      <c r="A835" s="47" t="s">
        <v>577</v>
      </c>
      <c r="B835" s="48" t="s">
        <v>25</v>
      </c>
      <c r="C835" s="49"/>
      <c r="D835" s="50" t="s">
        <v>42</v>
      </c>
      <c r="E835" s="51"/>
      <c r="F835" s="52">
        <v>1</v>
      </c>
      <c r="G835" s="53" t="s">
        <v>20</v>
      </c>
      <c r="H835" s="52">
        <v>20</v>
      </c>
      <c r="I835" s="53" t="s">
        <v>42</v>
      </c>
      <c r="J835" s="54">
        <f>2352000/20</f>
        <v>117600</v>
      </c>
      <c r="K835" s="50" t="s">
        <v>42</v>
      </c>
      <c r="L835" s="55"/>
      <c r="M835" s="55">
        <v>0.17</v>
      </c>
      <c r="N835" s="52"/>
      <c r="O835" s="53" t="s">
        <v>42</v>
      </c>
      <c r="P835" s="49">
        <f t="shared" si="107"/>
        <v>0</v>
      </c>
      <c r="Q835" s="53" t="s">
        <v>42</v>
      </c>
      <c r="R835" s="54">
        <f t="shared" si="108"/>
        <v>0</v>
      </c>
      <c r="S835" s="54">
        <f t="shared" si="101"/>
        <v>0</v>
      </c>
    </row>
    <row r="836" spans="1:19" s="19" customFormat="1">
      <c r="A836" s="18" t="s">
        <v>812</v>
      </c>
      <c r="B836" s="19" t="s">
        <v>25</v>
      </c>
      <c r="C836" s="20"/>
      <c r="D836" s="21" t="s">
        <v>42</v>
      </c>
      <c r="E836" s="26"/>
      <c r="F836" s="22">
        <v>1</v>
      </c>
      <c r="G836" s="23" t="s">
        <v>20</v>
      </c>
      <c r="H836" s="22">
        <v>10</v>
      </c>
      <c r="I836" s="23" t="s">
        <v>42</v>
      </c>
      <c r="J836" s="24">
        <f>2400000/10</f>
        <v>240000</v>
      </c>
      <c r="K836" s="21" t="s">
        <v>42</v>
      </c>
      <c r="L836" s="25"/>
      <c r="M836" s="25">
        <v>0.17</v>
      </c>
      <c r="N836" s="22"/>
      <c r="O836" s="56" t="s">
        <v>42</v>
      </c>
      <c r="P836" s="20">
        <f t="shared" si="107"/>
        <v>0</v>
      </c>
      <c r="Q836" s="23" t="s">
        <v>42</v>
      </c>
      <c r="R836" s="24">
        <f t="shared" si="108"/>
        <v>0</v>
      </c>
      <c r="S836" s="24">
        <f t="shared" si="101"/>
        <v>0</v>
      </c>
    </row>
    <row r="837" spans="1:19">
      <c r="A837" s="17" t="s">
        <v>578</v>
      </c>
      <c r="B837" s="2" t="s">
        <v>25</v>
      </c>
      <c r="D837" s="4" t="s">
        <v>42</v>
      </c>
      <c r="F837" s="6">
        <v>1</v>
      </c>
      <c r="G837" s="7" t="s">
        <v>20</v>
      </c>
      <c r="H837" s="6">
        <v>40</v>
      </c>
      <c r="I837" s="7" t="s">
        <v>42</v>
      </c>
      <c r="J837" s="8">
        <f>2688000/40</f>
        <v>67200</v>
      </c>
      <c r="K837" s="4" t="s">
        <v>42</v>
      </c>
      <c r="M837" s="9">
        <v>0.17</v>
      </c>
      <c r="O837" s="7" t="s">
        <v>42</v>
      </c>
      <c r="P837" s="3">
        <f t="shared" si="107"/>
        <v>0</v>
      </c>
      <c r="Q837" s="7" t="s">
        <v>42</v>
      </c>
      <c r="R837" s="8">
        <f t="shared" si="108"/>
        <v>0</v>
      </c>
      <c r="S837" s="8">
        <f t="shared" si="101"/>
        <v>0</v>
      </c>
    </row>
    <row r="838" spans="1:19">
      <c r="A838" s="17" t="s">
        <v>579</v>
      </c>
      <c r="B838" s="2" t="s">
        <v>25</v>
      </c>
      <c r="D838" s="4" t="s">
        <v>42</v>
      </c>
      <c r="F838" s="6">
        <v>1</v>
      </c>
      <c r="G838" s="7" t="s">
        <v>20</v>
      </c>
      <c r="H838" s="6">
        <v>20</v>
      </c>
      <c r="I838" s="7" t="s">
        <v>42</v>
      </c>
      <c r="J838" s="8">
        <v>120000</v>
      </c>
      <c r="K838" s="4" t="s">
        <v>42</v>
      </c>
      <c r="M838" s="9">
        <v>0.17</v>
      </c>
      <c r="O838" s="7" t="s">
        <v>42</v>
      </c>
      <c r="P838" s="3">
        <f t="shared" si="107"/>
        <v>0</v>
      </c>
      <c r="Q838" s="7" t="s">
        <v>42</v>
      </c>
      <c r="R838" s="8">
        <f t="shared" si="108"/>
        <v>0</v>
      </c>
      <c r="S838" s="8">
        <f t="shared" si="101"/>
        <v>0</v>
      </c>
    </row>
    <row r="839" spans="1:19" s="19" customFormat="1">
      <c r="A839" s="18" t="s">
        <v>580</v>
      </c>
      <c r="B839" s="19" t="s">
        <v>25</v>
      </c>
      <c r="C839" s="20"/>
      <c r="D839" s="21" t="s">
        <v>42</v>
      </c>
      <c r="E839" s="26"/>
      <c r="F839" s="22">
        <v>1</v>
      </c>
      <c r="G839" s="23" t="s">
        <v>20</v>
      </c>
      <c r="H839" s="22">
        <v>25</v>
      </c>
      <c r="I839" s="23" t="s">
        <v>42</v>
      </c>
      <c r="J839" s="24">
        <f>1740000/25</f>
        <v>69600</v>
      </c>
      <c r="K839" s="21" t="s">
        <v>42</v>
      </c>
      <c r="L839" s="25"/>
      <c r="M839" s="25">
        <v>0.17</v>
      </c>
      <c r="N839" s="22"/>
      <c r="O839" s="23" t="s">
        <v>42</v>
      </c>
      <c r="P839" s="20">
        <f t="shared" si="107"/>
        <v>0</v>
      </c>
      <c r="Q839" s="23" t="s">
        <v>42</v>
      </c>
      <c r="R839" s="24">
        <f t="shared" si="108"/>
        <v>0</v>
      </c>
      <c r="S839" s="24">
        <f t="shared" si="101"/>
        <v>0</v>
      </c>
    </row>
    <row r="840" spans="1:19" s="19" customFormat="1">
      <c r="A840" s="18" t="s">
        <v>581</v>
      </c>
      <c r="B840" s="19" t="s">
        <v>25</v>
      </c>
      <c r="C840" s="20"/>
      <c r="D840" s="21" t="s">
        <v>42</v>
      </c>
      <c r="E840" s="26"/>
      <c r="F840" s="22">
        <v>1</v>
      </c>
      <c r="G840" s="23" t="s">
        <v>20</v>
      </c>
      <c r="H840" s="22">
        <v>10</v>
      </c>
      <c r="I840" s="23" t="s">
        <v>42</v>
      </c>
      <c r="J840" s="24">
        <f>2280000/10</f>
        <v>228000</v>
      </c>
      <c r="K840" s="21" t="s">
        <v>42</v>
      </c>
      <c r="L840" s="25"/>
      <c r="M840" s="25">
        <v>0.17</v>
      </c>
      <c r="N840" s="22"/>
      <c r="O840" s="23" t="s">
        <v>42</v>
      </c>
      <c r="P840" s="20">
        <f t="shared" si="107"/>
        <v>0</v>
      </c>
      <c r="Q840" s="23" t="s">
        <v>42</v>
      </c>
      <c r="R840" s="24">
        <f t="shared" si="108"/>
        <v>0</v>
      </c>
      <c r="S840" s="8">
        <f t="shared" si="101"/>
        <v>0</v>
      </c>
    </row>
    <row r="841" spans="1:19" s="19" customFormat="1">
      <c r="A841" s="31" t="s">
        <v>582</v>
      </c>
      <c r="B841" s="32" t="s">
        <v>25</v>
      </c>
      <c r="C841" s="33"/>
      <c r="D841" s="34" t="s">
        <v>42</v>
      </c>
      <c r="E841" s="35"/>
      <c r="F841" s="36">
        <v>1</v>
      </c>
      <c r="G841" s="37" t="s">
        <v>20</v>
      </c>
      <c r="H841" s="36">
        <v>10</v>
      </c>
      <c r="I841" s="37" t="s">
        <v>42</v>
      </c>
      <c r="J841" s="38">
        <f>2280000/10</f>
        <v>228000</v>
      </c>
      <c r="K841" s="34" t="s">
        <v>42</v>
      </c>
      <c r="L841" s="39"/>
      <c r="M841" s="39">
        <v>0.17</v>
      </c>
      <c r="N841" s="36"/>
      <c r="O841" s="83" t="s">
        <v>42</v>
      </c>
      <c r="P841" s="33">
        <f t="shared" si="107"/>
        <v>0</v>
      </c>
      <c r="Q841" s="37" t="s">
        <v>42</v>
      </c>
      <c r="R841" s="38">
        <f t="shared" si="108"/>
        <v>0</v>
      </c>
      <c r="S841" s="38">
        <f t="shared" si="101"/>
        <v>0</v>
      </c>
    </row>
    <row r="842" spans="1:19" s="19" customFormat="1">
      <c r="A842" s="31" t="s">
        <v>583</v>
      </c>
      <c r="B842" s="32" t="s">
        <v>25</v>
      </c>
      <c r="C842" s="33"/>
      <c r="D842" s="34" t="s">
        <v>42</v>
      </c>
      <c r="E842" s="35"/>
      <c r="F842" s="36">
        <v>1</v>
      </c>
      <c r="G842" s="37" t="s">
        <v>20</v>
      </c>
      <c r="H842" s="36">
        <v>10</v>
      </c>
      <c r="I842" s="37" t="s">
        <v>42</v>
      </c>
      <c r="J842" s="38">
        <f>2040000/10</f>
        <v>204000</v>
      </c>
      <c r="K842" s="34" t="s">
        <v>42</v>
      </c>
      <c r="L842" s="39"/>
      <c r="M842" s="39">
        <v>0.17</v>
      </c>
      <c r="N842" s="36"/>
      <c r="O842" s="37" t="s">
        <v>42</v>
      </c>
      <c r="P842" s="33">
        <f t="shared" si="107"/>
        <v>0</v>
      </c>
      <c r="Q842" s="37" t="s">
        <v>42</v>
      </c>
      <c r="R842" s="38">
        <f t="shared" si="108"/>
        <v>0</v>
      </c>
      <c r="S842" s="38">
        <f t="shared" si="101"/>
        <v>0</v>
      </c>
    </row>
    <row r="843" spans="1:19" s="19" customFormat="1">
      <c r="A843" s="31" t="s">
        <v>584</v>
      </c>
      <c r="B843" s="32" t="s">
        <v>25</v>
      </c>
      <c r="C843" s="33"/>
      <c r="D843" s="34" t="s">
        <v>42</v>
      </c>
      <c r="E843" s="35"/>
      <c r="F843" s="36">
        <v>1</v>
      </c>
      <c r="G843" s="37" t="s">
        <v>20</v>
      </c>
      <c r="H843" s="36">
        <v>10</v>
      </c>
      <c r="I843" s="37" t="s">
        <v>42</v>
      </c>
      <c r="J843" s="38">
        <f>2040000/10</f>
        <v>204000</v>
      </c>
      <c r="K843" s="34" t="s">
        <v>42</v>
      </c>
      <c r="L843" s="39"/>
      <c r="M843" s="39">
        <v>0.17</v>
      </c>
      <c r="N843" s="36"/>
      <c r="O843" s="37" t="s">
        <v>42</v>
      </c>
      <c r="P843" s="33">
        <f t="shared" si="107"/>
        <v>0</v>
      </c>
      <c r="Q843" s="37" t="s">
        <v>42</v>
      </c>
      <c r="R843" s="38">
        <f t="shared" si="108"/>
        <v>0</v>
      </c>
      <c r="S843" s="38">
        <f t="shared" si="101"/>
        <v>0</v>
      </c>
    </row>
    <row r="844" spans="1:19">
      <c r="A844" s="17" t="s">
        <v>585</v>
      </c>
      <c r="B844" s="2" t="s">
        <v>25</v>
      </c>
      <c r="D844" s="4" t="s">
        <v>19</v>
      </c>
      <c r="F844" s="6">
        <v>20</v>
      </c>
      <c r="G844" s="7" t="s">
        <v>33</v>
      </c>
      <c r="H844" s="6">
        <v>6</v>
      </c>
      <c r="I844" s="7" t="s">
        <v>19</v>
      </c>
      <c r="J844" s="8">
        <v>14500</v>
      </c>
      <c r="K844" s="4" t="s">
        <v>19</v>
      </c>
      <c r="M844" s="9">
        <v>0.17</v>
      </c>
      <c r="O844" s="7" t="s">
        <v>19</v>
      </c>
      <c r="P844" s="3">
        <f t="shared" si="107"/>
        <v>0</v>
      </c>
      <c r="Q844" s="7" t="s">
        <v>19</v>
      </c>
      <c r="R844" s="8">
        <f t="shared" si="108"/>
        <v>0</v>
      </c>
      <c r="S844" s="8">
        <f t="shared" si="101"/>
        <v>0</v>
      </c>
    </row>
    <row r="845" spans="1:19" s="19" customFormat="1">
      <c r="A845" s="18" t="s">
        <v>586</v>
      </c>
      <c r="B845" s="19" t="s">
        <v>25</v>
      </c>
      <c r="C845" s="20"/>
      <c r="D845" s="21" t="s">
        <v>19</v>
      </c>
      <c r="E845" s="26"/>
      <c r="F845" s="22">
        <v>1</v>
      </c>
      <c r="G845" s="23" t="s">
        <v>20</v>
      </c>
      <c r="H845" s="22">
        <v>6</v>
      </c>
      <c r="I845" s="23" t="s">
        <v>19</v>
      </c>
      <c r="J845" s="24">
        <f>2160000/6</f>
        <v>360000</v>
      </c>
      <c r="K845" s="21" t="s">
        <v>19</v>
      </c>
      <c r="L845" s="25"/>
      <c r="M845" s="25">
        <v>0.17</v>
      </c>
      <c r="N845" s="22"/>
      <c r="O845" s="23" t="s">
        <v>19</v>
      </c>
      <c r="P845" s="20">
        <f t="shared" si="107"/>
        <v>0</v>
      </c>
      <c r="Q845" s="23" t="s">
        <v>19</v>
      </c>
      <c r="R845" s="24">
        <f t="shared" si="108"/>
        <v>0</v>
      </c>
      <c r="S845" s="24">
        <f t="shared" si="101"/>
        <v>0</v>
      </c>
    </row>
    <row r="846" spans="1:19" s="19" customFormat="1">
      <c r="A846" s="18" t="s">
        <v>587</v>
      </c>
      <c r="B846" s="19" t="s">
        <v>25</v>
      </c>
      <c r="C846" s="20"/>
      <c r="D846" s="21" t="s">
        <v>19</v>
      </c>
      <c r="E846" s="26"/>
      <c r="F846" s="22">
        <v>1</v>
      </c>
      <c r="G846" s="23" t="s">
        <v>20</v>
      </c>
      <c r="H846" s="22">
        <v>6</v>
      </c>
      <c r="I846" s="23" t="s">
        <v>19</v>
      </c>
      <c r="J846" s="24">
        <f>930000/6</f>
        <v>155000</v>
      </c>
      <c r="K846" s="21" t="s">
        <v>19</v>
      </c>
      <c r="L846" s="25"/>
      <c r="M846" s="25">
        <v>0.17</v>
      </c>
      <c r="N846" s="22"/>
      <c r="O846" s="23" t="s">
        <v>19</v>
      </c>
      <c r="P846" s="20">
        <f t="shared" si="107"/>
        <v>0</v>
      </c>
      <c r="Q846" s="23" t="s">
        <v>19</v>
      </c>
      <c r="R846" s="24">
        <f t="shared" si="108"/>
        <v>0</v>
      </c>
      <c r="S846" s="24">
        <f t="shared" si="101"/>
        <v>0</v>
      </c>
    </row>
    <row r="847" spans="1:19" s="19" customFormat="1">
      <c r="A847" s="18" t="s">
        <v>588</v>
      </c>
      <c r="B847" s="19" t="s">
        <v>25</v>
      </c>
      <c r="C847" s="20"/>
      <c r="D847" s="21" t="s">
        <v>19</v>
      </c>
      <c r="E847" s="26"/>
      <c r="F847" s="22">
        <v>1</v>
      </c>
      <c r="G847" s="23" t="s">
        <v>20</v>
      </c>
      <c r="H847" s="22">
        <v>6</v>
      </c>
      <c r="I847" s="23" t="s">
        <v>19</v>
      </c>
      <c r="J847" s="24">
        <f>504000/6</f>
        <v>84000</v>
      </c>
      <c r="K847" s="21" t="s">
        <v>19</v>
      </c>
      <c r="L847" s="25"/>
      <c r="M847" s="25">
        <v>0.17</v>
      </c>
      <c r="N847" s="22"/>
      <c r="O847" s="23" t="s">
        <v>19</v>
      </c>
      <c r="P847" s="20">
        <f t="shared" si="107"/>
        <v>0</v>
      </c>
      <c r="Q847" s="23" t="s">
        <v>19</v>
      </c>
      <c r="R847" s="24">
        <f t="shared" si="108"/>
        <v>0</v>
      </c>
      <c r="S847" s="24">
        <f t="shared" ref="S847:S856" si="109">R847/1.11</f>
        <v>0</v>
      </c>
    </row>
    <row r="848" spans="1:19">
      <c r="A848" s="17" t="s">
        <v>589</v>
      </c>
      <c r="B848" s="2" t="s">
        <v>25</v>
      </c>
      <c r="D848" s="4" t="s">
        <v>19</v>
      </c>
      <c r="F848" s="6">
        <v>1</v>
      </c>
      <c r="G848" s="7" t="s">
        <v>20</v>
      </c>
      <c r="H848" s="6">
        <v>6</v>
      </c>
      <c r="I848" s="7" t="s">
        <v>19</v>
      </c>
      <c r="J848" s="8">
        <f>990000/6</f>
        <v>165000</v>
      </c>
      <c r="K848" s="4" t="s">
        <v>19</v>
      </c>
      <c r="M848" s="9">
        <v>0.17</v>
      </c>
      <c r="O848" s="7" t="s">
        <v>19</v>
      </c>
      <c r="P848" s="3">
        <f t="shared" si="107"/>
        <v>0</v>
      </c>
      <c r="Q848" s="7" t="s">
        <v>19</v>
      </c>
      <c r="R848" s="8">
        <f t="shared" si="108"/>
        <v>0</v>
      </c>
      <c r="S848" s="8">
        <f t="shared" si="109"/>
        <v>0</v>
      </c>
    </row>
    <row r="850" spans="1:19">
      <c r="A850" s="73" t="s">
        <v>590</v>
      </c>
      <c r="B850" s="2" t="s">
        <v>591</v>
      </c>
      <c r="D850" s="4" t="s">
        <v>42</v>
      </c>
      <c r="F850" s="6">
        <v>1</v>
      </c>
      <c r="G850" s="7" t="s">
        <v>20</v>
      </c>
      <c r="H850" s="6">
        <v>30</v>
      </c>
      <c r="I850" s="7" t="s">
        <v>42</v>
      </c>
      <c r="J850" s="8">
        <v>130000</v>
      </c>
      <c r="K850" s="4" t="s">
        <v>42</v>
      </c>
      <c r="L850" s="9">
        <v>0.17499999999999999</v>
      </c>
      <c r="M850" s="9">
        <v>0.03</v>
      </c>
      <c r="O850" s="7" t="s">
        <v>42</v>
      </c>
      <c r="P850" s="3">
        <f>(C850+(E850*F850*H850))-N850</f>
        <v>0</v>
      </c>
      <c r="Q850" s="7" t="s">
        <v>42</v>
      </c>
      <c r="R850" s="8">
        <f>P850*(J850-(J850*L850)-((J850-(J850*L850))*M850))</f>
        <v>0</v>
      </c>
      <c r="S850" s="8">
        <f t="shared" si="109"/>
        <v>0</v>
      </c>
    </row>
    <row r="851" spans="1:19">
      <c r="A851" s="73" t="s">
        <v>592</v>
      </c>
      <c r="B851" s="2" t="s">
        <v>591</v>
      </c>
      <c r="D851" s="4" t="s">
        <v>42</v>
      </c>
      <c r="F851" s="6">
        <v>1</v>
      </c>
      <c r="G851" s="7" t="s">
        <v>20</v>
      </c>
      <c r="H851" s="6">
        <v>30</v>
      </c>
      <c r="I851" s="7" t="s">
        <v>42</v>
      </c>
      <c r="J851" s="8">
        <v>216000</v>
      </c>
      <c r="K851" s="4" t="s">
        <v>42</v>
      </c>
      <c r="M851" s="9">
        <v>0.15</v>
      </c>
      <c r="O851" s="7" t="s">
        <v>42</v>
      </c>
      <c r="P851" s="3">
        <f>(C851+(E851*F851*H851))-N851</f>
        <v>0</v>
      </c>
      <c r="Q851" s="7" t="s">
        <v>42</v>
      </c>
      <c r="R851" s="8">
        <f>P851*(J851-(J851*L851)-((J851-(J851*L851))*M851))</f>
        <v>0</v>
      </c>
      <c r="S851" s="8">
        <f t="shared" si="109"/>
        <v>0</v>
      </c>
    </row>
    <row r="852" spans="1:19">
      <c r="A852" s="73" t="s">
        <v>593</v>
      </c>
      <c r="B852" s="2" t="s">
        <v>591</v>
      </c>
      <c r="D852" s="4" t="s">
        <v>42</v>
      </c>
      <c r="F852" s="6">
        <v>1</v>
      </c>
      <c r="G852" s="7" t="s">
        <v>20</v>
      </c>
      <c r="H852" s="6">
        <v>30</v>
      </c>
      <c r="I852" s="7" t="s">
        <v>42</v>
      </c>
      <c r="J852" s="8">
        <v>216000</v>
      </c>
      <c r="K852" s="4" t="s">
        <v>42</v>
      </c>
      <c r="M852" s="9">
        <v>0.15</v>
      </c>
      <c r="O852" s="7" t="s">
        <v>42</v>
      </c>
      <c r="P852" s="3">
        <f>(C852+(E852*F852*H852))-N852</f>
        <v>0</v>
      </c>
      <c r="Q852" s="7" t="s">
        <v>42</v>
      </c>
      <c r="R852" s="8">
        <f>P852*(J852-(J852*L852)-((J852-(J852*L852))*M852))</f>
        <v>0</v>
      </c>
      <c r="S852" s="8">
        <f t="shared" si="109"/>
        <v>0</v>
      </c>
    </row>
    <row r="853" spans="1:19">
      <c r="A853" s="73" t="s">
        <v>594</v>
      </c>
      <c r="B853" s="2" t="s">
        <v>591</v>
      </c>
      <c r="D853" s="4" t="s">
        <v>42</v>
      </c>
      <c r="F853" s="6">
        <v>1</v>
      </c>
      <c r="G853" s="7" t="s">
        <v>20</v>
      </c>
      <c r="H853" s="6">
        <v>30</v>
      </c>
      <c r="I853" s="7" t="s">
        <v>42</v>
      </c>
      <c r="J853" s="8">
        <v>220000</v>
      </c>
      <c r="K853" s="4" t="s">
        <v>42</v>
      </c>
      <c r="M853" s="9">
        <v>0.15</v>
      </c>
      <c r="O853" s="7" t="s">
        <v>42</v>
      </c>
      <c r="P853" s="3">
        <f>(C853+(E853*F853*H853))-N853</f>
        <v>0</v>
      </c>
      <c r="Q853" s="7" t="s">
        <v>42</v>
      </c>
      <c r="R853" s="8">
        <f>P853*(J853-(J853*L853)-((J853-(J853*L853))*M853))</f>
        <v>0</v>
      </c>
      <c r="S853" s="8">
        <f t="shared" si="109"/>
        <v>0</v>
      </c>
    </row>
    <row r="854" spans="1:19">
      <c r="A854" s="73" t="s">
        <v>595</v>
      </c>
      <c r="B854" s="2" t="s">
        <v>591</v>
      </c>
      <c r="D854" s="4" t="s">
        <v>42</v>
      </c>
      <c r="F854" s="6">
        <v>1</v>
      </c>
      <c r="G854" s="7" t="s">
        <v>20</v>
      </c>
      <c r="H854" s="6">
        <v>20</v>
      </c>
      <c r="I854" s="7" t="s">
        <v>42</v>
      </c>
      <c r="J854" s="8">
        <v>285600</v>
      </c>
      <c r="K854" s="4" t="s">
        <v>42</v>
      </c>
      <c r="L854" s="9">
        <v>0.17499999999999999</v>
      </c>
      <c r="M854" s="9">
        <v>0.03</v>
      </c>
      <c r="O854" s="7" t="s">
        <v>42</v>
      </c>
      <c r="P854" s="3">
        <f>(C854+(E854*F854*H854))-N854</f>
        <v>0</v>
      </c>
      <c r="Q854" s="7" t="s">
        <v>42</v>
      </c>
      <c r="R854" s="8">
        <f>P854*(J854-(J854*L854)-((J854-(J854*L854))*M854))</f>
        <v>0</v>
      </c>
      <c r="S854" s="8">
        <f t="shared" si="109"/>
        <v>0</v>
      </c>
    </row>
    <row r="855" spans="1:19">
      <c r="A855" s="73"/>
    </row>
    <row r="856" spans="1:19">
      <c r="A856" s="73" t="s">
        <v>596</v>
      </c>
      <c r="B856" s="19" t="s">
        <v>188</v>
      </c>
      <c r="D856" s="4" t="s">
        <v>42</v>
      </c>
      <c r="F856" s="6">
        <v>1</v>
      </c>
      <c r="G856" s="7" t="s">
        <v>20</v>
      </c>
      <c r="H856" s="6">
        <v>5</v>
      </c>
      <c r="I856" s="7" t="s">
        <v>42</v>
      </c>
      <c r="J856" s="8">
        <v>250000</v>
      </c>
      <c r="K856" s="4" t="s">
        <v>42</v>
      </c>
      <c r="O856" s="84" t="s">
        <v>42</v>
      </c>
      <c r="P856" s="3">
        <f>(C856+(E856*F856*H856))-N856</f>
        <v>0</v>
      </c>
      <c r="Q856" s="7" t="s">
        <v>42</v>
      </c>
      <c r="R856" s="8">
        <f>P856*(J856-(J856*L856)-((J856-(J856*L856))*M856))</f>
        <v>0</v>
      </c>
      <c r="S856" s="8">
        <f t="shared" si="109"/>
        <v>0</v>
      </c>
    </row>
    <row r="857" spans="1:19">
      <c r="A857" s="73"/>
      <c r="B857" s="19"/>
      <c r="O857" s="84"/>
    </row>
    <row r="858" spans="1:19">
      <c r="A858" s="15" t="s">
        <v>597</v>
      </c>
    </row>
    <row r="859" spans="1:19" s="19" customFormat="1">
      <c r="A859" s="18" t="s">
        <v>599</v>
      </c>
      <c r="B859" s="19" t="s">
        <v>591</v>
      </c>
      <c r="C859" s="20"/>
      <c r="D859" s="21" t="s">
        <v>101</v>
      </c>
      <c r="E859" s="26"/>
      <c r="F859" s="22">
        <v>1</v>
      </c>
      <c r="G859" s="23" t="s">
        <v>20</v>
      </c>
      <c r="H859" s="22">
        <v>100</v>
      </c>
      <c r="I859" s="23" t="s">
        <v>101</v>
      </c>
      <c r="J859" s="24">
        <v>14000</v>
      </c>
      <c r="K859" s="21" t="s">
        <v>101</v>
      </c>
      <c r="L859" s="25">
        <v>0.1</v>
      </c>
      <c r="M859" s="25"/>
      <c r="N859" s="22"/>
      <c r="O859" s="23" t="s">
        <v>101</v>
      </c>
      <c r="P859" s="20">
        <f>(C859+(E859*F859*H859))-N859</f>
        <v>0</v>
      </c>
      <c r="Q859" s="23" t="s">
        <v>101</v>
      </c>
      <c r="R859" s="24">
        <f>P859*(J859-(J859*L859)-((J859-(J859*L859))*M859))</f>
        <v>0</v>
      </c>
      <c r="S859" s="24">
        <f t="shared" ref="S859:S954" si="110">R859/1.11</f>
        <v>0</v>
      </c>
    </row>
    <row r="860" spans="1:19" s="19" customFormat="1">
      <c r="A860" s="18" t="s">
        <v>600</v>
      </c>
      <c r="B860" s="19" t="s">
        <v>591</v>
      </c>
      <c r="C860" s="20"/>
      <c r="D860" s="21" t="s">
        <v>101</v>
      </c>
      <c r="E860" s="26"/>
      <c r="F860" s="22">
        <v>1</v>
      </c>
      <c r="G860" s="23" t="s">
        <v>20</v>
      </c>
      <c r="H860" s="22">
        <v>50</v>
      </c>
      <c r="I860" s="23" t="s">
        <v>101</v>
      </c>
      <c r="J860" s="24">
        <v>24000</v>
      </c>
      <c r="K860" s="21" t="s">
        <v>101</v>
      </c>
      <c r="L860" s="25"/>
      <c r="M860" s="25"/>
      <c r="N860" s="22"/>
      <c r="O860" s="23" t="s">
        <v>101</v>
      </c>
      <c r="P860" s="20">
        <f>(C860+(E860*F860*H860))-N860</f>
        <v>0</v>
      </c>
      <c r="Q860" s="23" t="s">
        <v>101</v>
      </c>
      <c r="R860" s="24">
        <f>P860*(J860-(J860*L860)-((J860-(J860*L860))*M860))</f>
        <v>0</v>
      </c>
      <c r="S860" s="24">
        <f t="shared" si="110"/>
        <v>0</v>
      </c>
    </row>
    <row r="861" spans="1:19" s="19" customFormat="1">
      <c r="A861" s="18"/>
      <c r="C861" s="20"/>
      <c r="D861" s="21"/>
      <c r="E861" s="26"/>
      <c r="F861" s="22"/>
      <c r="G861" s="23"/>
      <c r="H861" s="22"/>
      <c r="I861" s="23"/>
      <c r="J861" s="24"/>
      <c r="K861" s="21"/>
      <c r="L861" s="25"/>
      <c r="M861" s="25"/>
      <c r="N861" s="22"/>
      <c r="O861" s="23"/>
      <c r="P861" s="20"/>
      <c r="Q861" s="23"/>
      <c r="R861" s="24"/>
      <c r="S861" s="24"/>
    </row>
    <row r="862" spans="1:19">
      <c r="A862" s="17" t="s">
        <v>598</v>
      </c>
      <c r="B862" s="2" t="s">
        <v>18</v>
      </c>
      <c r="D862" s="4" t="s">
        <v>33</v>
      </c>
      <c r="F862" s="6">
        <v>1</v>
      </c>
      <c r="G862" s="7" t="s">
        <v>20</v>
      </c>
      <c r="H862" s="6">
        <v>50</v>
      </c>
      <c r="I862" s="7" t="s">
        <v>33</v>
      </c>
      <c r="J862" s="8">
        <v>28000</v>
      </c>
      <c r="K862" s="4" t="s">
        <v>33</v>
      </c>
      <c r="L862" s="9">
        <v>0.125</v>
      </c>
      <c r="M862" s="9">
        <v>0.05</v>
      </c>
      <c r="O862" s="7" t="s">
        <v>33</v>
      </c>
      <c r="P862" s="3">
        <f>(C862+(E862*F862*H862))-N862</f>
        <v>0</v>
      </c>
      <c r="Q862" s="7" t="s">
        <v>33</v>
      </c>
      <c r="R862" s="8">
        <f>P862*(J862-(J862*L862)-((J862-(J862*L862))*M862))</f>
        <v>0</v>
      </c>
      <c r="S862" s="8">
        <f>R862/1.11</f>
        <v>0</v>
      </c>
    </row>
    <row r="864" spans="1:19">
      <c r="A864" s="68" t="s">
        <v>601</v>
      </c>
      <c r="B864" s="2" t="s">
        <v>25</v>
      </c>
      <c r="D864" s="4" t="s">
        <v>33</v>
      </c>
      <c r="F864" s="6">
        <v>40</v>
      </c>
      <c r="G864" s="7" t="s">
        <v>101</v>
      </c>
      <c r="H864" s="6">
        <v>20</v>
      </c>
      <c r="I864" s="7" t="s">
        <v>33</v>
      </c>
      <c r="J864" s="8">
        <f>840000/40/20</f>
        <v>1050</v>
      </c>
      <c r="K864" s="4" t="s">
        <v>33</v>
      </c>
      <c r="M864" s="9">
        <v>0.17</v>
      </c>
      <c r="O864" s="7" t="s">
        <v>33</v>
      </c>
      <c r="P864" s="3">
        <f>(C864+(E864*F864*H864))-N864</f>
        <v>0</v>
      </c>
      <c r="Q864" s="7" t="s">
        <v>33</v>
      </c>
      <c r="R864" s="8">
        <f>P864*(J864-(J864*L864)-((J864-(J864*L864))*M864))</f>
        <v>0</v>
      </c>
      <c r="S864" s="8">
        <f t="shared" si="110"/>
        <v>0</v>
      </c>
    </row>
    <row r="865" spans="1:19" s="19" customFormat="1">
      <c r="A865" s="68" t="s">
        <v>602</v>
      </c>
      <c r="B865" s="19" t="s">
        <v>25</v>
      </c>
      <c r="C865" s="20"/>
      <c r="D865" s="21" t="s">
        <v>101</v>
      </c>
      <c r="E865" s="26"/>
      <c r="F865" s="22">
        <v>1</v>
      </c>
      <c r="G865" s="23" t="s">
        <v>20</v>
      </c>
      <c r="H865" s="22">
        <v>20</v>
      </c>
      <c r="I865" s="23" t="s">
        <v>101</v>
      </c>
      <c r="J865" s="24">
        <f>840000/20</f>
        <v>42000</v>
      </c>
      <c r="K865" s="21" t="s">
        <v>101</v>
      </c>
      <c r="L865" s="25"/>
      <c r="M865" s="25">
        <v>0.17</v>
      </c>
      <c r="N865" s="22"/>
      <c r="O865" s="23" t="s">
        <v>101</v>
      </c>
      <c r="P865" s="20">
        <f>(C865+(E865*F865*H865))-N865</f>
        <v>0</v>
      </c>
      <c r="Q865" s="23" t="s">
        <v>101</v>
      </c>
      <c r="R865" s="24">
        <f>P865*(J865-(J865*L865)-((J865-(J865*L865))*M865))</f>
        <v>0</v>
      </c>
      <c r="S865" s="24">
        <f t="shared" si="110"/>
        <v>0</v>
      </c>
    </row>
    <row r="866" spans="1:19" s="17" customFormat="1">
      <c r="A866" s="18" t="s">
        <v>603</v>
      </c>
      <c r="B866" s="17" t="s">
        <v>25</v>
      </c>
      <c r="C866" s="74"/>
      <c r="D866" s="75" t="s">
        <v>101</v>
      </c>
      <c r="E866" s="41"/>
      <c r="F866" s="76">
        <v>1</v>
      </c>
      <c r="G866" s="77" t="s">
        <v>20</v>
      </c>
      <c r="H866" s="76">
        <v>15</v>
      </c>
      <c r="I866" s="77" t="s">
        <v>101</v>
      </c>
      <c r="J866" s="78">
        <f>525000/15</f>
        <v>35000</v>
      </c>
      <c r="K866" s="75" t="s">
        <v>101</v>
      </c>
      <c r="L866" s="79"/>
      <c r="M866" s="79">
        <v>0.17</v>
      </c>
      <c r="N866" s="76"/>
      <c r="O866" s="77" t="s">
        <v>101</v>
      </c>
      <c r="P866" s="74">
        <f>(C866+(E866*F866*H866))-N866</f>
        <v>0</v>
      </c>
      <c r="Q866" s="77" t="s">
        <v>101</v>
      </c>
      <c r="R866" s="78">
        <f>P866*(J866-(J866*L866)-((J866-(J866*L866))*M866))</f>
        <v>0</v>
      </c>
      <c r="S866" s="78">
        <f t="shared" si="110"/>
        <v>0</v>
      </c>
    </row>
    <row r="867" spans="1:19" s="17" customFormat="1">
      <c r="A867" s="18"/>
      <c r="C867" s="74"/>
      <c r="D867" s="75"/>
      <c r="E867" s="41"/>
      <c r="F867" s="76"/>
      <c r="G867" s="77"/>
      <c r="H867" s="76"/>
      <c r="I867" s="77"/>
      <c r="J867" s="78"/>
      <c r="K867" s="75"/>
      <c r="L867" s="79"/>
      <c r="M867" s="79"/>
      <c r="N867" s="76"/>
      <c r="O867" s="77"/>
      <c r="P867" s="74"/>
      <c r="Q867" s="77"/>
      <c r="R867" s="78"/>
      <c r="S867" s="78"/>
    </row>
    <row r="868" spans="1:19" s="19" customFormat="1">
      <c r="A868" s="68" t="s">
        <v>836</v>
      </c>
      <c r="B868" s="19" t="s">
        <v>605</v>
      </c>
      <c r="C868" s="20"/>
      <c r="D868" s="21" t="s">
        <v>33</v>
      </c>
      <c r="E868" s="26"/>
      <c r="F868" s="22">
        <v>1</v>
      </c>
      <c r="G868" s="23" t="s">
        <v>20</v>
      </c>
      <c r="H868" s="22">
        <v>500</v>
      </c>
      <c r="I868" s="23" t="s">
        <v>33</v>
      </c>
      <c r="J868" s="24">
        <v>3000</v>
      </c>
      <c r="K868" s="21" t="s">
        <v>33</v>
      </c>
      <c r="L868" s="25">
        <v>0.17499999999999999</v>
      </c>
      <c r="M868" s="25"/>
      <c r="N868" s="22"/>
      <c r="O868" s="23" t="s">
        <v>33</v>
      </c>
      <c r="P868" s="20">
        <f>(C868+(E868*F868*H868))-N868</f>
        <v>0</v>
      </c>
      <c r="Q868" s="23" t="s">
        <v>33</v>
      </c>
      <c r="R868" s="24">
        <f>P868*(J868-(J868*L868)-((J868-(J868*L868))*M868))</f>
        <v>0</v>
      </c>
      <c r="S868" s="8">
        <f t="shared" ref="S868" si="111">R868/1.11</f>
        <v>0</v>
      </c>
    </row>
    <row r="869" spans="1:19" s="19" customFormat="1">
      <c r="A869" s="68" t="s">
        <v>604</v>
      </c>
      <c r="B869" s="19" t="s">
        <v>605</v>
      </c>
      <c r="C869" s="20"/>
      <c r="D869" s="21" t="s">
        <v>33</v>
      </c>
      <c r="E869" s="26"/>
      <c r="F869" s="22">
        <v>1</v>
      </c>
      <c r="G869" s="23" t="s">
        <v>20</v>
      </c>
      <c r="H869" s="22">
        <v>200</v>
      </c>
      <c r="I869" s="23" t="s">
        <v>33</v>
      </c>
      <c r="J869" s="24">
        <v>11500</v>
      </c>
      <c r="K869" s="21" t="s">
        <v>33</v>
      </c>
      <c r="L869" s="25">
        <v>0.17499999999999999</v>
      </c>
      <c r="M869" s="25"/>
      <c r="N869" s="22"/>
      <c r="O869" s="23" t="s">
        <v>33</v>
      </c>
      <c r="P869" s="20">
        <f>(C869+(E869*F869*H869))-N869</f>
        <v>0</v>
      </c>
      <c r="Q869" s="23" t="s">
        <v>33</v>
      </c>
      <c r="R869" s="24">
        <f>P869*(J869-(J869*L869)-((J869-(J869*L869))*M869))</f>
        <v>0</v>
      </c>
      <c r="S869" s="8">
        <f t="shared" si="110"/>
        <v>0</v>
      </c>
    </row>
    <row r="870" spans="1:19" s="19" customFormat="1">
      <c r="A870" s="68" t="s">
        <v>670</v>
      </c>
      <c r="B870" s="19" t="s">
        <v>605</v>
      </c>
      <c r="C870" s="20"/>
      <c r="D870" s="21" t="s">
        <v>33</v>
      </c>
      <c r="E870" s="26"/>
      <c r="F870" s="22">
        <v>1</v>
      </c>
      <c r="G870" s="23" t="s">
        <v>20</v>
      </c>
      <c r="H870" s="22">
        <v>200</v>
      </c>
      <c r="I870" s="23" t="s">
        <v>33</v>
      </c>
      <c r="J870" s="24">
        <v>13800</v>
      </c>
      <c r="K870" s="21" t="s">
        <v>33</v>
      </c>
      <c r="L870" s="25">
        <v>0.17499999999999999</v>
      </c>
      <c r="M870" s="25">
        <v>0.03</v>
      </c>
      <c r="N870" s="22"/>
      <c r="O870" s="23" t="s">
        <v>33</v>
      </c>
      <c r="P870" s="20">
        <f>(C870+(E870*F870*H870))-N870</f>
        <v>0</v>
      </c>
      <c r="Q870" s="23" t="s">
        <v>33</v>
      </c>
      <c r="R870" s="24">
        <f>P870*(J870-(J870*L870)-((J870-(J870*L870))*M870))</f>
        <v>0</v>
      </c>
      <c r="S870" s="8">
        <f t="shared" si="110"/>
        <v>0</v>
      </c>
    </row>
    <row r="871" spans="1:19">
      <c r="A871" s="73"/>
      <c r="B871" s="19"/>
      <c r="O871" s="84"/>
    </row>
    <row r="872" spans="1:19">
      <c r="A872" s="15" t="s">
        <v>769</v>
      </c>
    </row>
    <row r="873" spans="1:19" s="19" customFormat="1">
      <c r="A873" s="18" t="s">
        <v>770</v>
      </c>
      <c r="B873" s="19" t="s">
        <v>591</v>
      </c>
      <c r="C873" s="20"/>
      <c r="D873" s="21" t="s">
        <v>42</v>
      </c>
      <c r="E873" s="26"/>
      <c r="F873" s="22">
        <v>1</v>
      </c>
      <c r="G873" s="23" t="s">
        <v>20</v>
      </c>
      <c r="H873" s="22">
        <v>30</v>
      </c>
      <c r="I873" s="23" t="s">
        <v>42</v>
      </c>
      <c r="J873" s="24">
        <v>102000</v>
      </c>
      <c r="K873" s="21" t="s">
        <v>42</v>
      </c>
      <c r="L873" s="25">
        <v>0.17499999999999999</v>
      </c>
      <c r="M873" s="25">
        <v>0.03</v>
      </c>
      <c r="N873" s="22"/>
      <c r="O873" s="23" t="s">
        <v>42</v>
      </c>
      <c r="P873" s="20">
        <f>(C873+(E873*F873*H873))-N873</f>
        <v>0</v>
      </c>
      <c r="Q873" s="23" t="s">
        <v>42</v>
      </c>
      <c r="R873" s="24">
        <f>P873*(J873-(J873*L873)-((J873-(J873*L873))*M873))</f>
        <v>0</v>
      </c>
      <c r="S873" s="24">
        <f t="shared" ref="S873" si="112">R873/1.11</f>
        <v>0</v>
      </c>
    </row>
    <row r="875" spans="1:19" ht="15.75">
      <c r="A875" s="14" t="s">
        <v>606</v>
      </c>
    </row>
    <row r="876" spans="1:19">
      <c r="A876" s="59" t="s">
        <v>607</v>
      </c>
      <c r="B876" s="2" t="s">
        <v>178</v>
      </c>
      <c r="D876" s="4" t="s">
        <v>101</v>
      </c>
      <c r="F876" s="6">
        <v>1</v>
      </c>
      <c r="G876" s="7" t="s">
        <v>20</v>
      </c>
      <c r="H876" s="6">
        <v>60</v>
      </c>
      <c r="I876" s="7" t="s">
        <v>101</v>
      </c>
      <c r="J876" s="8">
        <v>8600</v>
      </c>
      <c r="K876" s="4" t="s">
        <v>101</v>
      </c>
      <c r="L876" s="9">
        <v>0.05</v>
      </c>
      <c r="O876" s="7" t="s">
        <v>101</v>
      </c>
      <c r="P876" s="3">
        <f>(C876+(E876*F876*H876))-N876</f>
        <v>0</v>
      </c>
      <c r="Q876" s="7" t="s">
        <v>101</v>
      </c>
      <c r="R876" s="8">
        <f>P876*(J876-(J876*L876)-((J876-(J876*L876))*M876))</f>
        <v>0</v>
      </c>
      <c r="S876" s="8">
        <f t="shared" si="110"/>
        <v>0</v>
      </c>
    </row>
    <row r="877" spans="1:19">
      <c r="A877" s="59"/>
    </row>
    <row r="878" spans="1:19">
      <c r="A878" s="59" t="s">
        <v>612</v>
      </c>
      <c r="B878" s="2" t="s">
        <v>18</v>
      </c>
      <c r="D878" s="4" t="s">
        <v>33</v>
      </c>
      <c r="F878" s="6">
        <v>1</v>
      </c>
      <c r="G878" s="7" t="s">
        <v>20</v>
      </c>
      <c r="H878" s="6">
        <v>50</v>
      </c>
      <c r="I878" s="7" t="s">
        <v>33</v>
      </c>
      <c r="J878" s="8">
        <v>32300</v>
      </c>
      <c r="K878" s="4" t="s">
        <v>33</v>
      </c>
      <c r="L878" s="9">
        <v>0.125</v>
      </c>
      <c r="M878" s="9">
        <v>0.05</v>
      </c>
      <c r="O878" s="7" t="s">
        <v>33</v>
      </c>
      <c r="P878" s="3">
        <f t="shared" ref="P878:P888" si="113">(C878+(E878*F878*H878))-N878</f>
        <v>0</v>
      </c>
      <c r="Q878" s="7" t="s">
        <v>33</v>
      </c>
      <c r="R878" s="8">
        <f t="shared" ref="R878:R888" si="114">P878*(J878-(J878*L878)-((J878-(J878*L878))*M878))</f>
        <v>0</v>
      </c>
      <c r="S878" s="8">
        <f>R878/1.11</f>
        <v>0</v>
      </c>
    </row>
    <row r="879" spans="1:19">
      <c r="A879" s="59" t="s">
        <v>613</v>
      </c>
      <c r="B879" s="2" t="s">
        <v>18</v>
      </c>
      <c r="D879" s="4" t="s">
        <v>33</v>
      </c>
      <c r="F879" s="6">
        <v>1</v>
      </c>
      <c r="G879" s="7" t="s">
        <v>20</v>
      </c>
      <c r="H879" s="6">
        <v>50</v>
      </c>
      <c r="I879" s="7" t="s">
        <v>33</v>
      </c>
      <c r="J879" s="8">
        <v>12000</v>
      </c>
      <c r="K879" s="4" t="s">
        <v>33</v>
      </c>
      <c r="L879" s="9">
        <v>0.125</v>
      </c>
      <c r="M879" s="9">
        <v>0.05</v>
      </c>
      <c r="O879" s="7" t="s">
        <v>33</v>
      </c>
      <c r="P879" s="3">
        <f t="shared" si="113"/>
        <v>0</v>
      </c>
      <c r="Q879" s="7" t="s">
        <v>33</v>
      </c>
      <c r="R879" s="8">
        <f t="shared" si="114"/>
        <v>0</v>
      </c>
      <c r="S879" s="8">
        <f>R879/1.11</f>
        <v>0</v>
      </c>
    </row>
    <row r="880" spans="1:19">
      <c r="A880" s="59" t="s">
        <v>755</v>
      </c>
      <c r="B880" s="2" t="s">
        <v>18</v>
      </c>
      <c r="D880" s="4" t="s">
        <v>33</v>
      </c>
      <c r="F880" s="6">
        <v>1</v>
      </c>
      <c r="G880" s="7" t="s">
        <v>20</v>
      </c>
      <c r="H880" s="6">
        <v>50</v>
      </c>
      <c r="I880" s="7" t="s">
        <v>33</v>
      </c>
      <c r="J880" s="8">
        <v>29100</v>
      </c>
      <c r="K880" s="4" t="s">
        <v>33</v>
      </c>
      <c r="L880" s="9">
        <v>0.125</v>
      </c>
      <c r="M880" s="9">
        <v>0.05</v>
      </c>
      <c r="O880" s="7" t="s">
        <v>33</v>
      </c>
      <c r="P880" s="3">
        <f t="shared" si="113"/>
        <v>0</v>
      </c>
      <c r="Q880" s="7" t="s">
        <v>33</v>
      </c>
      <c r="R880" s="8">
        <f t="shared" si="114"/>
        <v>0</v>
      </c>
      <c r="S880" s="8">
        <f>R880/1.11</f>
        <v>0</v>
      </c>
    </row>
    <row r="881" spans="1:19">
      <c r="A881" s="59" t="s">
        <v>614</v>
      </c>
      <c r="B881" s="2" t="s">
        <v>18</v>
      </c>
      <c r="D881" s="4" t="s">
        <v>33</v>
      </c>
      <c r="F881" s="6">
        <v>1</v>
      </c>
      <c r="G881" s="7" t="s">
        <v>20</v>
      </c>
      <c r="H881" s="6">
        <v>50</v>
      </c>
      <c r="I881" s="7" t="s">
        <v>33</v>
      </c>
      <c r="J881" s="8">
        <v>36200</v>
      </c>
      <c r="K881" s="4" t="s">
        <v>33</v>
      </c>
      <c r="L881" s="9">
        <v>0.125</v>
      </c>
      <c r="M881" s="9">
        <v>0.05</v>
      </c>
      <c r="O881" s="7" t="s">
        <v>33</v>
      </c>
      <c r="P881" s="3">
        <f t="shared" si="113"/>
        <v>0</v>
      </c>
      <c r="Q881" s="7" t="s">
        <v>33</v>
      </c>
      <c r="R881" s="8">
        <f t="shared" si="114"/>
        <v>0</v>
      </c>
      <c r="S881" s="8">
        <f>R881/1.11</f>
        <v>0</v>
      </c>
    </row>
    <row r="882" spans="1:19" s="19" customFormat="1">
      <c r="A882" s="59" t="s">
        <v>608</v>
      </c>
      <c r="B882" s="19" t="s">
        <v>18</v>
      </c>
      <c r="C882" s="20"/>
      <c r="D882" s="21" t="s">
        <v>33</v>
      </c>
      <c r="E882" s="26"/>
      <c r="F882" s="22">
        <v>1</v>
      </c>
      <c r="G882" s="23" t="s">
        <v>20</v>
      </c>
      <c r="H882" s="22">
        <v>50</v>
      </c>
      <c r="I882" s="23" t="s">
        <v>33</v>
      </c>
      <c r="J882" s="24">
        <v>34100</v>
      </c>
      <c r="K882" s="21" t="s">
        <v>33</v>
      </c>
      <c r="L882" s="25">
        <v>0.125</v>
      </c>
      <c r="M882" s="25">
        <v>0.05</v>
      </c>
      <c r="N882" s="22"/>
      <c r="O882" s="23" t="s">
        <v>33</v>
      </c>
      <c r="P882" s="20">
        <f t="shared" si="113"/>
        <v>0</v>
      </c>
      <c r="Q882" s="23" t="s">
        <v>33</v>
      </c>
      <c r="R882" s="24">
        <f t="shared" si="114"/>
        <v>0</v>
      </c>
      <c r="S882" s="8">
        <f t="shared" si="110"/>
        <v>0</v>
      </c>
    </row>
    <row r="883" spans="1:19" s="19" customFormat="1">
      <c r="A883" s="18" t="s">
        <v>609</v>
      </c>
      <c r="B883" s="19" t="s">
        <v>18</v>
      </c>
      <c r="C883" s="20"/>
      <c r="D883" s="21" t="s">
        <v>33</v>
      </c>
      <c r="E883" s="26"/>
      <c r="F883" s="22">
        <v>1</v>
      </c>
      <c r="G883" s="23" t="s">
        <v>20</v>
      </c>
      <c r="H883" s="22">
        <v>50</v>
      </c>
      <c r="I883" s="23" t="s">
        <v>33</v>
      </c>
      <c r="J883" s="24">
        <v>34100</v>
      </c>
      <c r="K883" s="21" t="s">
        <v>33</v>
      </c>
      <c r="L883" s="25">
        <v>0.125</v>
      </c>
      <c r="M883" s="25">
        <v>0.05</v>
      </c>
      <c r="N883" s="22"/>
      <c r="O883" s="23" t="s">
        <v>33</v>
      </c>
      <c r="P883" s="20">
        <f t="shared" si="113"/>
        <v>0</v>
      </c>
      <c r="Q883" s="23" t="s">
        <v>33</v>
      </c>
      <c r="R883" s="24">
        <f t="shared" si="114"/>
        <v>0</v>
      </c>
      <c r="S883" s="24">
        <f t="shared" si="110"/>
        <v>0</v>
      </c>
    </row>
    <row r="884" spans="1:19" s="19" customFormat="1">
      <c r="A884" s="18" t="s">
        <v>610</v>
      </c>
      <c r="B884" s="19" t="s">
        <v>18</v>
      </c>
      <c r="C884" s="20"/>
      <c r="D884" s="21" t="s">
        <v>33</v>
      </c>
      <c r="E884" s="26"/>
      <c r="F884" s="22">
        <v>1</v>
      </c>
      <c r="G884" s="23" t="s">
        <v>20</v>
      </c>
      <c r="H884" s="22">
        <v>50</v>
      </c>
      <c r="I884" s="23" t="s">
        <v>33</v>
      </c>
      <c r="J884" s="24">
        <v>32000</v>
      </c>
      <c r="K884" s="21" t="s">
        <v>33</v>
      </c>
      <c r="L884" s="25">
        <v>0.125</v>
      </c>
      <c r="M884" s="25">
        <v>0.05</v>
      </c>
      <c r="N884" s="22"/>
      <c r="O884" s="23" t="s">
        <v>33</v>
      </c>
      <c r="P884" s="20">
        <f t="shared" si="113"/>
        <v>0</v>
      </c>
      <c r="Q884" s="23" t="s">
        <v>33</v>
      </c>
      <c r="R884" s="24">
        <f t="shared" si="114"/>
        <v>0</v>
      </c>
      <c r="S884" s="24">
        <f t="shared" si="110"/>
        <v>0</v>
      </c>
    </row>
    <row r="885" spans="1:19" s="19" customFormat="1">
      <c r="A885" s="59" t="s">
        <v>611</v>
      </c>
      <c r="B885" s="19" t="s">
        <v>18</v>
      </c>
      <c r="C885" s="20"/>
      <c r="D885" s="21" t="s">
        <v>33</v>
      </c>
      <c r="E885" s="26"/>
      <c r="F885" s="22">
        <v>1</v>
      </c>
      <c r="G885" s="23" t="s">
        <v>20</v>
      </c>
      <c r="H885" s="22">
        <v>50</v>
      </c>
      <c r="I885" s="23" t="s">
        <v>33</v>
      </c>
      <c r="J885" s="24">
        <v>32000</v>
      </c>
      <c r="K885" s="21" t="s">
        <v>33</v>
      </c>
      <c r="L885" s="25">
        <v>0.125</v>
      </c>
      <c r="M885" s="25">
        <v>0.05</v>
      </c>
      <c r="N885" s="22"/>
      <c r="O885" s="23" t="s">
        <v>33</v>
      </c>
      <c r="P885" s="20">
        <f t="shared" si="113"/>
        <v>0</v>
      </c>
      <c r="Q885" s="23" t="s">
        <v>33</v>
      </c>
      <c r="R885" s="24">
        <f t="shared" si="114"/>
        <v>0</v>
      </c>
      <c r="S885" s="8">
        <f t="shared" si="110"/>
        <v>0</v>
      </c>
    </row>
    <row r="886" spans="1:19" s="19" customFormat="1">
      <c r="A886" s="59" t="s">
        <v>615</v>
      </c>
      <c r="B886" s="19" t="s">
        <v>18</v>
      </c>
      <c r="C886" s="20"/>
      <c r="D886" s="21" t="s">
        <v>33</v>
      </c>
      <c r="E886" s="26"/>
      <c r="F886" s="22">
        <v>1</v>
      </c>
      <c r="G886" s="23" t="s">
        <v>20</v>
      </c>
      <c r="H886" s="22">
        <v>50</v>
      </c>
      <c r="I886" s="23" t="s">
        <v>33</v>
      </c>
      <c r="J886" s="24">
        <v>28300</v>
      </c>
      <c r="K886" s="21" t="s">
        <v>33</v>
      </c>
      <c r="L886" s="25">
        <v>0.125</v>
      </c>
      <c r="M886" s="25">
        <v>0.05</v>
      </c>
      <c r="N886" s="22"/>
      <c r="O886" s="23" t="s">
        <v>33</v>
      </c>
      <c r="P886" s="20">
        <f t="shared" si="113"/>
        <v>0</v>
      </c>
      <c r="Q886" s="23" t="s">
        <v>33</v>
      </c>
      <c r="R886" s="24">
        <f t="shared" si="114"/>
        <v>0</v>
      </c>
      <c r="S886" s="24">
        <f t="shared" si="110"/>
        <v>0</v>
      </c>
    </row>
    <row r="887" spans="1:19" s="19" customFormat="1">
      <c r="A887" s="59" t="s">
        <v>616</v>
      </c>
      <c r="B887" s="19" t="s">
        <v>18</v>
      </c>
      <c r="C887" s="20"/>
      <c r="D887" s="21" t="s">
        <v>33</v>
      </c>
      <c r="E887" s="26"/>
      <c r="F887" s="22">
        <v>1</v>
      </c>
      <c r="G887" s="23" t="s">
        <v>20</v>
      </c>
      <c r="H887" s="22">
        <v>50</v>
      </c>
      <c r="I887" s="23" t="s">
        <v>33</v>
      </c>
      <c r="J887" s="24">
        <v>28300</v>
      </c>
      <c r="K887" s="21" t="s">
        <v>33</v>
      </c>
      <c r="L887" s="25">
        <v>0.125</v>
      </c>
      <c r="M887" s="25">
        <v>0.05</v>
      </c>
      <c r="N887" s="22"/>
      <c r="O887" s="23" t="s">
        <v>33</v>
      </c>
      <c r="P887" s="20">
        <f t="shared" si="113"/>
        <v>0</v>
      </c>
      <c r="Q887" s="23" t="s">
        <v>33</v>
      </c>
      <c r="R887" s="24">
        <f t="shared" si="114"/>
        <v>0</v>
      </c>
      <c r="S887" s="24">
        <f t="shared" si="110"/>
        <v>0</v>
      </c>
    </row>
    <row r="888" spans="1:19">
      <c r="A888" s="59" t="s">
        <v>617</v>
      </c>
      <c r="B888" s="2" t="s">
        <v>18</v>
      </c>
      <c r="D888" s="4" t="s">
        <v>33</v>
      </c>
      <c r="F888" s="6">
        <v>1</v>
      </c>
      <c r="G888" s="7" t="s">
        <v>20</v>
      </c>
      <c r="H888" s="6">
        <v>50</v>
      </c>
      <c r="I888" s="7" t="s">
        <v>33</v>
      </c>
      <c r="J888" s="8">
        <v>26500</v>
      </c>
      <c r="K888" s="4" t="s">
        <v>33</v>
      </c>
      <c r="L888" s="9">
        <v>0.125</v>
      </c>
      <c r="M888" s="9">
        <v>0.05</v>
      </c>
      <c r="O888" s="7" t="s">
        <v>33</v>
      </c>
      <c r="P888" s="3">
        <f t="shared" si="113"/>
        <v>0</v>
      </c>
      <c r="Q888" s="7" t="s">
        <v>33</v>
      </c>
      <c r="R888" s="8">
        <f t="shared" si="114"/>
        <v>0</v>
      </c>
      <c r="S888" s="8">
        <f t="shared" si="110"/>
        <v>0</v>
      </c>
    </row>
    <row r="889" spans="1:19">
      <c r="A889" s="59"/>
    </row>
    <row r="890" spans="1:19" s="19" customFormat="1">
      <c r="A890" s="66" t="s">
        <v>618</v>
      </c>
      <c r="B890" s="19" t="s">
        <v>25</v>
      </c>
      <c r="C890" s="20"/>
      <c r="D890" s="21" t="s">
        <v>33</v>
      </c>
      <c r="E890" s="26"/>
      <c r="F890" s="22">
        <v>1</v>
      </c>
      <c r="G890" s="23" t="s">
        <v>20</v>
      </c>
      <c r="H890" s="22">
        <v>50</v>
      </c>
      <c r="I890" s="23" t="s">
        <v>33</v>
      </c>
      <c r="J890" s="24">
        <f>1500000/50</f>
        <v>30000</v>
      </c>
      <c r="K890" s="21" t="s">
        <v>33</v>
      </c>
      <c r="L890" s="25"/>
      <c r="M890" s="25">
        <v>0.17</v>
      </c>
      <c r="N890" s="22"/>
      <c r="O890" s="23" t="s">
        <v>33</v>
      </c>
      <c r="P890" s="20">
        <f t="shared" ref="P890:P895" si="115">(C890+(E890*F890*H890))-N890</f>
        <v>0</v>
      </c>
      <c r="Q890" s="23" t="s">
        <v>33</v>
      </c>
      <c r="R890" s="24">
        <f t="shared" ref="R890:R895" si="116">P890*(J890-(J890*L890)-((J890-(J890*L890))*M890))</f>
        <v>0</v>
      </c>
      <c r="S890" s="24">
        <f t="shared" si="110"/>
        <v>0</v>
      </c>
    </row>
    <row r="891" spans="1:19" s="19" customFormat="1">
      <c r="A891" s="66" t="s">
        <v>619</v>
      </c>
      <c r="B891" s="19" t="s">
        <v>25</v>
      </c>
      <c r="C891" s="20"/>
      <c r="D891" s="21" t="s">
        <v>33</v>
      </c>
      <c r="E891" s="26"/>
      <c r="F891" s="22">
        <v>1</v>
      </c>
      <c r="G891" s="23" t="s">
        <v>20</v>
      </c>
      <c r="H891" s="22">
        <v>50</v>
      </c>
      <c r="I891" s="23" t="s">
        <v>33</v>
      </c>
      <c r="J891" s="24">
        <f>1500000/50</f>
        <v>30000</v>
      </c>
      <c r="K891" s="21" t="s">
        <v>33</v>
      </c>
      <c r="L891" s="25"/>
      <c r="M891" s="25">
        <v>0.17</v>
      </c>
      <c r="N891" s="22"/>
      <c r="O891" s="23" t="s">
        <v>33</v>
      </c>
      <c r="P891" s="20">
        <f t="shared" si="115"/>
        <v>0</v>
      </c>
      <c r="Q891" s="23" t="s">
        <v>33</v>
      </c>
      <c r="R891" s="24">
        <f t="shared" si="116"/>
        <v>0</v>
      </c>
      <c r="S891" s="24">
        <f t="shared" si="110"/>
        <v>0</v>
      </c>
    </row>
    <row r="892" spans="1:19">
      <c r="A892" s="59" t="s">
        <v>758</v>
      </c>
      <c r="B892" s="2" t="s">
        <v>25</v>
      </c>
      <c r="C892" s="20"/>
      <c r="D892" s="4" t="s">
        <v>33</v>
      </c>
      <c r="F892" s="6">
        <v>1</v>
      </c>
      <c r="G892" s="7" t="s">
        <v>20</v>
      </c>
      <c r="H892" s="6">
        <v>50</v>
      </c>
      <c r="I892" s="7" t="s">
        <v>33</v>
      </c>
      <c r="J892" s="8">
        <v>32400</v>
      </c>
      <c r="K892" s="4" t="s">
        <v>33</v>
      </c>
      <c r="M892" s="9">
        <v>0.17</v>
      </c>
      <c r="O892" s="7" t="s">
        <v>33</v>
      </c>
      <c r="P892" s="3">
        <f t="shared" si="115"/>
        <v>0</v>
      </c>
      <c r="Q892" s="7" t="s">
        <v>33</v>
      </c>
      <c r="R892" s="8">
        <f t="shared" si="116"/>
        <v>0</v>
      </c>
      <c r="S892" s="8">
        <f t="shared" si="110"/>
        <v>0</v>
      </c>
    </row>
    <row r="893" spans="1:19">
      <c r="A893" s="59" t="s">
        <v>620</v>
      </c>
      <c r="B893" s="2" t="s">
        <v>25</v>
      </c>
      <c r="C893" s="20"/>
      <c r="D893" s="4" t="s">
        <v>33</v>
      </c>
      <c r="F893" s="6">
        <v>1</v>
      </c>
      <c r="G893" s="7" t="s">
        <v>20</v>
      </c>
      <c r="H893" s="6">
        <v>50</v>
      </c>
      <c r="I893" s="7" t="s">
        <v>33</v>
      </c>
      <c r="J893" s="8">
        <v>28500</v>
      </c>
      <c r="K893" s="4" t="s">
        <v>33</v>
      </c>
      <c r="M893" s="9">
        <v>0.17</v>
      </c>
      <c r="O893" s="7" t="s">
        <v>33</v>
      </c>
      <c r="P893" s="3">
        <f t="shared" si="115"/>
        <v>0</v>
      </c>
      <c r="Q893" s="7" t="s">
        <v>33</v>
      </c>
      <c r="R893" s="8">
        <f t="shared" si="116"/>
        <v>0</v>
      </c>
      <c r="S893" s="8">
        <f t="shared" si="110"/>
        <v>0</v>
      </c>
    </row>
    <row r="894" spans="1:19" s="19" customFormat="1">
      <c r="A894" s="66" t="s">
        <v>621</v>
      </c>
      <c r="B894" s="19" t="s">
        <v>25</v>
      </c>
      <c r="C894" s="20"/>
      <c r="D894" s="21" t="s">
        <v>33</v>
      </c>
      <c r="E894" s="26"/>
      <c r="F894" s="22">
        <v>1</v>
      </c>
      <c r="G894" s="23" t="s">
        <v>20</v>
      </c>
      <c r="H894" s="22">
        <v>50</v>
      </c>
      <c r="I894" s="23" t="s">
        <v>33</v>
      </c>
      <c r="J894" s="24">
        <f>1375000/50</f>
        <v>27500</v>
      </c>
      <c r="K894" s="21" t="s">
        <v>33</v>
      </c>
      <c r="L894" s="25"/>
      <c r="M894" s="25">
        <v>0.17</v>
      </c>
      <c r="N894" s="22"/>
      <c r="O894" s="23" t="s">
        <v>33</v>
      </c>
      <c r="P894" s="20">
        <f t="shared" si="115"/>
        <v>0</v>
      </c>
      <c r="Q894" s="23" t="s">
        <v>33</v>
      </c>
      <c r="R894" s="24">
        <f t="shared" si="116"/>
        <v>0</v>
      </c>
      <c r="S894" s="24">
        <f t="shared" si="110"/>
        <v>0</v>
      </c>
    </row>
    <row r="895" spans="1:19" s="19" customFormat="1">
      <c r="A895" s="66" t="s">
        <v>622</v>
      </c>
      <c r="B895" s="19" t="s">
        <v>25</v>
      </c>
      <c r="C895" s="20"/>
      <c r="D895" s="21" t="s">
        <v>33</v>
      </c>
      <c r="E895" s="26"/>
      <c r="F895" s="22">
        <v>1</v>
      </c>
      <c r="G895" s="23" t="s">
        <v>20</v>
      </c>
      <c r="H895" s="22">
        <v>50</v>
      </c>
      <c r="I895" s="23" t="s">
        <v>33</v>
      </c>
      <c r="J895" s="24">
        <f>1375000/50</f>
        <v>27500</v>
      </c>
      <c r="K895" s="21" t="s">
        <v>33</v>
      </c>
      <c r="L895" s="25"/>
      <c r="M895" s="25">
        <v>0.17</v>
      </c>
      <c r="N895" s="22"/>
      <c r="O895" s="23" t="s">
        <v>33</v>
      </c>
      <c r="P895" s="20">
        <f t="shared" si="115"/>
        <v>0</v>
      </c>
      <c r="Q895" s="23" t="s">
        <v>33</v>
      </c>
      <c r="R895" s="24">
        <f t="shared" si="116"/>
        <v>0</v>
      </c>
      <c r="S895" s="24">
        <f t="shared" si="110"/>
        <v>0</v>
      </c>
    </row>
    <row r="897" spans="1:19" ht="15.75">
      <c r="A897" s="14" t="s">
        <v>788</v>
      </c>
    </row>
    <row r="898" spans="1:19">
      <c r="A898" s="17" t="s">
        <v>790</v>
      </c>
      <c r="B898" s="2" t="s">
        <v>178</v>
      </c>
      <c r="D898" s="4" t="s">
        <v>19</v>
      </c>
      <c r="F898" s="6">
        <v>50</v>
      </c>
      <c r="G898" s="7" t="s">
        <v>101</v>
      </c>
      <c r="H898" s="6">
        <v>100</v>
      </c>
      <c r="I898" s="7" t="s">
        <v>19</v>
      </c>
      <c r="J898" s="8">
        <f>39500/100</f>
        <v>395</v>
      </c>
      <c r="K898" s="4" t="s">
        <v>19</v>
      </c>
      <c r="L898" s="9">
        <v>0.05</v>
      </c>
      <c r="O898" s="7" t="s">
        <v>19</v>
      </c>
      <c r="P898" s="3">
        <f>(C898+(E898*F898*H898))-N898</f>
        <v>0</v>
      </c>
      <c r="Q898" s="7" t="s">
        <v>19</v>
      </c>
      <c r="R898" s="8">
        <f>P898*(J898-(J898*L898)-((J898-(J898*L898))*M898))</f>
        <v>0</v>
      </c>
      <c r="S898" s="8">
        <f t="shared" ref="S898" si="117">R898/1.11</f>
        <v>0</v>
      </c>
    </row>
    <row r="900" spans="1:19" ht="15.75">
      <c r="A900" s="14" t="s">
        <v>623</v>
      </c>
    </row>
    <row r="901" spans="1:19">
      <c r="A901" s="15" t="s">
        <v>624</v>
      </c>
    </row>
    <row r="902" spans="1:19" s="19" customFormat="1">
      <c r="A902" s="66" t="s">
        <v>625</v>
      </c>
      <c r="B902" s="19" t="s">
        <v>188</v>
      </c>
      <c r="C902" s="20"/>
      <c r="D902" s="21" t="s">
        <v>284</v>
      </c>
      <c r="E902" s="26"/>
      <c r="F902" s="22">
        <v>1</v>
      </c>
      <c r="G902" s="23" t="s">
        <v>20</v>
      </c>
      <c r="H902" s="22">
        <v>720</v>
      </c>
      <c r="I902" s="23" t="s">
        <v>284</v>
      </c>
      <c r="J902" s="24">
        <v>3100</v>
      </c>
      <c r="K902" s="21" t="s">
        <v>284</v>
      </c>
      <c r="L902" s="25"/>
      <c r="M902" s="25">
        <v>0.15</v>
      </c>
      <c r="N902" s="22"/>
      <c r="O902" s="23" t="s">
        <v>284</v>
      </c>
      <c r="P902" s="20">
        <f>(C902+(E902*F902*H902))-N902</f>
        <v>0</v>
      </c>
      <c r="Q902" s="23" t="s">
        <v>284</v>
      </c>
      <c r="R902" s="24">
        <f>P902*(J902-(J902*L902)-((J902-(J902*L902))*M902))</f>
        <v>0</v>
      </c>
      <c r="S902" s="8">
        <f t="shared" si="110"/>
        <v>0</v>
      </c>
    </row>
    <row r="903" spans="1:19" s="19" customFormat="1">
      <c r="A903" s="66" t="s">
        <v>626</v>
      </c>
      <c r="B903" s="19" t="s">
        <v>188</v>
      </c>
      <c r="C903" s="20"/>
      <c r="D903" s="21" t="s">
        <v>284</v>
      </c>
      <c r="E903" s="26"/>
      <c r="F903" s="22">
        <v>1</v>
      </c>
      <c r="G903" s="23" t="s">
        <v>20</v>
      </c>
      <c r="H903" s="22">
        <v>480</v>
      </c>
      <c r="I903" s="23" t="s">
        <v>284</v>
      </c>
      <c r="J903" s="24">
        <v>4750</v>
      </c>
      <c r="K903" s="21" t="s">
        <v>284</v>
      </c>
      <c r="L903" s="25"/>
      <c r="M903" s="25">
        <v>0.15</v>
      </c>
      <c r="N903" s="22"/>
      <c r="O903" s="23" t="s">
        <v>284</v>
      </c>
      <c r="P903" s="20">
        <f>(C903+(E903*F903*H903))-N903</f>
        <v>0</v>
      </c>
      <c r="Q903" s="23" t="s">
        <v>284</v>
      </c>
      <c r="R903" s="24">
        <f>P903*(J903-(J903*L903)-((J903-(J903*L903))*M903))</f>
        <v>0</v>
      </c>
      <c r="S903" s="8">
        <f t="shared" si="110"/>
        <v>0</v>
      </c>
    </row>
    <row r="904" spans="1:19">
      <c r="A904" s="66" t="s">
        <v>627</v>
      </c>
      <c r="B904" s="19" t="s">
        <v>188</v>
      </c>
      <c r="C904" s="20"/>
      <c r="D904" s="4" t="s">
        <v>284</v>
      </c>
      <c r="F904" s="6">
        <v>1</v>
      </c>
      <c r="G904" s="7" t="s">
        <v>20</v>
      </c>
      <c r="H904" s="6">
        <v>360</v>
      </c>
      <c r="I904" s="7" t="s">
        <v>284</v>
      </c>
      <c r="J904" s="8">
        <v>6000</v>
      </c>
      <c r="K904" s="4" t="s">
        <v>284</v>
      </c>
      <c r="M904" s="9">
        <v>0.15</v>
      </c>
      <c r="N904" s="22"/>
      <c r="O904" s="7" t="s">
        <v>284</v>
      </c>
      <c r="P904" s="3">
        <f>(C904+(E904*F904*H904))-N904</f>
        <v>0</v>
      </c>
      <c r="Q904" s="7" t="s">
        <v>284</v>
      </c>
      <c r="R904" s="8">
        <f>P904*(J904-(J904*L904)-((J904-(J904*L904))*M904))</f>
        <v>0</v>
      </c>
      <c r="S904" s="8">
        <f t="shared" si="110"/>
        <v>0</v>
      </c>
    </row>
    <row r="905" spans="1:19">
      <c r="A905" s="59"/>
      <c r="B905" s="19"/>
      <c r="C905" s="20"/>
      <c r="N905" s="22"/>
    </row>
    <row r="906" spans="1:19">
      <c r="A906" s="59" t="s">
        <v>628</v>
      </c>
      <c r="B906" s="2" t="s">
        <v>18</v>
      </c>
      <c r="C906" s="20"/>
      <c r="D906" s="4" t="s">
        <v>284</v>
      </c>
      <c r="F906" s="6">
        <v>10</v>
      </c>
      <c r="G906" s="7" t="s">
        <v>101</v>
      </c>
      <c r="H906" s="6">
        <v>24</v>
      </c>
      <c r="I906" s="7" t="s">
        <v>284</v>
      </c>
      <c r="J906" s="8">
        <v>2300</v>
      </c>
      <c r="K906" s="4" t="s">
        <v>284</v>
      </c>
      <c r="L906" s="9">
        <v>0.125</v>
      </c>
      <c r="M906" s="9">
        <v>0.05</v>
      </c>
      <c r="O906" s="7" t="s">
        <v>284</v>
      </c>
      <c r="P906" s="3">
        <f>(C906+(E906*F906*H906))-N906</f>
        <v>0</v>
      </c>
      <c r="Q906" s="7" t="s">
        <v>284</v>
      </c>
      <c r="R906" s="8">
        <f>P906*(J906-(J906*L906)-((J906-(J906*L906))*M906))</f>
        <v>0</v>
      </c>
      <c r="S906" s="8">
        <f t="shared" si="110"/>
        <v>0</v>
      </c>
    </row>
    <row r="907" spans="1:19">
      <c r="A907" s="59" t="s">
        <v>629</v>
      </c>
      <c r="B907" s="2" t="s">
        <v>18</v>
      </c>
      <c r="C907" s="20"/>
      <c r="D907" s="4" t="s">
        <v>284</v>
      </c>
      <c r="F907" s="6">
        <v>10</v>
      </c>
      <c r="G907" s="7" t="s">
        <v>101</v>
      </c>
      <c r="H907" s="6">
        <v>12</v>
      </c>
      <c r="I907" s="7" t="s">
        <v>284</v>
      </c>
      <c r="J907" s="8">
        <v>4600</v>
      </c>
      <c r="K907" s="4" t="s">
        <v>284</v>
      </c>
      <c r="L907" s="9">
        <v>0.125</v>
      </c>
      <c r="M907" s="9">
        <v>0.05</v>
      </c>
      <c r="O907" s="7" t="s">
        <v>284</v>
      </c>
      <c r="P907" s="3">
        <f>(C907+(E907*F907*H907))-N907</f>
        <v>0</v>
      </c>
      <c r="Q907" s="7" t="s">
        <v>284</v>
      </c>
      <c r="R907" s="8">
        <f>P907*(J907-(J907*L907)-((J907-(J907*L907))*M907))</f>
        <v>0</v>
      </c>
      <c r="S907" s="8">
        <f t="shared" si="110"/>
        <v>0</v>
      </c>
    </row>
    <row r="908" spans="1:19">
      <c r="A908" s="59"/>
      <c r="C908" s="20"/>
    </row>
    <row r="909" spans="1:19">
      <c r="A909" s="68" t="s">
        <v>630</v>
      </c>
      <c r="B909" s="2" t="s">
        <v>25</v>
      </c>
      <c r="C909" s="20"/>
      <c r="D909" s="4" t="s">
        <v>284</v>
      </c>
      <c r="F909" s="6">
        <v>1</v>
      </c>
      <c r="G909" s="7" t="s">
        <v>20</v>
      </c>
      <c r="H909" s="6">
        <v>480</v>
      </c>
      <c r="I909" s="7" t="s">
        <v>284</v>
      </c>
      <c r="J909" s="8">
        <f>588000/480</f>
        <v>1225</v>
      </c>
      <c r="K909" s="4" t="s">
        <v>284</v>
      </c>
      <c r="M909" s="9">
        <v>0.17</v>
      </c>
      <c r="O909" s="7" t="s">
        <v>284</v>
      </c>
      <c r="P909" s="3">
        <f>(C909+(E909*F909*H909))-N909</f>
        <v>0</v>
      </c>
      <c r="Q909" s="7" t="s">
        <v>284</v>
      </c>
      <c r="R909" s="8">
        <f>P909*(J909-(J909*L909)-((J909-(J909*L909))*M909))</f>
        <v>0</v>
      </c>
      <c r="S909" s="8">
        <f t="shared" si="110"/>
        <v>0</v>
      </c>
    </row>
    <row r="910" spans="1:19">
      <c r="A910" s="68" t="s">
        <v>631</v>
      </c>
      <c r="B910" s="2" t="s">
        <v>25</v>
      </c>
      <c r="C910" s="20"/>
      <c r="D910" s="4" t="s">
        <v>284</v>
      </c>
      <c r="F910" s="6">
        <v>1</v>
      </c>
      <c r="G910" s="7" t="s">
        <v>20</v>
      </c>
      <c r="H910" s="6">
        <v>240</v>
      </c>
      <c r="I910" s="7" t="s">
        <v>284</v>
      </c>
      <c r="J910" s="8">
        <f>588000/240</f>
        <v>2450</v>
      </c>
      <c r="K910" s="4" t="s">
        <v>284</v>
      </c>
      <c r="M910" s="9">
        <v>0.17</v>
      </c>
      <c r="O910" s="7" t="s">
        <v>284</v>
      </c>
      <c r="P910" s="3">
        <f>(C910+(E910*F910*H910))-N910</f>
        <v>0</v>
      </c>
      <c r="Q910" s="7" t="s">
        <v>284</v>
      </c>
      <c r="R910" s="8">
        <f>P910*(J910-(J910*L910)-((J910-(J910*L910))*M910))</f>
        <v>0</v>
      </c>
      <c r="S910" s="8">
        <f t="shared" si="110"/>
        <v>0</v>
      </c>
    </row>
    <row r="911" spans="1:19">
      <c r="A911" s="68" t="s">
        <v>632</v>
      </c>
      <c r="B911" s="2" t="s">
        <v>25</v>
      </c>
      <c r="C911" s="20"/>
      <c r="D911" s="4" t="s">
        <v>284</v>
      </c>
      <c r="F911" s="6">
        <v>1</v>
      </c>
      <c r="G911" s="7" t="s">
        <v>20</v>
      </c>
      <c r="H911" s="6">
        <v>120</v>
      </c>
      <c r="I911" s="7" t="s">
        <v>284</v>
      </c>
      <c r="J911" s="8">
        <v>4800</v>
      </c>
      <c r="K911" s="4" t="s">
        <v>284</v>
      </c>
      <c r="M911" s="9">
        <v>0.17</v>
      </c>
      <c r="O911" s="7" t="s">
        <v>284</v>
      </c>
      <c r="P911" s="3">
        <f>(C911+(E911*F911*H911))-N911</f>
        <v>0</v>
      </c>
      <c r="Q911" s="7" t="s">
        <v>284</v>
      </c>
      <c r="R911" s="8">
        <f>P911*(J911-(J911*L911)-((J911-(J911*L911))*M911))</f>
        <v>0</v>
      </c>
      <c r="S911" s="8">
        <f t="shared" si="110"/>
        <v>0</v>
      </c>
    </row>
    <row r="912" spans="1:19">
      <c r="A912" s="68" t="s">
        <v>633</v>
      </c>
      <c r="B912" s="2" t="s">
        <v>25</v>
      </c>
      <c r="C912" s="20"/>
      <c r="D912" s="4" t="s">
        <v>284</v>
      </c>
      <c r="F912" s="6">
        <v>1</v>
      </c>
      <c r="G912" s="7" t="s">
        <v>20</v>
      </c>
      <c r="H912" s="6">
        <v>120</v>
      </c>
      <c r="I912" s="7" t="s">
        <v>284</v>
      </c>
      <c r="J912" s="8">
        <v>9500</v>
      </c>
      <c r="K912" s="4" t="s">
        <v>284</v>
      </c>
      <c r="M912" s="9">
        <v>0.17</v>
      </c>
      <c r="O912" s="7" t="s">
        <v>284</v>
      </c>
      <c r="P912" s="3">
        <f>(C912+(E912*F912*H912))-N912</f>
        <v>0</v>
      </c>
      <c r="Q912" s="7" t="s">
        <v>284</v>
      </c>
      <c r="R912" s="8">
        <f>P912*(J912-(J912*L912)-((J912-(J912*L912))*M912))</f>
        <v>0</v>
      </c>
      <c r="S912" s="8">
        <f t="shared" si="110"/>
        <v>0</v>
      </c>
    </row>
    <row r="914" spans="1:19">
      <c r="A914" s="15" t="s">
        <v>820</v>
      </c>
      <c r="S914" s="8">
        <f t="shared" ref="S914:S915" si="118">R914/1.11</f>
        <v>0</v>
      </c>
    </row>
    <row r="915" spans="1:19" s="19" customFormat="1">
      <c r="A915" s="17" t="s">
        <v>821</v>
      </c>
      <c r="B915" s="19" t="s">
        <v>18</v>
      </c>
      <c r="C915" s="20"/>
      <c r="D915" s="21" t="s">
        <v>284</v>
      </c>
      <c r="E915" s="26"/>
      <c r="F915" s="22">
        <v>1</v>
      </c>
      <c r="G915" s="23" t="s">
        <v>20</v>
      </c>
      <c r="H915" s="22">
        <v>120</v>
      </c>
      <c r="I915" s="23" t="s">
        <v>284</v>
      </c>
      <c r="J915" s="24">
        <v>5500</v>
      </c>
      <c r="K915" s="21" t="s">
        <v>284</v>
      </c>
      <c r="L915" s="25">
        <v>0.125</v>
      </c>
      <c r="M915" s="25">
        <v>0.05</v>
      </c>
      <c r="N915" s="22"/>
      <c r="O915" s="23" t="s">
        <v>284</v>
      </c>
      <c r="P915" s="20">
        <f t="shared" ref="P915" si="119">(C915+(E915*F915*H915))-N915</f>
        <v>0</v>
      </c>
      <c r="Q915" s="23" t="s">
        <v>284</v>
      </c>
      <c r="R915" s="24">
        <f t="shared" ref="R915" si="120">P915*(J915-(J915*L915)-((J915-(J915*L915))*M915))</f>
        <v>0</v>
      </c>
      <c r="S915" s="24">
        <f t="shared" si="118"/>
        <v>0</v>
      </c>
    </row>
    <row r="916" spans="1:19">
      <c r="A916" s="58"/>
    </row>
    <row r="917" spans="1:19">
      <c r="A917" s="15" t="s">
        <v>634</v>
      </c>
    </row>
    <row r="918" spans="1:19" s="19" customFormat="1">
      <c r="A918" s="18" t="s">
        <v>714</v>
      </c>
      <c r="B918" s="19" t="s">
        <v>25</v>
      </c>
      <c r="C918" s="20"/>
      <c r="D918" s="21" t="s">
        <v>284</v>
      </c>
      <c r="E918" s="26"/>
      <c r="F918" s="22">
        <v>1</v>
      </c>
      <c r="G918" s="23" t="s">
        <v>20</v>
      </c>
      <c r="H918" s="22">
        <v>72</v>
      </c>
      <c r="I918" s="23" t="s">
        <v>284</v>
      </c>
      <c r="J918" s="24">
        <f>900000/72</f>
        <v>12500</v>
      </c>
      <c r="K918" s="21" t="s">
        <v>284</v>
      </c>
      <c r="L918" s="25"/>
      <c r="M918" s="25">
        <v>0.17</v>
      </c>
      <c r="N918" s="22"/>
      <c r="O918" s="23" t="s">
        <v>284</v>
      </c>
      <c r="P918" s="20">
        <f>(C918+(E918*F918*H918))-N918</f>
        <v>0</v>
      </c>
      <c r="Q918" s="23" t="s">
        <v>284</v>
      </c>
      <c r="R918" s="24">
        <f>P918*(J918-(J918*L918)-((J918-(J918*L918))*M918))</f>
        <v>0</v>
      </c>
      <c r="S918" s="24">
        <f t="shared" si="110"/>
        <v>0</v>
      </c>
    </row>
    <row r="919" spans="1:19">
      <c r="A919" s="17" t="s">
        <v>635</v>
      </c>
      <c r="B919" s="2" t="s">
        <v>25</v>
      </c>
      <c r="D919" s="4" t="s">
        <v>284</v>
      </c>
      <c r="F919" s="6">
        <v>1</v>
      </c>
      <c r="G919" s="7" t="s">
        <v>20</v>
      </c>
      <c r="H919" s="6">
        <v>72</v>
      </c>
      <c r="I919" s="7" t="s">
        <v>284</v>
      </c>
      <c r="J919" s="24">
        <f>900000/72</f>
        <v>12500</v>
      </c>
      <c r="K919" s="4" t="s">
        <v>284</v>
      </c>
      <c r="M919" s="9">
        <v>0.17</v>
      </c>
      <c r="O919" s="7" t="s">
        <v>284</v>
      </c>
      <c r="P919" s="3">
        <f>(C919+(E919*F919*H919))-N919</f>
        <v>0</v>
      </c>
      <c r="Q919" s="7" t="s">
        <v>284</v>
      </c>
      <c r="R919" s="8">
        <f>P919*(J919-(J919*L919)-((J919-(J919*L919))*M919))</f>
        <v>0</v>
      </c>
      <c r="S919" s="8">
        <f t="shared" si="110"/>
        <v>0</v>
      </c>
    </row>
    <row r="920" spans="1:19">
      <c r="A920" s="17" t="s">
        <v>842</v>
      </c>
      <c r="B920" s="2" t="s">
        <v>25</v>
      </c>
      <c r="D920" s="4" t="s">
        <v>284</v>
      </c>
      <c r="F920" s="6">
        <v>1</v>
      </c>
      <c r="G920" s="7" t="s">
        <v>20</v>
      </c>
      <c r="H920" s="6">
        <v>72</v>
      </c>
      <c r="I920" s="7" t="s">
        <v>284</v>
      </c>
      <c r="J920" s="8">
        <f>705600/72</f>
        <v>9800</v>
      </c>
      <c r="K920" s="4" t="s">
        <v>284</v>
      </c>
      <c r="M920" s="9">
        <v>0.17</v>
      </c>
      <c r="O920" s="7" t="s">
        <v>284</v>
      </c>
      <c r="P920" s="3">
        <f>(C920+(E920*F920*H920))-N920</f>
        <v>0</v>
      </c>
      <c r="Q920" s="7" t="s">
        <v>284</v>
      </c>
      <c r="R920" s="8">
        <f>P920*(J920-(J920*L920)-((J920-(J920*L920))*M920))</f>
        <v>0</v>
      </c>
      <c r="S920" s="8">
        <f t="shared" si="110"/>
        <v>0</v>
      </c>
    </row>
    <row r="921" spans="1:19">
      <c r="A921" s="17" t="s">
        <v>843</v>
      </c>
      <c r="B921" s="2" t="s">
        <v>25</v>
      </c>
      <c r="D921" s="4" t="s">
        <v>284</v>
      </c>
      <c r="F921" s="6">
        <v>1</v>
      </c>
      <c r="G921" s="7" t="s">
        <v>20</v>
      </c>
      <c r="H921" s="6">
        <v>72</v>
      </c>
      <c r="I921" s="7" t="s">
        <v>284</v>
      </c>
      <c r="J921" s="8">
        <f>705600/72</f>
        <v>9800</v>
      </c>
      <c r="K921" s="4" t="s">
        <v>284</v>
      </c>
      <c r="M921" s="9">
        <v>0.17</v>
      </c>
      <c r="O921" s="7" t="s">
        <v>284</v>
      </c>
      <c r="P921" s="3">
        <f>(C921+(E921*F921*H921))-N921</f>
        <v>0</v>
      </c>
      <c r="Q921" s="7" t="s">
        <v>284</v>
      </c>
      <c r="R921" s="8">
        <f>P921*(J921-(J921*L921)-((J921-(J921*L921))*M921))</f>
        <v>0</v>
      </c>
      <c r="S921" s="8">
        <f t="shared" si="110"/>
        <v>0</v>
      </c>
    </row>
    <row r="923" spans="1:19">
      <c r="A923" s="15" t="s">
        <v>636</v>
      </c>
      <c r="S923" s="8">
        <f t="shared" si="110"/>
        <v>0</v>
      </c>
    </row>
    <row r="924" spans="1:19" s="19" customFormat="1">
      <c r="A924" s="17" t="s">
        <v>818</v>
      </c>
      <c r="B924" s="19" t="s">
        <v>18</v>
      </c>
      <c r="C924" s="20"/>
      <c r="D924" s="21" t="s">
        <v>284</v>
      </c>
      <c r="E924" s="26"/>
      <c r="F924" s="22">
        <v>1</v>
      </c>
      <c r="G924" s="23" t="s">
        <v>20</v>
      </c>
      <c r="H924" s="22">
        <v>120</v>
      </c>
      <c r="I924" s="23" t="s">
        <v>284</v>
      </c>
      <c r="J924" s="24">
        <v>13800</v>
      </c>
      <c r="K924" s="21" t="s">
        <v>284</v>
      </c>
      <c r="L924" s="25">
        <v>0.125</v>
      </c>
      <c r="M924" s="25">
        <v>0.05</v>
      </c>
      <c r="N924" s="22"/>
      <c r="O924" s="23" t="s">
        <v>284</v>
      </c>
      <c r="P924" s="20">
        <f t="shared" ref="P924" si="121">(C924+(E924*F924*H924))-N924</f>
        <v>0</v>
      </c>
      <c r="Q924" s="23" t="s">
        <v>284</v>
      </c>
      <c r="R924" s="24">
        <f t="shared" ref="R924" si="122">P924*(J924-(J924*L924)-((J924-(J924*L924))*M924))</f>
        <v>0</v>
      </c>
      <c r="S924" s="24">
        <f t="shared" si="110"/>
        <v>0</v>
      </c>
    </row>
    <row r="925" spans="1:19" s="19" customFormat="1">
      <c r="A925" s="18"/>
      <c r="C925" s="20"/>
      <c r="D925" s="21"/>
      <c r="E925" s="26"/>
      <c r="F925" s="22"/>
      <c r="G925" s="23"/>
      <c r="H925" s="22"/>
      <c r="I925" s="23"/>
      <c r="J925" s="24"/>
      <c r="K925" s="21"/>
      <c r="L925" s="25"/>
      <c r="M925" s="25"/>
      <c r="N925" s="22"/>
      <c r="O925" s="23"/>
      <c r="P925" s="20"/>
      <c r="Q925" s="23"/>
      <c r="R925" s="24"/>
      <c r="S925" s="24"/>
    </row>
    <row r="926" spans="1:19">
      <c r="A926" s="17" t="s">
        <v>844</v>
      </c>
      <c r="B926" s="2" t="s">
        <v>25</v>
      </c>
      <c r="D926" s="4" t="s">
        <v>284</v>
      </c>
      <c r="F926" s="6">
        <v>1</v>
      </c>
      <c r="G926" s="7" t="s">
        <v>20</v>
      </c>
      <c r="H926" s="6">
        <v>120</v>
      </c>
      <c r="I926" s="7" t="s">
        <v>284</v>
      </c>
      <c r="J926" s="8">
        <f>762000/120</f>
        <v>6350</v>
      </c>
      <c r="K926" s="4" t="s">
        <v>284</v>
      </c>
      <c r="M926" s="9">
        <v>0.17</v>
      </c>
      <c r="O926" s="7" t="s">
        <v>284</v>
      </c>
      <c r="P926" s="3">
        <f>(C926+(E926*F926*H926))-N926</f>
        <v>0</v>
      </c>
      <c r="Q926" s="7" t="s">
        <v>284</v>
      </c>
      <c r="R926" s="8">
        <f>P926*(J926-(J926*L926)-((J926-(J926*L926))*M926))</f>
        <v>0</v>
      </c>
      <c r="S926" s="8">
        <f t="shared" si="110"/>
        <v>0</v>
      </c>
    </row>
    <row r="927" spans="1:19">
      <c r="A927" s="17" t="s">
        <v>637</v>
      </c>
      <c r="B927" s="2" t="s">
        <v>25</v>
      </c>
      <c r="D927" s="4" t="s">
        <v>284</v>
      </c>
      <c r="F927" s="6">
        <v>1</v>
      </c>
      <c r="G927" s="7" t="s">
        <v>20</v>
      </c>
      <c r="H927" s="6">
        <v>80</v>
      </c>
      <c r="I927" s="7" t="s">
        <v>284</v>
      </c>
      <c r="J927" s="8">
        <f>732000/80</f>
        <v>9150</v>
      </c>
      <c r="K927" s="4" t="s">
        <v>284</v>
      </c>
      <c r="M927" s="9">
        <v>0.17</v>
      </c>
      <c r="O927" s="7" t="s">
        <v>284</v>
      </c>
      <c r="P927" s="3">
        <f>(C927+(E927*F927*H927))-N927</f>
        <v>0</v>
      </c>
      <c r="Q927" s="7" t="s">
        <v>284</v>
      </c>
      <c r="R927" s="8">
        <f>P927*(J927-(J927*L927)-((J927-(J927*L927))*M927))</f>
        <v>0</v>
      </c>
      <c r="S927" s="8">
        <f t="shared" si="110"/>
        <v>0</v>
      </c>
    </row>
    <row r="928" spans="1:19">
      <c r="A928" s="17" t="s">
        <v>845</v>
      </c>
      <c r="B928" s="2" t="s">
        <v>25</v>
      </c>
      <c r="D928" s="4" t="s">
        <v>284</v>
      </c>
      <c r="F928" s="6">
        <v>1</v>
      </c>
      <c r="G928" s="7" t="s">
        <v>20</v>
      </c>
      <c r="H928" s="6">
        <v>60</v>
      </c>
      <c r="I928" s="7" t="s">
        <v>284</v>
      </c>
      <c r="J928" s="8">
        <f>732000/60</f>
        <v>12200</v>
      </c>
      <c r="K928" s="4" t="s">
        <v>284</v>
      </c>
      <c r="M928" s="9">
        <v>0.17</v>
      </c>
      <c r="O928" s="7" t="s">
        <v>284</v>
      </c>
      <c r="P928" s="3">
        <f>(C928+(E928*F928*H928))-N928</f>
        <v>0</v>
      </c>
      <c r="Q928" s="7" t="s">
        <v>284</v>
      </c>
      <c r="R928" s="8">
        <f>P928*(J928-(J928*L928)-((J928-(J928*L928))*M928))</f>
        <v>0</v>
      </c>
      <c r="S928" s="8">
        <f t="shared" si="110"/>
        <v>0</v>
      </c>
    </row>
    <row r="929" spans="1:19">
      <c r="A929" s="17" t="s">
        <v>662</v>
      </c>
      <c r="B929" s="2" t="s">
        <v>25</v>
      </c>
      <c r="D929" s="4" t="s">
        <v>284</v>
      </c>
      <c r="F929" s="6">
        <v>1</v>
      </c>
      <c r="G929" s="7" t="s">
        <v>20</v>
      </c>
      <c r="H929" s="6">
        <v>80</v>
      </c>
      <c r="I929" s="7" t="s">
        <v>284</v>
      </c>
      <c r="J929" s="8">
        <f>848000/80</f>
        <v>10600</v>
      </c>
      <c r="K929" s="4" t="s">
        <v>284</v>
      </c>
      <c r="M929" s="9">
        <v>0.17</v>
      </c>
      <c r="O929" s="7" t="s">
        <v>284</v>
      </c>
      <c r="P929" s="3">
        <f>(C929+(E929*F929*H929))-N929</f>
        <v>0</v>
      </c>
      <c r="Q929" s="7" t="s">
        <v>284</v>
      </c>
      <c r="R929" s="8">
        <f>P929*(J929-(J929*L929)-((J929-(J929*L929))*M929))</f>
        <v>0</v>
      </c>
      <c r="S929" s="8">
        <f t="shared" si="110"/>
        <v>0</v>
      </c>
    </row>
    <row r="930" spans="1:19">
      <c r="A930" s="17" t="s">
        <v>638</v>
      </c>
      <c r="B930" s="2" t="s">
        <v>25</v>
      </c>
      <c r="D930" s="4" t="s">
        <v>284</v>
      </c>
      <c r="F930" s="6">
        <v>1</v>
      </c>
      <c r="G930" s="7" t="s">
        <v>20</v>
      </c>
      <c r="H930" s="6">
        <v>60</v>
      </c>
      <c r="I930" s="7" t="s">
        <v>284</v>
      </c>
      <c r="J930" s="8">
        <f>852000/60</f>
        <v>14200</v>
      </c>
      <c r="K930" s="4" t="s">
        <v>284</v>
      </c>
      <c r="M930" s="9">
        <v>0.17</v>
      </c>
      <c r="O930" s="7" t="s">
        <v>284</v>
      </c>
      <c r="P930" s="3">
        <f>(C930+(E930*F930*H930))-N930</f>
        <v>0</v>
      </c>
      <c r="Q930" s="7" t="s">
        <v>284</v>
      </c>
      <c r="R930" s="8">
        <f>P930*(J930-(J930*L930)-((J930-(J930*L930))*M930))</f>
        <v>0</v>
      </c>
      <c r="S930" s="8">
        <f t="shared" si="110"/>
        <v>0</v>
      </c>
    </row>
    <row r="932" spans="1:19" ht="15.75">
      <c r="A932" s="14" t="s">
        <v>639</v>
      </c>
    </row>
    <row r="933" spans="1:19">
      <c r="A933" s="17" t="s">
        <v>641</v>
      </c>
      <c r="B933" s="2" t="s">
        <v>18</v>
      </c>
      <c r="D933" s="4" t="s">
        <v>19</v>
      </c>
      <c r="F933" s="6">
        <v>1</v>
      </c>
      <c r="G933" s="7" t="s">
        <v>20</v>
      </c>
      <c r="H933" s="6">
        <v>24</v>
      </c>
      <c r="I933" s="7" t="s">
        <v>19</v>
      </c>
      <c r="J933" s="8">
        <v>21500</v>
      </c>
      <c r="K933" s="4" t="s">
        <v>19</v>
      </c>
      <c r="L933" s="9">
        <v>0.125</v>
      </c>
      <c r="M933" s="9">
        <v>0.05</v>
      </c>
      <c r="O933" s="7" t="s">
        <v>19</v>
      </c>
      <c r="P933" s="3">
        <f t="shared" ref="P933:P944" si="123">(C933+(E933*F933*H933))-N933</f>
        <v>0</v>
      </c>
      <c r="Q933" s="7" t="s">
        <v>19</v>
      </c>
      <c r="R933" s="8">
        <f t="shared" ref="R933:R944" si="124">P933*(J933-(J933*L933)-((J933-(J933*L933))*M933))</f>
        <v>0</v>
      </c>
      <c r="S933" s="8">
        <f t="shared" si="110"/>
        <v>0</v>
      </c>
    </row>
    <row r="934" spans="1:19">
      <c r="A934" s="17" t="s">
        <v>642</v>
      </c>
      <c r="B934" s="2" t="s">
        <v>18</v>
      </c>
      <c r="D934" s="4" t="s">
        <v>19</v>
      </c>
      <c r="F934" s="6">
        <v>1</v>
      </c>
      <c r="G934" s="7" t="s">
        <v>20</v>
      </c>
      <c r="H934" s="6">
        <v>24</v>
      </c>
      <c r="I934" s="7" t="s">
        <v>19</v>
      </c>
      <c r="J934" s="8">
        <v>23100</v>
      </c>
      <c r="K934" s="4" t="s">
        <v>19</v>
      </c>
      <c r="L934" s="9">
        <v>0.125</v>
      </c>
      <c r="M934" s="9">
        <v>0.05</v>
      </c>
      <c r="O934" s="7" t="s">
        <v>19</v>
      </c>
      <c r="P934" s="3">
        <f t="shared" si="123"/>
        <v>0</v>
      </c>
      <c r="Q934" s="7" t="s">
        <v>19</v>
      </c>
      <c r="R934" s="8">
        <f t="shared" si="124"/>
        <v>0</v>
      </c>
      <c r="S934" s="8">
        <f t="shared" si="110"/>
        <v>0</v>
      </c>
    </row>
    <row r="935" spans="1:19" s="19" customFormat="1">
      <c r="A935" s="18" t="s">
        <v>643</v>
      </c>
      <c r="B935" s="19" t="s">
        <v>18</v>
      </c>
      <c r="C935" s="20"/>
      <c r="D935" s="21" t="s">
        <v>19</v>
      </c>
      <c r="E935" s="26"/>
      <c r="F935" s="22">
        <v>1</v>
      </c>
      <c r="G935" s="23" t="s">
        <v>20</v>
      </c>
      <c r="H935" s="22">
        <v>24</v>
      </c>
      <c r="I935" s="23" t="s">
        <v>19</v>
      </c>
      <c r="J935" s="24">
        <v>10600</v>
      </c>
      <c r="K935" s="21" t="s">
        <v>19</v>
      </c>
      <c r="L935" s="25">
        <v>0.125</v>
      </c>
      <c r="M935" s="25">
        <v>0.05</v>
      </c>
      <c r="N935" s="22"/>
      <c r="O935" s="23" t="s">
        <v>19</v>
      </c>
      <c r="P935" s="20">
        <f t="shared" si="123"/>
        <v>0</v>
      </c>
      <c r="Q935" s="23" t="s">
        <v>19</v>
      </c>
      <c r="R935" s="24">
        <f t="shared" si="124"/>
        <v>0</v>
      </c>
      <c r="S935" s="24">
        <f t="shared" si="110"/>
        <v>0</v>
      </c>
    </row>
    <row r="936" spans="1:19" s="19" customFormat="1">
      <c r="A936" s="18" t="s">
        <v>644</v>
      </c>
      <c r="B936" s="19" t="s">
        <v>18</v>
      </c>
      <c r="C936" s="20"/>
      <c r="D936" s="21" t="s">
        <v>19</v>
      </c>
      <c r="E936" s="26"/>
      <c r="F936" s="22">
        <v>1</v>
      </c>
      <c r="G936" s="23" t="s">
        <v>20</v>
      </c>
      <c r="H936" s="22">
        <v>24</v>
      </c>
      <c r="I936" s="23" t="s">
        <v>19</v>
      </c>
      <c r="J936" s="24">
        <v>19000</v>
      </c>
      <c r="K936" s="21" t="s">
        <v>19</v>
      </c>
      <c r="L936" s="25">
        <v>0.125</v>
      </c>
      <c r="M936" s="25">
        <v>0.05</v>
      </c>
      <c r="N936" s="22"/>
      <c r="O936" s="23" t="s">
        <v>19</v>
      </c>
      <c r="P936" s="20">
        <f t="shared" si="123"/>
        <v>0</v>
      </c>
      <c r="Q936" s="23" t="s">
        <v>19</v>
      </c>
      <c r="R936" s="24">
        <f t="shared" si="124"/>
        <v>0</v>
      </c>
      <c r="S936" s="24">
        <f t="shared" si="110"/>
        <v>0</v>
      </c>
    </row>
    <row r="937" spans="1:19" s="19" customFormat="1">
      <c r="A937" s="18" t="s">
        <v>760</v>
      </c>
      <c r="B937" s="19" t="s">
        <v>18</v>
      </c>
      <c r="C937" s="20"/>
      <c r="D937" s="21" t="s">
        <v>19</v>
      </c>
      <c r="E937" s="26"/>
      <c r="F937" s="22">
        <v>1</v>
      </c>
      <c r="G937" s="23" t="s">
        <v>20</v>
      </c>
      <c r="H937" s="22">
        <v>12</v>
      </c>
      <c r="I937" s="23" t="s">
        <v>19</v>
      </c>
      <c r="J937" s="24">
        <v>31000</v>
      </c>
      <c r="K937" s="21" t="s">
        <v>19</v>
      </c>
      <c r="L937" s="25">
        <v>0.125</v>
      </c>
      <c r="M937" s="25">
        <v>0.05</v>
      </c>
      <c r="N937" s="22"/>
      <c r="O937" s="23" t="s">
        <v>19</v>
      </c>
      <c r="P937" s="20">
        <f t="shared" si="123"/>
        <v>0</v>
      </c>
      <c r="Q937" s="23" t="s">
        <v>19</v>
      </c>
      <c r="R937" s="24">
        <f t="shared" si="124"/>
        <v>0</v>
      </c>
      <c r="S937" s="24">
        <f t="shared" si="110"/>
        <v>0</v>
      </c>
    </row>
    <row r="938" spans="1:19" s="19" customFormat="1">
      <c r="A938" s="18" t="s">
        <v>759</v>
      </c>
      <c r="B938" s="19" t="s">
        <v>18</v>
      </c>
      <c r="C938" s="20"/>
      <c r="D938" s="21" t="s">
        <v>19</v>
      </c>
      <c r="E938" s="26"/>
      <c r="F938" s="22">
        <v>1</v>
      </c>
      <c r="G938" s="23" t="s">
        <v>20</v>
      </c>
      <c r="H938" s="22">
        <v>24</v>
      </c>
      <c r="I938" s="23" t="s">
        <v>19</v>
      </c>
      <c r="J938" s="24">
        <v>12300</v>
      </c>
      <c r="K938" s="21" t="s">
        <v>19</v>
      </c>
      <c r="L938" s="25">
        <v>0.125</v>
      </c>
      <c r="M938" s="25">
        <v>0.05</v>
      </c>
      <c r="N938" s="22"/>
      <c r="O938" s="23" t="s">
        <v>19</v>
      </c>
      <c r="P938" s="20">
        <f t="shared" si="123"/>
        <v>0</v>
      </c>
      <c r="Q938" s="23" t="s">
        <v>19</v>
      </c>
      <c r="R938" s="24">
        <f t="shared" si="124"/>
        <v>0</v>
      </c>
      <c r="S938" s="8">
        <f t="shared" si="110"/>
        <v>0</v>
      </c>
    </row>
    <row r="939" spans="1:19" s="19" customFormat="1">
      <c r="A939" s="18" t="s">
        <v>645</v>
      </c>
      <c r="B939" s="19" t="s">
        <v>18</v>
      </c>
      <c r="C939" s="20"/>
      <c r="D939" s="21" t="s">
        <v>19</v>
      </c>
      <c r="E939" s="26"/>
      <c r="F939" s="22">
        <v>1</v>
      </c>
      <c r="G939" s="23" t="s">
        <v>20</v>
      </c>
      <c r="H939" s="22">
        <v>24</v>
      </c>
      <c r="I939" s="23" t="s">
        <v>19</v>
      </c>
      <c r="J939" s="24">
        <v>15000</v>
      </c>
      <c r="K939" s="21" t="s">
        <v>19</v>
      </c>
      <c r="L939" s="25">
        <v>0.125</v>
      </c>
      <c r="M939" s="25">
        <v>0.05</v>
      </c>
      <c r="N939" s="22"/>
      <c r="O939" s="23" t="s">
        <v>19</v>
      </c>
      <c r="P939" s="20">
        <f t="shared" si="123"/>
        <v>0</v>
      </c>
      <c r="Q939" s="23" t="s">
        <v>19</v>
      </c>
      <c r="R939" s="24">
        <f t="shared" si="124"/>
        <v>0</v>
      </c>
      <c r="S939" s="8">
        <f t="shared" si="110"/>
        <v>0</v>
      </c>
    </row>
    <row r="940" spans="1:19">
      <c r="A940" s="17" t="s">
        <v>640</v>
      </c>
      <c r="B940" s="2" t="s">
        <v>18</v>
      </c>
      <c r="D940" s="4" t="s">
        <v>19</v>
      </c>
      <c r="F940" s="6">
        <v>1</v>
      </c>
      <c r="G940" s="7" t="s">
        <v>20</v>
      </c>
      <c r="H940" s="6">
        <v>24</v>
      </c>
      <c r="I940" s="7" t="s">
        <v>19</v>
      </c>
      <c r="J940" s="8">
        <v>17200</v>
      </c>
      <c r="K940" s="4" t="s">
        <v>19</v>
      </c>
      <c r="L940" s="9">
        <v>0.125</v>
      </c>
      <c r="M940" s="9">
        <v>0.05</v>
      </c>
      <c r="O940" s="7" t="s">
        <v>19</v>
      </c>
      <c r="P940" s="3">
        <f t="shared" si="123"/>
        <v>0</v>
      </c>
      <c r="Q940" s="7" t="s">
        <v>19</v>
      </c>
      <c r="R940" s="8">
        <f t="shared" si="124"/>
        <v>0</v>
      </c>
      <c r="S940" s="8">
        <f>R940/1.11</f>
        <v>0</v>
      </c>
    </row>
    <row r="941" spans="1:19" s="19" customFormat="1">
      <c r="A941" s="18" t="s">
        <v>656</v>
      </c>
      <c r="B941" s="19" t="s">
        <v>18</v>
      </c>
      <c r="C941" s="20"/>
      <c r="D941" s="21" t="s">
        <v>19</v>
      </c>
      <c r="E941" s="26"/>
      <c r="F941" s="22">
        <v>12</v>
      </c>
      <c r="G941" s="23" t="s">
        <v>33</v>
      </c>
      <c r="H941" s="22">
        <v>20</v>
      </c>
      <c r="I941" s="23" t="s">
        <v>19</v>
      </c>
      <c r="J941" s="24">
        <v>5150</v>
      </c>
      <c r="K941" s="21" t="s">
        <v>19</v>
      </c>
      <c r="L941" s="25">
        <v>0.125</v>
      </c>
      <c r="M941" s="25">
        <v>0.05</v>
      </c>
      <c r="N941" s="22"/>
      <c r="O941" s="23" t="s">
        <v>19</v>
      </c>
      <c r="P941" s="20">
        <f t="shared" si="123"/>
        <v>0</v>
      </c>
      <c r="Q941" s="23" t="s">
        <v>19</v>
      </c>
      <c r="R941" s="24">
        <f t="shared" si="124"/>
        <v>0</v>
      </c>
      <c r="S941" s="24">
        <f t="shared" ref="S941" si="125">R941/1.11</f>
        <v>0</v>
      </c>
    </row>
    <row r="942" spans="1:19" s="19" customFormat="1">
      <c r="A942" s="18" t="s">
        <v>646</v>
      </c>
      <c r="B942" s="19" t="s">
        <v>18</v>
      </c>
      <c r="C942" s="20"/>
      <c r="D942" s="21" t="s">
        <v>19</v>
      </c>
      <c r="E942" s="26"/>
      <c r="F942" s="22">
        <v>1</v>
      </c>
      <c r="G942" s="23" t="s">
        <v>20</v>
      </c>
      <c r="H942" s="22">
        <v>96</v>
      </c>
      <c r="I942" s="23" t="s">
        <v>19</v>
      </c>
      <c r="J942" s="24">
        <v>14200</v>
      </c>
      <c r="K942" s="21" t="s">
        <v>19</v>
      </c>
      <c r="L942" s="25">
        <v>0.125</v>
      </c>
      <c r="M942" s="25">
        <v>0.05</v>
      </c>
      <c r="N942" s="22"/>
      <c r="O942" s="23" t="s">
        <v>19</v>
      </c>
      <c r="P942" s="20">
        <f t="shared" si="123"/>
        <v>0</v>
      </c>
      <c r="Q942" s="23" t="s">
        <v>19</v>
      </c>
      <c r="R942" s="24">
        <f t="shared" si="124"/>
        <v>0</v>
      </c>
      <c r="S942" s="24">
        <f t="shared" si="110"/>
        <v>0</v>
      </c>
    </row>
    <row r="943" spans="1:19">
      <c r="A943" s="17" t="s">
        <v>647</v>
      </c>
      <c r="B943" s="2" t="s">
        <v>18</v>
      </c>
      <c r="D943" s="4" t="s">
        <v>19</v>
      </c>
      <c r="F943" s="6">
        <v>1</v>
      </c>
      <c r="G943" s="7" t="s">
        <v>20</v>
      </c>
      <c r="H943" s="6">
        <v>24</v>
      </c>
      <c r="I943" s="7" t="s">
        <v>19</v>
      </c>
      <c r="J943" s="8">
        <v>41000</v>
      </c>
      <c r="K943" s="4" t="s">
        <v>19</v>
      </c>
      <c r="L943" s="9">
        <v>0.125</v>
      </c>
      <c r="M943" s="9">
        <v>0.05</v>
      </c>
      <c r="O943" s="7" t="s">
        <v>19</v>
      </c>
      <c r="P943" s="3">
        <f t="shared" si="123"/>
        <v>0</v>
      </c>
      <c r="Q943" s="7" t="s">
        <v>19</v>
      </c>
      <c r="R943" s="8">
        <f t="shared" si="124"/>
        <v>0</v>
      </c>
      <c r="S943" s="8">
        <f t="shared" si="110"/>
        <v>0</v>
      </c>
    </row>
    <row r="944" spans="1:19">
      <c r="A944" s="17" t="s">
        <v>648</v>
      </c>
      <c r="B944" s="2" t="s">
        <v>18</v>
      </c>
      <c r="D944" s="4" t="s">
        <v>19</v>
      </c>
      <c r="F944" s="6">
        <v>1</v>
      </c>
      <c r="G944" s="7" t="s">
        <v>20</v>
      </c>
      <c r="H944" s="6">
        <v>100</v>
      </c>
      <c r="I944" s="7" t="s">
        <v>19</v>
      </c>
      <c r="J944" s="8">
        <v>15500</v>
      </c>
      <c r="K944" s="4" t="s">
        <v>19</v>
      </c>
      <c r="L944" s="9">
        <v>0.125</v>
      </c>
      <c r="M944" s="9">
        <v>0.05</v>
      </c>
      <c r="O944" s="7" t="s">
        <v>19</v>
      </c>
      <c r="P944" s="3">
        <f t="shared" si="123"/>
        <v>0</v>
      </c>
      <c r="Q944" s="7" t="s">
        <v>19</v>
      </c>
      <c r="R944" s="8">
        <f t="shared" si="124"/>
        <v>0</v>
      </c>
      <c r="S944" s="8">
        <f t="shared" si="110"/>
        <v>0</v>
      </c>
    </row>
    <row r="946" spans="1:19" s="19" customFormat="1">
      <c r="A946" s="66" t="s">
        <v>685</v>
      </c>
      <c r="B946" s="19" t="s">
        <v>25</v>
      </c>
      <c r="C946" s="20"/>
      <c r="D946" s="21" t="s">
        <v>19</v>
      </c>
      <c r="E946" s="26"/>
      <c r="F946" s="22">
        <v>1</v>
      </c>
      <c r="G946" s="23" t="s">
        <v>20</v>
      </c>
      <c r="H946" s="22">
        <v>24</v>
      </c>
      <c r="I946" s="23" t="s">
        <v>19</v>
      </c>
      <c r="J946" s="24">
        <f>372000/24</f>
        <v>15500</v>
      </c>
      <c r="K946" s="21" t="s">
        <v>19</v>
      </c>
      <c r="L946" s="25"/>
      <c r="M946" s="25">
        <v>0.17</v>
      </c>
      <c r="N946" s="22"/>
      <c r="O946" s="23" t="s">
        <v>19</v>
      </c>
      <c r="P946" s="20">
        <f t="shared" ref="P946:P954" si="126">(C946+(E946*F946*H946))-N946</f>
        <v>0</v>
      </c>
      <c r="Q946" s="23" t="s">
        <v>19</v>
      </c>
      <c r="R946" s="24">
        <f t="shared" ref="R946:R954" si="127">P946*(J946-(J946*L946)-((J946-(J946*L946))*M946))</f>
        <v>0</v>
      </c>
      <c r="S946" s="24">
        <f t="shared" si="110"/>
        <v>0</v>
      </c>
    </row>
    <row r="947" spans="1:19">
      <c r="A947" s="66" t="s">
        <v>649</v>
      </c>
      <c r="B947" s="2" t="s">
        <v>25</v>
      </c>
      <c r="D947" s="4" t="s">
        <v>19</v>
      </c>
      <c r="F947" s="6">
        <v>1</v>
      </c>
      <c r="G947" s="7" t="s">
        <v>20</v>
      </c>
      <c r="H947" s="6">
        <v>24</v>
      </c>
      <c r="I947" s="7" t="s">
        <v>19</v>
      </c>
      <c r="J947" s="8">
        <f>444000/24</f>
        <v>18500</v>
      </c>
      <c r="K947" s="4" t="s">
        <v>19</v>
      </c>
      <c r="M947" s="9">
        <v>0.17</v>
      </c>
      <c r="O947" s="7" t="s">
        <v>19</v>
      </c>
      <c r="P947" s="3">
        <f t="shared" si="126"/>
        <v>0</v>
      </c>
      <c r="Q947" s="7" t="s">
        <v>19</v>
      </c>
      <c r="R947" s="8">
        <f t="shared" si="127"/>
        <v>0</v>
      </c>
      <c r="S947" s="8">
        <f t="shared" si="110"/>
        <v>0</v>
      </c>
    </row>
    <row r="948" spans="1:19" s="19" customFormat="1">
      <c r="A948" s="66" t="s">
        <v>650</v>
      </c>
      <c r="B948" s="19" t="s">
        <v>25</v>
      </c>
      <c r="C948" s="20"/>
      <c r="D948" s="21" t="s">
        <v>19</v>
      </c>
      <c r="E948" s="26"/>
      <c r="F948" s="22">
        <v>1</v>
      </c>
      <c r="G948" s="23" t="s">
        <v>20</v>
      </c>
      <c r="H948" s="22">
        <v>24</v>
      </c>
      <c r="I948" s="23" t="s">
        <v>19</v>
      </c>
      <c r="J948" s="24">
        <f>462000/24</f>
        <v>19250</v>
      </c>
      <c r="K948" s="21" t="s">
        <v>19</v>
      </c>
      <c r="L948" s="25"/>
      <c r="M948" s="25">
        <v>0.17</v>
      </c>
      <c r="N948" s="22"/>
      <c r="O948" s="23" t="s">
        <v>19</v>
      </c>
      <c r="P948" s="20">
        <f t="shared" si="126"/>
        <v>0</v>
      </c>
      <c r="Q948" s="23" t="s">
        <v>19</v>
      </c>
      <c r="R948" s="24">
        <f t="shared" si="127"/>
        <v>0</v>
      </c>
      <c r="S948" s="8">
        <f t="shared" si="110"/>
        <v>0</v>
      </c>
    </row>
    <row r="949" spans="1:19" s="19" customFormat="1">
      <c r="A949" s="66" t="s">
        <v>717</v>
      </c>
      <c r="B949" s="19" t="s">
        <v>25</v>
      </c>
      <c r="C949" s="20"/>
      <c r="D949" s="21" t="s">
        <v>19</v>
      </c>
      <c r="E949" s="26"/>
      <c r="F949" s="22">
        <v>1</v>
      </c>
      <c r="G949" s="23" t="s">
        <v>20</v>
      </c>
      <c r="H949" s="22">
        <v>24</v>
      </c>
      <c r="I949" s="23" t="s">
        <v>19</v>
      </c>
      <c r="J949" s="24">
        <f>462000/24</f>
        <v>19250</v>
      </c>
      <c r="K949" s="21" t="s">
        <v>19</v>
      </c>
      <c r="L949" s="25"/>
      <c r="M949" s="25">
        <v>0.17</v>
      </c>
      <c r="N949" s="22"/>
      <c r="O949" s="23" t="s">
        <v>19</v>
      </c>
      <c r="P949" s="20">
        <f t="shared" si="126"/>
        <v>0</v>
      </c>
      <c r="Q949" s="23" t="s">
        <v>19</v>
      </c>
      <c r="R949" s="24">
        <f t="shared" si="127"/>
        <v>0</v>
      </c>
      <c r="S949" s="8">
        <f t="shared" si="110"/>
        <v>0</v>
      </c>
    </row>
    <row r="950" spans="1:19">
      <c r="A950" s="66" t="s">
        <v>651</v>
      </c>
      <c r="B950" s="2" t="s">
        <v>25</v>
      </c>
      <c r="D950" s="4" t="s">
        <v>19</v>
      </c>
      <c r="F950" s="6">
        <v>1</v>
      </c>
      <c r="G950" s="7" t="s">
        <v>20</v>
      </c>
      <c r="H950" s="6">
        <v>24</v>
      </c>
      <c r="I950" s="7" t="s">
        <v>19</v>
      </c>
      <c r="J950" s="8">
        <v>17250</v>
      </c>
      <c r="K950" s="4" t="s">
        <v>19</v>
      </c>
      <c r="M950" s="9">
        <v>0.17</v>
      </c>
      <c r="O950" s="7" t="s">
        <v>19</v>
      </c>
      <c r="P950" s="3">
        <f t="shared" si="126"/>
        <v>0</v>
      </c>
      <c r="Q950" s="7" t="s">
        <v>19</v>
      </c>
      <c r="R950" s="8">
        <f t="shared" si="127"/>
        <v>0</v>
      </c>
      <c r="S950" s="8">
        <f t="shared" si="110"/>
        <v>0</v>
      </c>
    </row>
    <row r="951" spans="1:19">
      <c r="A951" s="66" t="s">
        <v>720</v>
      </c>
      <c r="B951" s="2" t="s">
        <v>25</v>
      </c>
      <c r="D951" s="4" t="s">
        <v>19</v>
      </c>
      <c r="F951" s="6">
        <v>1</v>
      </c>
      <c r="G951" s="7" t="s">
        <v>20</v>
      </c>
      <c r="H951" s="6">
        <v>24</v>
      </c>
      <c r="I951" s="7" t="s">
        <v>19</v>
      </c>
      <c r="J951" s="8">
        <f>420000/24</f>
        <v>17500</v>
      </c>
      <c r="K951" s="4" t="s">
        <v>19</v>
      </c>
      <c r="M951" s="9">
        <v>0.17</v>
      </c>
      <c r="O951" s="7" t="s">
        <v>19</v>
      </c>
      <c r="P951" s="3">
        <f t="shared" si="126"/>
        <v>0</v>
      </c>
      <c r="Q951" s="7" t="s">
        <v>19</v>
      </c>
      <c r="R951" s="8">
        <f t="shared" si="127"/>
        <v>0</v>
      </c>
      <c r="S951" s="8">
        <f t="shared" si="110"/>
        <v>0</v>
      </c>
    </row>
    <row r="952" spans="1:19">
      <c r="A952" s="66" t="s">
        <v>652</v>
      </c>
      <c r="B952" s="2" t="s">
        <v>25</v>
      </c>
      <c r="D952" s="4" t="s">
        <v>19</v>
      </c>
      <c r="F952" s="6">
        <v>1</v>
      </c>
      <c r="G952" s="7" t="s">
        <v>20</v>
      </c>
      <c r="H952" s="6">
        <v>12</v>
      </c>
      <c r="I952" s="7" t="s">
        <v>19</v>
      </c>
      <c r="J952" s="8">
        <f>342000/12</f>
        <v>28500</v>
      </c>
      <c r="K952" s="4" t="s">
        <v>19</v>
      </c>
      <c r="M952" s="9">
        <v>0.17</v>
      </c>
      <c r="O952" s="7" t="s">
        <v>19</v>
      </c>
      <c r="P952" s="3">
        <f t="shared" si="126"/>
        <v>0</v>
      </c>
      <c r="Q952" s="7" t="s">
        <v>19</v>
      </c>
      <c r="R952" s="8">
        <f t="shared" si="127"/>
        <v>0</v>
      </c>
      <c r="S952" s="8">
        <f t="shared" si="110"/>
        <v>0</v>
      </c>
    </row>
    <row r="953" spans="1:19">
      <c r="A953" s="66" t="s">
        <v>653</v>
      </c>
      <c r="B953" s="2" t="s">
        <v>25</v>
      </c>
      <c r="C953" s="20"/>
      <c r="D953" s="4" t="s">
        <v>19</v>
      </c>
      <c r="F953" s="6">
        <v>1</v>
      </c>
      <c r="G953" s="7" t="s">
        <v>20</v>
      </c>
      <c r="H953" s="6">
        <v>12</v>
      </c>
      <c r="I953" s="7" t="s">
        <v>19</v>
      </c>
      <c r="J953" s="8">
        <f>348000/12</f>
        <v>29000</v>
      </c>
      <c r="K953" s="4" t="s">
        <v>19</v>
      </c>
      <c r="M953" s="9">
        <v>0.17</v>
      </c>
      <c r="O953" s="7" t="s">
        <v>19</v>
      </c>
      <c r="P953" s="3">
        <f t="shared" si="126"/>
        <v>0</v>
      </c>
      <c r="Q953" s="7" t="s">
        <v>19</v>
      </c>
      <c r="R953" s="8">
        <f t="shared" si="127"/>
        <v>0</v>
      </c>
      <c r="S953" s="8">
        <f t="shared" si="110"/>
        <v>0</v>
      </c>
    </row>
    <row r="954" spans="1:19">
      <c r="A954" s="66" t="s">
        <v>665</v>
      </c>
      <c r="B954" s="2" t="s">
        <v>25</v>
      </c>
      <c r="C954" s="20"/>
      <c r="D954" s="4" t="s">
        <v>19</v>
      </c>
      <c r="F954" s="6">
        <v>8</v>
      </c>
      <c r="G954" s="7" t="s">
        <v>42</v>
      </c>
      <c r="H954" s="6">
        <v>12</v>
      </c>
      <c r="I954" s="7" t="s">
        <v>19</v>
      </c>
      <c r="J954" s="8">
        <f>2112000/8/12</f>
        <v>22000</v>
      </c>
      <c r="K954" s="4" t="s">
        <v>19</v>
      </c>
      <c r="M954" s="9">
        <v>0.17</v>
      </c>
      <c r="O954" s="7" t="s">
        <v>19</v>
      </c>
      <c r="P954" s="3">
        <f t="shared" si="126"/>
        <v>0</v>
      </c>
      <c r="Q954" s="7" t="s">
        <v>19</v>
      </c>
      <c r="R954" s="8">
        <f t="shared" si="127"/>
        <v>0</v>
      </c>
      <c r="S954" s="8">
        <f t="shared" si="110"/>
        <v>0</v>
      </c>
    </row>
    <row r="955" spans="1:19">
      <c r="A955" s="66"/>
      <c r="C955" s="20"/>
    </row>
    <row r="956" spans="1:19" s="19" customFormat="1">
      <c r="A956" s="66" t="s">
        <v>654</v>
      </c>
      <c r="B956" s="19" t="s">
        <v>188</v>
      </c>
      <c r="C956" s="20"/>
      <c r="D956" s="21" t="s">
        <v>42</v>
      </c>
      <c r="E956" s="26"/>
      <c r="F956" s="22">
        <v>48</v>
      </c>
      <c r="G956" s="23" t="s">
        <v>33</v>
      </c>
      <c r="H956" s="22">
        <v>1</v>
      </c>
      <c r="I956" s="23" t="s">
        <v>42</v>
      </c>
      <c r="J956" s="24">
        <v>91000</v>
      </c>
      <c r="K956" s="21" t="s">
        <v>42</v>
      </c>
      <c r="L956" s="25"/>
      <c r="M956" s="25"/>
      <c r="N956" s="22"/>
      <c r="O956" s="23" t="s">
        <v>42</v>
      </c>
      <c r="P956" s="20">
        <f>(C956+(E956*F956*H956))-N956</f>
        <v>0</v>
      </c>
      <c r="Q956" s="23" t="s">
        <v>42</v>
      </c>
      <c r="R956" s="24">
        <f>P956*(J956-(J956*L956)-((J956-(J956*L956))*M956))</f>
        <v>0</v>
      </c>
      <c r="S956" s="8">
        <f t="shared" ref="S956:S958" si="128">R956/1.11</f>
        <v>0</v>
      </c>
    </row>
    <row r="957" spans="1:19" s="19" customFormat="1">
      <c r="A957" s="66"/>
      <c r="C957" s="20"/>
      <c r="D957" s="21"/>
      <c r="E957" s="26"/>
      <c r="F957" s="22"/>
      <c r="G957" s="23"/>
      <c r="H957" s="22"/>
      <c r="I957" s="23"/>
      <c r="J957" s="24"/>
      <c r="K957" s="21"/>
      <c r="L957" s="25"/>
      <c r="M957" s="25"/>
      <c r="N957" s="22"/>
      <c r="O957" s="23"/>
      <c r="P957" s="20"/>
      <c r="Q957" s="23"/>
      <c r="R957" s="24"/>
      <c r="S957" s="8"/>
    </row>
    <row r="958" spans="1:19">
      <c r="A958" s="66" t="s">
        <v>655</v>
      </c>
      <c r="B958" s="2" t="s">
        <v>605</v>
      </c>
      <c r="C958" s="20"/>
      <c r="D958" s="4" t="s">
        <v>19</v>
      </c>
      <c r="F958" s="6">
        <v>1</v>
      </c>
      <c r="G958" s="7" t="s">
        <v>20</v>
      </c>
      <c r="H958" s="6">
        <v>24</v>
      </c>
      <c r="I958" s="7" t="s">
        <v>19</v>
      </c>
      <c r="J958" s="8">
        <v>18200</v>
      </c>
      <c r="K958" s="4" t="s">
        <v>19</v>
      </c>
      <c r="L958" s="9">
        <v>0.15</v>
      </c>
      <c r="M958" s="9">
        <v>0.03</v>
      </c>
      <c r="O958" s="7" t="s">
        <v>19</v>
      </c>
      <c r="P958" s="3">
        <f>(C958+(E958*F958*H958))-N958</f>
        <v>0</v>
      </c>
      <c r="Q958" s="7" t="s">
        <v>19</v>
      </c>
      <c r="R958" s="8">
        <f>P958*(J958-(J958*L958)-((J958-(J958*L958))*M958))</f>
        <v>0</v>
      </c>
      <c r="S958" s="8">
        <f t="shared" si="128"/>
        <v>0</v>
      </c>
    </row>
    <row r="959" spans="1:19">
      <c r="C959" s="20"/>
    </row>
    <row r="960" spans="1:19" ht="15.75">
      <c r="A960" s="14" t="s">
        <v>659</v>
      </c>
      <c r="C960" s="20"/>
    </row>
    <row r="961" spans="1:21" s="19" customFormat="1">
      <c r="A961" s="18" t="s">
        <v>660</v>
      </c>
      <c r="B961" s="19" t="s">
        <v>18</v>
      </c>
      <c r="C961" s="20"/>
      <c r="D961" s="21" t="s">
        <v>19</v>
      </c>
      <c r="E961" s="26"/>
      <c r="F961" s="22">
        <v>1</v>
      </c>
      <c r="G961" s="23" t="s">
        <v>20</v>
      </c>
      <c r="H961" s="22">
        <v>100</v>
      </c>
      <c r="I961" s="23" t="s">
        <v>19</v>
      </c>
      <c r="J961" s="24">
        <v>8400</v>
      </c>
      <c r="K961" s="21" t="s">
        <v>19</v>
      </c>
      <c r="L961" s="25">
        <v>0.125</v>
      </c>
      <c r="M961" s="25">
        <v>0.05</v>
      </c>
      <c r="N961" s="22"/>
      <c r="O961" s="23" t="s">
        <v>19</v>
      </c>
      <c r="P961" s="20">
        <f>(C961+(E961*F961*H961))-N961</f>
        <v>0</v>
      </c>
      <c r="Q961" s="23" t="s">
        <v>19</v>
      </c>
      <c r="R961" s="24">
        <f>P961*(J961-(J961*L961)-((J961-(J961*L961))*M961))</f>
        <v>0</v>
      </c>
      <c r="S961" s="24">
        <f t="shared" ref="S961" si="129">R961/1.11</f>
        <v>0</v>
      </c>
    </row>
    <row r="962" spans="1:21">
      <c r="C962" s="20"/>
    </row>
    <row r="963" spans="1:21" ht="15.75">
      <c r="A963" s="14" t="s">
        <v>834</v>
      </c>
      <c r="C963" s="20"/>
    </row>
    <row r="964" spans="1:21" s="19" customFormat="1">
      <c r="A964" s="18" t="s">
        <v>846</v>
      </c>
      <c r="B964" s="19" t="s">
        <v>48</v>
      </c>
      <c r="C964" s="20"/>
      <c r="D964" s="21" t="s">
        <v>19</v>
      </c>
      <c r="E964" s="26"/>
      <c r="F964" s="22">
        <v>4</v>
      </c>
      <c r="G964" s="23" t="s">
        <v>33</v>
      </c>
      <c r="H964" s="22">
        <v>12</v>
      </c>
      <c r="I964" s="23" t="s">
        <v>19</v>
      </c>
      <c r="J964" s="24"/>
      <c r="K964" s="21" t="s">
        <v>19</v>
      </c>
      <c r="L964" s="25">
        <v>0.1</v>
      </c>
      <c r="M964" s="25">
        <v>0.05</v>
      </c>
      <c r="N964" s="22"/>
      <c r="O964" s="23" t="s">
        <v>19</v>
      </c>
      <c r="P964" s="20">
        <f>(C964+(E964*F964*H964))-N964</f>
        <v>0</v>
      </c>
      <c r="Q964" s="23" t="s">
        <v>19</v>
      </c>
      <c r="R964" s="24">
        <f>P964*(J964-(J964*L964)-((J964-(J964*L964))*M964))</f>
        <v>0</v>
      </c>
      <c r="S964" s="24">
        <f t="shared" ref="S964" si="130">R964/1.11</f>
        <v>0</v>
      </c>
    </row>
    <row r="965" spans="1:21">
      <c r="A965" s="2"/>
      <c r="R965" s="16"/>
      <c r="S965" s="16"/>
    </row>
    <row r="967" spans="1:21" ht="16.5">
      <c r="R967" s="27">
        <f>SUM(R6:R965)</f>
        <v>0</v>
      </c>
      <c r="S967" s="27">
        <f>SUM(S6:S965)</f>
        <v>0</v>
      </c>
    </row>
    <row r="968" spans="1:21">
      <c r="R968" s="30"/>
      <c r="S968" s="28"/>
      <c r="U968" s="8"/>
    </row>
    <row r="969" spans="1:21">
      <c r="R969" s="86"/>
      <c r="S969" s="85"/>
      <c r="U969" s="43"/>
    </row>
    <row r="970" spans="1:21" ht="15.75">
      <c r="R970" s="87"/>
      <c r="S970" s="87"/>
      <c r="U970" s="43"/>
    </row>
    <row r="971" spans="1:21">
      <c r="R971" s="29"/>
      <c r="S971" s="29"/>
    </row>
    <row r="972" spans="1:21">
      <c r="S972" s="45"/>
    </row>
    <row r="973" spans="1:21">
      <c r="R973" s="46"/>
    </row>
  </sheetData>
  <mergeCells count="12">
    <mergeCell ref="N2:O3"/>
    <mergeCell ref="P2:Q3"/>
    <mergeCell ref="R2:R3"/>
    <mergeCell ref="S2:S3"/>
    <mergeCell ref="F3:G3"/>
    <mergeCell ref="H3:I3"/>
    <mergeCell ref="J2:M2"/>
    <mergeCell ref="A2:A3"/>
    <mergeCell ref="B2:B3"/>
    <mergeCell ref="C2:D3"/>
    <mergeCell ref="E2:E3"/>
    <mergeCell ref="F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2022-12-30T02:47:40Z</dcterms:modified>
</cp:coreProperties>
</file>